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BritBomb\"/>
    </mc:Choice>
  </mc:AlternateContent>
  <bookViews>
    <workbookView xWindow="0" yWindow="0" windowWidth="24000" windowHeight="9735"/>
  </bookViews>
  <sheets>
    <sheet name="DATESORT" sheetId="1" r:id="rId1"/>
  </sheets>
  <definedNames>
    <definedName name="_xlnm.Database">DATESORT!$A$1:$X$2175</definedName>
    <definedName name="_xlnm.Print_Titles" localSheetId="0">DATESORT!$Y:$Y</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7307" i="1" l="1"/>
  <c r="AL7307" i="1"/>
  <c r="AP7306" i="1"/>
  <c r="AL7306" i="1"/>
  <c r="AP7303" i="1"/>
  <c r="AL7303" i="1"/>
  <c r="AP7301" i="1"/>
  <c r="AP7300" i="1"/>
  <c r="AL7300" i="1"/>
  <c r="AM7300" i="1" s="1"/>
  <c r="AP7298" i="1"/>
  <c r="AL7298" i="1"/>
  <c r="AP7297" i="1"/>
  <c r="AP7296" i="1"/>
  <c r="AL7296" i="1"/>
  <c r="AP7295" i="1"/>
  <c r="AL7295" i="1"/>
  <c r="K7288" i="1"/>
  <c r="K7287" i="1"/>
  <c r="AD7281" i="1"/>
  <c r="AD7280" i="1"/>
  <c r="AD7279" i="1"/>
  <c r="AP7278" i="1"/>
  <c r="AL7278" i="1"/>
  <c r="AP7276" i="1"/>
  <c r="AL7276" i="1"/>
  <c r="AP7274" i="1"/>
  <c r="AL7274" i="1"/>
  <c r="AK7273" i="1"/>
  <c r="K7273" i="1"/>
  <c r="AD7272" i="1"/>
  <c r="AC7272" i="1"/>
  <c r="AD7271" i="1"/>
  <c r="AC7271" i="1"/>
  <c r="AD7270" i="1"/>
  <c r="AC7270" i="1"/>
  <c r="AD7269" i="1"/>
  <c r="AD7268" i="1"/>
  <c r="AC7268" i="1"/>
  <c r="AK7267" i="1"/>
  <c r="AD7267" i="1"/>
  <c r="AD7266" i="1"/>
  <c r="AC7266" i="1"/>
  <c r="AP7263" i="1"/>
  <c r="AL7263" i="1"/>
  <c r="AP7261" i="1"/>
  <c r="AL7261" i="1"/>
  <c r="K7260" i="1"/>
  <c r="AD7259" i="1"/>
  <c r="AD7258" i="1"/>
  <c r="AD7257" i="1"/>
  <c r="AD7256" i="1"/>
  <c r="AD7255" i="1"/>
  <c r="AP7253" i="1"/>
  <c r="AL7253" i="1"/>
  <c r="AP7251" i="1"/>
  <c r="AL7251" i="1"/>
  <c r="AP7250" i="1"/>
  <c r="AL7250" i="1"/>
  <c r="AM7250" i="1" s="1"/>
  <c r="AP7248" i="1"/>
  <c r="AL7248" i="1"/>
  <c r="AP7247" i="1"/>
  <c r="AL7247" i="1"/>
  <c r="AP7244" i="1"/>
  <c r="AL7244" i="1"/>
  <c r="AM7244" i="1" s="1"/>
  <c r="AD7236" i="1"/>
  <c r="K7236" i="1"/>
  <c r="AM7233" i="1"/>
  <c r="AP7230" i="1"/>
  <c r="AL7230" i="1"/>
  <c r="AP7229" i="1"/>
  <c r="AL7229" i="1"/>
  <c r="AK7227" i="1"/>
  <c r="K7227" i="1"/>
  <c r="AP7225" i="1"/>
  <c r="AL7225" i="1"/>
  <c r="K7223" i="1"/>
  <c r="AD7222" i="1"/>
  <c r="AD7221" i="1"/>
  <c r="K7221" i="1"/>
  <c r="AD7220" i="1"/>
  <c r="AD7219" i="1"/>
  <c r="K7219" i="1"/>
  <c r="AD7218" i="1"/>
  <c r="AD7217" i="1"/>
  <c r="K7217" i="1"/>
  <c r="K7216" i="1"/>
  <c r="K7215" i="1"/>
  <c r="AD7214" i="1"/>
  <c r="AD7213" i="1"/>
  <c r="AD7212" i="1"/>
  <c r="AK7211" i="1"/>
  <c r="AD7210" i="1"/>
  <c r="AD7209" i="1"/>
  <c r="AP7208" i="1"/>
  <c r="AL7208" i="1"/>
  <c r="AM7208" i="1" s="1"/>
  <c r="AP7207" i="1"/>
  <c r="AL7207" i="1"/>
  <c r="AP7206" i="1"/>
  <c r="AL7206" i="1"/>
  <c r="AP7205" i="1"/>
  <c r="AL7205" i="1"/>
  <c r="AP7204" i="1"/>
  <c r="AL7204" i="1"/>
  <c r="AK7203" i="1"/>
  <c r="K7203" i="1"/>
  <c r="K7201" i="1"/>
  <c r="AM7198" i="1"/>
  <c r="AP7197" i="1"/>
  <c r="AL7197" i="1"/>
  <c r="AP7196" i="1"/>
  <c r="AL7196" i="1"/>
  <c r="AM7196" i="1" s="1"/>
  <c r="AP7195" i="1"/>
  <c r="AP7194" i="1"/>
  <c r="AL7194" i="1"/>
  <c r="AP7193" i="1"/>
  <c r="AL7193" i="1"/>
  <c r="AP7192" i="1"/>
  <c r="AL7192" i="1"/>
  <c r="AP7191" i="1"/>
  <c r="AL7191" i="1"/>
  <c r="AP7190" i="1"/>
  <c r="AL7190" i="1"/>
  <c r="AD7185" i="1"/>
  <c r="AD7184" i="1"/>
  <c r="AD7183" i="1"/>
  <c r="AD7182" i="1"/>
  <c r="AD7181" i="1"/>
  <c r="AC7181" i="1"/>
  <c r="AD7180" i="1"/>
  <c r="AC7180" i="1"/>
  <c r="AK7179" i="1"/>
  <c r="AD7179" i="1"/>
  <c r="AC7179" i="1"/>
  <c r="AP7178" i="1"/>
  <c r="AL7178" i="1"/>
  <c r="AM7175" i="1"/>
  <c r="AP7174" i="1"/>
  <c r="AL7174" i="1"/>
  <c r="AP7171" i="1"/>
  <c r="AL7171" i="1"/>
  <c r="AP7170" i="1"/>
  <c r="AL7170" i="1"/>
  <c r="AP7168" i="1"/>
  <c r="AL7168" i="1"/>
  <c r="AM7168" i="1" s="1"/>
  <c r="AK7138" i="1"/>
  <c r="K7138" i="1"/>
  <c r="AF7135" i="1"/>
  <c r="AD7130" i="1"/>
  <c r="AD7128" i="1"/>
  <c r="AP7127" i="1"/>
  <c r="AL7127" i="1"/>
  <c r="AM7122" i="1"/>
  <c r="AP7120" i="1"/>
  <c r="AP7119" i="1"/>
  <c r="AL7119" i="1"/>
  <c r="AP7118" i="1"/>
  <c r="AM7118" i="1"/>
  <c r="AL7118" i="1"/>
  <c r="AP7117" i="1"/>
  <c r="AL7117" i="1"/>
  <c r="AP7113" i="1"/>
  <c r="AL7113" i="1"/>
  <c r="AK7095" i="1"/>
  <c r="K7095" i="1"/>
  <c r="K7075" i="1"/>
  <c r="K7074" i="1"/>
  <c r="AD7072" i="1"/>
  <c r="AD7071" i="1"/>
  <c r="AD7070" i="1"/>
  <c r="AM7065" i="1"/>
  <c r="AP7060" i="1"/>
  <c r="AL7060" i="1"/>
  <c r="AP7059" i="1"/>
  <c r="AL7059" i="1"/>
  <c r="AM7059" i="1" s="1"/>
  <c r="AP7057" i="1"/>
  <c r="AL7057" i="1"/>
  <c r="AD7025" i="1"/>
  <c r="AD7023" i="1"/>
  <c r="AD7021" i="1"/>
  <c r="AD7013" i="1"/>
  <c r="K7012" i="1"/>
  <c r="AD7011" i="1"/>
  <c r="AD7010" i="1"/>
  <c r="AP7006" i="1"/>
  <c r="AL7006" i="1"/>
  <c r="AP7005" i="1"/>
  <c r="AL7005" i="1"/>
  <c r="AP7003" i="1"/>
  <c r="AL7003" i="1"/>
  <c r="AP7002" i="1"/>
  <c r="AL7002" i="1"/>
  <c r="AM6999" i="1"/>
  <c r="AP6996" i="1"/>
  <c r="AL6996" i="1"/>
  <c r="AP6995" i="1"/>
  <c r="AL6995" i="1"/>
  <c r="AP6994" i="1"/>
  <c r="AP6993" i="1"/>
  <c r="AL6993" i="1"/>
  <c r="AP6992" i="1"/>
  <c r="AL6992" i="1"/>
  <c r="AP6991" i="1"/>
  <c r="AL6991" i="1"/>
  <c r="AP6990" i="1"/>
  <c r="AL6990" i="1"/>
  <c r="AM6990" i="1" s="1"/>
  <c r="AP6989" i="1"/>
  <c r="AL6989" i="1"/>
  <c r="AP6988" i="1"/>
  <c r="AP6987" i="1"/>
  <c r="AL6987" i="1"/>
  <c r="AM6986" i="1"/>
  <c r="AP6985" i="1"/>
  <c r="AL6985" i="1"/>
  <c r="AP6983" i="1"/>
  <c r="AL6983" i="1"/>
  <c r="AK6968" i="1"/>
  <c r="K6968" i="1"/>
  <c r="AD6953" i="1"/>
  <c r="AD6951" i="1"/>
  <c r="AC6951" i="1"/>
  <c r="K6950" i="1"/>
  <c r="AD6949" i="1"/>
  <c r="AD6948" i="1"/>
  <c r="AD6947" i="1"/>
  <c r="AM6945" i="1"/>
  <c r="AP6943" i="1"/>
  <c r="AP6942" i="1"/>
  <c r="AL6942" i="1"/>
  <c r="AK6935" i="1"/>
  <c r="K6935" i="1"/>
  <c r="AP6934" i="1"/>
  <c r="AL6934" i="1"/>
  <c r="AM6933" i="1"/>
  <c r="AM6930" i="1"/>
  <c r="AP6928" i="1"/>
  <c r="AP6927" i="1"/>
  <c r="AL6927" i="1"/>
  <c r="AP6926" i="1"/>
  <c r="AL6926" i="1"/>
  <c r="AP6924" i="1"/>
  <c r="AL6924" i="1"/>
  <c r="AP6923" i="1"/>
  <c r="AL6923" i="1"/>
  <c r="AP6922" i="1"/>
  <c r="AL6922" i="1"/>
  <c r="AP6921" i="1"/>
  <c r="AL6921" i="1"/>
  <c r="AM6921" i="1" s="1"/>
  <c r="AP6919" i="1"/>
  <c r="AL6919" i="1"/>
  <c r="AP6918" i="1"/>
  <c r="AL6918" i="1"/>
  <c r="AP6917" i="1"/>
  <c r="AL6917" i="1"/>
  <c r="AP6916" i="1"/>
  <c r="AL6916" i="1"/>
  <c r="AP6915" i="1"/>
  <c r="AL6915" i="1"/>
  <c r="AM6915" i="1" s="1"/>
  <c r="AP6914" i="1"/>
  <c r="AL6914" i="1"/>
  <c r="AP6913" i="1"/>
  <c r="AL6913" i="1"/>
  <c r="AP6911" i="1"/>
  <c r="AL6911" i="1"/>
  <c r="AP6909" i="1"/>
  <c r="AP6906" i="1"/>
  <c r="AL6906" i="1"/>
  <c r="AD6887" i="1"/>
  <c r="AC6887" i="1"/>
  <c r="AD6886" i="1"/>
  <c r="AD6885" i="1"/>
  <c r="AD6884" i="1"/>
  <c r="AP6882" i="1"/>
  <c r="AL6882" i="1"/>
  <c r="AK6866" i="1"/>
  <c r="K6866" i="1"/>
  <c r="AD6864" i="1"/>
  <c r="AD6863" i="1"/>
  <c r="K6863" i="1"/>
  <c r="AD6862" i="1"/>
  <c r="AD6861" i="1"/>
  <c r="AD6857" i="1"/>
  <c r="AC6857" i="1"/>
  <c r="K6849" i="1"/>
  <c r="AM6845" i="1"/>
  <c r="AP6844" i="1"/>
  <c r="AL6844" i="1"/>
  <c r="AP6843" i="1"/>
  <c r="AL6843" i="1"/>
  <c r="AP6842" i="1"/>
  <c r="AL6842" i="1"/>
  <c r="AK6820" i="1"/>
  <c r="K6820" i="1"/>
  <c r="K6819" i="1"/>
  <c r="S6809" i="1"/>
  <c r="AD6808" i="1"/>
  <c r="AC6808" i="1"/>
  <c r="K6808" i="1"/>
  <c r="K6805" i="1"/>
  <c r="AD6804" i="1"/>
  <c r="AD6803" i="1"/>
  <c r="AM6800" i="1"/>
  <c r="AL6799" i="1"/>
  <c r="AP6795" i="1"/>
  <c r="AL6795" i="1"/>
  <c r="AK6795" i="1"/>
  <c r="AP6792" i="1"/>
  <c r="AL6792" i="1"/>
  <c r="AD6775" i="1"/>
  <c r="AC6775" i="1"/>
  <c r="K6773" i="1"/>
  <c r="AD6772" i="1"/>
  <c r="AD6771" i="1"/>
  <c r="AK6750" i="1"/>
  <c r="K6750" i="1"/>
  <c r="K6747" i="1"/>
  <c r="K6746" i="1"/>
  <c r="AP6745" i="1"/>
  <c r="AL6745" i="1"/>
  <c r="AM6740" i="1"/>
  <c r="AP6737" i="1"/>
  <c r="AL6737" i="1"/>
  <c r="AP6736" i="1"/>
  <c r="AL6736" i="1"/>
  <c r="AP6733" i="1"/>
  <c r="AL6733" i="1"/>
  <c r="AP6732" i="1"/>
  <c r="AL6732" i="1"/>
  <c r="AP6731" i="1"/>
  <c r="AP6730" i="1"/>
  <c r="AL6730" i="1"/>
  <c r="AP6729" i="1"/>
  <c r="AL6729" i="1"/>
  <c r="AM6729" i="1" s="1"/>
  <c r="AP6728" i="1"/>
  <c r="AL6728" i="1"/>
  <c r="AP6727" i="1"/>
  <c r="AL6727" i="1"/>
  <c r="AL6726" i="1"/>
  <c r="W6710" i="1"/>
  <c r="K6709" i="1"/>
  <c r="AD6708" i="1"/>
  <c r="AC6708" i="1"/>
  <c r="K6708" i="1"/>
  <c r="K6707" i="1"/>
  <c r="AD6703" i="1"/>
  <c r="AK6688" i="1"/>
  <c r="K6688" i="1"/>
  <c r="K6686" i="1"/>
  <c r="K6685" i="1"/>
  <c r="AK6654" i="1"/>
  <c r="K6654" i="1"/>
  <c r="K6646" i="1"/>
  <c r="K6645" i="1"/>
  <c r="AP6644" i="1"/>
  <c r="AL6644" i="1"/>
  <c r="AP6643" i="1"/>
  <c r="AL6643" i="1"/>
  <c r="W6641" i="1"/>
  <c r="K6641" i="1"/>
  <c r="AD6640" i="1"/>
  <c r="AC6640" i="1"/>
  <c r="K6640" i="1"/>
  <c r="K6639" i="1"/>
  <c r="AP6638" i="1"/>
  <c r="AL6638" i="1"/>
  <c r="AP6637" i="1"/>
  <c r="AL6637" i="1"/>
  <c r="AP6636" i="1"/>
  <c r="AK6606" i="1"/>
  <c r="K6606" i="1"/>
  <c r="K6604" i="1"/>
  <c r="K6578" i="1"/>
  <c r="W6577" i="1"/>
  <c r="K6577" i="1"/>
  <c r="W6576" i="1"/>
  <c r="W6575" i="1"/>
  <c r="K6575" i="1"/>
  <c r="AP6573" i="1"/>
  <c r="AL6573" i="1"/>
  <c r="W6571" i="1"/>
  <c r="K6571" i="1"/>
  <c r="W6570" i="1"/>
  <c r="K6570" i="1"/>
  <c r="AD6569" i="1"/>
  <c r="AC6569" i="1"/>
  <c r="AM6567" i="1"/>
  <c r="AP6566" i="1"/>
  <c r="AL6566" i="1"/>
  <c r="AP6565" i="1"/>
  <c r="AL6565" i="1"/>
  <c r="AM6565" i="1" s="1"/>
  <c r="AP6564" i="1"/>
  <c r="AL6564" i="1"/>
  <c r="AP6563" i="1"/>
  <c r="AL6563" i="1"/>
  <c r="AP6561" i="1"/>
  <c r="AL6561" i="1"/>
  <c r="AP6560" i="1"/>
  <c r="AL6560" i="1"/>
  <c r="AP6559" i="1"/>
  <c r="AL6559" i="1"/>
  <c r="AP6557" i="1"/>
  <c r="AL6557" i="1"/>
  <c r="AK6557" i="1"/>
  <c r="AP6556" i="1"/>
  <c r="AM6555" i="1"/>
  <c r="AP6554" i="1"/>
  <c r="AL6554" i="1"/>
  <c r="AK6531" i="1"/>
  <c r="K6531" i="1"/>
  <c r="AD6511" i="1"/>
  <c r="AC6511" i="1"/>
  <c r="S6511" i="1"/>
  <c r="L6511" i="1"/>
  <c r="K6511" i="1"/>
  <c r="AD6510" i="1"/>
  <c r="AC6510" i="1"/>
  <c r="K6510" i="1"/>
  <c r="W6509" i="1"/>
  <c r="W6508" i="1"/>
  <c r="AD6507" i="1"/>
  <c r="AD6506" i="1"/>
  <c r="AC6506" i="1"/>
  <c r="AD6505" i="1"/>
  <c r="AI6504" i="1"/>
  <c r="AP6503" i="1"/>
  <c r="AL6503" i="1"/>
  <c r="AP6502" i="1"/>
  <c r="AL6502" i="1"/>
  <c r="AP6501" i="1"/>
  <c r="AL6501" i="1"/>
  <c r="AM6501" i="1" s="1"/>
  <c r="AP6500" i="1"/>
  <c r="AP6499" i="1"/>
  <c r="AL6499" i="1"/>
  <c r="AP6498" i="1"/>
  <c r="AL6498" i="1"/>
  <c r="W6478" i="1"/>
  <c r="AK6473" i="1"/>
  <c r="K6473" i="1"/>
  <c r="K6472" i="1"/>
  <c r="AD6470" i="1"/>
  <c r="AD6469" i="1"/>
  <c r="AC6469" i="1"/>
  <c r="AD6468" i="1"/>
  <c r="AP6467" i="1"/>
  <c r="AL6467" i="1"/>
  <c r="AP6466" i="1"/>
  <c r="AL6466" i="1"/>
  <c r="AM6463" i="1"/>
  <c r="AM6457" i="1"/>
  <c r="AP6455" i="1"/>
  <c r="AL6455" i="1"/>
  <c r="AM6455" i="1" s="1"/>
  <c r="AP6453" i="1"/>
  <c r="AL6453" i="1"/>
  <c r="AM6451" i="1"/>
  <c r="AP6446" i="1"/>
  <c r="AL6446" i="1"/>
  <c r="AP6432" i="1"/>
  <c r="AL6432" i="1"/>
  <c r="AM6429" i="1"/>
  <c r="AP6426" i="1"/>
  <c r="AL6426" i="1"/>
  <c r="AP6424" i="1"/>
  <c r="AL6424" i="1"/>
  <c r="AP6423" i="1"/>
  <c r="AP6421" i="1"/>
  <c r="AL6421" i="1"/>
  <c r="AM6421" i="1" s="1"/>
  <c r="AK6397" i="1"/>
  <c r="K6397" i="1"/>
  <c r="AP6377" i="1"/>
  <c r="AL6377" i="1"/>
  <c r="AD6375" i="1"/>
  <c r="AC6375" i="1"/>
  <c r="K6375" i="1"/>
  <c r="AP6374" i="1"/>
  <c r="AL6374" i="1"/>
  <c r="AP6373" i="1"/>
  <c r="AL6373" i="1"/>
  <c r="AP6372" i="1"/>
  <c r="AL6372" i="1"/>
  <c r="AP6371" i="1"/>
  <c r="AL6371" i="1"/>
  <c r="AP6370" i="1"/>
  <c r="AL6370" i="1"/>
  <c r="AP6368" i="1"/>
  <c r="AL6368" i="1"/>
  <c r="AP6367" i="1"/>
  <c r="AL6367" i="1"/>
  <c r="AP6365" i="1"/>
  <c r="AL6365" i="1"/>
  <c r="AM6364" i="1"/>
  <c r="AP6363" i="1"/>
  <c r="AL6363" i="1"/>
  <c r="AP6362" i="1"/>
  <c r="AL6362" i="1"/>
  <c r="AM6356" i="1"/>
  <c r="AI6354" i="1"/>
  <c r="AP6352" i="1"/>
  <c r="AL6352" i="1"/>
  <c r="AP6351" i="1"/>
  <c r="AL6351" i="1"/>
  <c r="AK6351" i="1"/>
  <c r="AI6351" i="1"/>
  <c r="AP6350" i="1"/>
  <c r="AL6350" i="1"/>
  <c r="AP6349" i="1"/>
  <c r="AL6349" i="1"/>
  <c r="AP6348" i="1"/>
  <c r="AL6348" i="1"/>
  <c r="AP6347" i="1"/>
  <c r="AP6346" i="1"/>
  <c r="AL6346" i="1"/>
  <c r="AP6345" i="1"/>
  <c r="AL6345" i="1"/>
  <c r="AP6344" i="1"/>
  <c r="AL6344" i="1"/>
  <c r="AP6343" i="1"/>
  <c r="AL6343" i="1"/>
  <c r="AP6342" i="1"/>
  <c r="AL6342" i="1"/>
  <c r="AM6342" i="1" s="1"/>
  <c r="AP6341" i="1"/>
  <c r="AL6341" i="1"/>
  <c r="AP6340" i="1"/>
  <c r="AP6338" i="1"/>
  <c r="AL6338" i="1"/>
  <c r="AM6338" i="1" s="1"/>
  <c r="AP6337" i="1"/>
  <c r="AL6337" i="1"/>
  <c r="AM6337" i="1" s="1"/>
  <c r="AK6336" i="1"/>
  <c r="AP6335" i="1"/>
  <c r="AL6335" i="1"/>
  <c r="AK6317" i="1"/>
  <c r="K6317" i="1"/>
  <c r="AK6303" i="1"/>
  <c r="AD6303" i="1"/>
  <c r="AC6303" i="1"/>
  <c r="W6303" i="1"/>
  <c r="K6303" i="1"/>
  <c r="AD6302" i="1"/>
  <c r="AC6302" i="1"/>
  <c r="K6302" i="1"/>
  <c r="AD6301" i="1"/>
  <c r="AC6301" i="1"/>
  <c r="W6301" i="1"/>
  <c r="AK6300" i="1"/>
  <c r="AD6300" i="1"/>
  <c r="AC6300" i="1"/>
  <c r="W6300" i="1"/>
  <c r="K6300" i="1"/>
  <c r="AD6299" i="1"/>
  <c r="AC6299" i="1"/>
  <c r="K6299" i="1"/>
  <c r="AD6298" i="1"/>
  <c r="AC6298" i="1"/>
  <c r="W6298" i="1"/>
  <c r="AD6297" i="1"/>
  <c r="AC6297" i="1"/>
  <c r="K6297" i="1"/>
  <c r="AD6296" i="1"/>
  <c r="AC6296" i="1"/>
  <c r="K6296" i="1"/>
  <c r="AD6295" i="1"/>
  <c r="AC6295" i="1"/>
  <c r="K6295" i="1"/>
  <c r="AD6293" i="1"/>
  <c r="AC6293" i="1"/>
  <c r="AD6292" i="1"/>
  <c r="AP6290" i="1"/>
  <c r="AL6290" i="1"/>
  <c r="AM6286" i="1"/>
  <c r="AL6285" i="1"/>
  <c r="AP6280" i="1"/>
  <c r="AL6280" i="1"/>
  <c r="AP6279" i="1"/>
  <c r="AP6277" i="1"/>
  <c r="AM6277" i="1"/>
  <c r="AL6277" i="1"/>
  <c r="AP6276" i="1"/>
  <c r="AL6276" i="1"/>
  <c r="AP6275" i="1"/>
  <c r="AL6275" i="1"/>
  <c r="AP6274" i="1"/>
  <c r="AL6274" i="1"/>
  <c r="AP6271" i="1"/>
  <c r="AL6271" i="1"/>
  <c r="AP6270" i="1"/>
  <c r="AP6268" i="1"/>
  <c r="AM6268" i="1"/>
  <c r="AL6268" i="1"/>
  <c r="AP6267" i="1"/>
  <c r="AL6267" i="1"/>
  <c r="AM6267" i="1" s="1"/>
  <c r="AD6253" i="1"/>
  <c r="AC6253" i="1"/>
  <c r="W6253" i="1"/>
  <c r="AK6252" i="1"/>
  <c r="AD6252" i="1"/>
  <c r="AC6252" i="1"/>
  <c r="W6252" i="1"/>
  <c r="K6252" i="1"/>
  <c r="AK6251" i="1"/>
  <c r="AC6251" i="1"/>
  <c r="W6251" i="1"/>
  <c r="K6251" i="1"/>
  <c r="AD6250" i="1"/>
  <c r="AC6250" i="1"/>
  <c r="W6250" i="1"/>
  <c r="AD6249" i="1"/>
  <c r="AC6249" i="1"/>
  <c r="W6249" i="1"/>
  <c r="K6248" i="1"/>
  <c r="K6247" i="1"/>
  <c r="AK6240" i="1"/>
  <c r="K6240" i="1"/>
  <c r="AK6222" i="1"/>
  <c r="AD6222" i="1"/>
  <c r="AC6222" i="1"/>
  <c r="W6222" i="1"/>
  <c r="K6222" i="1"/>
  <c r="AD6221" i="1"/>
  <c r="AC6221" i="1"/>
  <c r="K6221" i="1"/>
  <c r="AD6220" i="1"/>
  <c r="AC6220" i="1"/>
  <c r="K6220" i="1"/>
  <c r="AK6219" i="1"/>
  <c r="AD6219" i="1"/>
  <c r="AC6219" i="1"/>
  <c r="W6219" i="1"/>
  <c r="K6219" i="1"/>
  <c r="AD6218" i="1"/>
  <c r="AC6218" i="1"/>
  <c r="K6218" i="1"/>
  <c r="AD6217" i="1"/>
  <c r="AC6217" i="1"/>
  <c r="K6217" i="1"/>
  <c r="AD6216" i="1"/>
  <c r="AC6216" i="1"/>
  <c r="AD6215" i="1"/>
  <c r="AD6214" i="1"/>
  <c r="AD6213" i="1"/>
  <c r="AM6210" i="1"/>
  <c r="AP6207" i="1"/>
  <c r="AL6207" i="1"/>
  <c r="AP6204" i="1"/>
  <c r="AL6204" i="1"/>
  <c r="AP6203" i="1"/>
  <c r="AL6203" i="1"/>
  <c r="AP6202" i="1"/>
  <c r="AL6202" i="1"/>
  <c r="AP6201" i="1"/>
  <c r="AL6201" i="1"/>
  <c r="AP6199" i="1"/>
  <c r="AL6199" i="1"/>
  <c r="AP6197" i="1"/>
  <c r="AL6197" i="1"/>
  <c r="AM6197" i="1" s="1"/>
  <c r="AP6196" i="1"/>
  <c r="AL6196" i="1"/>
  <c r="AI6194" i="1"/>
  <c r="AP6192" i="1"/>
  <c r="AL6192" i="1"/>
  <c r="AP6191" i="1"/>
  <c r="AL6191" i="1"/>
  <c r="AL6189" i="1"/>
  <c r="AC6177" i="1"/>
  <c r="W6177" i="1"/>
  <c r="K6177" i="1"/>
  <c r="K6176" i="1"/>
  <c r="AK6171" i="1"/>
  <c r="K6171" i="1"/>
  <c r="AD6157" i="1"/>
  <c r="AC6157" i="1"/>
  <c r="K6157" i="1"/>
  <c r="AD6156" i="1"/>
  <c r="AC6156" i="1"/>
  <c r="K6156" i="1"/>
  <c r="AK6155" i="1"/>
  <c r="AD6155" i="1"/>
  <c r="AC6155" i="1"/>
  <c r="W6155" i="1"/>
  <c r="K6155" i="1"/>
  <c r="AK6154" i="1"/>
  <c r="AD6154" i="1"/>
  <c r="AC6154" i="1"/>
  <c r="W6154" i="1"/>
  <c r="K6154" i="1"/>
  <c r="AD6153" i="1"/>
  <c r="AC6153" i="1"/>
  <c r="K6153" i="1"/>
  <c r="AD6152" i="1"/>
  <c r="AC6152" i="1"/>
  <c r="AD6150" i="1"/>
  <c r="AC6150" i="1"/>
  <c r="W6150" i="1"/>
  <c r="K6150" i="1"/>
  <c r="AK6149" i="1"/>
  <c r="AD6149" i="1"/>
  <c r="AC6149" i="1"/>
  <c r="W6149" i="1"/>
  <c r="K6149" i="1"/>
  <c r="AD6147" i="1"/>
  <c r="AD6146" i="1"/>
  <c r="K6146" i="1"/>
  <c r="AD6145" i="1"/>
  <c r="AC6145" i="1"/>
  <c r="K6145" i="1"/>
  <c r="AD6144" i="1"/>
  <c r="K6144" i="1"/>
  <c r="AD6143" i="1"/>
  <c r="AC6143" i="1"/>
  <c r="K6143" i="1"/>
  <c r="AD6142" i="1"/>
  <c r="AC6142" i="1"/>
  <c r="K6142" i="1"/>
  <c r="AK6141" i="1"/>
  <c r="AD6140" i="1"/>
  <c r="AP6135" i="1"/>
  <c r="AL6135" i="1"/>
  <c r="AP6134" i="1"/>
  <c r="AL6134" i="1"/>
  <c r="AP6133" i="1"/>
  <c r="AL6133" i="1"/>
  <c r="AL6132" i="1"/>
  <c r="AP6130" i="1"/>
  <c r="AL6130" i="1"/>
  <c r="AD6123" i="1"/>
  <c r="AC6123" i="1"/>
  <c r="W6123" i="1"/>
  <c r="AK6118" i="1"/>
  <c r="K6118" i="1"/>
  <c r="AD6115" i="1"/>
  <c r="AC6115" i="1"/>
  <c r="W6115" i="1"/>
  <c r="K6115" i="1"/>
  <c r="W6113" i="1"/>
  <c r="K6113" i="1"/>
  <c r="AD6109" i="1"/>
  <c r="AC6109" i="1"/>
  <c r="K6109" i="1"/>
  <c r="AD6108" i="1"/>
  <c r="AC6108" i="1"/>
  <c r="K6108" i="1"/>
  <c r="AD6107" i="1"/>
  <c r="AC6107" i="1"/>
  <c r="K6107" i="1"/>
  <c r="AD6106" i="1"/>
  <c r="AC6106" i="1"/>
  <c r="K6106" i="1"/>
  <c r="K6105" i="1"/>
  <c r="AD6104" i="1"/>
  <c r="AC6104" i="1"/>
  <c r="K6104" i="1"/>
  <c r="AD6103" i="1"/>
  <c r="AC6103" i="1"/>
  <c r="K6103" i="1"/>
  <c r="AK6102" i="1"/>
  <c r="AD6102" i="1"/>
  <c r="K6102" i="1"/>
  <c r="AP6100" i="1"/>
  <c r="AL6100" i="1"/>
  <c r="AK6090" i="1"/>
  <c r="AD6090" i="1"/>
  <c r="AC6090" i="1"/>
  <c r="W6090" i="1"/>
  <c r="K6090" i="1"/>
  <c r="AK6089" i="1"/>
  <c r="AD6089" i="1"/>
  <c r="AC6089" i="1"/>
  <c r="W6089" i="1"/>
  <c r="K6089" i="1"/>
  <c r="K6087" i="1"/>
  <c r="AD6086" i="1"/>
  <c r="AC6086" i="1"/>
  <c r="AD6085" i="1"/>
  <c r="AC6085" i="1"/>
  <c r="AD6084" i="1"/>
  <c r="AC6084" i="1"/>
  <c r="AD6083" i="1"/>
  <c r="AC6083" i="1"/>
  <c r="AK6082" i="1"/>
  <c r="AP6081" i="1"/>
  <c r="AL6081" i="1"/>
  <c r="AP6078" i="1"/>
  <c r="AL6078" i="1"/>
  <c r="AP6075" i="1"/>
  <c r="AL6075" i="1"/>
  <c r="AM6075" i="1" s="1"/>
  <c r="AP6073" i="1"/>
  <c r="AL6073" i="1"/>
  <c r="AP6072" i="1"/>
  <c r="AD6069" i="1"/>
  <c r="AC6069" i="1"/>
  <c r="AD6068" i="1"/>
  <c r="AC6068" i="1"/>
  <c r="AD6067" i="1"/>
  <c r="AD6066" i="1"/>
  <c r="AP6056" i="1"/>
  <c r="AL6056" i="1"/>
  <c r="AP6055" i="1"/>
  <c r="AL6055" i="1"/>
  <c r="AP6051" i="1"/>
  <c r="AL6051" i="1"/>
  <c r="AD6048" i="1"/>
  <c r="AD6047" i="1"/>
  <c r="AC6047" i="1"/>
  <c r="AD6046" i="1"/>
  <c r="AM6042" i="1"/>
  <c r="AP6040" i="1"/>
  <c r="AP6038" i="1"/>
  <c r="AL6038" i="1"/>
  <c r="AP6037" i="1"/>
  <c r="AL6037" i="1"/>
  <c r="AP6035" i="1"/>
  <c r="AL6035" i="1"/>
  <c r="AK6031" i="1"/>
  <c r="S6031" i="1"/>
  <c r="L6031" i="1"/>
  <c r="K6031" i="1"/>
  <c r="AK6023" i="1"/>
  <c r="K6023" i="1"/>
  <c r="AK6022" i="1"/>
  <c r="K6022" i="1"/>
  <c r="AD6021" i="1"/>
  <c r="AD6020" i="1"/>
  <c r="AC6020" i="1"/>
  <c r="AL6018" i="1"/>
  <c r="AK6014" i="1"/>
  <c r="AP6013" i="1"/>
  <c r="AL6013" i="1"/>
  <c r="AP6011" i="1"/>
  <c r="AP6010" i="1"/>
  <c r="AL6010" i="1"/>
  <c r="AP6009" i="1"/>
  <c r="AL6009" i="1"/>
  <c r="AP6008" i="1"/>
  <c r="AL6008" i="1"/>
  <c r="AP6007" i="1"/>
  <c r="AP6003" i="1"/>
  <c r="AL6003" i="1"/>
  <c r="AK5990" i="1"/>
  <c r="K5990" i="1"/>
  <c r="W5978" i="1"/>
  <c r="K5978" i="1"/>
  <c r="AK5977" i="1"/>
  <c r="K5977" i="1"/>
  <c r="AK5976" i="1"/>
  <c r="K5976" i="1"/>
  <c r="AD5975" i="1"/>
  <c r="AD5974" i="1"/>
  <c r="AD5972" i="1"/>
  <c r="AC5972" i="1"/>
  <c r="AD5971" i="1"/>
  <c r="AC5971" i="1"/>
  <c r="AK5970" i="1"/>
  <c r="AD5969" i="1"/>
  <c r="AD5968" i="1"/>
  <c r="AK5956" i="1"/>
  <c r="L5956" i="1"/>
  <c r="K5956" i="1"/>
  <c r="AP5953" i="1"/>
  <c r="AL5953" i="1"/>
  <c r="AM5949" i="1"/>
  <c r="AP5948" i="1"/>
  <c r="AL5948" i="1"/>
  <c r="AP5946" i="1"/>
  <c r="AL5946" i="1"/>
  <c r="AP5943" i="1"/>
  <c r="AL5943" i="1"/>
  <c r="AP5942" i="1"/>
  <c r="AL5942" i="1"/>
  <c r="AD5940" i="1"/>
  <c r="AC5940" i="1"/>
  <c r="W5940" i="1"/>
  <c r="AD5939" i="1"/>
  <c r="AC5939" i="1"/>
  <c r="W5939" i="1"/>
  <c r="W5938" i="1"/>
  <c r="AK5937" i="1"/>
  <c r="K5937" i="1"/>
  <c r="AD5925" i="1"/>
  <c r="AC5925" i="1"/>
  <c r="AD5924" i="1"/>
  <c r="AC5924" i="1"/>
  <c r="AC5923" i="1"/>
  <c r="AK5921" i="1"/>
  <c r="AD5921" i="1"/>
  <c r="AC5921" i="1"/>
  <c r="AD5920" i="1"/>
  <c r="AC5920" i="1"/>
  <c r="AD5919" i="1"/>
  <c r="AC5919" i="1"/>
  <c r="AD5918" i="1"/>
  <c r="AC5918" i="1"/>
  <c r="W5917" i="1"/>
  <c r="K5917" i="1"/>
  <c r="W5916" i="1"/>
  <c r="K5916" i="1"/>
  <c r="AD5914" i="1"/>
  <c r="AC5914" i="1"/>
  <c r="AD5913" i="1"/>
  <c r="AP5911" i="1"/>
  <c r="AL5911" i="1"/>
  <c r="AK5897" i="1"/>
  <c r="K5897" i="1"/>
  <c r="AP5896" i="1"/>
  <c r="AL5896" i="1"/>
  <c r="AL5893" i="1"/>
  <c r="AM5891" i="1"/>
  <c r="AP5890" i="1"/>
  <c r="AL5890" i="1"/>
  <c r="AM5889" i="1"/>
  <c r="AP5888" i="1"/>
  <c r="AL5888" i="1"/>
  <c r="AP5887" i="1"/>
  <c r="AL5887" i="1"/>
  <c r="AP5886" i="1"/>
  <c r="AL5886" i="1"/>
  <c r="AP5882" i="1"/>
  <c r="AP5881" i="1"/>
  <c r="AL5881" i="1"/>
  <c r="AP5880" i="1"/>
  <c r="AL5880" i="1"/>
  <c r="AP5879" i="1"/>
  <c r="AL5879" i="1"/>
  <c r="AK5876" i="1"/>
  <c r="K5876" i="1"/>
  <c r="AD5869" i="1"/>
  <c r="AC5869" i="1"/>
  <c r="AD5868" i="1"/>
  <c r="AD5867" i="1"/>
  <c r="K5867" i="1"/>
  <c r="AD5866" i="1"/>
  <c r="K5866" i="1"/>
  <c r="AM5865" i="1"/>
  <c r="AP5864" i="1"/>
  <c r="AL5864" i="1"/>
  <c r="AK5851" i="1"/>
  <c r="K5851" i="1"/>
  <c r="AI5847" i="1"/>
  <c r="AM5844" i="1"/>
  <c r="AP5843" i="1"/>
  <c r="AL5843" i="1"/>
  <c r="AP5842" i="1"/>
  <c r="AL5842" i="1"/>
  <c r="AP5841" i="1"/>
  <c r="AL5841" i="1"/>
  <c r="AP5839" i="1"/>
  <c r="AL5839" i="1"/>
  <c r="AP5833" i="1"/>
  <c r="AL5833" i="1"/>
  <c r="AP5829" i="1"/>
  <c r="AL5829" i="1"/>
  <c r="AP5828" i="1"/>
  <c r="AL5828" i="1"/>
  <c r="AP5827" i="1"/>
  <c r="AP5825" i="1"/>
  <c r="AL5825" i="1"/>
  <c r="W5819" i="1"/>
  <c r="K5819" i="1"/>
  <c r="AD5817" i="1"/>
  <c r="AC5817" i="1"/>
  <c r="AD5816" i="1"/>
  <c r="AM5815" i="1"/>
  <c r="AP5814" i="1"/>
  <c r="AL5814" i="1"/>
  <c r="AM5809" i="1"/>
  <c r="AP5807" i="1"/>
  <c r="AL5807" i="1"/>
  <c r="AI5807" i="1"/>
  <c r="AP5806" i="1"/>
  <c r="AL5806" i="1"/>
  <c r="AP5804" i="1"/>
  <c r="AL5804" i="1"/>
  <c r="AP5803" i="1"/>
  <c r="AL5803" i="1"/>
  <c r="AP5802" i="1"/>
  <c r="AP5801" i="1"/>
  <c r="AL5801" i="1"/>
  <c r="AP5800" i="1"/>
  <c r="AL5800" i="1"/>
  <c r="AM5800" i="1" s="1"/>
  <c r="AP5799" i="1"/>
  <c r="AL5799" i="1"/>
  <c r="AP5798" i="1"/>
  <c r="AL5798" i="1"/>
  <c r="AP5797" i="1"/>
  <c r="AL5797" i="1"/>
  <c r="AP5796" i="1"/>
  <c r="AL5796" i="1"/>
  <c r="AP5794" i="1"/>
  <c r="AL5794" i="1"/>
  <c r="AP5792" i="1"/>
  <c r="AL5792" i="1"/>
  <c r="AM5792" i="1" s="1"/>
  <c r="AP5790" i="1"/>
  <c r="AL5790" i="1"/>
  <c r="AM5790" i="1" s="1"/>
  <c r="AP5789" i="1"/>
  <c r="AP5788" i="1"/>
  <c r="AL5788" i="1"/>
  <c r="AP5787" i="1"/>
  <c r="AL5787" i="1"/>
  <c r="AP5786" i="1"/>
  <c r="AL5786" i="1"/>
  <c r="AM5785" i="1"/>
  <c r="AP5784" i="1"/>
  <c r="AL5784" i="1"/>
  <c r="AP5782" i="1"/>
  <c r="AL5782" i="1"/>
  <c r="AP5781" i="1"/>
  <c r="AL5781" i="1"/>
  <c r="AK5765" i="1"/>
  <c r="AC5765" i="1"/>
  <c r="W5765" i="1"/>
  <c r="K5765" i="1"/>
  <c r="AK5764" i="1"/>
  <c r="K5764" i="1"/>
  <c r="AK5757" i="1"/>
  <c r="K5757" i="1"/>
  <c r="AK5746" i="1"/>
  <c r="AD5746" i="1"/>
  <c r="W5746" i="1"/>
  <c r="K5746" i="1"/>
  <c r="W5745" i="1"/>
  <c r="K5745" i="1"/>
  <c r="AD5744" i="1"/>
  <c r="AD5743" i="1"/>
  <c r="AC5743" i="1"/>
  <c r="AD5742" i="1"/>
  <c r="AC5742" i="1"/>
  <c r="AF5741" i="1"/>
  <c r="AD5741" i="1"/>
  <c r="AK5740" i="1"/>
  <c r="AF5740" i="1"/>
  <c r="AD5740" i="1"/>
  <c r="AM5739" i="1"/>
  <c r="AP5738" i="1"/>
  <c r="AL5738" i="1"/>
  <c r="AP5735" i="1"/>
  <c r="AL5735" i="1"/>
  <c r="AI5732" i="1"/>
  <c r="AM5730" i="1"/>
  <c r="AP5726" i="1"/>
  <c r="AL5726" i="1"/>
  <c r="AP5725" i="1"/>
  <c r="AL5725" i="1"/>
  <c r="AM5725" i="1" s="1"/>
  <c r="AL5723" i="1"/>
  <c r="AP5722" i="1"/>
  <c r="AL5722" i="1"/>
  <c r="AP5721" i="1"/>
  <c r="AL5721" i="1"/>
  <c r="AP5718" i="1"/>
  <c r="AL5718" i="1"/>
  <c r="AM5718" i="1" s="1"/>
  <c r="AP5717" i="1"/>
  <c r="AL5717" i="1"/>
  <c r="AP5715" i="1"/>
  <c r="AL5715" i="1"/>
  <c r="AP5713" i="1"/>
  <c r="AL5713" i="1"/>
  <c r="AD5697" i="1"/>
  <c r="AC5697" i="1"/>
  <c r="W5697" i="1"/>
  <c r="AK5696" i="1"/>
  <c r="AD5696" i="1"/>
  <c r="AC5696" i="1"/>
  <c r="W5696" i="1"/>
  <c r="K5696" i="1"/>
  <c r="AD5695" i="1"/>
  <c r="AC5695" i="1"/>
  <c r="W5695" i="1"/>
  <c r="AK5694" i="1"/>
  <c r="AC5694" i="1"/>
  <c r="W5694" i="1"/>
  <c r="K5694" i="1"/>
  <c r="AK5693" i="1"/>
  <c r="K5693" i="1"/>
  <c r="AK5692" i="1"/>
  <c r="K5692" i="1"/>
  <c r="AK5691" i="1"/>
  <c r="K5691" i="1"/>
  <c r="AK5685" i="1"/>
  <c r="S5685" i="1"/>
  <c r="L5685" i="1"/>
  <c r="K5685" i="1"/>
  <c r="K5672" i="1"/>
  <c r="W5671" i="1"/>
  <c r="S5671" i="1"/>
  <c r="L5671" i="1"/>
  <c r="K5671" i="1"/>
  <c r="AL5668" i="1"/>
  <c r="AM5662" i="1"/>
  <c r="AP5661" i="1"/>
  <c r="AL5661" i="1"/>
  <c r="AP5660" i="1"/>
  <c r="AL5660" i="1"/>
  <c r="AK5660" i="1"/>
  <c r="AP5659" i="1"/>
  <c r="AL5659" i="1"/>
  <c r="AP5657" i="1"/>
  <c r="AL5657" i="1"/>
  <c r="AD5650" i="1"/>
  <c r="AC5650" i="1"/>
  <c r="W5650" i="1"/>
  <c r="W5649" i="1"/>
  <c r="AK5648" i="1"/>
  <c r="AC5648" i="1"/>
  <c r="W5648" i="1"/>
  <c r="K5648" i="1"/>
  <c r="AK5647" i="1"/>
  <c r="K5647" i="1"/>
  <c r="S5641" i="1"/>
  <c r="L5641" i="1"/>
  <c r="W5633" i="1"/>
  <c r="K5633" i="1"/>
  <c r="K5632" i="1"/>
  <c r="AD5631" i="1"/>
  <c r="AC5631" i="1"/>
  <c r="AM5628" i="1"/>
  <c r="AP5627" i="1"/>
  <c r="AL5627" i="1"/>
  <c r="AK5603" i="1"/>
  <c r="K5603" i="1"/>
  <c r="AP5590" i="1"/>
  <c r="AL5590" i="1"/>
  <c r="AP5586" i="1"/>
  <c r="AL5586" i="1"/>
  <c r="AP5569" i="1"/>
  <c r="AL5569" i="1"/>
  <c r="AP5568" i="1"/>
  <c r="AL5568" i="1"/>
  <c r="AM5565" i="1"/>
  <c r="AP5563" i="1"/>
  <c r="AL5563" i="1"/>
  <c r="AP5562" i="1"/>
  <c r="AL5562" i="1"/>
  <c r="AP5561" i="1"/>
  <c r="AL5561" i="1"/>
  <c r="AM5561" i="1" s="1"/>
  <c r="AP5560" i="1"/>
  <c r="AP5559" i="1"/>
  <c r="AL5559" i="1"/>
  <c r="AP5558" i="1"/>
  <c r="AL5558" i="1"/>
  <c r="AK5548" i="1"/>
  <c r="K5548" i="1"/>
  <c r="K5539" i="1"/>
  <c r="AD5538" i="1"/>
  <c r="AM5536" i="1"/>
  <c r="AP5531" i="1"/>
  <c r="AM5531" i="1"/>
  <c r="AL5531" i="1"/>
  <c r="AP5530" i="1"/>
  <c r="AL5530" i="1"/>
  <c r="AP5529" i="1"/>
  <c r="AL5529" i="1"/>
  <c r="AP5528" i="1"/>
  <c r="AL5528" i="1"/>
  <c r="AP5523" i="1"/>
  <c r="AP5522" i="1"/>
  <c r="AL5522" i="1"/>
  <c r="AP5521" i="1"/>
  <c r="AL5521" i="1"/>
  <c r="AP5519" i="1"/>
  <c r="AL5519" i="1"/>
  <c r="AP5518" i="1"/>
  <c r="AL5518" i="1"/>
  <c r="AK5509" i="1"/>
  <c r="AD5509" i="1"/>
  <c r="AC5509" i="1"/>
  <c r="W5509" i="1"/>
  <c r="K5509" i="1"/>
  <c r="AK5508" i="1"/>
  <c r="K5508" i="1"/>
  <c r="AK5502" i="1"/>
  <c r="K5502" i="1"/>
  <c r="K5491" i="1"/>
  <c r="K5490" i="1"/>
  <c r="AD5489" i="1"/>
  <c r="AC5489" i="1"/>
  <c r="AD5488" i="1"/>
  <c r="AC5488" i="1"/>
  <c r="AM5484" i="1"/>
  <c r="AM5483" i="1"/>
  <c r="AP5479" i="1"/>
  <c r="AL5479" i="1"/>
  <c r="AP5474" i="1"/>
  <c r="AL5474" i="1"/>
  <c r="AP5473" i="1"/>
  <c r="AL5473" i="1"/>
  <c r="AP5472" i="1"/>
  <c r="AL5472" i="1"/>
  <c r="AD5462" i="1"/>
  <c r="AC5462" i="1"/>
  <c r="W5462" i="1"/>
  <c r="AD5461" i="1"/>
  <c r="AC5461" i="1"/>
  <c r="W5461" i="1"/>
  <c r="K5461" i="1"/>
  <c r="AC5460" i="1"/>
  <c r="W5460" i="1"/>
  <c r="K5460" i="1"/>
  <c r="K5459" i="1"/>
  <c r="K5457" i="1"/>
  <c r="AK5452" i="1"/>
  <c r="K5452" i="1"/>
  <c r="K5445" i="1"/>
  <c r="K5444" i="1"/>
  <c r="AD5443" i="1"/>
  <c r="AM5440" i="1"/>
  <c r="AM5439" i="1"/>
  <c r="AP5438" i="1"/>
  <c r="AL5438" i="1"/>
  <c r="AP5435" i="1"/>
  <c r="AL5434" i="1"/>
  <c r="AK5418" i="1"/>
  <c r="K5418" i="1"/>
  <c r="AD5410" i="1"/>
  <c r="AD5409" i="1"/>
  <c r="AP5408" i="1"/>
  <c r="AL5408" i="1"/>
  <c r="AP5405" i="1"/>
  <c r="AP5404" i="1"/>
  <c r="AL5404" i="1"/>
  <c r="AP5403" i="1"/>
  <c r="AL5403" i="1"/>
  <c r="AM5403" i="1" s="1"/>
  <c r="AK5387" i="1"/>
  <c r="K5387" i="1"/>
  <c r="K5382" i="1"/>
  <c r="AD5381" i="1"/>
  <c r="AD5380" i="1"/>
  <c r="AP5379" i="1"/>
  <c r="AL5379" i="1"/>
  <c r="AP5378" i="1"/>
  <c r="AL5378" i="1"/>
  <c r="AM5376" i="1"/>
  <c r="AM5375" i="1"/>
  <c r="AP5372" i="1"/>
  <c r="AL5372" i="1"/>
  <c r="AP5370" i="1"/>
  <c r="AP5369" i="1"/>
  <c r="AM5369" i="1"/>
  <c r="AL5369" i="1"/>
  <c r="AK5355" i="1"/>
  <c r="K5355" i="1"/>
  <c r="AD5350" i="1"/>
  <c r="AC5350" i="1"/>
  <c r="W5350" i="1"/>
  <c r="K5350" i="1"/>
  <c r="K5349" i="1"/>
  <c r="W5348" i="1"/>
  <c r="K5348" i="1"/>
  <c r="AD5347" i="1"/>
  <c r="AD5346" i="1"/>
  <c r="AC5346" i="1"/>
  <c r="AD5345" i="1"/>
  <c r="AC5345" i="1"/>
  <c r="AD5344" i="1"/>
  <c r="AC5344" i="1"/>
  <c r="AL5341" i="1"/>
  <c r="AP5340" i="1"/>
  <c r="AL5340" i="1"/>
  <c r="AK5323" i="1"/>
  <c r="S5323" i="1"/>
  <c r="L5323" i="1"/>
  <c r="K5323" i="1"/>
  <c r="W5322" i="1"/>
  <c r="K5322" i="1"/>
  <c r="W5321" i="1"/>
  <c r="K5321" i="1"/>
  <c r="AK5308" i="1"/>
  <c r="K5308" i="1"/>
  <c r="W5307" i="1"/>
  <c r="K5307" i="1"/>
  <c r="AL5304" i="1"/>
  <c r="AD5297" i="1"/>
  <c r="AP5296" i="1"/>
  <c r="AK5292" i="1"/>
  <c r="K5292" i="1"/>
  <c r="AM5290" i="1"/>
  <c r="AM5289" i="1"/>
  <c r="AP5286" i="1"/>
  <c r="AL5286" i="1"/>
  <c r="AP5285" i="1"/>
  <c r="AL5285" i="1"/>
  <c r="AP5283" i="1"/>
  <c r="AL5283" i="1"/>
  <c r="AP5282" i="1"/>
  <c r="AL5282" i="1"/>
  <c r="AP5281" i="1"/>
  <c r="AP5280" i="1"/>
  <c r="AL5280" i="1"/>
  <c r="AM5280" i="1" s="1"/>
  <c r="AP5279" i="1"/>
  <c r="AL5279" i="1"/>
  <c r="AP5278" i="1"/>
  <c r="AL5278" i="1"/>
  <c r="AP5277" i="1"/>
  <c r="AL5277" i="1"/>
  <c r="AP5274" i="1"/>
  <c r="AL5274" i="1"/>
  <c r="AD5267" i="1"/>
  <c r="AC5267" i="1"/>
  <c r="W5267" i="1"/>
  <c r="AC5266" i="1"/>
  <c r="W5266" i="1"/>
  <c r="K5266" i="1"/>
  <c r="AD5265" i="1"/>
  <c r="AC5265" i="1"/>
  <c r="W5265" i="1"/>
  <c r="S5264" i="1"/>
  <c r="K5264" i="1"/>
  <c r="AK5256" i="1"/>
  <c r="S5256" i="1"/>
  <c r="L5256" i="1"/>
  <c r="K5256" i="1"/>
  <c r="K5255" i="1"/>
  <c r="AD5254" i="1"/>
  <c r="AD5253" i="1"/>
  <c r="AM5252" i="1"/>
  <c r="AP5251" i="1"/>
  <c r="AL5251" i="1"/>
  <c r="AP5249" i="1"/>
  <c r="AL5249" i="1"/>
  <c r="AM5249" i="1" s="1"/>
  <c r="AP5248" i="1"/>
  <c r="AL5248" i="1"/>
  <c r="AM5248" i="1" s="1"/>
  <c r="AP5247" i="1"/>
  <c r="AL5247" i="1"/>
  <c r="AP5246" i="1"/>
  <c r="AP5245" i="1"/>
  <c r="AL5245" i="1"/>
  <c r="AP5244" i="1"/>
  <c r="AL5244" i="1"/>
  <c r="AP5243" i="1"/>
  <c r="AL5243" i="1"/>
  <c r="AP5242" i="1"/>
  <c r="AL5242" i="1"/>
  <c r="AD5239" i="1"/>
  <c r="AC5239" i="1"/>
  <c r="W5239" i="1"/>
  <c r="K5239" i="1"/>
  <c r="AC5238" i="1"/>
  <c r="W5238" i="1"/>
  <c r="K5238" i="1"/>
  <c r="AD5237" i="1"/>
  <c r="AC5237" i="1"/>
  <c r="W5237" i="1"/>
  <c r="K5237" i="1"/>
  <c r="AD5236" i="1"/>
  <c r="AC5236" i="1"/>
  <c r="W5236" i="1"/>
  <c r="K5236" i="1"/>
  <c r="AK5223" i="1"/>
  <c r="S5223" i="1"/>
  <c r="L5223" i="1"/>
  <c r="K5223" i="1"/>
  <c r="AD5222" i="1"/>
  <c r="AD5221" i="1"/>
  <c r="AC5221" i="1"/>
  <c r="AF5220" i="1"/>
  <c r="AD5220" i="1"/>
  <c r="AP5218" i="1"/>
  <c r="AL5218" i="1"/>
  <c r="AP5216" i="1"/>
  <c r="AL5216" i="1"/>
  <c r="AD5210" i="1"/>
  <c r="AC5210" i="1"/>
  <c r="AD5209" i="1"/>
  <c r="AD5206" i="1"/>
  <c r="AC5206" i="1"/>
  <c r="W5206" i="1"/>
  <c r="K5206" i="1"/>
  <c r="AD5205" i="1"/>
  <c r="AC5205" i="1"/>
  <c r="W5205" i="1"/>
  <c r="K5205" i="1"/>
  <c r="AD5204" i="1"/>
  <c r="AC5204" i="1"/>
  <c r="W5204" i="1"/>
  <c r="K5204" i="1"/>
  <c r="AD5203" i="1"/>
  <c r="AC5203" i="1"/>
  <c r="W5203" i="1"/>
  <c r="K5203" i="1"/>
  <c r="AD5202" i="1"/>
  <c r="AC5202" i="1"/>
  <c r="W5202" i="1"/>
  <c r="K5202" i="1"/>
  <c r="AK5186" i="1"/>
  <c r="K5186" i="1"/>
  <c r="W5168" i="1"/>
  <c r="K5168" i="1"/>
  <c r="M5167" i="1"/>
  <c r="K5167" i="1"/>
  <c r="AL5165" i="1"/>
  <c r="AP5163" i="1"/>
  <c r="AL5163" i="1"/>
  <c r="AD5162" i="1"/>
  <c r="AC5162" i="1"/>
  <c r="W5162" i="1"/>
  <c r="K5162" i="1"/>
  <c r="AD5161" i="1"/>
  <c r="AC5161" i="1"/>
  <c r="W5161" i="1"/>
  <c r="K5161" i="1"/>
  <c r="AD5160" i="1"/>
  <c r="AC5160" i="1"/>
  <c r="W5160" i="1"/>
  <c r="K5160" i="1"/>
  <c r="AD5158" i="1"/>
  <c r="AC5158" i="1"/>
  <c r="W5158" i="1"/>
  <c r="K5158" i="1"/>
  <c r="K5132" i="1"/>
  <c r="AD5130" i="1"/>
  <c r="AC5130" i="1"/>
  <c r="W5130" i="1"/>
  <c r="K5130" i="1"/>
  <c r="AD5129" i="1"/>
  <c r="AC5129" i="1"/>
  <c r="W5129" i="1"/>
  <c r="K5129" i="1"/>
  <c r="AD5128" i="1"/>
  <c r="AC5128" i="1"/>
  <c r="W5128" i="1"/>
  <c r="K5128" i="1"/>
  <c r="AD5127" i="1"/>
  <c r="AC5127" i="1"/>
  <c r="W5127" i="1"/>
  <c r="K5127" i="1"/>
  <c r="S5116" i="1"/>
  <c r="L5116" i="1"/>
  <c r="AM5112" i="1"/>
  <c r="AP5107" i="1"/>
  <c r="AP5106" i="1"/>
  <c r="AL5106" i="1"/>
  <c r="AI5104" i="1"/>
  <c r="AP5103" i="1"/>
  <c r="AP5102" i="1"/>
  <c r="AL5102" i="1"/>
  <c r="AM5102" i="1" s="1"/>
  <c r="AK5095" i="1"/>
  <c r="K5095" i="1"/>
  <c r="W5086" i="1"/>
  <c r="AD5084" i="1"/>
  <c r="AC5084" i="1"/>
  <c r="AD5083" i="1"/>
  <c r="AC5083" i="1"/>
  <c r="AM5081" i="1"/>
  <c r="AP5077" i="1"/>
  <c r="AL5077" i="1"/>
  <c r="AP5076" i="1"/>
  <c r="AL5076" i="1"/>
  <c r="AD5073" i="1"/>
  <c r="AC5073" i="1"/>
  <c r="W5073" i="1"/>
  <c r="K5073" i="1"/>
  <c r="AD5072" i="1"/>
  <c r="AC5072" i="1"/>
  <c r="W5072" i="1"/>
  <c r="K5072" i="1"/>
  <c r="AD5071" i="1"/>
  <c r="AC5071" i="1"/>
  <c r="W5071" i="1"/>
  <c r="K5071" i="1"/>
  <c r="AD5070" i="1"/>
  <c r="AC5070" i="1"/>
  <c r="W5070" i="1"/>
  <c r="K5070" i="1"/>
  <c r="AD5069" i="1"/>
  <c r="AC5069" i="1"/>
  <c r="W5069" i="1"/>
  <c r="K5069" i="1"/>
  <c r="AD5068" i="1"/>
  <c r="AC5068" i="1"/>
  <c r="W5068" i="1"/>
  <c r="K5068" i="1"/>
  <c r="AK5048" i="1"/>
  <c r="S5048" i="1"/>
  <c r="L5048" i="1"/>
  <c r="K5048" i="1"/>
  <c r="K5037" i="1"/>
  <c r="AM5034" i="1"/>
  <c r="AL5033" i="1"/>
  <c r="AP5030" i="1"/>
  <c r="AL5030" i="1"/>
  <c r="K5028" i="1"/>
  <c r="AD5027" i="1"/>
  <c r="AC5027" i="1"/>
  <c r="AD5026" i="1"/>
  <c r="AC5026" i="1"/>
  <c r="AL5024" i="1"/>
  <c r="AM5023" i="1"/>
  <c r="AP5021" i="1"/>
  <c r="AL5021" i="1"/>
  <c r="AP5019" i="1"/>
  <c r="AL5019" i="1"/>
  <c r="AP5018" i="1"/>
  <c r="AL5018" i="1"/>
  <c r="AP5017" i="1"/>
  <c r="AP5015" i="1"/>
  <c r="AL5015" i="1"/>
  <c r="AD5014" i="1"/>
  <c r="AC5014" i="1"/>
  <c r="K5014" i="1"/>
  <c r="AD5013" i="1"/>
  <c r="AC5013" i="1"/>
  <c r="K5013" i="1"/>
  <c r="AD5012" i="1"/>
  <c r="AC5012" i="1"/>
  <c r="K5012" i="1"/>
  <c r="AD5011" i="1"/>
  <c r="AC5011" i="1"/>
  <c r="K5011" i="1"/>
  <c r="AD5010" i="1"/>
  <c r="AC5010" i="1"/>
  <c r="K5010" i="1"/>
  <c r="AD5009" i="1"/>
  <c r="AC5009" i="1"/>
  <c r="W5009" i="1"/>
  <c r="K5009" i="1"/>
  <c r="AD5008" i="1"/>
  <c r="AC5008" i="1"/>
  <c r="W5008" i="1"/>
  <c r="K5008" i="1"/>
  <c r="AK4991" i="1"/>
  <c r="S4991" i="1"/>
  <c r="L4991" i="1"/>
  <c r="K4991" i="1"/>
  <c r="K4980" i="1"/>
  <c r="AD4979" i="1"/>
  <c r="AC4979" i="1"/>
  <c r="AP4978" i="1"/>
  <c r="AL4978" i="1"/>
  <c r="AM4978" i="1" s="1"/>
  <c r="AP4976" i="1"/>
  <c r="AL4976" i="1"/>
  <c r="AD4975" i="1"/>
  <c r="AC4975" i="1"/>
  <c r="W4975" i="1"/>
  <c r="K4975" i="1"/>
  <c r="AD4974" i="1"/>
  <c r="AC4974" i="1"/>
  <c r="W4974" i="1"/>
  <c r="K4974" i="1"/>
  <c r="AD4973" i="1"/>
  <c r="AC4973" i="1"/>
  <c r="W4973" i="1"/>
  <c r="K4973" i="1"/>
  <c r="AD4972" i="1"/>
  <c r="AC4972" i="1"/>
  <c r="W4972" i="1"/>
  <c r="K4972" i="1"/>
  <c r="AD4971" i="1"/>
  <c r="AC4971" i="1"/>
  <c r="W4971" i="1"/>
  <c r="K4971" i="1"/>
  <c r="AD4970" i="1"/>
  <c r="AC4970" i="1"/>
  <c r="W4970" i="1"/>
  <c r="K4970" i="1"/>
  <c r="AC4969" i="1"/>
  <c r="W4969" i="1"/>
  <c r="K4969" i="1"/>
  <c r="AK4950" i="1"/>
  <c r="S4950" i="1"/>
  <c r="L4950" i="1"/>
  <c r="K4950" i="1"/>
  <c r="K4939" i="1"/>
  <c r="AP4935" i="1"/>
  <c r="AL4935" i="1"/>
  <c r="AP4934" i="1"/>
  <c r="AL4934" i="1"/>
  <c r="AM4934" i="1" s="1"/>
  <c r="AP4933" i="1"/>
  <c r="AP4932" i="1"/>
  <c r="AL4932" i="1"/>
  <c r="AM4931" i="1"/>
  <c r="AP4930" i="1"/>
  <c r="AL4930" i="1"/>
  <c r="AD4929" i="1"/>
  <c r="AC4929" i="1"/>
  <c r="AD4928" i="1"/>
  <c r="AC4928" i="1"/>
  <c r="AM4925" i="1"/>
  <c r="AP4922" i="1"/>
  <c r="AL4922" i="1"/>
  <c r="AL4920" i="1"/>
  <c r="AP4919" i="1"/>
  <c r="AL4919" i="1"/>
  <c r="AP4917" i="1"/>
  <c r="AL4917" i="1"/>
  <c r="AP4916" i="1"/>
  <c r="AL4916" i="1"/>
  <c r="AD4915" i="1"/>
  <c r="AC4915" i="1"/>
  <c r="W4915" i="1"/>
  <c r="K4915" i="1"/>
  <c r="AD4914" i="1"/>
  <c r="AC4914" i="1"/>
  <c r="W4914" i="1"/>
  <c r="K4914" i="1"/>
  <c r="AD4913" i="1"/>
  <c r="AC4913" i="1"/>
  <c r="W4913" i="1"/>
  <c r="K4913" i="1"/>
  <c r="AD4912" i="1"/>
  <c r="AC4912" i="1"/>
  <c r="W4912" i="1"/>
  <c r="K4912" i="1"/>
  <c r="AD4911" i="1"/>
  <c r="AC4911" i="1"/>
  <c r="W4911" i="1"/>
  <c r="K4911" i="1"/>
  <c r="AC4910" i="1"/>
  <c r="W4910" i="1"/>
  <c r="K4910" i="1"/>
  <c r="AK4894" i="1"/>
  <c r="S4894" i="1"/>
  <c r="L4894" i="1"/>
  <c r="K4894" i="1"/>
  <c r="K4886" i="1"/>
  <c r="AD4885" i="1"/>
  <c r="AC4885" i="1"/>
  <c r="AD4884" i="1"/>
  <c r="AC4884" i="1"/>
  <c r="AM4881" i="1"/>
  <c r="AP4880" i="1"/>
  <c r="AL4880" i="1"/>
  <c r="AC4878" i="1"/>
  <c r="W4878" i="1"/>
  <c r="K4878" i="1"/>
  <c r="AC4877" i="1"/>
  <c r="W4877" i="1"/>
  <c r="AD4876" i="1"/>
  <c r="AC4876" i="1"/>
  <c r="W4876" i="1"/>
  <c r="AK4867" i="1"/>
  <c r="K4867" i="1"/>
  <c r="K4866" i="1"/>
  <c r="K4865" i="1"/>
  <c r="W4864" i="1"/>
  <c r="K4864" i="1"/>
  <c r="AD4863" i="1"/>
  <c r="AC4863" i="1"/>
  <c r="AD4862" i="1"/>
  <c r="AC4862" i="1"/>
  <c r="AP4857" i="1"/>
  <c r="AL4857" i="1"/>
  <c r="AP4856" i="1"/>
  <c r="AL4856" i="1"/>
  <c r="AD4854" i="1"/>
  <c r="AC4854" i="1"/>
  <c r="AP4853" i="1"/>
  <c r="AL4853" i="1"/>
  <c r="AP4852" i="1"/>
  <c r="AL4852" i="1"/>
  <c r="AD4843" i="1"/>
  <c r="AC4843" i="1"/>
  <c r="AM4842" i="1"/>
  <c r="AP4841" i="1"/>
  <c r="AL4841" i="1"/>
  <c r="AP4840" i="1"/>
  <c r="AL4840" i="1"/>
  <c r="AP4838" i="1"/>
  <c r="AL4838" i="1"/>
  <c r="AP4837" i="1"/>
  <c r="AL4837" i="1"/>
  <c r="AP4836" i="1"/>
  <c r="AL4836" i="1"/>
  <c r="AP4835" i="1"/>
  <c r="AP4834" i="1"/>
  <c r="AL4834" i="1"/>
  <c r="AP4832" i="1"/>
  <c r="AL4832" i="1"/>
  <c r="AP4831" i="1"/>
  <c r="AL4831" i="1"/>
  <c r="AP4830" i="1"/>
  <c r="AL4830" i="1"/>
  <c r="AM4830" i="1" s="1"/>
  <c r="AP4829" i="1"/>
  <c r="AL4829" i="1"/>
  <c r="AP4828" i="1"/>
  <c r="AL4828" i="1"/>
  <c r="AD4820" i="1"/>
  <c r="AD4819" i="1"/>
  <c r="AC4819" i="1"/>
  <c r="AD4818" i="1"/>
  <c r="AC4818" i="1"/>
  <c r="AP4817" i="1"/>
  <c r="AL4817" i="1"/>
  <c r="AP4816" i="1"/>
  <c r="AM4815" i="1"/>
  <c r="AP4814" i="1"/>
  <c r="AL4814" i="1"/>
  <c r="AP4812" i="1"/>
  <c r="AL4812" i="1"/>
  <c r="AP4810" i="1"/>
  <c r="AL4810" i="1"/>
  <c r="AP4809" i="1"/>
  <c r="AL4809" i="1"/>
  <c r="AP4808" i="1"/>
  <c r="AL4808" i="1"/>
  <c r="S4804" i="1"/>
  <c r="K4804" i="1"/>
  <c r="AD4803" i="1"/>
  <c r="AC4803" i="1"/>
  <c r="W4803" i="1"/>
  <c r="K4803" i="1"/>
  <c r="AD4802" i="1"/>
  <c r="AC4802" i="1"/>
  <c r="W4802" i="1"/>
  <c r="AD4801" i="1"/>
  <c r="AC4801" i="1"/>
  <c r="W4801" i="1"/>
  <c r="AC4800" i="1"/>
  <c r="W4800" i="1"/>
  <c r="AK4796" i="1"/>
  <c r="S4796" i="1"/>
  <c r="L4796" i="1"/>
  <c r="K4796" i="1"/>
  <c r="K4795" i="1"/>
  <c r="AD4794" i="1"/>
  <c r="AD4793" i="1"/>
  <c r="AC4793" i="1"/>
  <c r="AP4788" i="1"/>
  <c r="AL4788" i="1"/>
  <c r="S4780" i="1"/>
  <c r="K4780" i="1"/>
  <c r="AK4779" i="1"/>
  <c r="AC4779" i="1"/>
  <c r="W4779" i="1"/>
  <c r="K4779" i="1"/>
  <c r="AC4778" i="1"/>
  <c r="W4778" i="1"/>
  <c r="AC4777" i="1"/>
  <c r="W4777" i="1"/>
  <c r="AK4770" i="1"/>
  <c r="S4770" i="1"/>
  <c r="L4770" i="1"/>
  <c r="K4770" i="1"/>
  <c r="AD4765" i="1"/>
  <c r="AD4764" i="1"/>
  <c r="AC4764" i="1"/>
  <c r="AD4763" i="1"/>
  <c r="AC4763" i="1"/>
  <c r="AM4762" i="1"/>
  <c r="AP4758" i="1"/>
  <c r="AL4758" i="1"/>
  <c r="AM4758" i="1" s="1"/>
  <c r="AP4757" i="1"/>
  <c r="AL4757" i="1"/>
  <c r="AP4755" i="1"/>
  <c r="AL4755" i="1"/>
  <c r="AP4754" i="1"/>
  <c r="AL4754" i="1"/>
  <c r="AP4753" i="1"/>
  <c r="AL4753" i="1"/>
  <c r="AM4753" i="1" s="1"/>
  <c r="AP4752" i="1"/>
  <c r="AL4752" i="1"/>
  <c r="AP4751" i="1"/>
  <c r="AL4751" i="1"/>
  <c r="AP4750" i="1"/>
  <c r="AL4750" i="1"/>
  <c r="AI4750" i="1"/>
  <c r="AD4748" i="1"/>
  <c r="AC4748" i="1"/>
  <c r="AD4747" i="1"/>
  <c r="AC4747" i="1"/>
  <c r="AF4746" i="1"/>
  <c r="AD4746" i="1"/>
  <c r="AC4746" i="1"/>
  <c r="AK4735" i="1"/>
  <c r="S4735" i="1"/>
  <c r="K4735" i="1"/>
  <c r="AK4734" i="1"/>
  <c r="AC4734" i="1"/>
  <c r="W4734" i="1"/>
  <c r="K4734" i="1"/>
  <c r="AK4725" i="1"/>
  <c r="S4725" i="1"/>
  <c r="L4725" i="1"/>
  <c r="K4725" i="1"/>
  <c r="AP4724" i="1"/>
  <c r="AL4724" i="1"/>
  <c r="AL4718" i="1"/>
  <c r="AP4717" i="1"/>
  <c r="AL4717" i="1"/>
  <c r="AM4715" i="1"/>
  <c r="AP4713" i="1"/>
  <c r="AL4713" i="1"/>
  <c r="AP4711" i="1"/>
  <c r="AL4711" i="1"/>
  <c r="AM4711" i="1" s="1"/>
  <c r="AP4710" i="1"/>
  <c r="AL4710" i="1"/>
  <c r="AP4709" i="1"/>
  <c r="AL4709" i="1"/>
  <c r="AP4708" i="1"/>
  <c r="AL4708" i="1"/>
  <c r="AP4707" i="1"/>
  <c r="AL4707" i="1"/>
  <c r="AM4707" i="1" s="1"/>
  <c r="AP4706" i="1"/>
  <c r="AL4706" i="1"/>
  <c r="AP4705" i="1"/>
  <c r="AL4705" i="1"/>
  <c r="AP4704" i="1"/>
  <c r="AL4704" i="1"/>
  <c r="AP4703" i="1"/>
  <c r="AL4703" i="1"/>
  <c r="AP4701" i="1"/>
  <c r="AL4701" i="1"/>
  <c r="AI4701" i="1"/>
  <c r="AP4700" i="1"/>
  <c r="AL4700" i="1"/>
  <c r="AK4699" i="1"/>
  <c r="AI4699" i="1"/>
  <c r="AP4697" i="1"/>
  <c r="AL4697" i="1"/>
  <c r="AP4696" i="1"/>
  <c r="AP4695" i="1"/>
  <c r="AL4695" i="1"/>
  <c r="AP4694" i="1"/>
  <c r="AL4694" i="1"/>
  <c r="AP4692" i="1"/>
  <c r="AL4692" i="1"/>
  <c r="AK4678" i="1"/>
  <c r="S4678" i="1"/>
  <c r="L4678" i="1"/>
  <c r="K4678" i="1"/>
  <c r="AD4677" i="1"/>
  <c r="AC4677" i="1"/>
  <c r="AF4676" i="1"/>
  <c r="AD4676" i="1"/>
  <c r="AC4676" i="1"/>
  <c r="AM4673" i="1"/>
  <c r="AM4672" i="1"/>
  <c r="AP4669" i="1"/>
  <c r="AL4669" i="1"/>
  <c r="AP4665" i="1"/>
  <c r="AL4665" i="1"/>
  <c r="AP4664" i="1"/>
  <c r="AL4664" i="1"/>
  <c r="AP4663" i="1"/>
  <c r="AL4663" i="1"/>
  <c r="AP4662" i="1"/>
  <c r="AP4660" i="1"/>
  <c r="AL4660" i="1"/>
  <c r="AP4657" i="1"/>
  <c r="AL4657" i="1"/>
  <c r="AK4647" i="1"/>
  <c r="S4647" i="1"/>
  <c r="K4647" i="1"/>
  <c r="AK4646" i="1"/>
  <c r="AC4646" i="1"/>
  <c r="W4646" i="1"/>
  <c r="K4646" i="1"/>
  <c r="AD4645" i="1"/>
  <c r="AC4645" i="1"/>
  <c r="W4645" i="1"/>
  <c r="AD4644" i="1"/>
  <c r="AC4644" i="1"/>
  <c r="W4644" i="1"/>
  <c r="AK4638" i="1"/>
  <c r="S4638" i="1"/>
  <c r="L4638" i="1"/>
  <c r="K4638" i="1"/>
  <c r="AD4631" i="1"/>
  <c r="AC4631" i="1"/>
  <c r="AD4630" i="1"/>
  <c r="AC4630" i="1"/>
  <c r="AD4629" i="1"/>
  <c r="AC4629" i="1"/>
  <c r="AD4628" i="1"/>
  <c r="AC4628" i="1"/>
  <c r="AD4627" i="1"/>
  <c r="AC4627" i="1"/>
  <c r="AM4623" i="1"/>
  <c r="AM4620" i="1"/>
  <c r="AP4616" i="1"/>
  <c r="S4609" i="1"/>
  <c r="K4609" i="1"/>
  <c r="AK4608" i="1"/>
  <c r="AC4608" i="1"/>
  <c r="W4608" i="1"/>
  <c r="K4608" i="1"/>
  <c r="AD4607" i="1"/>
  <c r="AC4607" i="1"/>
  <c r="W4607" i="1"/>
  <c r="AK4586" i="1"/>
  <c r="S4586" i="1"/>
  <c r="L4586" i="1"/>
  <c r="K4586" i="1"/>
  <c r="AD4585" i="1"/>
  <c r="AC4585" i="1"/>
  <c r="AD4584" i="1"/>
  <c r="AC4584" i="1"/>
  <c r="AD4583" i="1"/>
  <c r="AC4583" i="1"/>
  <c r="AI4580" i="1"/>
  <c r="AP4576" i="1"/>
  <c r="AL4576" i="1"/>
  <c r="AP4575" i="1"/>
  <c r="AP4574" i="1"/>
  <c r="AL4574" i="1"/>
  <c r="AK4573" i="1"/>
  <c r="S4573" i="1"/>
  <c r="K4573" i="1"/>
  <c r="AK4572" i="1"/>
  <c r="AD4572" i="1"/>
  <c r="AC4572" i="1"/>
  <c r="W4572" i="1"/>
  <c r="K4572" i="1"/>
  <c r="AC4571" i="1"/>
  <c r="W4571" i="1"/>
  <c r="AK4552" i="1"/>
  <c r="S4552" i="1"/>
  <c r="L4552" i="1"/>
  <c r="K4552" i="1"/>
  <c r="AD4551" i="1"/>
  <c r="AC4551" i="1"/>
  <c r="AP4549" i="1"/>
  <c r="AL4549" i="1"/>
  <c r="AK4546" i="1"/>
  <c r="K4546" i="1"/>
  <c r="AK4545" i="1"/>
  <c r="AD4545" i="1"/>
  <c r="AC4545" i="1"/>
  <c r="W4545" i="1"/>
  <c r="K4545" i="1"/>
  <c r="AD4544" i="1"/>
  <c r="AC4544" i="1"/>
  <c r="W4544" i="1"/>
  <c r="AK4537" i="1"/>
  <c r="S4537" i="1"/>
  <c r="L4537" i="1"/>
  <c r="K4537" i="1"/>
  <c r="W4535" i="1"/>
  <c r="K4535" i="1"/>
  <c r="AD4534" i="1"/>
  <c r="AC4534" i="1"/>
  <c r="AP4530" i="1"/>
  <c r="AL4530" i="1"/>
  <c r="AP4529" i="1"/>
  <c r="AK4527" i="1"/>
  <c r="K4527" i="1"/>
  <c r="AK4526" i="1"/>
  <c r="AC4526" i="1"/>
  <c r="W4526" i="1"/>
  <c r="K4526" i="1"/>
  <c r="AC4525" i="1"/>
  <c r="AK4515" i="1"/>
  <c r="S4515" i="1"/>
  <c r="L4515" i="1"/>
  <c r="K4515" i="1"/>
  <c r="K4506" i="1"/>
  <c r="AD4505" i="1"/>
  <c r="AC4505" i="1"/>
  <c r="AD4504" i="1"/>
  <c r="AC4504" i="1"/>
  <c r="AD4503" i="1"/>
  <c r="AC4503" i="1"/>
  <c r="AP4499" i="1"/>
  <c r="AL4499" i="1"/>
  <c r="AP4498" i="1"/>
  <c r="AL4498" i="1"/>
  <c r="AP4497" i="1"/>
  <c r="AL4497" i="1"/>
  <c r="AP4495" i="1"/>
  <c r="AL4495" i="1"/>
  <c r="AP4493" i="1"/>
  <c r="AL4493" i="1"/>
  <c r="AP4489" i="1"/>
  <c r="AL4489" i="1"/>
  <c r="K4488" i="1"/>
  <c r="AK4487" i="1"/>
  <c r="AD4487" i="1"/>
  <c r="AC4487" i="1"/>
  <c r="W4487" i="1"/>
  <c r="K4487" i="1"/>
  <c r="AD4486" i="1"/>
  <c r="AC4486" i="1"/>
  <c r="W4486" i="1"/>
  <c r="AK4482" i="1"/>
  <c r="S4482" i="1"/>
  <c r="L4482" i="1"/>
  <c r="K4482" i="1"/>
  <c r="K4473" i="1"/>
  <c r="K4472" i="1"/>
  <c r="AD4471" i="1"/>
  <c r="AC4471" i="1"/>
  <c r="AD4470" i="1"/>
  <c r="AC4470" i="1"/>
  <c r="AD4469" i="1"/>
  <c r="AC4469" i="1"/>
  <c r="AP4465" i="1"/>
  <c r="AL4465" i="1"/>
  <c r="AD4460" i="1"/>
  <c r="AC4460" i="1"/>
  <c r="W4460" i="1"/>
  <c r="AC4459" i="1"/>
  <c r="W4459" i="1"/>
  <c r="AC4458" i="1"/>
  <c r="W4458" i="1"/>
  <c r="AC4457" i="1"/>
  <c r="W4457" i="1"/>
  <c r="K4457" i="1"/>
  <c r="AK4451" i="1"/>
  <c r="S4451" i="1"/>
  <c r="L4451" i="1"/>
  <c r="K4451" i="1"/>
  <c r="W4442" i="1"/>
  <c r="K4442" i="1"/>
  <c r="AD4440" i="1"/>
  <c r="AC4440" i="1"/>
  <c r="AD4439" i="1"/>
  <c r="AC4439" i="1"/>
  <c r="AD4438" i="1"/>
  <c r="AC4438" i="1"/>
  <c r="AP4433" i="1"/>
  <c r="AL4433" i="1"/>
  <c r="AP4431" i="1"/>
  <c r="AL4431" i="1"/>
  <c r="AP4429" i="1"/>
  <c r="AL4429" i="1"/>
  <c r="K4428" i="1"/>
  <c r="AD4427" i="1"/>
  <c r="AC4427" i="1"/>
  <c r="AD4426" i="1"/>
  <c r="AC4426" i="1"/>
  <c r="AD4425" i="1"/>
  <c r="AC4425" i="1"/>
  <c r="AK4424" i="1"/>
  <c r="AD4424" i="1"/>
  <c r="AC4424" i="1"/>
  <c r="AD4423" i="1"/>
  <c r="AC4423" i="1"/>
  <c r="AD4422" i="1"/>
  <c r="AC4422" i="1"/>
  <c r="AD4421" i="1"/>
  <c r="AC4421" i="1"/>
  <c r="AP4419" i="1"/>
  <c r="AL4419" i="1"/>
  <c r="AK4412" i="1"/>
  <c r="S4412" i="1"/>
  <c r="M4412" i="1"/>
  <c r="L4412" i="1"/>
  <c r="K4412" i="1"/>
  <c r="AK4408" i="1"/>
  <c r="K4408" i="1"/>
  <c r="AD4407" i="1"/>
  <c r="AC4407" i="1"/>
  <c r="AD4406" i="1"/>
  <c r="AC4406" i="1"/>
  <c r="AD4405" i="1"/>
  <c r="AC4405" i="1"/>
  <c r="AK4401" i="1"/>
  <c r="K4401" i="1"/>
  <c r="AP4397" i="1"/>
  <c r="AL4397" i="1"/>
  <c r="AK4393" i="1"/>
  <c r="K4393" i="1"/>
  <c r="AD4390" i="1"/>
  <c r="AC4390" i="1"/>
  <c r="K4390" i="1"/>
  <c r="AM4386" i="1"/>
  <c r="AM4379" i="1"/>
  <c r="AP4378" i="1"/>
  <c r="AL4378" i="1"/>
  <c r="AP4377" i="1"/>
  <c r="AL4377" i="1"/>
  <c r="AP4374" i="1"/>
  <c r="AL4374" i="1"/>
  <c r="AM4374" i="1" s="1"/>
  <c r="AP4373" i="1"/>
  <c r="AL4373" i="1"/>
  <c r="AD4371" i="1"/>
  <c r="AC4371" i="1"/>
  <c r="K4371" i="1"/>
  <c r="K4370" i="1"/>
  <c r="AM4368" i="1"/>
  <c r="AP4367" i="1"/>
  <c r="AL4367" i="1"/>
  <c r="AP4366" i="1"/>
  <c r="AL4366" i="1"/>
  <c r="AP4365" i="1"/>
  <c r="AL4365" i="1"/>
  <c r="AP4364" i="1"/>
  <c r="AL4364" i="1"/>
  <c r="AP4363" i="1"/>
  <c r="AL4363" i="1"/>
  <c r="AP4362" i="1"/>
  <c r="AL4362" i="1"/>
  <c r="AP4361" i="1"/>
  <c r="AL4361" i="1"/>
  <c r="AP4358" i="1"/>
  <c r="AM4358" i="1"/>
  <c r="AL4358" i="1"/>
  <c r="AK4358" i="1"/>
  <c r="AI4358" i="1"/>
  <c r="AK4347" i="1"/>
  <c r="AC4347" i="1"/>
  <c r="W4347" i="1"/>
  <c r="K4347" i="1"/>
  <c r="AK4346" i="1"/>
  <c r="AD4346" i="1"/>
  <c r="K4346" i="1"/>
  <c r="AD4344" i="1"/>
  <c r="AC4344" i="1"/>
  <c r="AD4343" i="1"/>
  <c r="AC4343" i="1"/>
  <c r="AD4342" i="1"/>
  <c r="AC4342" i="1"/>
  <c r="AP4340" i="1"/>
  <c r="AL4340" i="1"/>
  <c r="AP4339" i="1"/>
  <c r="AL4339" i="1"/>
  <c r="K4337" i="1"/>
  <c r="K4334" i="1"/>
  <c r="AD4332" i="1"/>
  <c r="AC4332" i="1"/>
  <c r="K4331" i="1"/>
  <c r="K4330" i="1"/>
  <c r="AK4329" i="1"/>
  <c r="AD4329" i="1"/>
  <c r="S4329" i="1"/>
  <c r="L4329" i="1"/>
  <c r="K4329" i="1"/>
  <c r="K4326" i="1"/>
  <c r="AD4325" i="1"/>
  <c r="AC4325" i="1"/>
  <c r="W4325" i="1"/>
  <c r="K4325" i="1"/>
  <c r="AD4324" i="1"/>
  <c r="AC4324" i="1"/>
  <c r="AD4323" i="1"/>
  <c r="AC4323" i="1"/>
  <c r="K4322" i="1"/>
  <c r="K4321" i="1"/>
  <c r="K4314" i="1"/>
  <c r="K4313" i="1"/>
  <c r="AK4311" i="1"/>
  <c r="K4311" i="1"/>
  <c r="K4310" i="1"/>
  <c r="AP4309" i="1"/>
  <c r="AL4309" i="1"/>
  <c r="AP4308" i="1"/>
  <c r="AL4308" i="1"/>
  <c r="AP4307" i="1"/>
  <c r="AL4307" i="1"/>
  <c r="AP4306" i="1"/>
  <c r="AL4306" i="1"/>
  <c r="AP4304" i="1"/>
  <c r="K4303" i="1"/>
  <c r="AD4302" i="1"/>
  <c r="AC4302" i="1"/>
  <c r="AD4301" i="1"/>
  <c r="AC4301" i="1"/>
  <c r="AP4298" i="1"/>
  <c r="AL4298" i="1"/>
  <c r="AP4297" i="1"/>
  <c r="AL4297" i="1"/>
  <c r="AP4296" i="1"/>
  <c r="AL4296" i="1"/>
  <c r="AD4295" i="1"/>
  <c r="AC4295" i="1"/>
  <c r="W4295" i="1"/>
  <c r="K4295" i="1"/>
  <c r="AK4294" i="1"/>
  <c r="K4294" i="1"/>
  <c r="AD4293" i="1"/>
  <c r="AC4293" i="1"/>
  <c r="AD4292" i="1"/>
  <c r="AC4292" i="1"/>
  <c r="AD4291" i="1"/>
  <c r="AC4291" i="1"/>
  <c r="AM4287" i="1"/>
  <c r="AP4285" i="1"/>
  <c r="AL4285" i="1"/>
  <c r="AI4282" i="1"/>
  <c r="AG4282" i="1"/>
  <c r="AP4281" i="1"/>
  <c r="AL4281" i="1"/>
  <c r="AP4279" i="1"/>
  <c r="AL4279" i="1"/>
  <c r="AP4277" i="1"/>
  <c r="AL4277" i="1"/>
  <c r="AD4274" i="1"/>
  <c r="W4274" i="1"/>
  <c r="K4274" i="1"/>
  <c r="AK4273" i="1"/>
  <c r="K4273" i="1"/>
  <c r="AD4272" i="1"/>
  <c r="AC4272" i="1"/>
  <c r="AD4271" i="1"/>
  <c r="AC4271" i="1"/>
  <c r="AM4270" i="1"/>
  <c r="AM4264" i="1"/>
  <c r="AM4262" i="1"/>
  <c r="AI4261" i="1"/>
  <c r="AP4260" i="1"/>
  <c r="AL4260" i="1"/>
  <c r="AP4259" i="1"/>
  <c r="AL4259" i="1"/>
  <c r="AP4256" i="1"/>
  <c r="AL4256" i="1"/>
  <c r="AM4256" i="1" s="1"/>
  <c r="AP4254" i="1"/>
  <c r="AP4252" i="1"/>
  <c r="AL4252" i="1"/>
  <c r="AM4252" i="1" s="1"/>
  <c r="AP4250" i="1"/>
  <c r="AL4250" i="1"/>
  <c r="AP4248" i="1"/>
  <c r="AL4248" i="1"/>
  <c r="AI4248" i="1"/>
  <c r="AP4247" i="1"/>
  <c r="AL4247" i="1"/>
  <c r="AP4245" i="1"/>
  <c r="AL4245" i="1"/>
  <c r="AP4243" i="1"/>
  <c r="AL4243" i="1"/>
  <c r="AK4241" i="1"/>
  <c r="AD4241" i="1"/>
  <c r="W4241" i="1"/>
  <c r="K4241" i="1"/>
  <c r="AK4240" i="1"/>
  <c r="S4240" i="1"/>
  <c r="L4240" i="1"/>
  <c r="K4240" i="1"/>
  <c r="AD4232" i="1"/>
  <c r="AC4232" i="1"/>
  <c r="AD4231" i="1"/>
  <c r="AC4231" i="1"/>
  <c r="AM4229" i="1"/>
  <c r="AD4223" i="1"/>
  <c r="AC4223" i="1"/>
  <c r="W4223" i="1"/>
  <c r="K4223" i="1"/>
  <c r="AC4222" i="1"/>
  <c r="W4222" i="1"/>
  <c r="K4222" i="1"/>
  <c r="AK4221" i="1"/>
  <c r="AC4221" i="1"/>
  <c r="W4221" i="1"/>
  <c r="K4221" i="1"/>
  <c r="AK4220" i="1"/>
  <c r="W4220" i="1"/>
  <c r="K4220" i="1"/>
  <c r="AK4219" i="1"/>
  <c r="AD4219" i="1"/>
  <c r="W4219" i="1"/>
  <c r="K4219" i="1"/>
  <c r="K4218" i="1"/>
  <c r="AL4211" i="1"/>
  <c r="AP4210" i="1"/>
  <c r="AL4210" i="1"/>
  <c r="AL4209" i="1"/>
  <c r="AK4209" i="1"/>
  <c r="AI4209" i="1"/>
  <c r="AP4208" i="1"/>
  <c r="AL4208" i="1"/>
  <c r="AK4206" i="1"/>
  <c r="S4206" i="1"/>
  <c r="L4206" i="1"/>
  <c r="K4206" i="1"/>
  <c r="K4205" i="1"/>
  <c r="AM4199" i="1"/>
  <c r="AP4198" i="1"/>
  <c r="AL4198" i="1"/>
  <c r="AD4196" i="1"/>
  <c r="W4196" i="1"/>
  <c r="K4196" i="1"/>
  <c r="AK4195" i="1"/>
  <c r="W4195" i="1"/>
  <c r="K4195" i="1"/>
  <c r="AK4194" i="1"/>
  <c r="S4194" i="1"/>
  <c r="L4194" i="1"/>
  <c r="K4194" i="1"/>
  <c r="K4192" i="1"/>
  <c r="AP4189" i="1"/>
  <c r="AL4189" i="1"/>
  <c r="AP4188" i="1"/>
  <c r="AL4188" i="1"/>
  <c r="AD4186" i="1"/>
  <c r="W4186" i="1"/>
  <c r="K4186" i="1"/>
  <c r="AD4185" i="1"/>
  <c r="AC4185" i="1"/>
  <c r="W4185" i="1"/>
  <c r="K4185" i="1"/>
  <c r="AD4184" i="1"/>
  <c r="AC4184" i="1"/>
  <c r="W4184" i="1"/>
  <c r="K4184" i="1"/>
  <c r="AK4183" i="1"/>
  <c r="AC4183" i="1"/>
  <c r="W4183" i="1"/>
  <c r="K4183" i="1"/>
  <c r="AK4182" i="1"/>
  <c r="AC4182" i="1"/>
  <c r="W4182" i="1"/>
  <c r="K4182" i="1"/>
  <c r="AK4181" i="1"/>
  <c r="W4181" i="1"/>
  <c r="K4181" i="1"/>
  <c r="AK4180" i="1"/>
  <c r="S4180" i="1"/>
  <c r="L4180" i="1"/>
  <c r="K4180" i="1"/>
  <c r="K4179" i="1"/>
  <c r="AP4176" i="1"/>
  <c r="AL4176" i="1"/>
  <c r="AP4174" i="1"/>
  <c r="AL4174" i="1"/>
  <c r="AP4171" i="1"/>
  <c r="AL4171" i="1"/>
  <c r="AP4169" i="1"/>
  <c r="AL4169" i="1"/>
  <c r="AP4168" i="1"/>
  <c r="AL4168" i="1"/>
  <c r="AP4167" i="1"/>
  <c r="AL4167" i="1"/>
  <c r="AC4164" i="1"/>
  <c r="W4164" i="1"/>
  <c r="K4164" i="1"/>
  <c r="AC4163" i="1"/>
  <c r="W4163" i="1"/>
  <c r="K4163" i="1"/>
  <c r="AK4162" i="1"/>
  <c r="W4162" i="1"/>
  <c r="K4162" i="1"/>
  <c r="AK4161" i="1"/>
  <c r="S4161" i="1"/>
  <c r="L4161" i="1"/>
  <c r="K4161" i="1"/>
  <c r="K4160" i="1"/>
  <c r="AM4155" i="1"/>
  <c r="AP4151" i="1"/>
  <c r="AL4151" i="1"/>
  <c r="AP4146" i="1"/>
  <c r="AL4146" i="1"/>
  <c r="AC4143" i="1"/>
  <c r="W4143" i="1"/>
  <c r="K4143" i="1"/>
  <c r="AD4142" i="1"/>
  <c r="AC4142" i="1"/>
  <c r="W4142" i="1"/>
  <c r="K4142" i="1"/>
  <c r="AK4141" i="1"/>
  <c r="W4141" i="1"/>
  <c r="K4141" i="1"/>
  <c r="AK4140" i="1"/>
  <c r="AD4140" i="1"/>
  <c r="W4140" i="1"/>
  <c r="K4140" i="1"/>
  <c r="AK4139" i="1"/>
  <c r="W4139" i="1"/>
  <c r="K4139" i="1"/>
  <c r="AK4138" i="1"/>
  <c r="S4138" i="1"/>
  <c r="L4138" i="1"/>
  <c r="K4138" i="1"/>
  <c r="K4131" i="1"/>
  <c r="AM4124" i="1"/>
  <c r="AP4121" i="1"/>
  <c r="AL4121" i="1"/>
  <c r="AP4119" i="1"/>
  <c r="AL4119" i="1"/>
  <c r="AP4118" i="1"/>
  <c r="AL4118" i="1"/>
  <c r="AD4108" i="1"/>
  <c r="W4108" i="1"/>
  <c r="K4108" i="1"/>
  <c r="AD4107" i="1"/>
  <c r="AC4107" i="1"/>
  <c r="W4107" i="1"/>
  <c r="K4107" i="1"/>
  <c r="AK4106" i="1"/>
  <c r="AD4106" i="1"/>
  <c r="W4106" i="1"/>
  <c r="K4106" i="1"/>
  <c r="AK4105" i="1"/>
  <c r="W4105" i="1"/>
  <c r="K4105" i="1"/>
  <c r="K4104" i="1"/>
  <c r="AM4093" i="1"/>
  <c r="AM4090" i="1"/>
  <c r="AP4088" i="1"/>
  <c r="AL4088" i="1"/>
  <c r="AP4087" i="1"/>
  <c r="AL4087" i="1"/>
  <c r="AP4086" i="1"/>
  <c r="AL4086" i="1"/>
  <c r="AM4086" i="1" s="1"/>
  <c r="AP4085" i="1"/>
  <c r="AL4085" i="1"/>
  <c r="AP4083" i="1"/>
  <c r="AL4083" i="1"/>
  <c r="AP4080" i="1"/>
  <c r="AL4080" i="1"/>
  <c r="AD4073" i="1"/>
  <c r="AC4073" i="1"/>
  <c r="W4073" i="1"/>
  <c r="K4073" i="1"/>
  <c r="AC4072" i="1"/>
  <c r="W4072" i="1"/>
  <c r="K4072" i="1"/>
  <c r="AD4071" i="1"/>
  <c r="AC4071" i="1"/>
  <c r="W4071" i="1"/>
  <c r="K4071" i="1"/>
  <c r="AC4070" i="1"/>
  <c r="W4070" i="1"/>
  <c r="K4070" i="1"/>
  <c r="AK4069" i="1"/>
  <c r="AD4069" i="1"/>
  <c r="W4069" i="1"/>
  <c r="K4069" i="1"/>
  <c r="AK4068" i="1"/>
  <c r="AD4068" i="1"/>
  <c r="AC4068" i="1"/>
  <c r="W4068" i="1"/>
  <c r="K4068" i="1"/>
  <c r="AK4067" i="1"/>
  <c r="AC4067" i="1"/>
  <c r="W4067" i="1"/>
  <c r="K4067" i="1"/>
  <c r="AP4063" i="1"/>
  <c r="AL4063" i="1"/>
  <c r="AP4061" i="1"/>
  <c r="AL4061" i="1"/>
  <c r="AP4060" i="1"/>
  <c r="AP4059" i="1"/>
  <c r="AL4059" i="1"/>
  <c r="AD4058" i="1"/>
  <c r="W4058" i="1"/>
  <c r="K4058" i="1"/>
  <c r="AK4057" i="1"/>
  <c r="AD4057" i="1"/>
  <c r="W4057" i="1"/>
  <c r="K4057" i="1"/>
  <c r="AK4056" i="1"/>
  <c r="AD4056" i="1"/>
  <c r="W4056" i="1"/>
  <c r="K4056" i="1"/>
  <c r="AP4050" i="1"/>
  <c r="AL4050" i="1"/>
  <c r="AP4049" i="1"/>
  <c r="AL4049" i="1"/>
  <c r="AD4045" i="1"/>
  <c r="W4045" i="1"/>
  <c r="K4045" i="1"/>
  <c r="AC4044" i="1"/>
  <c r="W4044" i="1"/>
  <c r="K4044" i="1"/>
  <c r="AK4043" i="1"/>
  <c r="AD4043" i="1"/>
  <c r="W4043" i="1"/>
  <c r="K4043" i="1"/>
  <c r="AK4042" i="1"/>
  <c r="L4042" i="1"/>
  <c r="K4042" i="1"/>
  <c r="AK4032" i="1"/>
  <c r="K4032" i="1"/>
  <c r="AP4029" i="1"/>
  <c r="AL4029" i="1"/>
  <c r="AM4028" i="1"/>
  <c r="AP4027" i="1"/>
  <c r="AL4027" i="1"/>
  <c r="AP4026" i="1"/>
  <c r="AL4026" i="1"/>
  <c r="AP4025" i="1"/>
  <c r="AL4025" i="1"/>
  <c r="AM4023" i="1"/>
  <c r="AP4019" i="1"/>
  <c r="AL4019" i="1"/>
  <c r="AP4018" i="1"/>
  <c r="K4016" i="1"/>
  <c r="AM4012" i="1"/>
  <c r="AP4011" i="1"/>
  <c r="AL4011" i="1"/>
  <c r="AM4007" i="1"/>
  <c r="AP4004" i="1"/>
  <c r="AL4004" i="1"/>
  <c r="AP4003" i="1"/>
  <c r="AL4003" i="1"/>
  <c r="AP3998" i="1"/>
  <c r="AL3998" i="1"/>
  <c r="AP3996" i="1"/>
  <c r="AL3996" i="1"/>
  <c r="AM3996" i="1" s="1"/>
  <c r="AP3995" i="1"/>
  <c r="AL3995" i="1"/>
  <c r="AP3994" i="1"/>
  <c r="AL3994" i="1"/>
  <c r="AP3993" i="1"/>
  <c r="AL3993" i="1"/>
  <c r="AM3993" i="1" s="1"/>
  <c r="AP3991" i="1"/>
  <c r="AP3989" i="1"/>
  <c r="AL3989" i="1"/>
  <c r="AD3988" i="1"/>
  <c r="AC3988" i="1"/>
  <c r="W3988" i="1"/>
  <c r="K3988" i="1"/>
  <c r="AD3987" i="1"/>
  <c r="AC3987" i="1"/>
  <c r="W3987" i="1"/>
  <c r="K3987" i="1"/>
  <c r="AD3986" i="1"/>
  <c r="W3986" i="1"/>
  <c r="K3986" i="1"/>
  <c r="AC3985" i="1"/>
  <c r="W3985" i="1"/>
  <c r="K3985" i="1"/>
  <c r="AK3983" i="1"/>
  <c r="S3983" i="1"/>
  <c r="L3983" i="1"/>
  <c r="K3983" i="1"/>
  <c r="AM3969" i="1"/>
  <c r="AP3965" i="1"/>
  <c r="AL3965" i="1"/>
  <c r="AP3964" i="1"/>
  <c r="AL3964" i="1"/>
  <c r="AP3962" i="1"/>
  <c r="AL3962" i="1"/>
  <c r="AM3962" i="1" s="1"/>
  <c r="AP3960" i="1"/>
  <c r="AP3959" i="1"/>
  <c r="AL3959" i="1"/>
  <c r="AI3959" i="1"/>
  <c r="AP3958" i="1"/>
  <c r="AL3958" i="1"/>
  <c r="W3953" i="1"/>
  <c r="K3953" i="1"/>
  <c r="AD3952" i="1"/>
  <c r="AC3952" i="1"/>
  <c r="W3952" i="1"/>
  <c r="K3952" i="1"/>
  <c r="AD3951" i="1"/>
  <c r="W3951" i="1"/>
  <c r="K3951" i="1"/>
  <c r="AK3950" i="1"/>
  <c r="AD3950" i="1"/>
  <c r="W3950" i="1"/>
  <c r="K3950" i="1"/>
  <c r="AK3949" i="1"/>
  <c r="K3949" i="1"/>
  <c r="AP3935" i="1"/>
  <c r="AL3935" i="1"/>
  <c r="AP3931" i="1"/>
  <c r="AL3931" i="1"/>
  <c r="AP3930" i="1"/>
  <c r="AL3930" i="1"/>
  <c r="AM3930" i="1" s="1"/>
  <c r="AP3928" i="1"/>
  <c r="AL3928" i="1"/>
  <c r="AP3926" i="1"/>
  <c r="AL3926" i="1"/>
  <c r="AM3926" i="1" s="1"/>
  <c r="AP3925" i="1"/>
  <c r="AP3924" i="1"/>
  <c r="AL3924" i="1"/>
  <c r="AP3923" i="1"/>
  <c r="AL3923" i="1"/>
  <c r="AD3918" i="1"/>
  <c r="W3918" i="1"/>
  <c r="K3918" i="1"/>
  <c r="AK3917" i="1"/>
  <c r="W3917" i="1"/>
  <c r="K3917" i="1"/>
  <c r="AK3916" i="1"/>
  <c r="K3916" i="1"/>
  <c r="AP3904" i="1"/>
  <c r="AL3904" i="1"/>
  <c r="AP3903" i="1"/>
  <c r="AL3903" i="1"/>
  <c r="AM3903" i="1" s="1"/>
  <c r="AK3900" i="1"/>
  <c r="AD3900" i="1"/>
  <c r="AC3900" i="1"/>
  <c r="W3900" i="1"/>
  <c r="K3900" i="1"/>
  <c r="AK3898" i="1"/>
  <c r="L3898" i="1"/>
  <c r="K3898" i="1"/>
  <c r="AM3896" i="1"/>
  <c r="AP3893" i="1"/>
  <c r="AP3892" i="1"/>
  <c r="AL3892" i="1"/>
  <c r="AP3891" i="1"/>
  <c r="AL3891" i="1"/>
  <c r="AM3891" i="1" s="1"/>
  <c r="AP3890" i="1"/>
  <c r="AL3890" i="1"/>
  <c r="AP3886" i="1"/>
  <c r="AL3886" i="1"/>
  <c r="AC3885" i="1"/>
  <c r="W3885" i="1"/>
  <c r="K3885" i="1"/>
  <c r="W3884" i="1"/>
  <c r="K3884" i="1"/>
  <c r="AK3883" i="1"/>
  <c r="AC3883" i="1"/>
  <c r="W3883" i="1"/>
  <c r="K3883" i="1"/>
  <c r="AK3882" i="1"/>
  <c r="K3882" i="1"/>
  <c r="AM3878" i="1"/>
  <c r="AH3875" i="1"/>
  <c r="AG3875" i="1"/>
  <c r="AP3873" i="1"/>
  <c r="AL3873" i="1"/>
  <c r="AC3866" i="1"/>
  <c r="W3866" i="1"/>
  <c r="K3866" i="1"/>
  <c r="AC3865" i="1"/>
  <c r="W3865" i="1"/>
  <c r="K3865" i="1"/>
  <c r="AK3864" i="1"/>
  <c r="AD3864" i="1"/>
  <c r="AC3864" i="1"/>
  <c r="W3864" i="1"/>
  <c r="K3864" i="1"/>
  <c r="AK3863" i="1"/>
  <c r="AC3863" i="1"/>
  <c r="W3863" i="1"/>
  <c r="K3863" i="1"/>
  <c r="AK3862" i="1"/>
  <c r="K3862" i="1"/>
  <c r="AP3854" i="1"/>
  <c r="AL3854" i="1"/>
  <c r="AP3853" i="1"/>
  <c r="AP3852" i="1"/>
  <c r="AM3852" i="1"/>
  <c r="AL3852" i="1"/>
  <c r="AC3850" i="1"/>
  <c r="W3850" i="1"/>
  <c r="K3850" i="1"/>
  <c r="AC3849" i="1"/>
  <c r="W3849" i="1"/>
  <c r="K3849" i="1"/>
  <c r="AD3848" i="1"/>
  <c r="AC3848" i="1"/>
  <c r="W3848" i="1"/>
  <c r="K3848" i="1"/>
  <c r="AK3847" i="1"/>
  <c r="S3847" i="1"/>
  <c r="L3847" i="1"/>
  <c r="K3847" i="1"/>
  <c r="W3846" i="1"/>
  <c r="K3845" i="1"/>
  <c r="AP3841" i="1"/>
  <c r="AL3841" i="1"/>
  <c r="AD3840" i="1"/>
  <c r="AC3840" i="1"/>
  <c r="K3840" i="1"/>
  <c r="AD3839" i="1"/>
  <c r="AC3839" i="1"/>
  <c r="W3839" i="1"/>
  <c r="K3839" i="1"/>
  <c r="AK3838" i="1"/>
  <c r="AD3838" i="1"/>
  <c r="AC3838" i="1"/>
  <c r="W3838" i="1"/>
  <c r="K3838" i="1"/>
  <c r="AK3834" i="1"/>
  <c r="S3834" i="1"/>
  <c r="L3834" i="1"/>
  <c r="K3834" i="1"/>
  <c r="AK3823" i="1"/>
  <c r="AC3823" i="1"/>
  <c r="W3823" i="1"/>
  <c r="K3823" i="1"/>
  <c r="AK3809" i="1"/>
  <c r="S3809" i="1"/>
  <c r="L3809" i="1"/>
  <c r="K3809" i="1"/>
  <c r="K3801" i="1"/>
  <c r="AK3799" i="1"/>
  <c r="K3799" i="1"/>
  <c r="W3777" i="1"/>
  <c r="K3777" i="1"/>
  <c r="W3767" i="1"/>
  <c r="K3767" i="1"/>
  <c r="W3766" i="1"/>
  <c r="K3766" i="1"/>
  <c r="AM3761" i="1"/>
  <c r="AM3760" i="1"/>
  <c r="AP3758" i="1"/>
  <c r="AP3756" i="1"/>
  <c r="AL3756" i="1"/>
  <c r="AC3753" i="1"/>
  <c r="W3753" i="1"/>
  <c r="K3753" i="1"/>
  <c r="AK3752" i="1"/>
  <c r="AD3752" i="1"/>
  <c r="AC3752" i="1"/>
  <c r="W3752" i="1"/>
  <c r="K3752" i="1"/>
  <c r="AK3751" i="1"/>
  <c r="AD3751" i="1"/>
  <c r="AC3751" i="1"/>
  <c r="W3751" i="1"/>
  <c r="K3751" i="1"/>
  <c r="AK3742" i="1"/>
  <c r="K3742" i="1"/>
  <c r="W3729" i="1"/>
  <c r="K3729" i="1"/>
  <c r="AP3718" i="1"/>
  <c r="K3712" i="1"/>
  <c r="W3709" i="1"/>
  <c r="K3709" i="1"/>
  <c r="AC3708" i="1"/>
  <c r="W3708" i="1"/>
  <c r="K3708" i="1"/>
  <c r="AK3707" i="1"/>
  <c r="AC3707" i="1"/>
  <c r="W3707" i="1"/>
  <c r="K3707" i="1"/>
  <c r="AK3694" i="1"/>
  <c r="K3694" i="1"/>
  <c r="W3683" i="1"/>
  <c r="K3683" i="1"/>
  <c r="AP3676" i="1"/>
  <c r="K3668" i="1"/>
  <c r="K3667" i="1"/>
  <c r="K3666" i="1"/>
  <c r="AK3665" i="1"/>
  <c r="K3665" i="1"/>
  <c r="S3654" i="1"/>
  <c r="K3654" i="1"/>
  <c r="AK3653" i="1"/>
  <c r="AD3653" i="1"/>
  <c r="AC3653" i="1"/>
  <c r="W3653" i="1"/>
  <c r="K3653" i="1"/>
  <c r="K3650" i="1"/>
  <c r="K3649" i="1"/>
  <c r="K3645" i="1"/>
  <c r="S3633" i="1"/>
  <c r="K3633" i="1"/>
  <c r="AC3632" i="1"/>
  <c r="W3632" i="1"/>
  <c r="K3632" i="1"/>
  <c r="AD3631" i="1"/>
  <c r="AC3631" i="1"/>
  <c r="W3631" i="1"/>
  <c r="K3631" i="1"/>
  <c r="AC3630" i="1"/>
  <c r="W3630" i="1"/>
  <c r="K3630" i="1"/>
  <c r="AK3629" i="1"/>
  <c r="AC3629" i="1"/>
  <c r="W3629" i="1"/>
  <c r="K3629" i="1"/>
  <c r="K3622" i="1"/>
  <c r="K3613" i="1"/>
  <c r="K3612" i="1"/>
  <c r="K3587" i="1"/>
  <c r="AP3570" i="1"/>
  <c r="AL3570" i="1"/>
  <c r="AP3569" i="1"/>
  <c r="K3560" i="1"/>
  <c r="K3557" i="1"/>
  <c r="AD3555" i="1"/>
  <c r="AC3555" i="1"/>
  <c r="W3555" i="1"/>
  <c r="K3555" i="1"/>
  <c r="AK3554" i="1"/>
  <c r="AC3554" i="1"/>
  <c r="W3554" i="1"/>
  <c r="K3554" i="1"/>
  <c r="K3549" i="1"/>
  <c r="K3543" i="1"/>
  <c r="AM3541" i="1"/>
  <c r="AP3539" i="1"/>
  <c r="K3536" i="1"/>
  <c r="AP3534" i="1"/>
  <c r="AL3534" i="1"/>
  <c r="AM3531" i="1"/>
  <c r="AP3530" i="1"/>
  <c r="AL3530" i="1"/>
  <c r="AP3527" i="1"/>
  <c r="AL3527" i="1"/>
  <c r="K3524" i="1"/>
  <c r="K3523" i="1"/>
  <c r="AK3522" i="1"/>
  <c r="AD3522" i="1"/>
  <c r="AC3522" i="1"/>
  <c r="W3522" i="1"/>
  <c r="K3522" i="1"/>
  <c r="AK3521" i="1"/>
  <c r="AC3521" i="1"/>
  <c r="W3521" i="1"/>
  <c r="K3521" i="1"/>
  <c r="AK3520" i="1"/>
  <c r="AD3520" i="1"/>
  <c r="AC3520" i="1"/>
  <c r="W3520" i="1"/>
  <c r="K3520" i="1"/>
  <c r="K3511" i="1"/>
  <c r="K3507" i="1"/>
  <c r="K3501" i="1"/>
  <c r="AM3500" i="1"/>
  <c r="AP3499" i="1"/>
  <c r="AP3496" i="1"/>
  <c r="AL3496" i="1"/>
  <c r="AP3493" i="1"/>
  <c r="AL3493" i="1"/>
  <c r="AP3492" i="1"/>
  <c r="AL3492" i="1"/>
  <c r="K3489" i="1"/>
  <c r="AP3482" i="1"/>
  <c r="AL3482" i="1"/>
  <c r="AP3481" i="1"/>
  <c r="AL3481" i="1"/>
  <c r="AP3479" i="1"/>
  <c r="AL3479" i="1"/>
  <c r="AP3478" i="1"/>
  <c r="AL3478" i="1"/>
  <c r="AM3477" i="1"/>
  <c r="K3472" i="1"/>
  <c r="AM3467" i="1"/>
  <c r="AM3466" i="1"/>
  <c r="AP3464" i="1"/>
  <c r="AL3464" i="1"/>
  <c r="AP3462" i="1"/>
  <c r="AL3462" i="1"/>
  <c r="AP3461" i="1"/>
  <c r="AL3461" i="1"/>
  <c r="AP3460" i="1"/>
  <c r="AL3460" i="1"/>
  <c r="AL3459" i="1"/>
  <c r="AP3457" i="1"/>
  <c r="AL3457" i="1"/>
  <c r="AP3456" i="1"/>
  <c r="AP3455" i="1"/>
  <c r="AL3455" i="1"/>
  <c r="AP3454" i="1"/>
  <c r="AP3452" i="1"/>
  <c r="AL3452" i="1"/>
  <c r="AP3451" i="1"/>
  <c r="AP3450" i="1"/>
  <c r="AL3450" i="1"/>
  <c r="AP3449" i="1"/>
  <c r="AL3449" i="1"/>
  <c r="AK3444" i="1"/>
  <c r="K3444" i="1"/>
  <c r="AK3443" i="1"/>
  <c r="W3443" i="1"/>
  <c r="K3443" i="1"/>
  <c r="AD3439" i="1"/>
  <c r="W3439" i="1"/>
  <c r="AP3423" i="1"/>
  <c r="AL3423" i="1"/>
  <c r="AP3421" i="1"/>
  <c r="AL3421" i="1"/>
  <c r="AP3420" i="1"/>
  <c r="AL3420" i="1"/>
  <c r="AP3419" i="1"/>
  <c r="AL3419" i="1"/>
  <c r="AK3413" i="1"/>
  <c r="W3413" i="1"/>
  <c r="K3413" i="1"/>
  <c r="AK3412" i="1"/>
  <c r="K3412" i="1"/>
  <c r="AK3379" i="1"/>
  <c r="K3379" i="1"/>
  <c r="K3378" i="1"/>
  <c r="K3377" i="1"/>
  <c r="AP3373" i="1"/>
  <c r="AL3373" i="1"/>
  <c r="W3364" i="1"/>
  <c r="K3364" i="1"/>
  <c r="K3357" i="1"/>
  <c r="K3356" i="1"/>
  <c r="K3355" i="1"/>
  <c r="K3354" i="1"/>
  <c r="AP3352" i="1"/>
  <c r="AL3352" i="1"/>
  <c r="AL3347" i="1"/>
  <c r="AM3345" i="1"/>
  <c r="AP3344" i="1"/>
  <c r="AL3344" i="1"/>
  <c r="AP3342" i="1"/>
  <c r="AP3341" i="1"/>
  <c r="AP3338" i="1"/>
  <c r="AL3338" i="1"/>
  <c r="K3329" i="1"/>
  <c r="K3328" i="1"/>
  <c r="K3327" i="1"/>
  <c r="K3326" i="1"/>
  <c r="K3325" i="1"/>
  <c r="K3324" i="1"/>
  <c r="AM3317" i="1"/>
  <c r="AP3315" i="1"/>
  <c r="AL3315" i="1"/>
  <c r="AP3314" i="1"/>
  <c r="AP3312" i="1"/>
  <c r="AL3312" i="1"/>
  <c r="AP3311" i="1"/>
  <c r="AL3311" i="1"/>
  <c r="K3296" i="1"/>
  <c r="K3295" i="1"/>
  <c r="K3294" i="1"/>
  <c r="K3293" i="1"/>
  <c r="K3292" i="1"/>
  <c r="K3291" i="1"/>
  <c r="K3290" i="1"/>
  <c r="AP3284" i="1"/>
  <c r="AP3282" i="1"/>
  <c r="AL3282" i="1"/>
  <c r="AM3270" i="1"/>
  <c r="AP3269" i="1"/>
  <c r="AL3269" i="1"/>
  <c r="AP3268" i="1"/>
  <c r="AL3268" i="1"/>
  <c r="K3266" i="1"/>
  <c r="K3265" i="1"/>
  <c r="K3264" i="1"/>
  <c r="K3263" i="1"/>
  <c r="K3262" i="1"/>
  <c r="K3261" i="1"/>
  <c r="K3260" i="1"/>
  <c r="K3259" i="1"/>
  <c r="K3258" i="1"/>
  <c r="K3257" i="1"/>
  <c r="K3256" i="1"/>
  <c r="AK3255" i="1"/>
  <c r="K3255" i="1"/>
  <c r="AM3250" i="1"/>
  <c r="AP3245" i="1"/>
  <c r="AL3245" i="1"/>
  <c r="AP3244" i="1"/>
  <c r="AL3244" i="1"/>
  <c r="AP3243" i="1"/>
  <c r="AL3243" i="1"/>
  <c r="AP3241" i="1"/>
  <c r="AL3241" i="1"/>
  <c r="K3239" i="1"/>
  <c r="AD3234" i="1"/>
  <c r="W3234" i="1"/>
  <c r="K3233" i="1"/>
  <c r="K3232" i="1"/>
  <c r="K3231" i="1"/>
  <c r="K3230" i="1"/>
  <c r="K3229" i="1"/>
  <c r="K3228" i="1"/>
  <c r="K3227" i="1"/>
  <c r="AM3222" i="1"/>
  <c r="AP3221" i="1"/>
  <c r="AL3221" i="1"/>
  <c r="AP3219" i="1"/>
  <c r="AL3219" i="1"/>
  <c r="AP3218" i="1"/>
  <c r="AP3217" i="1"/>
  <c r="AL3217" i="1"/>
  <c r="AP3216" i="1"/>
  <c r="AL3216" i="1"/>
  <c r="AM3215" i="1"/>
  <c r="AP3214" i="1"/>
  <c r="AP3213" i="1"/>
  <c r="AM3213" i="1"/>
  <c r="AL3213" i="1"/>
  <c r="AI3213" i="1"/>
  <c r="AP3212" i="1"/>
  <c r="AL3212" i="1"/>
  <c r="K3210" i="1"/>
  <c r="K3209" i="1"/>
  <c r="K3208" i="1"/>
  <c r="K3207" i="1"/>
  <c r="K3206" i="1"/>
  <c r="K3205" i="1"/>
  <c r="AD3203" i="1"/>
  <c r="W3203" i="1"/>
  <c r="K3203" i="1"/>
  <c r="W3201" i="1"/>
  <c r="K3201" i="1"/>
  <c r="AM3196" i="1"/>
  <c r="K3193" i="1"/>
  <c r="K3192" i="1"/>
  <c r="K3191" i="1"/>
  <c r="K3190" i="1"/>
  <c r="K3189" i="1"/>
  <c r="K3188" i="1"/>
  <c r="AP3179" i="1"/>
  <c r="AM3172" i="1"/>
  <c r="AP3169" i="1"/>
  <c r="AD3164" i="1"/>
  <c r="W3164" i="1"/>
  <c r="K3164" i="1"/>
  <c r="AD3163" i="1"/>
  <c r="W3163" i="1"/>
  <c r="K3163" i="1"/>
  <c r="AK3162" i="1"/>
  <c r="K3162" i="1"/>
  <c r="K3160" i="1"/>
  <c r="K3159" i="1"/>
  <c r="K3158" i="1"/>
  <c r="K3157" i="1"/>
  <c r="K3156" i="1"/>
  <c r="K3155" i="1"/>
  <c r="K3154" i="1"/>
  <c r="AK3153" i="1"/>
  <c r="K3153" i="1"/>
  <c r="AP3146" i="1"/>
  <c r="AL3146" i="1"/>
  <c r="AK3143" i="1"/>
  <c r="K3143" i="1"/>
  <c r="W3141" i="1"/>
  <c r="K3141" i="1"/>
  <c r="AM3137" i="1"/>
  <c r="K3134" i="1"/>
  <c r="K3133" i="1"/>
  <c r="K3132" i="1"/>
  <c r="AM3118" i="1"/>
  <c r="AP3115" i="1"/>
  <c r="AP3114" i="1"/>
  <c r="AL3114" i="1"/>
  <c r="AP3113" i="1"/>
  <c r="AL3113" i="1"/>
  <c r="AP3112" i="1"/>
  <c r="AL3112" i="1"/>
  <c r="K3111" i="1"/>
  <c r="AK3109" i="1"/>
  <c r="K3109" i="1"/>
  <c r="AK3108" i="1"/>
  <c r="W3108" i="1"/>
  <c r="K3108" i="1"/>
  <c r="K3105" i="1"/>
  <c r="K3104" i="1"/>
  <c r="AK3103" i="1"/>
  <c r="AD3103" i="1"/>
  <c r="AC3103" i="1"/>
  <c r="K3103" i="1"/>
  <c r="K3088" i="1"/>
  <c r="AP3086" i="1"/>
  <c r="AL3086" i="1"/>
  <c r="AP3085" i="1"/>
  <c r="AL3085" i="1"/>
  <c r="AP3076" i="1"/>
  <c r="AL3076" i="1"/>
  <c r="AM3069" i="1"/>
  <c r="AP3068" i="1"/>
  <c r="AP3067" i="1"/>
  <c r="AL3067" i="1"/>
  <c r="AP3066" i="1"/>
  <c r="AL3066" i="1"/>
  <c r="AP3065" i="1"/>
  <c r="AK3065" i="1"/>
  <c r="AI3065" i="1"/>
  <c r="AP3064" i="1"/>
  <c r="K3062" i="1"/>
  <c r="K3061" i="1"/>
  <c r="K3060" i="1"/>
  <c r="AK3059" i="1"/>
  <c r="K3059" i="1"/>
  <c r="AD3057" i="1"/>
  <c r="W3057" i="1"/>
  <c r="K3057" i="1"/>
  <c r="AD3055" i="1"/>
  <c r="W3055" i="1"/>
  <c r="K3055" i="1"/>
  <c r="K3042" i="1"/>
  <c r="K3041" i="1"/>
  <c r="AK3040" i="1"/>
  <c r="K3040" i="1"/>
  <c r="AM3034" i="1"/>
  <c r="AP3032" i="1"/>
  <c r="AL3032" i="1"/>
  <c r="AP3031" i="1"/>
  <c r="AL3031" i="1"/>
  <c r="AP3030" i="1"/>
  <c r="AL3030" i="1"/>
  <c r="AI3028" i="1"/>
  <c r="AP3027" i="1"/>
  <c r="AL3027" i="1"/>
  <c r="AP3025" i="1"/>
  <c r="AL3025" i="1"/>
  <c r="AP3024" i="1"/>
  <c r="AL3024" i="1"/>
  <c r="W3018" i="1"/>
  <c r="W3017" i="1"/>
  <c r="K3017" i="1"/>
  <c r="AD3016" i="1"/>
  <c r="W3016" i="1"/>
  <c r="K3016" i="1"/>
  <c r="AK3015" i="1"/>
  <c r="AD3015" i="1"/>
  <c r="W3015" i="1"/>
  <c r="K3015" i="1"/>
  <c r="K3008" i="1"/>
  <c r="K3007" i="1"/>
  <c r="K3006" i="1"/>
  <c r="K3005" i="1"/>
  <c r="K3004" i="1"/>
  <c r="K2999" i="1"/>
  <c r="K2998" i="1"/>
  <c r="AM2993" i="1"/>
  <c r="AP2990" i="1"/>
  <c r="AL2990" i="1"/>
  <c r="AP2989" i="1"/>
  <c r="AL2989" i="1"/>
  <c r="AP2987" i="1"/>
  <c r="AL2987" i="1"/>
  <c r="AP2986" i="1"/>
  <c r="AL2986" i="1"/>
  <c r="AK2976" i="1"/>
  <c r="W2976" i="1"/>
  <c r="K2976" i="1"/>
  <c r="AD2975" i="1"/>
  <c r="W2975" i="1"/>
  <c r="K2975" i="1"/>
  <c r="K2972" i="1"/>
  <c r="K2971" i="1"/>
  <c r="K2970" i="1"/>
  <c r="AK2969" i="1"/>
  <c r="K2969" i="1"/>
  <c r="K2966" i="1"/>
  <c r="K2965" i="1"/>
  <c r="K2964" i="1"/>
  <c r="K2961" i="1"/>
  <c r="AM2959" i="1"/>
  <c r="AP2957" i="1"/>
  <c r="AL2957" i="1"/>
  <c r="AP2956" i="1"/>
  <c r="AL2956" i="1"/>
  <c r="AK2954" i="1"/>
  <c r="K2954" i="1"/>
  <c r="AP2950" i="1"/>
  <c r="AL2950" i="1"/>
  <c r="AP2949" i="1"/>
  <c r="AL2949" i="1"/>
  <c r="AK2948" i="1"/>
  <c r="K2948" i="1"/>
  <c r="AK2947" i="1"/>
  <c r="K2947" i="1"/>
  <c r="AP2942" i="1"/>
  <c r="AL2942" i="1"/>
  <c r="AK2934" i="1"/>
  <c r="K2934" i="1"/>
  <c r="W2933" i="1"/>
  <c r="K2933" i="1"/>
  <c r="W2932" i="1"/>
  <c r="K2932" i="1"/>
  <c r="W2931" i="1"/>
  <c r="K2931" i="1"/>
  <c r="K2930" i="1"/>
  <c r="AD2928" i="1"/>
  <c r="AC2928" i="1"/>
  <c r="K2928" i="1"/>
  <c r="AM2925" i="1"/>
  <c r="AP2924" i="1"/>
  <c r="AL2924" i="1"/>
  <c r="AP2923" i="1"/>
  <c r="AL2923" i="1"/>
  <c r="K2908" i="1"/>
  <c r="K2907" i="1"/>
  <c r="K2905" i="1"/>
  <c r="AP2902" i="1"/>
  <c r="AL2902" i="1"/>
  <c r="AP2901" i="1"/>
  <c r="AL2901" i="1"/>
  <c r="AP2888" i="1"/>
  <c r="AL2888" i="1"/>
  <c r="K2886" i="1"/>
  <c r="AP2882" i="1"/>
  <c r="AL2882" i="1"/>
  <c r="K2881" i="1"/>
  <c r="K2878" i="1"/>
  <c r="AP2874" i="1"/>
  <c r="AL2874" i="1"/>
  <c r="AP2870" i="1"/>
  <c r="AL2870" i="1"/>
  <c r="K2869" i="1"/>
  <c r="K2863" i="1"/>
  <c r="K2862" i="1"/>
  <c r="K2861" i="1"/>
  <c r="K2860" i="1"/>
  <c r="K2859" i="1"/>
  <c r="K2858" i="1"/>
  <c r="K2857" i="1"/>
  <c r="K2856" i="1"/>
  <c r="K2855" i="1"/>
  <c r="K2853" i="1"/>
  <c r="AM2844" i="1"/>
  <c r="K2843" i="1"/>
  <c r="K2841" i="1"/>
  <c r="AM2838" i="1"/>
  <c r="AP2835" i="1"/>
  <c r="AL2835" i="1"/>
  <c r="K2831" i="1"/>
  <c r="K2830" i="1"/>
  <c r="K2829" i="1"/>
  <c r="K2828" i="1"/>
  <c r="K2827" i="1"/>
  <c r="K2826" i="1"/>
  <c r="K2825" i="1"/>
  <c r="K2824" i="1"/>
  <c r="K2823" i="1"/>
  <c r="AM2816" i="1"/>
  <c r="AM2815" i="1"/>
  <c r="AP2809" i="1"/>
  <c r="AL2809" i="1"/>
  <c r="AK2799" i="1"/>
  <c r="K2799" i="1"/>
  <c r="K2788" i="1"/>
  <c r="AM2785" i="1"/>
  <c r="AP2783" i="1"/>
  <c r="AL2783" i="1"/>
  <c r="AP2782" i="1"/>
  <c r="AL2782" i="1"/>
  <c r="K2780" i="1"/>
  <c r="K2779" i="1"/>
  <c r="AM2776" i="1"/>
  <c r="AM2775" i="1"/>
  <c r="AP2772" i="1"/>
  <c r="AL2772" i="1"/>
  <c r="AP2771" i="1"/>
  <c r="AL2771" i="1"/>
  <c r="AP2769" i="1"/>
  <c r="AL2769" i="1"/>
  <c r="K2759" i="1"/>
  <c r="K2758" i="1"/>
  <c r="K2757" i="1"/>
  <c r="K2756" i="1"/>
  <c r="K2755" i="1"/>
  <c r="AM2746" i="1"/>
  <c r="AP2745" i="1"/>
  <c r="AL2745" i="1"/>
  <c r="AP2739" i="1"/>
  <c r="AL2739" i="1"/>
  <c r="AP2738" i="1"/>
  <c r="AL2738" i="1"/>
  <c r="AP2737" i="1"/>
  <c r="AL2737" i="1"/>
  <c r="AP2736" i="1"/>
  <c r="AL2736" i="1"/>
  <c r="AM2710" i="1"/>
  <c r="AP2706" i="1"/>
  <c r="AL2706" i="1"/>
  <c r="W2703" i="1"/>
  <c r="K2703" i="1"/>
  <c r="W2696" i="1"/>
  <c r="K2696" i="1"/>
  <c r="AP2695" i="1"/>
  <c r="AL2695" i="1"/>
  <c r="AP2690" i="1"/>
  <c r="AL2690" i="1"/>
  <c r="AM2682" i="1"/>
  <c r="AP2680" i="1"/>
  <c r="AL2680" i="1"/>
  <c r="AP2679" i="1"/>
  <c r="AL2679" i="1"/>
  <c r="AP2678" i="1"/>
  <c r="AL2678" i="1"/>
  <c r="AP2677" i="1"/>
  <c r="AL2677" i="1"/>
  <c r="K2664" i="1"/>
  <c r="AP2660" i="1"/>
  <c r="AL2660" i="1"/>
  <c r="AP2659" i="1"/>
  <c r="AL2659" i="1"/>
  <c r="AP2658" i="1"/>
  <c r="AP2656" i="1"/>
  <c r="AL2656" i="1"/>
  <c r="AM2655" i="1"/>
  <c r="AP2653" i="1"/>
  <c r="AL2653" i="1"/>
  <c r="AM2633" i="1"/>
  <c r="AP2632" i="1"/>
  <c r="AL2632" i="1"/>
  <c r="AP2631" i="1"/>
  <c r="AP2630" i="1"/>
  <c r="AL2630" i="1"/>
  <c r="AP2629" i="1"/>
  <c r="AL2629" i="1"/>
  <c r="AP2628" i="1"/>
  <c r="AL2628" i="1"/>
  <c r="AM2609" i="1"/>
  <c r="AP2607" i="1"/>
  <c r="AL2607" i="1"/>
  <c r="AP2606" i="1"/>
  <c r="AL2606" i="1"/>
  <c r="AP2605" i="1"/>
  <c r="AL2605" i="1"/>
  <c r="AP2604" i="1"/>
  <c r="AL2604" i="1"/>
  <c r="K2595" i="1"/>
  <c r="AK2589" i="1"/>
  <c r="K2589" i="1"/>
  <c r="K2576" i="1"/>
  <c r="AP2575" i="1"/>
  <c r="AL2575" i="1"/>
  <c r="K2573" i="1"/>
  <c r="AP2572" i="1"/>
  <c r="AL2572" i="1"/>
  <c r="K2571" i="1"/>
  <c r="K2568" i="1"/>
  <c r="AM2566" i="1"/>
  <c r="AP2565" i="1"/>
  <c r="AL2565" i="1"/>
  <c r="AP2564" i="1"/>
  <c r="AP2563" i="1"/>
  <c r="AL2563" i="1"/>
  <c r="K2562" i="1"/>
  <c r="W2546" i="1"/>
  <c r="K2546" i="1"/>
  <c r="AK2545" i="1"/>
  <c r="W2545" i="1"/>
  <c r="K2545" i="1"/>
  <c r="AK2544" i="1"/>
  <c r="W2544" i="1"/>
  <c r="K2544" i="1"/>
  <c r="AK2538" i="1"/>
  <c r="K2538" i="1"/>
  <c r="AP2534" i="1"/>
  <c r="AL2534" i="1"/>
  <c r="AL2531" i="1"/>
  <c r="AD2528" i="1"/>
  <c r="W2528" i="1"/>
  <c r="K2528" i="1"/>
  <c r="K2525" i="1"/>
  <c r="AP2521" i="1"/>
  <c r="K2516" i="1"/>
  <c r="AM2513" i="1"/>
  <c r="AP2511" i="1"/>
  <c r="AL2511" i="1"/>
  <c r="AK2508" i="1"/>
  <c r="K2508" i="1"/>
  <c r="K2507" i="1"/>
  <c r="AK2493" i="1"/>
  <c r="K2493" i="1"/>
  <c r="AP2492" i="1"/>
  <c r="AL2492" i="1"/>
  <c r="AK2491" i="1"/>
  <c r="K2491" i="1"/>
  <c r="AK2490" i="1"/>
  <c r="AD2490" i="1"/>
  <c r="W2490" i="1"/>
  <c r="K2490" i="1"/>
  <c r="W2489" i="1"/>
  <c r="K2489" i="1"/>
  <c r="AK2484" i="1"/>
  <c r="K2484" i="1"/>
  <c r="K2483" i="1"/>
  <c r="AP2482" i="1"/>
  <c r="AL2482" i="1"/>
  <c r="AP2481" i="1"/>
  <c r="AL2481" i="1"/>
  <c r="AK2477" i="1"/>
  <c r="K2477" i="1"/>
  <c r="K2474" i="1"/>
  <c r="AK2473" i="1"/>
  <c r="K2473" i="1"/>
  <c r="AP2471" i="1"/>
  <c r="AL2471" i="1"/>
  <c r="AK2469" i="1"/>
  <c r="K2469" i="1"/>
  <c r="K2467" i="1"/>
  <c r="AP2465" i="1"/>
  <c r="AL2465" i="1"/>
  <c r="K2464" i="1"/>
  <c r="K2463" i="1"/>
  <c r="K2460" i="1"/>
  <c r="AP2454" i="1"/>
  <c r="AL2454" i="1"/>
  <c r="AP2453" i="1"/>
  <c r="AL2453" i="1"/>
  <c r="AP2451" i="1"/>
  <c r="AL2451" i="1"/>
  <c r="K2450" i="1"/>
  <c r="K2447" i="1"/>
  <c r="K2446" i="1"/>
  <c r="AP2440" i="1"/>
  <c r="AL2440" i="1"/>
  <c r="AP2437" i="1"/>
  <c r="AP2436" i="1"/>
  <c r="AP2435" i="1"/>
  <c r="AL2435" i="1"/>
  <c r="W2429" i="1"/>
  <c r="K2429" i="1"/>
  <c r="AK2416" i="1"/>
  <c r="K2416" i="1"/>
  <c r="K2414" i="1"/>
  <c r="AK2406" i="1"/>
  <c r="W2406" i="1"/>
  <c r="K2406" i="1"/>
  <c r="K2396" i="1"/>
  <c r="AM2393" i="1"/>
  <c r="K2392" i="1"/>
  <c r="K2391" i="1"/>
  <c r="K2390" i="1"/>
  <c r="AP2388" i="1"/>
  <c r="AL2388" i="1"/>
  <c r="W2385" i="1"/>
  <c r="K2385" i="1"/>
  <c r="AK2384" i="1"/>
  <c r="K2381" i="1"/>
  <c r="K2380" i="1"/>
  <c r="K2379" i="1"/>
  <c r="K2374" i="1"/>
  <c r="K2373" i="1"/>
  <c r="K2372" i="1"/>
  <c r="K2370" i="1"/>
  <c r="K2369" i="1"/>
  <c r="K2368" i="1"/>
  <c r="AM2366" i="1"/>
  <c r="K2363" i="1"/>
  <c r="AD2362" i="1"/>
  <c r="AC2362" i="1"/>
  <c r="K2362" i="1"/>
  <c r="K2359" i="1"/>
  <c r="K2355" i="1"/>
  <c r="K2354" i="1"/>
  <c r="AP2353" i="1"/>
  <c r="AL2353" i="1"/>
  <c r="AP2350" i="1"/>
  <c r="AL2350" i="1"/>
  <c r="AK2349" i="1"/>
  <c r="K2349" i="1"/>
  <c r="W2348" i="1"/>
  <c r="K2348" i="1"/>
  <c r="W2347" i="1"/>
  <c r="K2347" i="1"/>
  <c r="K2346" i="1"/>
  <c r="K2339" i="1"/>
  <c r="K2338" i="1"/>
  <c r="K2337" i="1"/>
  <c r="AM2334" i="1"/>
  <c r="AP2329" i="1"/>
  <c r="AL2329" i="1"/>
  <c r="AP2327" i="1"/>
  <c r="AL2327" i="1"/>
  <c r="W2325" i="1"/>
  <c r="K2325" i="1"/>
  <c r="AK2324" i="1"/>
  <c r="K2324" i="1"/>
  <c r="K2321" i="1"/>
  <c r="AM2302" i="1"/>
  <c r="AP2301" i="1"/>
  <c r="AL2301" i="1"/>
  <c r="AP2300" i="1"/>
  <c r="AL2300" i="1"/>
  <c r="AP2298" i="1"/>
  <c r="AL2298" i="1"/>
  <c r="AK2297" i="1"/>
  <c r="K2297" i="1"/>
  <c r="AK2296" i="1"/>
  <c r="W2296" i="1"/>
  <c r="K2296" i="1"/>
  <c r="W2295" i="1"/>
  <c r="AD2294" i="1"/>
  <c r="W2294" i="1"/>
  <c r="K2294" i="1"/>
  <c r="W2293" i="1"/>
  <c r="K2293" i="1"/>
  <c r="AP2280" i="1"/>
  <c r="AL2280" i="1"/>
  <c r="AM2278" i="1"/>
  <c r="AP2276" i="1"/>
  <c r="AL2276" i="1"/>
  <c r="AP2275" i="1"/>
  <c r="AL2275" i="1"/>
  <c r="AP2274" i="1"/>
  <c r="AL2274" i="1"/>
  <c r="AP2273" i="1"/>
  <c r="AL2273" i="1"/>
  <c r="AP2272" i="1"/>
  <c r="AL2272" i="1"/>
  <c r="AP2258" i="1"/>
  <c r="K2257" i="1"/>
  <c r="AP2254" i="1"/>
  <c r="AL2254" i="1"/>
  <c r="AP2253" i="1"/>
  <c r="AL2253" i="1"/>
  <c r="AP2252" i="1"/>
  <c r="AL2252" i="1"/>
  <c r="AK2251" i="1"/>
  <c r="AD2251" i="1"/>
  <c r="W2251" i="1"/>
  <c r="K2251" i="1"/>
  <c r="W2250" i="1"/>
  <c r="K2250" i="1"/>
  <c r="AP2243" i="1"/>
  <c r="AL2243" i="1"/>
  <c r="AP2242" i="1"/>
  <c r="AL2242" i="1"/>
  <c r="AP2241" i="1"/>
  <c r="AP2240" i="1"/>
  <c r="AL2240" i="1"/>
  <c r="AP2238" i="1"/>
  <c r="AM2231" i="1"/>
  <c r="AP2228" i="1"/>
  <c r="AL2228" i="1"/>
  <c r="AP2227" i="1"/>
  <c r="AL2227" i="1"/>
  <c r="AK2224" i="1"/>
  <c r="AD2224" i="1"/>
  <c r="W2224" i="1"/>
  <c r="K2224" i="1"/>
  <c r="K2214" i="1"/>
  <c r="K2213" i="1"/>
  <c r="AM2210" i="1"/>
  <c r="AP2208" i="1"/>
  <c r="AL2208" i="1"/>
  <c r="AP2206" i="1"/>
  <c r="W2205" i="1"/>
  <c r="K2205" i="1"/>
  <c r="W2204" i="1"/>
  <c r="K2204" i="1"/>
  <c r="W2203" i="1"/>
  <c r="K2203" i="1"/>
  <c r="W2202" i="1"/>
  <c r="K2202" i="1"/>
  <c r="AP2185" i="1"/>
  <c r="AL2185" i="1"/>
  <c r="AP2182" i="1"/>
  <c r="AL2182" i="1"/>
  <c r="AP2181" i="1"/>
  <c r="AL2181" i="1"/>
  <c r="AP2180" i="1"/>
  <c r="AL2180" i="1"/>
  <c r="AP2179" i="1"/>
  <c r="AL2179" i="1"/>
  <c r="AI2177" i="1"/>
  <c r="AM2175" i="1"/>
  <c r="AP2174" i="1"/>
  <c r="AL2174" i="1"/>
  <c r="AP2173" i="1"/>
  <c r="AL2173" i="1"/>
  <c r="AP2170" i="1"/>
  <c r="AL2170" i="1"/>
  <c r="AP2169" i="1"/>
  <c r="AL2169" i="1"/>
  <c r="AK2167" i="1"/>
  <c r="AD2167" i="1"/>
  <c r="W2167" i="1"/>
  <c r="K2167" i="1"/>
  <c r="K2166" i="1"/>
  <c r="K2165" i="1"/>
  <c r="AD2164" i="1"/>
  <c r="AC2164" i="1"/>
  <c r="K2164" i="1"/>
  <c r="K2163" i="1"/>
  <c r="AM2155" i="1"/>
  <c r="AP2153" i="1"/>
  <c r="AL2153" i="1"/>
  <c r="AP2152" i="1"/>
  <c r="AL2152" i="1"/>
  <c r="AI2151" i="1"/>
  <c r="AP2150" i="1"/>
  <c r="AL2150" i="1"/>
  <c r="AP2146" i="1"/>
  <c r="AL2146" i="1"/>
  <c r="AP2145" i="1"/>
  <c r="AL2145" i="1"/>
  <c r="AD2144" i="1"/>
  <c r="W2144" i="1"/>
  <c r="K2144" i="1"/>
  <c r="W2143" i="1"/>
  <c r="K2143" i="1"/>
  <c r="W2142" i="1"/>
  <c r="K2142" i="1"/>
  <c r="AK2141" i="1"/>
  <c r="AD2141" i="1"/>
  <c r="W2141" i="1"/>
  <c r="K2141" i="1"/>
  <c r="AK2140" i="1"/>
  <c r="AD2140" i="1"/>
  <c r="W2140" i="1"/>
  <c r="K2140" i="1"/>
  <c r="AK2139" i="1"/>
  <c r="AD2139" i="1"/>
  <c r="W2139" i="1"/>
  <c r="K2139" i="1"/>
  <c r="K2137" i="1"/>
  <c r="K2136" i="1"/>
  <c r="K2135" i="1"/>
  <c r="K2134" i="1"/>
  <c r="K2133" i="1"/>
  <c r="K2132" i="1"/>
  <c r="AM2126" i="1"/>
  <c r="K2125" i="1"/>
  <c r="AP2118" i="1"/>
  <c r="AL2118" i="1"/>
  <c r="AP2117" i="1"/>
  <c r="AL2117" i="1"/>
  <c r="AD2116" i="1"/>
  <c r="AM2105" i="1"/>
  <c r="AP2104" i="1"/>
  <c r="AL2104" i="1"/>
  <c r="AK2101" i="1"/>
  <c r="K2101" i="1"/>
  <c r="AK2100" i="1"/>
  <c r="K2100" i="1"/>
  <c r="AK2099" i="1"/>
  <c r="K2099" i="1"/>
  <c r="AK2098" i="1"/>
  <c r="K2098" i="1"/>
  <c r="AM2090" i="1"/>
  <c r="K2087" i="1"/>
  <c r="AM2083" i="1"/>
  <c r="AP2079" i="1"/>
  <c r="AL2079" i="1"/>
  <c r="AK2078" i="1"/>
  <c r="AD2078" i="1"/>
  <c r="W2078" i="1"/>
  <c r="K2078" i="1"/>
  <c r="K2077" i="1"/>
  <c r="AM2068" i="1"/>
  <c r="AP2067" i="1"/>
  <c r="AL2067" i="1"/>
  <c r="W2066" i="1"/>
  <c r="K2066" i="1"/>
  <c r="K2065" i="1"/>
  <c r="K2064" i="1"/>
  <c r="AK2063" i="1"/>
  <c r="K2063" i="1"/>
  <c r="AM2060" i="1"/>
  <c r="AP2059" i="1"/>
  <c r="AL2059" i="1"/>
  <c r="AP2058" i="1"/>
  <c r="AL2058" i="1"/>
  <c r="AP2057" i="1"/>
  <c r="AL2057" i="1"/>
  <c r="AK2056" i="1"/>
  <c r="AD2056" i="1"/>
  <c r="W2056" i="1"/>
  <c r="K2056" i="1"/>
  <c r="AM2052" i="1"/>
  <c r="AP2049" i="1"/>
  <c r="AL2049" i="1"/>
  <c r="AL2048" i="1"/>
  <c r="AK2048" i="1"/>
  <c r="AH2048" i="1"/>
  <c r="AK2046" i="1"/>
  <c r="W2045" i="1"/>
  <c r="K2045" i="1"/>
  <c r="AD2044" i="1"/>
  <c r="W2044" i="1"/>
  <c r="K2044" i="1"/>
  <c r="AK2043" i="1"/>
  <c r="W2043" i="1"/>
  <c r="K2043" i="1"/>
  <c r="AK2042" i="1"/>
  <c r="AD2042" i="1"/>
  <c r="W2042" i="1"/>
  <c r="K2042" i="1"/>
  <c r="AD2041" i="1"/>
  <c r="W2041" i="1"/>
  <c r="K2041" i="1"/>
  <c r="AK2040" i="1"/>
  <c r="AD2040" i="1"/>
  <c r="W2040" i="1"/>
  <c r="K2040" i="1"/>
  <c r="AK2039" i="1"/>
  <c r="W2039" i="1"/>
  <c r="K2039" i="1"/>
  <c r="K2038" i="1"/>
  <c r="AP2033" i="1"/>
  <c r="AL2033" i="1"/>
  <c r="AP2032" i="1"/>
  <c r="AL2032" i="1"/>
  <c r="W2028" i="1"/>
  <c r="K2028" i="1"/>
  <c r="AD2027" i="1"/>
  <c r="W2027" i="1"/>
  <c r="K2027" i="1"/>
  <c r="AK2026" i="1"/>
  <c r="AD2026" i="1"/>
  <c r="W2026" i="1"/>
  <c r="K2026" i="1"/>
  <c r="AP2020" i="1"/>
  <c r="AL2020" i="1"/>
  <c r="AP2015" i="1"/>
  <c r="AL2015" i="1"/>
  <c r="AK2014" i="1"/>
  <c r="W2014" i="1"/>
  <c r="K2014" i="1"/>
  <c r="AM2008" i="1"/>
  <c r="AP2007" i="1"/>
  <c r="AL2007" i="1"/>
  <c r="AP2006" i="1"/>
  <c r="AL2006" i="1"/>
  <c r="AP2005" i="1"/>
  <c r="AL2005" i="1"/>
  <c r="W2003" i="1"/>
  <c r="K2003" i="1"/>
  <c r="AK2002" i="1"/>
  <c r="W2002" i="1"/>
  <c r="K2002" i="1"/>
  <c r="K2001" i="1"/>
  <c r="K1998" i="1"/>
  <c r="AP1995" i="1"/>
  <c r="AL1995" i="1"/>
  <c r="AM1980" i="1"/>
  <c r="AP1979" i="1"/>
  <c r="AL1979" i="1"/>
  <c r="AP1978" i="1"/>
  <c r="AL1978" i="1"/>
  <c r="W1973" i="1"/>
  <c r="K1973" i="1"/>
  <c r="AD1972" i="1"/>
  <c r="W1972" i="1"/>
  <c r="K1972" i="1"/>
  <c r="AK1971" i="1"/>
  <c r="W1971" i="1"/>
  <c r="K1971" i="1"/>
  <c r="AK1970" i="1"/>
  <c r="AD1970" i="1"/>
  <c r="W1970" i="1"/>
  <c r="K1970" i="1"/>
  <c r="AP1969" i="1"/>
  <c r="AL1969" i="1"/>
  <c r="AP1967" i="1"/>
  <c r="AL1967" i="1"/>
  <c r="K1966" i="1"/>
  <c r="AM1962" i="1"/>
  <c r="AP1961" i="1"/>
  <c r="AL1961" i="1"/>
  <c r="AP1959" i="1"/>
  <c r="AL1959" i="1"/>
  <c r="W1952" i="1"/>
  <c r="K1952" i="1"/>
  <c r="W1951" i="1"/>
  <c r="K1951" i="1"/>
  <c r="AD1950" i="1"/>
  <c r="W1950" i="1"/>
  <c r="K1950" i="1"/>
  <c r="AK1949" i="1"/>
  <c r="AD1949" i="1"/>
  <c r="W1949" i="1"/>
  <c r="K1949" i="1"/>
  <c r="AD1948" i="1"/>
  <c r="W1948" i="1"/>
  <c r="K1948" i="1"/>
  <c r="AD1947" i="1"/>
  <c r="W1947" i="1"/>
  <c r="K1947" i="1"/>
  <c r="AK1946" i="1"/>
  <c r="AD1946" i="1"/>
  <c r="W1946" i="1"/>
  <c r="K1946" i="1"/>
  <c r="AK1945" i="1"/>
  <c r="K1945" i="1"/>
  <c r="AM1941" i="1"/>
  <c r="AP1939" i="1"/>
  <c r="AL1939" i="1"/>
  <c r="AP1937" i="1"/>
  <c r="AL1937" i="1"/>
  <c r="W1936" i="1"/>
  <c r="K1936" i="1"/>
  <c r="AD1935" i="1"/>
  <c r="W1935" i="1"/>
  <c r="K1935" i="1"/>
  <c r="AK1934" i="1"/>
  <c r="W1934" i="1"/>
  <c r="K1934" i="1"/>
  <c r="AK1933" i="1"/>
  <c r="W1933" i="1"/>
  <c r="K1933" i="1"/>
  <c r="AK1932" i="1"/>
  <c r="K1932" i="1"/>
  <c r="AK1931" i="1"/>
  <c r="K1931" i="1"/>
  <c r="AM1921" i="1"/>
  <c r="AP1918" i="1"/>
  <c r="AL1918" i="1"/>
  <c r="AK1917" i="1"/>
  <c r="AD1917" i="1"/>
  <c r="W1917" i="1"/>
  <c r="K1917" i="1"/>
  <c r="AK1916" i="1"/>
  <c r="AD1916" i="1"/>
  <c r="W1916" i="1"/>
  <c r="K1916" i="1"/>
  <c r="AK1915" i="1"/>
  <c r="K1915" i="1"/>
  <c r="K1908" i="1"/>
  <c r="AP1879" i="1"/>
  <c r="AP1876" i="1"/>
  <c r="AL1876" i="1"/>
  <c r="AP1875" i="1"/>
  <c r="K1874" i="1"/>
  <c r="AP1873" i="1"/>
  <c r="AL1873" i="1"/>
  <c r="AP1872" i="1"/>
  <c r="AL1872" i="1"/>
  <c r="K1870" i="1"/>
  <c r="AD1862" i="1"/>
  <c r="AC1862" i="1"/>
  <c r="K1862" i="1"/>
  <c r="AP1860" i="1"/>
  <c r="AL1860" i="1"/>
  <c r="AP1859" i="1"/>
  <c r="AL1859" i="1"/>
  <c r="AM1857" i="1"/>
  <c r="AP1856" i="1"/>
  <c r="AL1856" i="1"/>
  <c r="AK1854" i="1"/>
  <c r="W1854" i="1"/>
  <c r="K1854" i="1"/>
  <c r="AK1853" i="1"/>
  <c r="K1853" i="1"/>
  <c r="K1847" i="1"/>
  <c r="K1846" i="1"/>
  <c r="AM1843" i="1"/>
  <c r="AD1836" i="1"/>
  <c r="W1836" i="1"/>
  <c r="K1836" i="1"/>
  <c r="AK1835" i="1"/>
  <c r="W1835" i="1"/>
  <c r="K1835" i="1"/>
  <c r="AK1834" i="1"/>
  <c r="W1834" i="1"/>
  <c r="K1834" i="1"/>
  <c r="AM1832" i="1"/>
  <c r="AK1830" i="1"/>
  <c r="K1830" i="1"/>
  <c r="K1825" i="1"/>
  <c r="K1824" i="1"/>
  <c r="K1823" i="1"/>
  <c r="K1821" i="1"/>
  <c r="AM1819" i="1"/>
  <c r="K1816" i="1"/>
  <c r="AM1814" i="1"/>
  <c r="AP1812" i="1"/>
  <c r="AL1812" i="1"/>
  <c r="AP1811" i="1"/>
  <c r="AL1811" i="1"/>
  <c r="AP1810" i="1"/>
  <c r="AL1810" i="1"/>
  <c r="AK1809" i="1"/>
  <c r="W1809" i="1"/>
  <c r="K1809" i="1"/>
  <c r="AK1806" i="1"/>
  <c r="K1806" i="1"/>
  <c r="AD1805" i="1"/>
  <c r="AC1805" i="1"/>
  <c r="K1805" i="1"/>
  <c r="K1804" i="1"/>
  <c r="AM1800" i="1"/>
  <c r="K1786" i="1"/>
  <c r="AP1779" i="1"/>
  <c r="AL1779" i="1"/>
  <c r="AI1770" i="1"/>
  <c r="AM1768" i="1"/>
  <c r="AP1767" i="1"/>
  <c r="AL1767" i="1"/>
  <c r="AP1766" i="1"/>
  <c r="AL1766" i="1"/>
  <c r="AP1765" i="1"/>
  <c r="AP1764" i="1"/>
  <c r="AL1764" i="1"/>
  <c r="K1760" i="1"/>
  <c r="AI1758" i="1"/>
  <c r="AM1757" i="1"/>
  <c r="K1756" i="1"/>
  <c r="AM1754" i="1"/>
  <c r="AP1753" i="1"/>
  <c r="AL1753" i="1"/>
  <c r="AP1742" i="1"/>
  <c r="AP1737" i="1"/>
  <c r="AL1737" i="1"/>
  <c r="AM1730" i="1"/>
  <c r="AD1727" i="1"/>
  <c r="AC1727" i="1"/>
  <c r="K1727" i="1"/>
  <c r="K1726" i="1"/>
  <c r="AM1717" i="1"/>
  <c r="AP1715" i="1"/>
  <c r="AL1715" i="1"/>
  <c r="AP1714" i="1"/>
  <c r="AL1714" i="1"/>
  <c r="AP1713" i="1"/>
  <c r="AL1713" i="1"/>
  <c r="AP1711" i="1"/>
  <c r="AL1711" i="1"/>
  <c r="AP1710" i="1"/>
  <c r="AL1710" i="1"/>
  <c r="K1703" i="1"/>
  <c r="AK1702" i="1"/>
  <c r="K1702" i="1"/>
  <c r="K1701" i="1"/>
  <c r="K1700" i="1"/>
  <c r="AP1699" i="1"/>
  <c r="AL1699" i="1"/>
  <c r="K1698" i="1"/>
  <c r="AP1695" i="1"/>
  <c r="AL1695" i="1"/>
  <c r="AM1687" i="1"/>
  <c r="AP1685" i="1"/>
  <c r="AL1685" i="1"/>
  <c r="AK1682" i="1"/>
  <c r="W1682" i="1"/>
  <c r="K1682" i="1"/>
  <c r="AM1679" i="1"/>
  <c r="AM1678" i="1"/>
  <c r="AK1673" i="1"/>
  <c r="AD1673" i="1"/>
  <c r="W1673" i="1"/>
  <c r="K1673" i="1"/>
  <c r="AK1672" i="1"/>
  <c r="AD1672" i="1"/>
  <c r="W1672" i="1"/>
  <c r="K1672" i="1"/>
  <c r="K1666" i="1"/>
  <c r="AM1663" i="1"/>
  <c r="AP1661" i="1"/>
  <c r="AL1661" i="1"/>
  <c r="AP1660" i="1"/>
  <c r="AL1660" i="1"/>
  <c r="AD1659" i="1"/>
  <c r="W1659" i="1"/>
  <c r="K1659" i="1"/>
  <c r="AK1658" i="1"/>
  <c r="W1658" i="1"/>
  <c r="K1658" i="1"/>
  <c r="K1656" i="1"/>
  <c r="K1655" i="1"/>
  <c r="K1654" i="1"/>
  <c r="AK1646" i="1"/>
  <c r="K1646" i="1"/>
  <c r="AM1637" i="1"/>
  <c r="W1636" i="1"/>
  <c r="K1636" i="1"/>
  <c r="AK1635" i="1"/>
  <c r="AD1635" i="1"/>
  <c r="W1635" i="1"/>
  <c r="K1635" i="1"/>
  <c r="AK1634" i="1"/>
  <c r="AD1634" i="1"/>
  <c r="W1634" i="1"/>
  <c r="K1634" i="1"/>
  <c r="AK1633" i="1"/>
  <c r="K1633" i="1"/>
  <c r="K1625" i="1"/>
  <c r="AK1608" i="1"/>
  <c r="AI1608" i="1"/>
  <c r="K1599" i="1"/>
  <c r="AM1597" i="1"/>
  <c r="W1594" i="1"/>
  <c r="K1594" i="1"/>
  <c r="AD1593" i="1"/>
  <c r="W1593" i="1"/>
  <c r="K1593" i="1"/>
  <c r="AK1592" i="1"/>
  <c r="W1592" i="1"/>
  <c r="K1592" i="1"/>
  <c r="AK1591" i="1"/>
  <c r="AD1591" i="1"/>
  <c r="W1591" i="1"/>
  <c r="K1591" i="1"/>
  <c r="K1590" i="1"/>
  <c r="AK1589" i="1"/>
  <c r="K1589" i="1"/>
  <c r="K1588" i="1"/>
  <c r="K1587" i="1"/>
  <c r="K1586" i="1"/>
  <c r="K1585" i="1"/>
  <c r="AD1584" i="1"/>
  <c r="K1584" i="1"/>
  <c r="K1579" i="1"/>
  <c r="AM1577" i="1"/>
  <c r="AK1572" i="1"/>
  <c r="K1572" i="1"/>
  <c r="K1571" i="1"/>
  <c r="AP1569" i="1"/>
  <c r="AL1569" i="1"/>
  <c r="AP1568" i="1"/>
  <c r="AL1568" i="1"/>
  <c r="K1567" i="1"/>
  <c r="AP1555" i="1"/>
  <c r="AL1555" i="1"/>
  <c r="K1553" i="1"/>
  <c r="K1548" i="1"/>
  <c r="K1547" i="1"/>
  <c r="K1546" i="1"/>
  <c r="K1545" i="1"/>
  <c r="K1544" i="1"/>
  <c r="K1543" i="1"/>
  <c r="K1542" i="1"/>
  <c r="AP1541" i="1"/>
  <c r="AL1541" i="1"/>
  <c r="K1540" i="1"/>
  <c r="K1539" i="1"/>
  <c r="AP1536" i="1"/>
  <c r="AL1536" i="1"/>
  <c r="AP1535" i="1"/>
  <c r="AL1535" i="1"/>
  <c r="W1534" i="1"/>
  <c r="K1534" i="1"/>
  <c r="AK1533" i="1"/>
  <c r="AD1533" i="1"/>
  <c r="W1533" i="1"/>
  <c r="K1533" i="1"/>
  <c r="AK1532" i="1"/>
  <c r="AD1532" i="1"/>
  <c r="W1532" i="1"/>
  <c r="K1532" i="1"/>
  <c r="K1531" i="1"/>
  <c r="AM1529" i="1"/>
  <c r="AP1528" i="1"/>
  <c r="AL1528" i="1"/>
  <c r="AD1526" i="1"/>
  <c r="W1526" i="1"/>
  <c r="K1526" i="1"/>
  <c r="AK1525" i="1"/>
  <c r="AD1525" i="1"/>
  <c r="W1525" i="1"/>
  <c r="K1525" i="1"/>
  <c r="AD1524" i="1"/>
  <c r="K1524" i="1"/>
  <c r="K1523" i="1"/>
  <c r="K1512" i="1"/>
  <c r="AP1505" i="1"/>
  <c r="AL1505" i="1"/>
  <c r="AM1493" i="1"/>
  <c r="AD1485" i="1"/>
  <c r="W1485" i="1"/>
  <c r="K1485" i="1"/>
  <c r="AK1484" i="1"/>
  <c r="W1484" i="1"/>
  <c r="K1484" i="1"/>
  <c r="AK1483" i="1"/>
  <c r="AD1483" i="1"/>
  <c r="W1483" i="1"/>
  <c r="K1483" i="1"/>
  <c r="AK1482" i="1"/>
  <c r="AD1482" i="1"/>
  <c r="W1482" i="1"/>
  <c r="K1482" i="1"/>
  <c r="K1481" i="1"/>
  <c r="K1480" i="1"/>
  <c r="AD1479" i="1"/>
  <c r="AC1479" i="1"/>
  <c r="K1479" i="1"/>
  <c r="AP1475" i="1"/>
  <c r="AL1475" i="1"/>
  <c r="AP1474" i="1"/>
  <c r="AL1474" i="1"/>
  <c r="AD1472" i="1"/>
  <c r="W1472" i="1"/>
  <c r="K1472" i="1"/>
  <c r="AK1471" i="1"/>
  <c r="W1471" i="1"/>
  <c r="K1471" i="1"/>
  <c r="AM1452" i="1"/>
  <c r="AK1451" i="1"/>
  <c r="K1451" i="1"/>
  <c r="AM1445" i="1"/>
  <c r="K1442" i="1"/>
  <c r="AK1441" i="1"/>
  <c r="W1441" i="1"/>
  <c r="K1441" i="1"/>
  <c r="AM1435" i="1"/>
  <c r="AP1433" i="1"/>
  <c r="AL1433" i="1"/>
  <c r="AK1431" i="1"/>
  <c r="AD1431" i="1"/>
  <c r="W1431" i="1"/>
  <c r="K1431" i="1"/>
  <c r="W1430" i="1"/>
  <c r="K1430" i="1"/>
  <c r="K1429" i="1"/>
  <c r="AM1428" i="1"/>
  <c r="AM1427" i="1"/>
  <c r="AK1425" i="1"/>
  <c r="W1425" i="1"/>
  <c r="K1425" i="1"/>
  <c r="AM1422" i="1"/>
  <c r="K1421" i="1"/>
  <c r="K1420" i="1"/>
  <c r="AK1419" i="1"/>
  <c r="K1419" i="1"/>
  <c r="AM1417" i="1"/>
  <c r="K1416" i="1"/>
  <c r="AM1414" i="1"/>
  <c r="K1412" i="1"/>
  <c r="AD1410" i="1"/>
  <c r="AC1410" i="1"/>
  <c r="K1410" i="1"/>
  <c r="K1409" i="1"/>
  <c r="K1408" i="1"/>
  <c r="K1404" i="1"/>
  <c r="AD1403" i="1"/>
  <c r="AC1403" i="1"/>
  <c r="K1403" i="1"/>
  <c r="AM1397" i="1"/>
  <c r="K1396" i="1"/>
  <c r="AD1391" i="1"/>
  <c r="AC1391" i="1"/>
  <c r="K1391" i="1"/>
  <c r="AM1389" i="1"/>
  <c r="AK1388" i="1"/>
  <c r="K1388" i="1"/>
  <c r="K1386" i="1"/>
  <c r="K1378" i="1"/>
  <c r="K1377" i="1"/>
  <c r="AM1374" i="1"/>
  <c r="AK1369" i="1"/>
  <c r="W1369" i="1"/>
  <c r="K1369" i="1"/>
  <c r="AK1368" i="1"/>
  <c r="W1368" i="1"/>
  <c r="K1368" i="1"/>
  <c r="AK1367" i="1"/>
  <c r="W1367" i="1"/>
  <c r="K1367" i="1"/>
  <c r="K1366" i="1"/>
  <c r="AK1365" i="1"/>
  <c r="K1365" i="1"/>
  <c r="K1360" i="1"/>
  <c r="AM1359" i="1"/>
  <c r="AM1358" i="1"/>
  <c r="K1357" i="1"/>
  <c r="K1355" i="1"/>
  <c r="K1354" i="1"/>
  <c r="AM1352" i="1"/>
  <c r="AP1351" i="1"/>
  <c r="AL1351" i="1"/>
  <c r="K1350" i="1"/>
  <c r="AM1348" i="1"/>
  <c r="AD1345" i="1"/>
  <c r="W1345" i="1"/>
  <c r="K1345" i="1"/>
  <c r="AK1344" i="1"/>
  <c r="W1344" i="1"/>
  <c r="K1344" i="1"/>
  <c r="AK1343" i="1"/>
  <c r="AD1343" i="1"/>
  <c r="W1343" i="1"/>
  <c r="K1343" i="1"/>
  <c r="AK1342" i="1"/>
  <c r="W1342" i="1"/>
  <c r="K1342" i="1"/>
  <c r="K1341" i="1"/>
  <c r="K1340" i="1"/>
  <c r="K1339" i="1"/>
  <c r="K1338" i="1"/>
  <c r="K1337" i="1"/>
  <c r="K1336" i="1"/>
  <c r="K1335" i="1"/>
  <c r="K1334" i="1"/>
  <c r="K1333" i="1"/>
  <c r="AM1332" i="1"/>
  <c r="AM1331" i="1"/>
  <c r="K1330" i="1"/>
  <c r="K1329" i="1"/>
  <c r="K1328" i="1"/>
  <c r="AM1326" i="1"/>
  <c r="AK1325" i="1"/>
  <c r="K1325" i="1"/>
  <c r="K1323" i="1"/>
  <c r="K1322" i="1"/>
  <c r="K1321" i="1"/>
  <c r="AD1319" i="1"/>
  <c r="AC1319" i="1"/>
  <c r="W1319" i="1"/>
  <c r="K1319" i="1"/>
  <c r="K1318" i="1"/>
  <c r="K1317" i="1"/>
  <c r="K1316" i="1"/>
  <c r="K1315" i="1"/>
  <c r="AP1312" i="1"/>
  <c r="AL1312" i="1"/>
  <c r="K1310" i="1"/>
  <c r="K1309" i="1"/>
  <c r="AD1308" i="1"/>
  <c r="AC1308" i="1"/>
  <c r="AD1307" i="1"/>
  <c r="AC1307" i="1"/>
  <c r="AM1306" i="1"/>
  <c r="AM1305" i="1"/>
  <c r="AP1303" i="1"/>
  <c r="AL1303" i="1"/>
  <c r="AK1302" i="1"/>
  <c r="W1302" i="1"/>
  <c r="K1302" i="1"/>
  <c r="AK1301" i="1"/>
  <c r="W1301" i="1"/>
  <c r="K1301" i="1"/>
  <c r="AK1300" i="1"/>
  <c r="W1300" i="1"/>
  <c r="K1300" i="1"/>
  <c r="AK1299" i="1"/>
  <c r="K1299" i="1"/>
  <c r="AD1297" i="1"/>
  <c r="AD1296" i="1"/>
  <c r="AP1295" i="1"/>
  <c r="AL1295" i="1"/>
  <c r="AM1293" i="1"/>
  <c r="AP1292" i="1"/>
  <c r="AL1292" i="1"/>
  <c r="AM1290" i="1"/>
  <c r="AM1289" i="1"/>
  <c r="AP1287" i="1"/>
  <c r="AL1287" i="1"/>
  <c r="AM1283" i="1"/>
  <c r="AM1282" i="1"/>
  <c r="AP1281" i="1"/>
  <c r="AL1281" i="1"/>
  <c r="AM1278" i="1"/>
  <c r="AM1275" i="1"/>
  <c r="AM1271" i="1"/>
  <c r="AM1270" i="1"/>
  <c r="AP1269" i="1"/>
  <c r="AL1269" i="1"/>
  <c r="AM1265" i="1"/>
  <c r="AM1264" i="1"/>
  <c r="AD1259" i="1"/>
  <c r="AM1258" i="1"/>
  <c r="AM1257" i="1"/>
  <c r="AL1256" i="1"/>
  <c r="AM1254" i="1"/>
  <c r="AM1253" i="1"/>
  <c r="AP1252" i="1"/>
  <c r="AL1252" i="1"/>
  <c r="K1251" i="1"/>
  <c r="K1250" i="1"/>
  <c r="AI1249" i="1"/>
  <c r="AM1247" i="1"/>
  <c r="AM1246" i="1"/>
  <c r="AP1243" i="1"/>
  <c r="AL1243" i="1"/>
  <c r="K1242" i="1"/>
  <c r="W1241" i="1"/>
  <c r="K1241" i="1"/>
  <c r="AK1240" i="1"/>
  <c r="AD1240" i="1"/>
  <c r="W1240" i="1"/>
  <c r="K1240" i="1"/>
  <c r="AK1239" i="1"/>
  <c r="AD1239" i="1"/>
  <c r="W1239" i="1"/>
  <c r="K1239" i="1"/>
  <c r="AK1238" i="1"/>
  <c r="AD1238" i="1"/>
  <c r="W1238" i="1"/>
  <c r="K1238" i="1"/>
  <c r="AD1237" i="1"/>
  <c r="K1235" i="1"/>
  <c r="AD1233" i="1"/>
  <c r="AM1232" i="1"/>
  <c r="AM1231" i="1"/>
  <c r="AP1230" i="1"/>
  <c r="AL1230" i="1"/>
  <c r="AK1229" i="1"/>
  <c r="K1229" i="1"/>
  <c r="AD1227" i="1"/>
  <c r="AP1223" i="1"/>
  <c r="AL1223" i="1"/>
  <c r="AP1222" i="1"/>
  <c r="AL1222" i="1"/>
  <c r="AD1219" i="1"/>
  <c r="AD1218" i="1"/>
  <c r="W1218" i="1"/>
  <c r="K1218" i="1"/>
  <c r="W1217" i="1"/>
  <c r="K1217" i="1"/>
  <c r="AK1216" i="1"/>
  <c r="AD1216" i="1"/>
  <c r="W1216" i="1"/>
  <c r="K1216" i="1"/>
  <c r="AK1215" i="1"/>
  <c r="AD1215" i="1"/>
  <c r="W1215" i="1"/>
  <c r="K1215" i="1"/>
  <c r="K1214" i="1"/>
  <c r="AP1209" i="1"/>
  <c r="AL1209" i="1"/>
  <c r="AP1206" i="1"/>
  <c r="AL1206" i="1"/>
  <c r="AP1205" i="1"/>
  <c r="AL1205" i="1"/>
  <c r="AD1204" i="1"/>
  <c r="W1204" i="1"/>
  <c r="K1204" i="1"/>
  <c r="AD1203" i="1"/>
  <c r="W1203" i="1"/>
  <c r="K1203" i="1"/>
  <c r="AD1202" i="1"/>
  <c r="W1202" i="1"/>
  <c r="K1202" i="1"/>
  <c r="K1201" i="1"/>
  <c r="K1200" i="1"/>
  <c r="AK1199" i="1"/>
  <c r="K1199" i="1"/>
  <c r="K1197" i="1"/>
  <c r="AD1196" i="1"/>
  <c r="AM1194" i="1"/>
  <c r="AM1192" i="1"/>
  <c r="AM1186" i="1"/>
  <c r="AM1185" i="1"/>
  <c r="AP1184" i="1"/>
  <c r="AL1184" i="1"/>
  <c r="AD1182" i="1"/>
  <c r="AC1182" i="1"/>
  <c r="K1182" i="1"/>
  <c r="AD1181" i="1"/>
  <c r="W1181" i="1"/>
  <c r="K1181" i="1"/>
  <c r="AD1180" i="1"/>
  <c r="W1180" i="1"/>
  <c r="K1180" i="1"/>
  <c r="AD1179" i="1"/>
  <c r="W1179" i="1"/>
  <c r="K1179" i="1"/>
  <c r="AM1175" i="1"/>
  <c r="AI1173" i="1"/>
  <c r="AL1170" i="1"/>
  <c r="K1166" i="1"/>
  <c r="AD1165" i="1"/>
  <c r="W1165" i="1"/>
  <c r="K1165" i="1"/>
  <c r="W1164" i="1"/>
  <c r="K1164" i="1"/>
  <c r="AK1163" i="1"/>
  <c r="AD1163" i="1"/>
  <c r="W1163" i="1"/>
  <c r="K1163" i="1"/>
  <c r="AM1161" i="1"/>
  <c r="AM1160" i="1"/>
  <c r="K1156" i="1"/>
  <c r="AD1155" i="1"/>
  <c r="W1155" i="1"/>
  <c r="K1155" i="1"/>
  <c r="W1154" i="1"/>
  <c r="K1154" i="1"/>
  <c r="AD1153" i="1"/>
  <c r="W1153" i="1"/>
  <c r="K1153" i="1"/>
  <c r="AK1152" i="1"/>
  <c r="W1152" i="1"/>
  <c r="K1152" i="1"/>
  <c r="AD1136" i="1"/>
  <c r="AP1135" i="1"/>
  <c r="AL1135" i="1"/>
  <c r="AP1134" i="1"/>
  <c r="AL1134" i="1"/>
  <c r="AM1126" i="1"/>
  <c r="AP1122" i="1"/>
  <c r="AL1122" i="1"/>
  <c r="AM1120" i="1"/>
  <c r="AM1119" i="1"/>
  <c r="AP1115" i="1"/>
  <c r="K1113" i="1"/>
  <c r="K1112" i="1"/>
  <c r="AD1111" i="1"/>
  <c r="W1111" i="1"/>
  <c r="K1111" i="1"/>
  <c r="AK1110" i="1"/>
  <c r="AD1110" i="1"/>
  <c r="W1110" i="1"/>
  <c r="K1110" i="1"/>
  <c r="AK1109" i="1"/>
  <c r="AD1109" i="1"/>
  <c r="W1109" i="1"/>
  <c r="K1109" i="1"/>
  <c r="AK1108" i="1"/>
  <c r="W1108" i="1"/>
  <c r="K1108" i="1"/>
  <c r="K1107" i="1"/>
  <c r="K1106" i="1"/>
  <c r="K1105" i="1"/>
  <c r="AD1104" i="1"/>
  <c r="AM1102" i="1"/>
  <c r="K1101" i="1"/>
  <c r="AM1099" i="1"/>
  <c r="AM1098" i="1"/>
  <c r="K1097" i="1"/>
  <c r="AM1096" i="1"/>
  <c r="AM1095" i="1"/>
  <c r="AM1093" i="1"/>
  <c r="AM1089" i="1"/>
  <c r="AM1087" i="1"/>
  <c r="AP1086" i="1"/>
  <c r="AM1084" i="1"/>
  <c r="K1083" i="1"/>
  <c r="AM1081" i="1"/>
  <c r="AP1080" i="1"/>
  <c r="AL1080" i="1"/>
  <c r="AM1077" i="1"/>
  <c r="AP1073" i="1"/>
  <c r="AL1073" i="1"/>
  <c r="AD1069" i="1"/>
  <c r="AM1066" i="1"/>
  <c r="AD1065" i="1"/>
  <c r="AC1065" i="1"/>
  <c r="K1065" i="1"/>
  <c r="AD1064" i="1"/>
  <c r="AC1064" i="1"/>
  <c r="K1064" i="1"/>
  <c r="AD1058" i="1"/>
  <c r="AC1058" i="1"/>
  <c r="K1058" i="1"/>
  <c r="W1057" i="1"/>
  <c r="K1057" i="1"/>
  <c r="AM1056" i="1"/>
  <c r="K1054" i="1"/>
  <c r="AD1051" i="1"/>
  <c r="AP1050" i="1"/>
  <c r="AL1050" i="1"/>
  <c r="AP1049" i="1"/>
  <c r="AL1049" i="1"/>
  <c r="K1048" i="1"/>
  <c r="AD1047" i="1"/>
  <c r="AC1047" i="1"/>
  <c r="K1047" i="1"/>
  <c r="K1046" i="1"/>
  <c r="W1045" i="1"/>
  <c r="K1045" i="1"/>
  <c r="AK1044" i="1"/>
  <c r="AD1044" i="1"/>
  <c r="W1044" i="1"/>
  <c r="K1044" i="1"/>
  <c r="AK1043" i="1"/>
  <c r="AD1043" i="1"/>
  <c r="W1043" i="1"/>
  <c r="K1043" i="1"/>
  <c r="AK1042" i="1"/>
  <c r="AD1042" i="1"/>
  <c r="W1042" i="1"/>
  <c r="K1042" i="1"/>
  <c r="AK1040" i="1"/>
  <c r="AD1040" i="1"/>
  <c r="AM1037" i="1"/>
  <c r="K1035" i="1"/>
  <c r="K1034" i="1"/>
  <c r="K1033" i="1"/>
  <c r="AD1032" i="1"/>
  <c r="W1032" i="1"/>
  <c r="K1032" i="1"/>
  <c r="W1031" i="1"/>
  <c r="K1031" i="1"/>
  <c r="W1030" i="1"/>
  <c r="K1030" i="1"/>
  <c r="AK1029" i="1"/>
  <c r="W1029" i="1"/>
  <c r="K1029" i="1"/>
  <c r="K1028" i="1"/>
  <c r="K1027" i="1"/>
  <c r="AD1026" i="1"/>
  <c r="AM1024" i="1"/>
  <c r="AP1022" i="1"/>
  <c r="AL1022" i="1"/>
  <c r="K1021" i="1"/>
  <c r="K1020" i="1"/>
  <c r="AD1019" i="1"/>
  <c r="W1019" i="1"/>
  <c r="K1019" i="1"/>
  <c r="AK1018" i="1"/>
  <c r="AD1018" i="1"/>
  <c r="W1018" i="1"/>
  <c r="K1018" i="1"/>
  <c r="AK1012" i="1"/>
  <c r="AD1012" i="1"/>
  <c r="W1012" i="1"/>
  <c r="K1012" i="1"/>
  <c r="AK1011" i="1"/>
  <c r="AD1011" i="1"/>
  <c r="W1011" i="1"/>
  <c r="K1011" i="1"/>
  <c r="AP1008" i="1"/>
  <c r="AL1008" i="1"/>
  <c r="K1007" i="1"/>
  <c r="W1006" i="1"/>
  <c r="K1006" i="1"/>
  <c r="AK1005" i="1"/>
  <c r="W1005" i="1"/>
  <c r="K1005" i="1"/>
  <c r="AK1004" i="1"/>
  <c r="W1004" i="1"/>
  <c r="K1004" i="1"/>
  <c r="AM1001" i="1"/>
  <c r="AP1000" i="1"/>
  <c r="AL1000" i="1"/>
  <c r="AP999" i="1"/>
  <c r="AL999" i="1"/>
  <c r="AK995" i="1"/>
  <c r="AD995" i="1"/>
  <c r="AM994" i="1"/>
  <c r="K990" i="1"/>
  <c r="K989" i="1"/>
  <c r="K988" i="1"/>
  <c r="K987" i="1"/>
  <c r="K986" i="1"/>
  <c r="K985" i="1"/>
  <c r="AD984" i="1"/>
  <c r="W984" i="1"/>
  <c r="K984" i="1"/>
  <c r="AK983" i="1"/>
  <c r="AD983" i="1"/>
  <c r="W983" i="1"/>
  <c r="K983" i="1"/>
  <c r="AK982" i="1"/>
  <c r="AD982" i="1"/>
  <c r="W982" i="1"/>
  <c r="K982" i="1"/>
  <c r="K981" i="1"/>
  <c r="K980" i="1"/>
  <c r="K979" i="1"/>
  <c r="K978" i="1"/>
  <c r="AD974" i="1"/>
  <c r="W974" i="1"/>
  <c r="K974" i="1"/>
  <c r="K973" i="1"/>
  <c r="K971" i="1"/>
  <c r="AM967" i="1"/>
  <c r="AF963" i="1"/>
  <c r="AD963" i="1"/>
  <c r="AC963" i="1"/>
  <c r="K963" i="1"/>
  <c r="AF962" i="1"/>
  <c r="K958" i="1"/>
  <c r="AK956" i="1"/>
  <c r="K956" i="1"/>
  <c r="AM953" i="1"/>
  <c r="AD952" i="1"/>
  <c r="W952" i="1"/>
  <c r="K952" i="1"/>
  <c r="AM951" i="1"/>
  <c r="AM949" i="1"/>
  <c r="AM945" i="1"/>
  <c r="AM943" i="1"/>
  <c r="AM941" i="1"/>
  <c r="K940" i="1"/>
  <c r="AM939" i="1"/>
  <c r="AM937" i="1"/>
  <c r="K936" i="1"/>
  <c r="K932" i="1"/>
  <c r="K931" i="1"/>
  <c r="K930" i="1"/>
  <c r="AD928" i="1"/>
  <c r="W928" i="1"/>
  <c r="K928" i="1"/>
  <c r="AD927" i="1"/>
  <c r="W927" i="1"/>
  <c r="K927" i="1"/>
  <c r="AD926" i="1"/>
  <c r="W926" i="1"/>
  <c r="K926" i="1"/>
  <c r="AD925" i="1"/>
  <c r="W925" i="1"/>
  <c r="K925" i="1"/>
  <c r="AK924" i="1"/>
  <c r="AD924" i="1"/>
  <c r="W924" i="1"/>
  <c r="K924" i="1"/>
  <c r="K923" i="1"/>
  <c r="AK922" i="1"/>
  <c r="AD922" i="1"/>
  <c r="AC922" i="1"/>
  <c r="K922" i="1"/>
  <c r="AM920" i="1"/>
  <c r="AP919" i="1"/>
  <c r="AL919" i="1"/>
  <c r="K915" i="1"/>
  <c r="K914" i="1"/>
  <c r="K910" i="1"/>
  <c r="AD909" i="1"/>
  <c r="W909" i="1"/>
  <c r="K909" i="1"/>
  <c r="AP903" i="1"/>
  <c r="AL903" i="1"/>
  <c r="K902" i="1"/>
  <c r="AM900" i="1"/>
  <c r="AP898" i="1"/>
  <c r="AL898" i="1"/>
  <c r="AM897" i="1"/>
  <c r="AK895" i="1"/>
  <c r="K895" i="1"/>
  <c r="K894" i="1"/>
  <c r="AD893" i="1"/>
  <c r="W893" i="1"/>
  <c r="K893" i="1"/>
  <c r="AD892" i="1"/>
  <c r="W892" i="1"/>
  <c r="K892" i="1"/>
  <c r="AD891" i="1"/>
  <c r="W891" i="1"/>
  <c r="K891" i="1"/>
  <c r="AK890" i="1"/>
  <c r="AD890" i="1"/>
  <c r="W890" i="1"/>
  <c r="K890" i="1"/>
  <c r="AM888" i="1"/>
  <c r="K885" i="1"/>
  <c r="K884" i="1"/>
  <c r="K883" i="1"/>
  <c r="AK882" i="1"/>
  <c r="AD882" i="1"/>
  <c r="W882" i="1"/>
  <c r="K882" i="1"/>
  <c r="AM877" i="1"/>
  <c r="K876" i="1"/>
  <c r="W875" i="1"/>
  <c r="K875" i="1"/>
  <c r="AD874" i="1"/>
  <c r="W874" i="1"/>
  <c r="K874" i="1"/>
  <c r="AD873" i="1"/>
  <c r="W873" i="1"/>
  <c r="K873" i="1"/>
  <c r="AK872" i="1"/>
  <c r="AD872" i="1"/>
  <c r="W872" i="1"/>
  <c r="K872" i="1"/>
  <c r="K871" i="1"/>
  <c r="K870" i="1"/>
  <c r="AP862" i="1"/>
  <c r="AL862" i="1"/>
  <c r="K861" i="1"/>
  <c r="AD859" i="1"/>
  <c r="W859" i="1"/>
  <c r="K859" i="1"/>
  <c r="AD858" i="1"/>
  <c r="W858" i="1"/>
  <c r="K858" i="1"/>
  <c r="AD857" i="1"/>
  <c r="W857" i="1"/>
  <c r="K857" i="1"/>
  <c r="W856" i="1"/>
  <c r="K856" i="1"/>
  <c r="AK855" i="1"/>
  <c r="AD855" i="1"/>
  <c r="W855" i="1"/>
  <c r="K855" i="1"/>
  <c r="K854" i="1"/>
  <c r="W852" i="1"/>
  <c r="K852" i="1"/>
  <c r="AM849" i="1"/>
  <c r="K844" i="1"/>
  <c r="K843" i="1"/>
  <c r="AM841" i="1"/>
  <c r="K839" i="1"/>
  <c r="K837" i="1"/>
  <c r="K836" i="1"/>
  <c r="K835" i="1"/>
  <c r="AK834" i="1"/>
  <c r="K834" i="1"/>
  <c r="AD833" i="1"/>
  <c r="W833" i="1"/>
  <c r="K833" i="1"/>
  <c r="AD832" i="1"/>
  <c r="W832" i="1"/>
  <c r="K832" i="1"/>
  <c r="AK831" i="1"/>
  <c r="AD831" i="1"/>
  <c r="W831" i="1"/>
  <c r="AD830" i="1"/>
  <c r="AC830" i="1"/>
  <c r="K830" i="1"/>
  <c r="K829" i="1"/>
  <c r="K827" i="1"/>
  <c r="K826" i="1"/>
  <c r="K820" i="1"/>
  <c r="K818" i="1"/>
  <c r="AM815" i="1"/>
  <c r="AP812" i="1"/>
  <c r="AL812" i="1"/>
  <c r="W811" i="1"/>
  <c r="K811" i="1"/>
  <c r="K803" i="1"/>
  <c r="AM800" i="1"/>
  <c r="AD797" i="1"/>
  <c r="W797" i="1"/>
  <c r="K797" i="1"/>
  <c r="K796" i="1"/>
  <c r="K793" i="1"/>
  <c r="AL788" i="1"/>
  <c r="AP787" i="1"/>
  <c r="AL787" i="1"/>
  <c r="AK785" i="1"/>
  <c r="AD785" i="1"/>
  <c r="W785" i="1"/>
  <c r="K785" i="1"/>
  <c r="K784" i="1"/>
  <c r="K783" i="1"/>
  <c r="AM780" i="1"/>
  <c r="K777" i="1"/>
  <c r="K776" i="1"/>
  <c r="AK775" i="1"/>
  <c r="W775" i="1"/>
  <c r="K775" i="1"/>
  <c r="AM772" i="1"/>
  <c r="AM770" i="1"/>
  <c r="AP769" i="1"/>
  <c r="AL769" i="1"/>
  <c r="K768" i="1"/>
  <c r="K767" i="1"/>
  <c r="AM765" i="1"/>
  <c r="K764" i="1"/>
  <c r="AM761" i="1"/>
  <c r="AP760" i="1"/>
  <c r="AL760" i="1"/>
  <c r="K759" i="1"/>
  <c r="AM756" i="1"/>
  <c r="K755" i="1"/>
  <c r="K752" i="1"/>
  <c r="AD750" i="1"/>
  <c r="AC750" i="1"/>
  <c r="K750" i="1"/>
  <c r="AD749" i="1"/>
  <c r="AC749" i="1"/>
  <c r="K749" i="1"/>
  <c r="AM748" i="1"/>
  <c r="AM747" i="1"/>
  <c r="K745" i="1"/>
  <c r="K744" i="1"/>
  <c r="K743" i="1"/>
  <c r="AM742" i="1"/>
  <c r="AL741" i="1"/>
  <c r="K740" i="1"/>
  <c r="K739" i="1"/>
  <c r="K738" i="1"/>
  <c r="AM737" i="1"/>
  <c r="K735" i="1"/>
  <c r="K734" i="1"/>
  <c r="AM733" i="1"/>
  <c r="AP732" i="1"/>
  <c r="AL732" i="1"/>
  <c r="K730" i="1"/>
  <c r="K729" i="1"/>
  <c r="K727" i="1"/>
  <c r="AM726" i="1"/>
  <c r="AP724" i="1"/>
  <c r="AL724" i="1"/>
  <c r="AD723" i="1"/>
  <c r="AC723" i="1"/>
  <c r="K723" i="1"/>
  <c r="AM722" i="1"/>
  <c r="AP720" i="1"/>
  <c r="AL720" i="1"/>
  <c r="K718" i="1"/>
  <c r="K717" i="1"/>
  <c r="K716" i="1"/>
  <c r="K714" i="1"/>
  <c r="K713" i="1"/>
  <c r="K712" i="1"/>
  <c r="AM711" i="1"/>
  <c r="K710" i="1"/>
  <c r="K709" i="1"/>
  <c r="AM706" i="1"/>
  <c r="AP705" i="1"/>
  <c r="AL705" i="1"/>
  <c r="K704" i="1"/>
  <c r="K703" i="1"/>
  <c r="K702" i="1"/>
  <c r="AP700" i="1"/>
  <c r="AL700" i="1"/>
  <c r="K699" i="1"/>
  <c r="K697" i="1"/>
  <c r="AD696" i="1"/>
  <c r="AC696" i="1"/>
  <c r="W696" i="1"/>
  <c r="K696" i="1"/>
  <c r="AM695" i="1"/>
  <c r="K692" i="1"/>
  <c r="K691" i="1"/>
  <c r="K690" i="1"/>
  <c r="K689" i="1"/>
  <c r="AK688" i="1"/>
  <c r="K688" i="1"/>
  <c r="K685" i="1"/>
  <c r="AM684" i="1"/>
  <c r="K682" i="1"/>
  <c r="K681" i="1"/>
  <c r="AM679" i="1"/>
  <c r="K678" i="1"/>
  <c r="K677" i="1"/>
  <c r="K676" i="1"/>
  <c r="K675" i="1"/>
  <c r="K674" i="1"/>
  <c r="K673" i="1"/>
  <c r="K669" i="1"/>
  <c r="AM664" i="1"/>
  <c r="AP662" i="1"/>
  <c r="AL662" i="1"/>
  <c r="AP661" i="1"/>
  <c r="AL661" i="1"/>
  <c r="AK661" i="1"/>
  <c r="AI661" i="1"/>
  <c r="K658" i="1"/>
  <c r="K657" i="1"/>
  <c r="AD656" i="1"/>
  <c r="AC656" i="1"/>
  <c r="W656" i="1"/>
  <c r="K656" i="1"/>
  <c r="AM654" i="1"/>
  <c r="K651" i="1"/>
  <c r="K650" i="1"/>
  <c r="K645" i="1"/>
  <c r="AM642" i="1"/>
  <c r="K634" i="1"/>
  <c r="K633" i="1"/>
  <c r="AM632" i="1"/>
  <c r="AM631" i="1"/>
  <c r="AM630" i="1"/>
  <c r="AD628" i="1"/>
  <c r="AC628" i="1"/>
  <c r="K628" i="1"/>
  <c r="AK627" i="1"/>
  <c r="K627" i="1"/>
  <c r="K626" i="1"/>
  <c r="K625" i="1"/>
  <c r="K623" i="1"/>
  <c r="AM622" i="1"/>
  <c r="AP621" i="1"/>
  <c r="AL621" i="1"/>
  <c r="K618" i="1"/>
  <c r="K617" i="1"/>
  <c r="K616" i="1"/>
  <c r="AM613" i="1"/>
  <c r="AK611" i="1"/>
  <c r="K611" i="1"/>
  <c r="AM608" i="1"/>
  <c r="AP607" i="1"/>
  <c r="AL607" i="1"/>
  <c r="K606" i="1"/>
  <c r="K605" i="1"/>
  <c r="K604" i="1"/>
  <c r="AD602" i="1"/>
  <c r="AC602" i="1"/>
  <c r="K602" i="1"/>
  <c r="K599" i="1"/>
  <c r="AD597" i="1"/>
  <c r="AC597" i="1"/>
  <c r="K597" i="1"/>
  <c r="K595" i="1"/>
  <c r="K594" i="1"/>
  <c r="AM592" i="1"/>
  <c r="K591" i="1"/>
  <c r="K590" i="1"/>
  <c r="AP589" i="1"/>
  <c r="AP588" i="1"/>
  <c r="AL588" i="1"/>
  <c r="K586" i="1"/>
  <c r="K585" i="1"/>
  <c r="K583" i="1"/>
  <c r="K582" i="1"/>
  <c r="AP578" i="1"/>
  <c r="AL578" i="1"/>
  <c r="K576" i="1"/>
  <c r="K575" i="1"/>
  <c r="K574" i="1"/>
  <c r="K573" i="1"/>
  <c r="K572" i="1"/>
  <c r="K568" i="1"/>
  <c r="K567" i="1"/>
  <c r="AP566" i="1"/>
  <c r="AL566" i="1"/>
  <c r="K565" i="1"/>
  <c r="K564" i="1"/>
  <c r="K563" i="1"/>
  <c r="K562" i="1"/>
  <c r="K555" i="1"/>
  <c r="K554" i="1"/>
  <c r="K553" i="1"/>
  <c r="K552" i="1"/>
  <c r="K551" i="1"/>
  <c r="K550" i="1"/>
  <c r="K549" i="1"/>
  <c r="AD548" i="1"/>
  <c r="AC548" i="1"/>
  <c r="K546" i="1"/>
  <c r="K545" i="1"/>
  <c r="K544" i="1"/>
  <c r="AK543" i="1"/>
  <c r="K543" i="1"/>
  <c r="K542" i="1"/>
  <c r="AD541" i="1"/>
  <c r="AC541" i="1"/>
  <c r="K541" i="1"/>
  <c r="AD540" i="1"/>
  <c r="AC540" i="1"/>
  <c r="K540" i="1"/>
  <c r="AD538" i="1"/>
  <c r="AC538" i="1"/>
  <c r="K538" i="1"/>
  <c r="AD537" i="1"/>
  <c r="AC537" i="1"/>
  <c r="K537" i="1"/>
  <c r="AD535" i="1"/>
  <c r="K535" i="1"/>
  <c r="AP533" i="1"/>
  <c r="AL533" i="1"/>
  <c r="AD531" i="1"/>
  <c r="AC531" i="1"/>
  <c r="K531" i="1"/>
  <c r="K530" i="1"/>
  <c r="K529" i="1"/>
  <c r="K528" i="1"/>
  <c r="K526" i="1"/>
  <c r="K525" i="1"/>
  <c r="AD524" i="1"/>
  <c r="K524" i="1"/>
  <c r="K523" i="1"/>
  <c r="AD521" i="1"/>
  <c r="AC521" i="1"/>
  <c r="K521" i="1"/>
  <c r="AD520" i="1"/>
  <c r="AC520" i="1"/>
  <c r="K520" i="1"/>
  <c r="K517" i="1"/>
  <c r="K516" i="1"/>
  <c r="AD515" i="1"/>
  <c r="AC515" i="1"/>
  <c r="K515" i="1"/>
  <c r="AD514" i="1"/>
  <c r="AC514" i="1"/>
  <c r="K514" i="1"/>
  <c r="AD511" i="1"/>
  <c r="AC511" i="1"/>
  <c r="K511" i="1"/>
  <c r="K510" i="1"/>
  <c r="K509" i="1"/>
  <c r="K508" i="1"/>
  <c r="AD506" i="1"/>
  <c r="AC506" i="1"/>
  <c r="K506" i="1"/>
  <c r="AD505" i="1"/>
  <c r="AC505" i="1"/>
  <c r="K505" i="1"/>
  <c r="K504" i="1"/>
  <c r="AD502" i="1"/>
  <c r="AC502" i="1"/>
  <c r="K502" i="1"/>
  <c r="AD501" i="1"/>
  <c r="AC501" i="1"/>
  <c r="K501" i="1"/>
  <c r="AP498" i="1"/>
  <c r="AL498" i="1"/>
  <c r="K497" i="1"/>
  <c r="AD496" i="1"/>
  <c r="AC496" i="1"/>
  <c r="K496" i="1"/>
  <c r="AD495" i="1"/>
  <c r="AC495" i="1"/>
  <c r="K495" i="1"/>
  <c r="AD494" i="1"/>
  <c r="AC494" i="1"/>
  <c r="W494" i="1"/>
  <c r="K494" i="1"/>
  <c r="AD493" i="1"/>
  <c r="AC493" i="1"/>
  <c r="K492" i="1"/>
  <c r="K491" i="1"/>
  <c r="K490" i="1"/>
  <c r="AD488" i="1"/>
  <c r="AC488" i="1"/>
  <c r="K488" i="1"/>
  <c r="AD487" i="1"/>
  <c r="AC487" i="1"/>
  <c r="K487" i="1"/>
  <c r="AD486" i="1"/>
  <c r="AC486" i="1"/>
  <c r="K486" i="1"/>
  <c r="AD485" i="1"/>
  <c r="AC485" i="1"/>
  <c r="K485" i="1"/>
  <c r="K484" i="1"/>
  <c r="K483" i="1"/>
  <c r="AD482" i="1"/>
  <c r="K482" i="1"/>
  <c r="AD481" i="1"/>
  <c r="K481" i="1"/>
  <c r="AD479" i="1"/>
  <c r="AC479" i="1"/>
  <c r="K479" i="1"/>
  <c r="K476" i="1"/>
  <c r="AD475" i="1"/>
  <c r="AC475" i="1"/>
  <c r="K473" i="1"/>
  <c r="AD472" i="1"/>
  <c r="AC472" i="1"/>
  <c r="K472" i="1"/>
  <c r="AD471" i="1"/>
  <c r="AC471" i="1"/>
  <c r="K471" i="1"/>
  <c r="AP469" i="1"/>
  <c r="AL469" i="1"/>
  <c r="AP463" i="1"/>
  <c r="AL463" i="1"/>
  <c r="AD461" i="1"/>
  <c r="K461" i="1"/>
  <c r="AD460" i="1"/>
  <c r="AC460" i="1"/>
  <c r="K460" i="1"/>
  <c r="AD459" i="1"/>
  <c r="AC459" i="1"/>
  <c r="K459" i="1"/>
  <c r="K458" i="1"/>
  <c r="AD457" i="1"/>
  <c r="AC457" i="1"/>
  <c r="K457" i="1"/>
  <c r="AP455" i="1"/>
  <c r="AL455" i="1"/>
  <c r="K454" i="1"/>
  <c r="AD453" i="1"/>
  <c r="AC453" i="1"/>
  <c r="K453" i="1"/>
  <c r="K452" i="1"/>
  <c r="K450" i="1"/>
  <c r="W448" i="1"/>
  <c r="K448" i="1"/>
  <c r="K444" i="1"/>
  <c r="K442" i="1"/>
  <c r="AD441" i="1"/>
  <c r="AC441" i="1"/>
  <c r="K441" i="1"/>
  <c r="AD439" i="1"/>
  <c r="AC439" i="1"/>
  <c r="K439" i="1"/>
  <c r="K438" i="1"/>
  <c r="AD433" i="1"/>
  <c r="AC433" i="1"/>
  <c r="K433" i="1"/>
  <c r="K430" i="1"/>
  <c r="AD426" i="1"/>
  <c r="AC426" i="1"/>
  <c r="K426" i="1"/>
  <c r="K425" i="1"/>
  <c r="K424" i="1"/>
  <c r="K421" i="1"/>
  <c r="AD418" i="1"/>
  <c r="AC418" i="1"/>
  <c r="K418" i="1"/>
  <c r="K415" i="1"/>
  <c r="AD413" i="1"/>
  <c r="AC413" i="1"/>
  <c r="K413" i="1"/>
  <c r="K411" i="1"/>
  <c r="AD410" i="1"/>
  <c r="AC410" i="1"/>
  <c r="K410" i="1"/>
  <c r="AD409" i="1"/>
  <c r="AC409" i="1"/>
  <c r="K409" i="1"/>
  <c r="K408" i="1"/>
  <c r="K407" i="1"/>
  <c r="AD406" i="1"/>
  <c r="AC406" i="1"/>
  <c r="W406" i="1"/>
  <c r="K406" i="1"/>
  <c r="AD405" i="1"/>
  <c r="AC405" i="1"/>
  <c r="W405" i="1"/>
  <c r="K405" i="1"/>
  <c r="AP404" i="1"/>
  <c r="AL404" i="1"/>
  <c r="AD401" i="1"/>
  <c r="AC401" i="1"/>
  <c r="K401" i="1"/>
  <c r="AD399" i="1"/>
  <c r="AC399" i="1"/>
  <c r="K399" i="1"/>
  <c r="K398" i="1"/>
  <c r="K397" i="1"/>
  <c r="K396" i="1"/>
  <c r="K391" i="1"/>
  <c r="AD390" i="1"/>
  <c r="AC390" i="1"/>
  <c r="K390" i="1"/>
  <c r="K389" i="1"/>
  <c r="K388" i="1"/>
  <c r="AD387" i="1"/>
  <c r="AC387" i="1"/>
  <c r="K387" i="1"/>
  <c r="K381" i="1"/>
  <c r="AD379" i="1"/>
  <c r="AC379" i="1"/>
  <c r="K379" i="1"/>
  <c r="K378" i="1"/>
  <c r="K376" i="1"/>
  <c r="AD372" i="1"/>
  <c r="AC372" i="1"/>
  <c r="K372" i="1"/>
  <c r="AD370" i="1"/>
  <c r="AC370" i="1"/>
  <c r="K370" i="1"/>
  <c r="AD369" i="1"/>
  <c r="AC369" i="1"/>
  <c r="K369" i="1"/>
  <c r="AD368" i="1"/>
  <c r="AC368" i="1"/>
  <c r="K368" i="1"/>
  <c r="W365" i="1"/>
  <c r="K365" i="1"/>
  <c r="W364" i="1"/>
  <c r="K364" i="1"/>
  <c r="W363" i="1"/>
  <c r="K363" i="1"/>
  <c r="AD362" i="1"/>
  <c r="K362" i="1"/>
  <c r="AD361" i="1"/>
  <c r="AC361" i="1"/>
  <c r="K361" i="1"/>
  <c r="AD360" i="1"/>
  <c r="AC360" i="1"/>
  <c r="K360" i="1"/>
  <c r="K358" i="1"/>
  <c r="AD356" i="1"/>
  <c r="AC356" i="1"/>
  <c r="W356" i="1"/>
  <c r="K356" i="1"/>
  <c r="AD355" i="1"/>
  <c r="AC355" i="1"/>
  <c r="K355" i="1"/>
  <c r="K354" i="1"/>
  <c r="AM352" i="1"/>
  <c r="AK352" i="1"/>
  <c r="AI352" i="1"/>
  <c r="AD350" i="1"/>
  <c r="AC350" i="1"/>
  <c r="W350" i="1"/>
  <c r="K350" i="1"/>
  <c r="K349" i="1"/>
  <c r="AD348" i="1"/>
  <c r="AC348" i="1"/>
  <c r="K348" i="1"/>
  <c r="AD347" i="1"/>
  <c r="AC347" i="1"/>
  <c r="K347" i="1"/>
  <c r="AD346" i="1"/>
  <c r="AC346" i="1"/>
  <c r="K346" i="1"/>
  <c r="K344" i="1"/>
  <c r="K343" i="1"/>
  <c r="AD341" i="1"/>
  <c r="AC341" i="1"/>
  <c r="W341" i="1"/>
  <c r="K341" i="1"/>
  <c r="K338" i="1"/>
  <c r="AD334" i="1"/>
  <c r="AC334" i="1"/>
  <c r="W334" i="1"/>
  <c r="K334" i="1"/>
  <c r="K330" i="1"/>
  <c r="AD329" i="1"/>
  <c r="AC329" i="1"/>
  <c r="K329" i="1"/>
  <c r="AD328" i="1"/>
  <c r="AC328" i="1"/>
  <c r="K328" i="1"/>
  <c r="AD327" i="1"/>
  <c r="AC327" i="1"/>
  <c r="K327" i="1"/>
  <c r="AD326" i="1"/>
  <c r="AC326" i="1"/>
  <c r="K326" i="1"/>
  <c r="AD325" i="1"/>
  <c r="AC325" i="1"/>
  <c r="K325" i="1"/>
  <c r="AD324" i="1"/>
  <c r="AC324" i="1"/>
  <c r="K324" i="1"/>
  <c r="AK323" i="1"/>
  <c r="AD323" i="1"/>
  <c r="AC323" i="1"/>
  <c r="S323" i="1"/>
  <c r="K323" i="1"/>
  <c r="AD316" i="1"/>
  <c r="AC316" i="1"/>
  <c r="W316" i="1"/>
  <c r="K316" i="1"/>
  <c r="AD314" i="1"/>
  <c r="AC314" i="1"/>
  <c r="W314" i="1"/>
  <c r="K314" i="1"/>
  <c r="AD309" i="1"/>
  <c r="AD306" i="1"/>
  <c r="AC306" i="1"/>
  <c r="W306" i="1"/>
  <c r="K306" i="1"/>
  <c r="AD305" i="1"/>
  <c r="AC305" i="1"/>
  <c r="K305" i="1"/>
  <c r="AD304" i="1"/>
  <c r="AC304" i="1"/>
  <c r="K304" i="1"/>
  <c r="AD303" i="1"/>
  <c r="AC303" i="1"/>
  <c r="K303" i="1"/>
  <c r="K302" i="1"/>
  <c r="AD298" i="1"/>
  <c r="AC298" i="1"/>
  <c r="W298" i="1"/>
  <c r="K298" i="1"/>
  <c r="AD297" i="1"/>
  <c r="AC297" i="1"/>
  <c r="W297" i="1"/>
  <c r="K297" i="1"/>
  <c r="AD293" i="1"/>
  <c r="AC293" i="1"/>
  <c r="W293" i="1"/>
  <c r="K293" i="1"/>
  <c r="AD292" i="1"/>
  <c r="AC292" i="1"/>
  <c r="K292" i="1"/>
  <c r="AD290" i="1"/>
  <c r="AC290" i="1"/>
  <c r="K290" i="1"/>
  <c r="AP286" i="1"/>
  <c r="AD285" i="1"/>
  <c r="AC285" i="1"/>
  <c r="K285" i="1"/>
  <c r="AD284" i="1"/>
  <c r="AC284" i="1"/>
  <c r="K284" i="1"/>
  <c r="AK283" i="1"/>
  <c r="AD283" i="1"/>
  <c r="AC283" i="1"/>
  <c r="K283" i="1"/>
  <c r="AD282" i="1"/>
  <c r="AC282" i="1"/>
  <c r="K282" i="1"/>
  <c r="W278" i="1"/>
  <c r="K278" i="1"/>
  <c r="K275" i="1"/>
  <c r="AD274" i="1"/>
  <c r="AC274" i="1"/>
  <c r="W274" i="1"/>
  <c r="K274" i="1"/>
  <c r="AD273" i="1"/>
  <c r="AC273" i="1"/>
  <c r="W273" i="1"/>
  <c r="K273" i="1"/>
  <c r="AD272" i="1"/>
  <c r="AC272" i="1"/>
  <c r="W272" i="1"/>
  <c r="K272" i="1"/>
  <c r="AD269" i="1"/>
  <c r="AC269" i="1"/>
  <c r="K269" i="1"/>
  <c r="K268" i="1"/>
  <c r="AD267" i="1"/>
  <c r="AC267" i="1"/>
  <c r="W267" i="1"/>
  <c r="K267" i="1"/>
  <c r="AD266" i="1"/>
  <c r="AC266" i="1"/>
  <c r="W266" i="1"/>
  <c r="K266" i="1"/>
  <c r="AD253" i="1"/>
  <c r="AD252" i="1"/>
  <c r="AC252" i="1"/>
  <c r="K252" i="1"/>
  <c r="K251" i="1"/>
  <c r="AD249" i="1"/>
  <c r="AC249" i="1"/>
  <c r="W249" i="1"/>
  <c r="K249" i="1"/>
  <c r="AD248" i="1"/>
  <c r="AC248" i="1"/>
  <c r="W248" i="1"/>
  <c r="K248" i="1"/>
  <c r="AD243" i="1"/>
  <c r="AC243" i="1"/>
  <c r="K243" i="1"/>
  <c r="K242" i="1"/>
  <c r="AD240" i="1"/>
  <c r="AC240" i="1"/>
  <c r="K240" i="1"/>
  <c r="AD239" i="1"/>
  <c r="AC239" i="1"/>
  <c r="K239" i="1"/>
  <c r="AD238" i="1"/>
  <c r="AC238" i="1"/>
  <c r="K238" i="1"/>
  <c r="AD236" i="1"/>
  <c r="AC236" i="1"/>
  <c r="K236" i="1"/>
  <c r="K235" i="1"/>
  <c r="AD234" i="1"/>
  <c r="AC234" i="1"/>
  <c r="K234" i="1"/>
  <c r="AD230" i="1"/>
  <c r="AC230" i="1"/>
  <c r="K230" i="1"/>
  <c r="AD229" i="1"/>
  <c r="AC229" i="1"/>
  <c r="K229" i="1"/>
  <c r="AD228" i="1"/>
  <c r="AC228" i="1"/>
  <c r="K228" i="1"/>
  <c r="AD227" i="1"/>
  <c r="AC227" i="1"/>
  <c r="K227" i="1"/>
  <c r="K225" i="1"/>
  <c r="K224" i="1"/>
  <c r="AD223" i="1"/>
  <c r="AC223" i="1"/>
  <c r="K223" i="1"/>
  <c r="AD222" i="1"/>
  <c r="AC222" i="1"/>
  <c r="K222" i="1"/>
  <c r="AD221" i="1"/>
  <c r="AC221" i="1"/>
  <c r="K221" i="1"/>
  <c r="AD220" i="1"/>
  <c r="AC220" i="1"/>
  <c r="K220" i="1"/>
  <c r="AD219" i="1"/>
  <c r="AC219" i="1"/>
  <c r="K219" i="1"/>
  <c r="AD218" i="1"/>
  <c r="AC218" i="1"/>
  <c r="K218" i="1"/>
  <c r="AD216" i="1"/>
  <c r="AC216" i="1"/>
  <c r="K216" i="1"/>
  <c r="AD215" i="1"/>
  <c r="AC215" i="1"/>
  <c r="K215" i="1"/>
  <c r="AD214" i="1"/>
  <c r="AC214" i="1"/>
  <c r="K214" i="1"/>
  <c r="K211" i="1"/>
  <c r="AD210" i="1"/>
  <c r="AC210" i="1"/>
  <c r="K210" i="1"/>
  <c r="AD209" i="1"/>
  <c r="AC209" i="1"/>
  <c r="K209" i="1"/>
  <c r="AD204" i="1"/>
  <c r="AC204" i="1"/>
  <c r="K204" i="1"/>
  <c r="K202" i="1"/>
  <c r="AD200" i="1"/>
  <c r="AC200" i="1"/>
  <c r="K200" i="1"/>
  <c r="K199" i="1"/>
  <c r="K197" i="1"/>
  <c r="AD196" i="1"/>
  <c r="AC196" i="1"/>
  <c r="K196" i="1"/>
  <c r="AD193" i="1"/>
  <c r="AC193" i="1"/>
  <c r="K193" i="1"/>
  <c r="AD192" i="1"/>
  <c r="AC192" i="1"/>
  <c r="K192" i="1"/>
  <c r="K191" i="1"/>
  <c r="AD189" i="1"/>
  <c r="K189" i="1"/>
  <c r="AD188" i="1"/>
  <c r="K188" i="1"/>
  <c r="AD187" i="1"/>
  <c r="K187" i="1"/>
  <c r="K186" i="1"/>
  <c r="AD184" i="1"/>
  <c r="AC184" i="1"/>
  <c r="K184" i="1"/>
  <c r="AD183" i="1"/>
  <c r="AC183" i="1"/>
  <c r="K183" i="1"/>
  <c r="AD182" i="1"/>
  <c r="AC182" i="1"/>
  <c r="K182" i="1"/>
  <c r="AD181" i="1"/>
  <c r="AC181" i="1"/>
  <c r="K181" i="1"/>
  <c r="AD180" i="1"/>
  <c r="AC180" i="1"/>
  <c r="K180" i="1"/>
  <c r="K179" i="1"/>
  <c r="K178" i="1"/>
  <c r="K177" i="1"/>
  <c r="K176" i="1"/>
  <c r="K175" i="1"/>
  <c r="K174" i="1"/>
  <c r="AD173" i="1"/>
  <c r="AC173" i="1"/>
  <c r="K173" i="1"/>
  <c r="AD171" i="1"/>
  <c r="AC171" i="1"/>
  <c r="K171" i="1"/>
  <c r="K170" i="1"/>
  <c r="K169" i="1"/>
  <c r="K168" i="1"/>
  <c r="K167" i="1"/>
  <c r="K166" i="1"/>
  <c r="K163" i="1"/>
  <c r="K161" i="1"/>
  <c r="K160" i="1"/>
  <c r="K159" i="1"/>
  <c r="K158" i="1"/>
  <c r="K157" i="1"/>
  <c r="K156" i="1"/>
  <c r="K155" i="1"/>
  <c r="K154" i="1"/>
  <c r="AD153" i="1"/>
  <c r="AC153" i="1"/>
  <c r="K153" i="1"/>
  <c r="K152" i="1"/>
  <c r="K150" i="1"/>
  <c r="K148" i="1"/>
  <c r="K147" i="1"/>
  <c r="K145" i="1"/>
  <c r="K143" i="1"/>
  <c r="K141" i="1"/>
  <c r="AD139" i="1"/>
  <c r="AC139" i="1"/>
  <c r="K139" i="1"/>
  <c r="K138" i="1"/>
  <c r="K137" i="1"/>
  <c r="AD136" i="1"/>
  <c r="AC136" i="1"/>
  <c r="K136" i="1"/>
  <c r="AD134" i="1"/>
  <c r="AC134" i="1"/>
  <c r="K134" i="1"/>
  <c r="K133" i="1"/>
  <c r="K132" i="1"/>
  <c r="K131" i="1"/>
  <c r="K130" i="1"/>
  <c r="K128" i="1"/>
  <c r="K127" i="1"/>
  <c r="W126" i="1"/>
  <c r="K126" i="1"/>
  <c r="K121" i="1"/>
  <c r="K120" i="1"/>
  <c r="K119" i="1"/>
  <c r="K118" i="1"/>
  <c r="K117" i="1"/>
  <c r="K116" i="1"/>
  <c r="K115" i="1"/>
  <c r="K114" i="1"/>
  <c r="K113" i="1"/>
  <c r="K112" i="1"/>
  <c r="K111" i="1"/>
  <c r="K110" i="1"/>
  <c r="K109" i="1"/>
  <c r="K108" i="1"/>
  <c r="K107" i="1"/>
  <c r="K105" i="1"/>
  <c r="K104" i="1"/>
  <c r="W101" i="1"/>
  <c r="AD100" i="1"/>
  <c r="AC100" i="1"/>
  <c r="K100" i="1"/>
  <c r="K99" i="1"/>
  <c r="K98" i="1"/>
  <c r="K97" i="1"/>
  <c r="K96" i="1"/>
  <c r="K95" i="1"/>
  <c r="K92" i="1"/>
  <c r="K88" i="1"/>
  <c r="K86" i="1"/>
  <c r="K85" i="1"/>
  <c r="K83" i="1"/>
  <c r="K82" i="1"/>
  <c r="K80" i="1"/>
  <c r="K77" i="1"/>
  <c r="K76" i="1"/>
  <c r="K75" i="1"/>
  <c r="K73" i="1"/>
  <c r="W70" i="1"/>
  <c r="K70" i="1"/>
  <c r="W69" i="1"/>
  <c r="K69" i="1"/>
  <c r="W68" i="1"/>
  <c r="K68" i="1"/>
  <c r="K67" i="1"/>
  <c r="K64" i="1"/>
  <c r="W63" i="1"/>
  <c r="K63" i="1"/>
  <c r="K62" i="1"/>
  <c r="K60" i="1"/>
  <c r="K58" i="1"/>
  <c r="K57" i="1"/>
  <c r="K56" i="1"/>
  <c r="K55" i="1"/>
  <c r="K52" i="1"/>
  <c r="K50" i="1"/>
  <c r="K49" i="1"/>
  <c r="K47" i="1"/>
  <c r="K46" i="1"/>
  <c r="K45" i="1"/>
  <c r="K44" i="1"/>
  <c r="K42" i="1"/>
  <c r="K41" i="1"/>
  <c r="K40" i="1"/>
  <c r="K39" i="1"/>
  <c r="K37" i="1"/>
  <c r="K36" i="1"/>
  <c r="K35" i="1"/>
  <c r="K33" i="1"/>
  <c r="K30" i="1"/>
  <c r="W29" i="1"/>
  <c r="K29" i="1"/>
  <c r="W27" i="1"/>
  <c r="AF25" i="1"/>
  <c r="K25" i="1"/>
  <c r="K22" i="1"/>
  <c r="K19" i="1"/>
  <c r="AF18" i="1"/>
  <c r="K18" i="1"/>
  <c r="K13" i="1"/>
  <c r="K9" i="1"/>
  <c r="K8" i="1"/>
  <c r="K7" i="1"/>
  <c r="K2" i="1"/>
</calcChain>
</file>

<file path=xl/comments1.xml><?xml version="1.0" encoding="utf-8"?>
<comments xmlns="http://schemas.openxmlformats.org/spreadsheetml/2006/main">
  <authors>
    <author>SUDDABY</author>
    <author>Steve &amp; Beth Suddaby</author>
  </authors>
  <commentList>
    <comment ref="A1" authorId="0" shapeId="0">
      <text>
        <r>
          <rPr>
            <b/>
            <sz val="8"/>
            <color indexed="81"/>
            <rFont val="Tahoma"/>
            <family val="2"/>
          </rPr>
          <t xml:space="preserve">SUDDABY:
</t>
        </r>
        <r>
          <rPr>
            <sz val="8"/>
            <color indexed="81"/>
            <rFont val="Tahoma"/>
            <family val="2"/>
          </rPr>
          <t xml:space="preserve">Cells A-E are in </t>
        </r>
        <r>
          <rPr>
            <b/>
            <sz val="8"/>
            <color indexed="81"/>
            <rFont val="Tahoma"/>
            <family val="2"/>
          </rPr>
          <t>white</t>
        </r>
        <r>
          <rPr>
            <sz val="8"/>
            <color indexed="81"/>
            <rFont val="Tahoma"/>
            <family val="2"/>
          </rPr>
          <t xml:space="preserve"> if they are a record of bombs being dropped.  They are in </t>
        </r>
        <r>
          <rPr>
            <b/>
            <sz val="8"/>
            <color indexed="81"/>
            <rFont val="Tahoma"/>
            <family val="2"/>
          </rPr>
          <t>turquoise</t>
        </r>
        <r>
          <rPr>
            <sz val="8"/>
            <color indexed="81"/>
            <rFont val="Tahoma"/>
            <family val="2"/>
          </rPr>
          <t xml:space="preserve"> if they are bombing survey data that indicates what happened when the bombs hit the ground.</t>
        </r>
        <r>
          <rPr>
            <b/>
            <sz val="8"/>
            <color indexed="81"/>
            <rFont val="Tahoma"/>
            <family val="2"/>
          </rPr>
          <t xml:space="preserve">
</t>
        </r>
        <r>
          <rPr>
            <sz val="8"/>
            <color indexed="81"/>
            <rFont val="Tahoma"/>
            <family val="2"/>
          </rPr>
          <t xml:space="preserve">
A night raid might be described in the records as being over the night of, say, 3/4 November 1916.  If so, the date given here is 3 Nov. 1916. For the bombing survey data (turquoise color), it might be known precisely that the target was attacked at 0230 hours the morning of 4 Nov. 1916, so the survey data would be listed on that date rather than 3 Nov.  This means that the sorting of the database might put the results of the raid (turquoise) one full day after the report of the bombing squadron instead of immediately after it.</t>
        </r>
      </text>
    </comment>
    <comment ref="C1" authorId="0" shapeId="0">
      <text>
        <r>
          <rPr>
            <b/>
            <sz val="8"/>
            <color indexed="81"/>
            <rFont val="Tahoma"/>
            <family val="2"/>
          </rPr>
          <t>SUDDABY:</t>
        </r>
        <r>
          <rPr>
            <sz val="8"/>
            <color indexed="81"/>
            <rFont val="Tahoma"/>
            <family val="2"/>
          </rPr>
          <t xml:space="preserve">
Numbers w/o letters are British squadrons. Most other labels are for French escadrilles or groupes. A few are US Air Service squadrons (e.g., US20) or Italian (It.) Gruppo XVIII.
</t>
        </r>
      </text>
    </comment>
    <comment ref="D1" authorId="0" shapeId="0">
      <text>
        <r>
          <rPr>
            <b/>
            <sz val="8"/>
            <color indexed="81"/>
            <rFont val="Tahoma"/>
            <family val="2"/>
          </rPr>
          <t>SUDDABY:</t>
        </r>
        <r>
          <rPr>
            <sz val="8"/>
            <color indexed="81"/>
            <rFont val="Tahoma"/>
            <family val="2"/>
          </rPr>
          <t xml:space="preserve">
If "Yes", the entire mission was aborted withouth dropping any bombs.</t>
        </r>
      </text>
    </comment>
    <comment ref="E1" authorId="0" shapeId="0">
      <text>
        <r>
          <rPr>
            <b/>
            <sz val="8"/>
            <color indexed="81"/>
            <rFont val="Tahoma"/>
            <family val="2"/>
          </rPr>
          <t>SUDDABY:</t>
        </r>
        <r>
          <rPr>
            <sz val="8"/>
            <color indexed="81"/>
            <rFont val="Tahoma"/>
            <family val="2"/>
          </rPr>
          <t xml:space="preserve">
Targets in Alsace - Lorraine often had German names as well as French names, e.g. Treves or Trier. Sometimes the alternate name is given in column AI.</t>
        </r>
      </text>
    </comment>
    <comment ref="F1" authorId="0" shapeId="0">
      <text>
        <r>
          <rPr>
            <b/>
            <sz val="8"/>
            <color indexed="81"/>
            <rFont val="Tahoma"/>
            <family val="2"/>
          </rPr>
          <t>SUDDABY:</t>
        </r>
        <r>
          <rPr>
            <sz val="8"/>
            <color indexed="81"/>
            <rFont val="Tahoma"/>
            <family val="2"/>
          </rPr>
          <t xml:space="preserve">
Semicolons are used in this column and the Target Location column to keep track of multiple entries.
For example, Location entry is A,B,C; D,E and Target Description is Airfields; Rail Stns.
This means the squadron hit airfields at A, B, C and rail stations at D &amp; E.</t>
        </r>
      </text>
    </comment>
    <comment ref="G1" authorId="0" shapeId="0">
      <text>
        <r>
          <rPr>
            <b/>
            <sz val="8"/>
            <color indexed="81"/>
            <rFont val="Tahoma"/>
            <family val="2"/>
          </rPr>
          <t>SUDDABY:</t>
        </r>
        <r>
          <rPr>
            <sz val="8"/>
            <color indexed="81"/>
            <rFont val="Tahoma"/>
            <family val="2"/>
          </rPr>
          <t xml:space="preserve">
A=Airfields
B=Blast Furnaces
C=Chemical
I=Industry
M=Munitions (Factory)
R=Rail Target
T=Tactical (troops, camps, ammo dumps)
O=Other/Multiple
P=Re</t>
        </r>
        <r>
          <rPr>
            <b/>
            <u/>
            <sz val="8"/>
            <color indexed="81"/>
            <rFont val="Tahoma"/>
            <family val="2"/>
          </rPr>
          <t>P</t>
        </r>
        <r>
          <rPr>
            <sz val="8"/>
            <color indexed="81"/>
            <rFont val="Tahoma"/>
            <family val="2"/>
          </rPr>
          <t>risals
If a summary entry contains more than one target type and over 50% of the bomb weight falls on one type, then the entry is assigned that target type. "O" is used as a last resort where distribution of bombs is unknown or no target type is in the majority.</t>
        </r>
      </text>
    </comment>
    <comment ref="H1" authorId="0" shapeId="0">
      <text>
        <r>
          <rPr>
            <b/>
            <sz val="8"/>
            <color indexed="81"/>
            <rFont val="Tahoma"/>
            <family val="2"/>
          </rPr>
          <t>SUDDABY:</t>
        </r>
        <r>
          <rPr>
            <sz val="8"/>
            <color indexed="81"/>
            <rFont val="Tahoma"/>
            <family val="2"/>
          </rPr>
          <t xml:space="preserve">
Used for US Bombing Survey entries. 1 is an actual raid; 0 is just an alert where no bombs were dropped.</t>
        </r>
      </text>
    </comment>
    <comment ref="I1" authorId="0" shapeId="0">
      <text>
        <r>
          <rPr>
            <b/>
            <sz val="8"/>
            <color indexed="81"/>
            <rFont val="Tahoma"/>
            <family val="2"/>
          </rPr>
          <t>SUDDABY:</t>
        </r>
        <r>
          <rPr>
            <sz val="8"/>
            <color indexed="81"/>
            <rFont val="Tahoma"/>
            <family val="2"/>
          </rPr>
          <t xml:space="preserve">
Marked TRUE if entry is a summary for an entire unit where multiple locations were bombed. This field and "Complete" allow keeping some stats on a complete squadron (like how many reached any target) and keeping stats on the bombs that fell on any one location.  For many single entries, however, I don't use this field and simply put comments here. Otherwise comments can be found in Column AL.</t>
        </r>
      </text>
    </comment>
    <comment ref="J1" authorId="0" shapeId="0">
      <text>
        <r>
          <rPr>
            <b/>
            <sz val="8"/>
            <color indexed="81"/>
            <rFont val="Tahoma"/>
            <family val="2"/>
          </rPr>
          <t>SUDDABY:</t>
        </r>
        <r>
          <rPr>
            <sz val="8"/>
            <color indexed="81"/>
            <rFont val="Tahoma"/>
            <family val="2"/>
          </rPr>
          <t xml:space="preserve">
Marked TRUE if entry is a complete record for what the unit did on that raid.</t>
        </r>
      </text>
    </comment>
    <comment ref="K1" authorId="0" shapeId="0">
      <text>
        <r>
          <rPr>
            <b/>
            <sz val="8"/>
            <color indexed="81"/>
            <rFont val="Tahoma"/>
            <family val="2"/>
          </rPr>
          <t>SUDDABY:</t>
        </r>
        <r>
          <rPr>
            <sz val="8"/>
            <color indexed="81"/>
            <rFont val="Tahoma"/>
            <family val="2"/>
          </rPr>
          <t xml:space="preserve">
Bomb weight in lbs actually dropped on target(s). Doesn't include bombs carried on planes that returned to base or were shot down without dropping bombs. If this is blank, the bomb weight is unknown, not 0. If cell is in light green, this is an estimate. I rarely made estimates - only when I had very good info upon which to base an estimate. If the numbers are in red on the "French Bombing" sheet, those values are in kilograms.</t>
        </r>
      </text>
    </comment>
    <comment ref="L1" authorId="0" shapeId="0">
      <text>
        <r>
          <rPr>
            <b/>
            <sz val="8"/>
            <color indexed="81"/>
            <rFont val="Tahoma"/>
            <family val="2"/>
          </rPr>
          <t>SUDDABY:</t>
        </r>
        <r>
          <rPr>
            <sz val="8"/>
            <color indexed="81"/>
            <rFont val="Tahoma"/>
            <family val="2"/>
          </rPr>
          <t xml:space="preserve">
Number of bombing sorties. A bomber that took off twice to attack targets twice in one night is counted as 2 sorties even if one of the two resulted in aborting due to mechanical problems. Fighter escorts that carry no bombs are not counted anywhere in this database, though they may be mentioned in the comments. If this entry is blank, it is unknown rather than 0.</t>
        </r>
      </text>
    </comment>
    <comment ref="M1" authorId="0" shapeId="0">
      <text>
        <r>
          <rPr>
            <b/>
            <sz val="8"/>
            <color indexed="81"/>
            <rFont val="Tahoma"/>
            <family val="2"/>
          </rPr>
          <t>SUDDABY:</t>
        </r>
        <r>
          <rPr>
            <sz val="8"/>
            <color indexed="81"/>
            <rFont val="Tahoma"/>
            <family val="2"/>
          </rPr>
          <t xml:space="preserve">
# of sorties that resulted in the bomber returning w/o dropping bombs on any recognizable target due to weather.</t>
        </r>
      </text>
    </comment>
    <comment ref="N1" authorId="0" shapeId="0">
      <text>
        <r>
          <rPr>
            <b/>
            <sz val="8"/>
            <color indexed="81"/>
            <rFont val="Tahoma"/>
            <family val="2"/>
          </rPr>
          <t>SUDDABY:</t>
        </r>
        <r>
          <rPr>
            <sz val="8"/>
            <color indexed="81"/>
            <rFont val="Tahoma"/>
            <family val="2"/>
          </rPr>
          <t xml:space="preserve">
# of sorties that resulted in the bomber returning w/o dropping bombs on any recognizable target due to mechanical trouble.</t>
        </r>
      </text>
    </comment>
    <comment ref="O1" authorId="0" shapeId="0">
      <text>
        <r>
          <rPr>
            <b/>
            <sz val="8"/>
            <color indexed="81"/>
            <rFont val="Tahoma"/>
            <family val="2"/>
          </rPr>
          <t>SUDDABY:</t>
        </r>
        <r>
          <rPr>
            <sz val="8"/>
            <color indexed="81"/>
            <rFont val="Tahoma"/>
            <family val="2"/>
          </rPr>
          <t xml:space="preserve">
# of sorties that resulted in the bomber returning w/o dropping bombs on any recognizable target due to any other reason like getting lost, airsickness, etc.</t>
        </r>
      </text>
    </comment>
    <comment ref="P1" authorId="0" shapeId="0">
      <text>
        <r>
          <rPr>
            <b/>
            <sz val="8"/>
            <color indexed="81"/>
            <rFont val="Tahoma"/>
            <family val="2"/>
          </rPr>
          <t>SUDDABY:</t>
        </r>
        <r>
          <rPr>
            <sz val="8"/>
            <color indexed="81"/>
            <rFont val="Tahoma"/>
            <family val="2"/>
          </rPr>
          <t xml:space="preserve">
# of aircraft (sorties) diverted to a secondary target due to weather.</t>
        </r>
      </text>
    </comment>
    <comment ref="Q1" authorId="0" shapeId="0">
      <text>
        <r>
          <rPr>
            <b/>
            <sz val="8"/>
            <color indexed="81"/>
            <rFont val="Tahoma"/>
            <family val="2"/>
          </rPr>
          <t>SUDDABY:</t>
        </r>
        <r>
          <rPr>
            <sz val="8"/>
            <color indexed="81"/>
            <rFont val="Tahoma"/>
            <family val="2"/>
          </rPr>
          <t xml:space="preserve">
# of aircraft (sorties) diverted to a secondary target due to mechanical trouble.</t>
        </r>
      </text>
    </comment>
    <comment ref="R1" authorId="0" shapeId="0">
      <text>
        <r>
          <rPr>
            <b/>
            <sz val="8"/>
            <color indexed="81"/>
            <rFont val="Tahoma"/>
            <family val="2"/>
          </rPr>
          <t>SUDDABY:</t>
        </r>
        <r>
          <rPr>
            <sz val="8"/>
            <color indexed="81"/>
            <rFont val="Tahoma"/>
            <family val="2"/>
          </rPr>
          <t xml:space="preserve">
# of aircraft (sorties) diverted to a secondary target due to crew disorientation (getting lost).</t>
        </r>
      </text>
    </comment>
    <comment ref="S1" authorId="0" shapeId="0">
      <text>
        <r>
          <rPr>
            <b/>
            <sz val="8"/>
            <color indexed="81"/>
            <rFont val="Tahoma"/>
            <family val="2"/>
          </rPr>
          <t>SUDDABY:</t>
        </r>
        <r>
          <rPr>
            <sz val="8"/>
            <color indexed="81"/>
            <rFont val="Tahoma"/>
            <family val="2"/>
          </rPr>
          <t xml:space="preserve">
# of planes (sorties) that dropped bombs on SOME recognizable target. This cell being blank means that the number is unknown.</t>
        </r>
      </text>
    </comment>
    <comment ref="T1" authorId="0" shapeId="0">
      <text>
        <r>
          <rPr>
            <b/>
            <sz val="8"/>
            <color indexed="81"/>
            <rFont val="Tahoma"/>
            <family val="2"/>
          </rPr>
          <t>SUDDABY:</t>
        </r>
        <r>
          <rPr>
            <sz val="8"/>
            <color indexed="81"/>
            <rFont val="Tahoma"/>
            <family val="2"/>
          </rPr>
          <t xml:space="preserve">
# of aircraft missing. This number is zero if I was positive no a/c were missing or if it seemed very likely that none were missing based on the consistency of the record in telling the whole story of what happened to all the squadron's a/c.</t>
        </r>
      </text>
    </comment>
    <comment ref="U1" authorId="0" shapeId="0">
      <text>
        <r>
          <rPr>
            <b/>
            <sz val="8"/>
            <color indexed="81"/>
            <rFont val="Tahoma"/>
            <family val="2"/>
          </rPr>
          <t>SUDDABY:</t>
        </r>
        <r>
          <rPr>
            <sz val="8"/>
            <color indexed="81"/>
            <rFont val="Tahoma"/>
            <family val="2"/>
          </rPr>
          <t xml:space="preserve">
# aircraft force-landed without damage.  This was recorded in the British IF data, so I kept it as a category. This number is zero if every plane is accounted for in the records or if the records are consistent in mentioning problems like force-landings when they occurred.  The French war diaries often are consistent in this way.</t>
        </r>
      </text>
    </comment>
    <comment ref="V1" authorId="0" shapeId="0">
      <text>
        <r>
          <rPr>
            <b/>
            <sz val="8"/>
            <color indexed="81"/>
            <rFont val="Tahoma"/>
            <family val="2"/>
          </rPr>
          <t>SUDDABY:</t>
        </r>
        <r>
          <rPr>
            <sz val="8"/>
            <color indexed="81"/>
            <rFont val="Tahoma"/>
            <family val="2"/>
          </rPr>
          <t xml:space="preserve">
# a/c force-landed with damage.  This was recorded in the British IF data, so I kept it as a category. This number is zero if every plane is accounted for in the records or if the records are consistent in mentioning problems like force-landings when they occurred.  The French war diaries often are consistent in this way.</t>
        </r>
      </text>
    </comment>
    <comment ref="W1" authorId="0" shapeId="0">
      <text>
        <r>
          <rPr>
            <b/>
            <sz val="8"/>
            <color indexed="81"/>
            <rFont val="Tahoma"/>
            <family val="2"/>
          </rPr>
          <t>SUDDABY:</t>
        </r>
        <r>
          <rPr>
            <sz val="8"/>
            <color indexed="81"/>
            <rFont val="Tahoma"/>
            <family val="2"/>
          </rPr>
          <t xml:space="preserve">
Bombing altitude</t>
        </r>
      </text>
    </comment>
    <comment ref="X1" authorId="0" shapeId="0">
      <text>
        <r>
          <rPr>
            <b/>
            <sz val="8"/>
            <color indexed="81"/>
            <rFont val="Tahoma"/>
            <family val="2"/>
          </rPr>
          <t>SUDDABY:</t>
        </r>
        <r>
          <rPr>
            <sz val="8"/>
            <color indexed="81"/>
            <rFont val="Tahoma"/>
            <family val="2"/>
          </rPr>
          <t xml:space="preserve">
Record number kept by George Williams, who gave me the original British data compiled from the PRO.</t>
        </r>
      </text>
    </comment>
    <comment ref="Y1" authorId="0" shapeId="0">
      <text>
        <r>
          <rPr>
            <b/>
            <sz val="8"/>
            <color indexed="81"/>
            <rFont val="Tahoma"/>
            <family val="2"/>
          </rPr>
          <t>SUDDABY:</t>
        </r>
        <r>
          <rPr>
            <sz val="8"/>
            <color indexed="81"/>
            <rFont val="Tahoma"/>
            <family val="2"/>
          </rPr>
          <t xml:space="preserve">
An air fight here means that the German airplanes got close enough to the bombers for the bombers or their escorts to shoot back at the fighters. German fighters sniping at a bomber formation from a ridiculously long range with no response is not counted in this database as an air fight.</t>
        </r>
      </text>
    </comment>
    <comment ref="Z1" authorId="0" shapeId="0">
      <text>
        <r>
          <rPr>
            <b/>
            <sz val="8"/>
            <color indexed="81"/>
            <rFont val="Tahoma"/>
            <family val="2"/>
          </rPr>
          <t>SUDDABY:</t>
        </r>
        <r>
          <rPr>
            <sz val="8"/>
            <color indexed="81"/>
            <rFont val="Tahoma"/>
            <family val="2"/>
          </rPr>
          <t xml:space="preserve">
"Voisin" means Voisin 3, 4, or 5</t>
        </r>
      </text>
    </comment>
    <comment ref="AA1" authorId="0" shapeId="0">
      <text>
        <r>
          <rPr>
            <b/>
            <sz val="8"/>
            <color indexed="81"/>
            <rFont val="Tahoma"/>
            <family val="2"/>
          </rPr>
          <t>SUDDABY:</t>
        </r>
        <r>
          <rPr>
            <sz val="8"/>
            <color indexed="81"/>
            <rFont val="Tahoma"/>
            <family val="2"/>
          </rPr>
          <t xml:space="preserve">
Earilest takeoff time of unit in military time</t>
        </r>
      </text>
    </comment>
    <comment ref="AB1" authorId="0" shapeId="0">
      <text>
        <r>
          <rPr>
            <b/>
            <sz val="8"/>
            <color indexed="81"/>
            <rFont val="Tahoma"/>
            <family val="2"/>
          </rPr>
          <t>SUDDABY:</t>
        </r>
        <r>
          <rPr>
            <sz val="8"/>
            <color indexed="81"/>
            <rFont val="Tahoma"/>
            <family val="2"/>
          </rPr>
          <t xml:space="preserve">
Latest time a plane from that unit returned to base in military time</t>
        </r>
      </text>
    </comment>
    <comment ref="AC1" authorId="0" shapeId="0">
      <text>
        <r>
          <rPr>
            <b/>
            <sz val="8"/>
            <color indexed="81"/>
            <rFont val="Tahoma"/>
            <family val="2"/>
          </rPr>
          <t>SUDDABY:</t>
        </r>
        <r>
          <rPr>
            <sz val="8"/>
            <color indexed="81"/>
            <rFont val="Tahoma"/>
            <family val="2"/>
          </rPr>
          <t xml:space="preserve">
Known time when bombs were dropped or midpoint of T.O. &amp; RTB times</t>
        </r>
      </text>
    </comment>
    <comment ref="AD1" authorId="0" shapeId="0">
      <text>
        <r>
          <rPr>
            <b/>
            <sz val="8"/>
            <color indexed="81"/>
            <rFont val="Tahoma"/>
            <family val="2"/>
          </rPr>
          <t>SUDDABY:</t>
        </r>
        <r>
          <rPr>
            <sz val="8"/>
            <color indexed="81"/>
            <rFont val="Tahoma"/>
            <family val="2"/>
          </rPr>
          <t xml:space="preserve">
If several a/c made the same trip, this is the longest.</t>
        </r>
      </text>
    </comment>
    <comment ref="AE1" authorId="0" shapeId="0">
      <text>
        <r>
          <rPr>
            <b/>
            <sz val="8"/>
            <color indexed="81"/>
            <rFont val="Tahoma"/>
            <family val="2"/>
          </rPr>
          <t>SUDDABY:</t>
        </r>
        <r>
          <rPr>
            <sz val="8"/>
            <color indexed="81"/>
            <rFont val="Tahoma"/>
            <family val="2"/>
          </rPr>
          <t xml:space="preserve">
Base for French raids is frequently from "Les escadrilles de l'aéronautique militaire française", SHAA</t>
        </r>
      </text>
    </comment>
    <comment ref="AF1" authorId="1" shapeId="0">
      <text>
        <r>
          <rPr>
            <b/>
            <sz val="9"/>
            <color indexed="81"/>
            <rFont val="Tahoma"/>
            <charset val="1"/>
          </rPr>
          <t>Steve Suddaby:</t>
        </r>
        <r>
          <rPr>
            <sz val="9"/>
            <color indexed="81"/>
            <rFont val="Tahoma"/>
            <charset val="1"/>
          </rPr>
          <t xml:space="preserve">
One-way distance by air, rounded to the nearest 5km</t>
        </r>
      </text>
    </comment>
    <comment ref="AG1" authorId="0" shapeId="0">
      <text>
        <r>
          <rPr>
            <b/>
            <sz val="8"/>
            <color indexed="81"/>
            <rFont val="Tahoma"/>
            <family val="2"/>
          </rPr>
          <t>SUDDABY:</t>
        </r>
        <r>
          <rPr>
            <sz val="8"/>
            <color indexed="81"/>
            <rFont val="Tahoma"/>
            <family val="2"/>
          </rPr>
          <t xml:space="preserve">
Casualty data recorded by the USAS Bombing Survey.  Blank cell means data is missing, not necessarily zero.</t>
        </r>
      </text>
    </comment>
    <comment ref="AI1" authorId="0" shapeId="0">
      <text>
        <r>
          <rPr>
            <b/>
            <sz val="8"/>
            <color indexed="81"/>
            <rFont val="Tahoma"/>
            <family val="2"/>
          </rPr>
          <t>SUDDABY:</t>
        </r>
        <r>
          <rPr>
            <sz val="8"/>
            <color indexed="81"/>
            <rFont val="Tahoma"/>
            <family val="2"/>
          </rPr>
          <t xml:space="preserve">
Direct damage from bombs hitting the target. Source is bombing survey.  Blank cell means missing data, not necessarily zero.</t>
        </r>
      </text>
    </comment>
    <comment ref="AJ1" authorId="0" shapeId="0">
      <text>
        <r>
          <rPr>
            <b/>
            <sz val="8"/>
            <color indexed="81"/>
            <rFont val="Tahoma"/>
            <family val="2"/>
          </rPr>
          <t>SUDDABY:</t>
        </r>
        <r>
          <rPr>
            <sz val="8"/>
            <color indexed="81"/>
            <rFont val="Tahoma"/>
            <family val="2"/>
          </rPr>
          <t xml:space="preserve">
Damage in Luxembourg and occasionally occupied France is given in francs in the bombing survey. During WWI, 1 Luxembourg Franc = 1 Belgian Franc = 0.80 German Marks.  Blank cell means missing data, not necessarily zero damage.</t>
        </r>
      </text>
    </comment>
    <comment ref="AK1" authorId="0" shapeId="0">
      <text>
        <r>
          <rPr>
            <b/>
            <sz val="8"/>
            <color indexed="81"/>
            <rFont val="Tahoma"/>
            <family val="2"/>
          </rPr>
          <t>SUDDABY:</t>
        </r>
        <r>
          <rPr>
            <sz val="8"/>
            <color indexed="81"/>
            <rFont val="Tahoma"/>
            <family val="2"/>
          </rPr>
          <t xml:space="preserve">
# of bombs found by local authorities at target (info from bombing survey) or number of bombs dropped listed in squadron records. All types of bombs included in the latter count, including incendiaries.</t>
        </r>
      </text>
    </comment>
    <comment ref="AL1" authorId="0" shapeId="0">
      <text>
        <r>
          <rPr>
            <b/>
            <sz val="8"/>
            <color indexed="81"/>
            <rFont val="Tahoma"/>
            <family val="2"/>
          </rPr>
          <t>SUDDABY:</t>
        </r>
        <r>
          <rPr>
            <sz val="8"/>
            <color indexed="81"/>
            <rFont val="Tahoma"/>
            <family val="2"/>
          </rPr>
          <t xml:space="preserve">
Time a facility was out of action or nonproductive due to bomb damage or stopping due to bomb raid or alert.
Examples: trains stopped moving during alerts; a rail station might be nonfunctioning until track damage is repaired, a bridge or factory might be out of commission until it is repaired; a factory might stop work during an alert while the workers took shelter.</t>
        </r>
      </text>
    </comment>
    <comment ref="AM1" authorId="0" shapeId="0">
      <text>
        <r>
          <rPr>
            <b/>
            <sz val="8"/>
            <color indexed="81"/>
            <rFont val="Tahoma"/>
            <family val="2"/>
          </rPr>
          <t>SUDDABY:</t>
        </r>
        <r>
          <rPr>
            <sz val="8"/>
            <color indexed="81"/>
            <rFont val="Tahoma"/>
            <family val="2"/>
          </rPr>
          <t xml:space="preserve">
Indirect costs from air raids or alerts -- generally lost production during an alert where no bombs hit the facility.</t>
        </r>
      </text>
    </comment>
    <comment ref="AO1" authorId="0" shapeId="0">
      <text>
        <r>
          <rPr>
            <b/>
            <sz val="8"/>
            <color indexed="81"/>
            <rFont val="Tahoma"/>
            <family val="2"/>
          </rPr>
          <t>SUDDABY:</t>
        </r>
        <r>
          <rPr>
            <sz val="8"/>
            <color indexed="81"/>
            <rFont val="Tahoma"/>
            <family val="2"/>
          </rPr>
          <t xml:space="preserve">
In Alsace &amp; Lorraine, many cities and towns had two names - 1 French and 1 German.</t>
        </r>
      </text>
    </comment>
    <comment ref="AP1" authorId="0" shapeId="0">
      <text>
        <r>
          <rPr>
            <b/>
            <sz val="8"/>
            <color indexed="81"/>
            <rFont val="Tahoma"/>
            <family val="2"/>
          </rPr>
          <t>SUDDABY:</t>
        </r>
        <r>
          <rPr>
            <sz val="8"/>
            <color indexed="81"/>
            <rFont val="Tahoma"/>
            <family val="2"/>
          </rPr>
          <t xml:space="preserve">
The duration of the raid or alert in hours is often given in the Bombing Survey data. This frequently matches "time lost" if production or transportation stopped only for the duration of that particular raid/alert.</t>
        </r>
      </text>
    </comment>
    <comment ref="AQ1" authorId="0" shapeId="0">
      <text>
        <r>
          <rPr>
            <b/>
            <sz val="8"/>
            <color indexed="81"/>
            <rFont val="Tahoma"/>
            <family val="2"/>
          </rPr>
          <t>SUDDABY:</t>
        </r>
        <r>
          <rPr>
            <sz val="8"/>
            <color indexed="81"/>
            <rFont val="Tahoma"/>
            <family val="2"/>
          </rPr>
          <t xml:space="preserve">
Source information.  
If entry is just a number, it is a page number from Vol.IV of the USAF "History of the US Air Service", written by Maurer Maurer.
NARA 990 refers to  microfilm Roll#58 of the Gorrell Records (the very last one). The target locations are listed alphabetically on the microfilm.
"War Diary" refers to the Journal des marches et operations put on the internet by the French government.  The records are JPEG images of pages, so each one has an Image number that is part of the file name.
"G.K. Williams Summary" is data compiled by George Kent Williams for his dissertation research at Oxford (1987).  It includes information from these documents: Approximate Results, Detailed Raid Report, War Diaries, The War in the Air Appendices, &amp; Squadron Histories.  Raid times have been added to this data from Keith Rennles, Independent Force, 2002.</t>
        </r>
      </text>
    </comment>
    <comment ref="AR1" authorId="0" shapeId="0">
      <text>
        <r>
          <rPr>
            <b/>
            <sz val="8"/>
            <color indexed="81"/>
            <rFont val="Tahoma"/>
            <family val="2"/>
          </rPr>
          <t>SUDDABY:</t>
        </r>
        <r>
          <rPr>
            <sz val="8"/>
            <color indexed="81"/>
            <rFont val="Tahoma"/>
            <family val="2"/>
          </rPr>
          <t xml:space="preserve">
Comments are here if they are not in Column I.</t>
        </r>
      </text>
    </comment>
    <comment ref="AU1" authorId="1" shapeId="0">
      <text>
        <r>
          <rPr>
            <b/>
            <sz val="9"/>
            <color indexed="81"/>
            <rFont val="Tahoma"/>
            <charset val="1"/>
          </rPr>
          <t>Suddaby:</t>
        </r>
        <r>
          <rPr>
            <sz val="9"/>
            <color indexed="81"/>
            <rFont val="Tahoma"/>
            <charset val="1"/>
          </rPr>
          <t xml:space="preserve">
If you sort this database in a different way and you want to return it to the original order, use this column rather than the date/time columns. This will put the summary records immediately above their subrecords and put ABS data after the bombing records for the same day.</t>
        </r>
      </text>
    </comment>
    <comment ref="AK229" authorId="0" shapeId="0">
      <text>
        <r>
          <rPr>
            <b/>
            <sz val="8"/>
            <color indexed="81"/>
            <rFont val="Tahoma"/>
            <family val="2"/>
          </rPr>
          <t>SUDDABY:</t>
        </r>
        <r>
          <rPr>
            <sz val="8"/>
            <color indexed="81"/>
            <rFont val="Tahoma"/>
            <family val="2"/>
          </rPr>
          <t xml:space="preserve">
plus 1000 flechettes</t>
        </r>
      </text>
    </comment>
    <comment ref="AK230" authorId="0" shapeId="0">
      <text>
        <r>
          <rPr>
            <b/>
            <sz val="8"/>
            <color indexed="81"/>
            <rFont val="Tahoma"/>
            <family val="2"/>
          </rPr>
          <t>SUDDABY:</t>
        </r>
        <r>
          <rPr>
            <sz val="8"/>
            <color indexed="81"/>
            <rFont val="Tahoma"/>
            <family val="2"/>
          </rPr>
          <t xml:space="preserve">
plus 55 flectettes dropped on troops</t>
        </r>
      </text>
    </comment>
    <comment ref="AK2879" authorId="0" shapeId="0">
      <text>
        <r>
          <rPr>
            <b/>
            <sz val="8"/>
            <color indexed="81"/>
            <rFont val="Tahoma"/>
            <family val="2"/>
          </rPr>
          <t>SUDDABY:</t>
        </r>
        <r>
          <rPr>
            <sz val="8"/>
            <color indexed="81"/>
            <rFont val="Tahoma"/>
            <family val="2"/>
          </rPr>
          <t xml:space="preserve">
based on identical mission dropping same bomb weight</t>
        </r>
      </text>
    </comment>
  </commentList>
</comments>
</file>

<file path=xl/sharedStrings.xml><?xml version="1.0" encoding="utf-8"?>
<sst xmlns="http://schemas.openxmlformats.org/spreadsheetml/2006/main" count="47786" uniqueCount="7803">
  <si>
    <t>Date</t>
  </si>
  <si>
    <t>Time</t>
  </si>
  <si>
    <t>Sqn</t>
  </si>
  <si>
    <t>TOTAL ABORT?</t>
  </si>
  <si>
    <t>Target Location</t>
  </si>
  <si>
    <t>Target Description</t>
  </si>
  <si>
    <t>Target Type</t>
  </si>
  <si>
    <t>Raid=1, Alert=0</t>
  </si>
  <si>
    <t>Summary Rec (T/F) or Comments</t>
  </si>
  <si>
    <t>COM-PLETE</t>
  </si>
  <si>
    <t>Bomb Wgt (LB)</t>
  </si>
  <si>
    <t>A/C Launched</t>
  </si>
  <si>
    <t>ABORT WX</t>
  </si>
  <si>
    <t>ABORT MECH</t>
  </si>
  <si>
    <t>ABORT OTHR</t>
  </si>
  <si>
    <t>DIVERT WX</t>
  </si>
  <si>
    <t>DIVRT MECH</t>
  </si>
  <si>
    <t>DIV DISOR</t>
  </si>
  <si>
    <t>BOMB-ING</t>
  </si>
  <si>
    <t>Miss- ing</t>
  </si>
  <si>
    <t>FL-NO DAMAGE</t>
  </si>
  <si>
    <t>FL-DAMAGE</t>
  </si>
  <si>
    <t>Alt. (Feet)</t>
  </si>
  <si>
    <t>Rec #</t>
  </si>
  <si>
    <t>Air Fight ?</t>
  </si>
  <si>
    <t>A/C Type</t>
  </si>
  <si>
    <t>T.O. Time</t>
  </si>
  <si>
    <t>RTB Time</t>
  </si>
  <si>
    <t>Bombing Time or Midpoint</t>
  </si>
  <si>
    <t>Dura- tion (Hrs)</t>
  </si>
  <si>
    <t>Base</t>
  </si>
  <si>
    <t>Distance From Base (Km)</t>
  </si>
  <si>
    <t>Killed</t>
  </si>
  <si>
    <t>Woun-ded</t>
  </si>
  <si>
    <t>Damage (Marks)</t>
  </si>
  <si>
    <t>Damage (Francs)</t>
  </si>
  <si>
    <t># Bombs</t>
  </si>
  <si>
    <t>Time Lost (Hours)</t>
  </si>
  <si>
    <t>Other Cost (Marks)</t>
  </si>
  <si>
    <t>Other Cost (Francs)</t>
  </si>
  <si>
    <t>Alternate Location Name</t>
  </si>
  <si>
    <t>Raid or Alert Length (Hrs)</t>
  </si>
  <si>
    <t>Page #, Maurer Maurer, v.IV, or other Reference</t>
  </si>
  <si>
    <t>Comments</t>
  </si>
  <si>
    <t>Chrono- logical Order</t>
  </si>
  <si>
    <t>Night</t>
  </si>
  <si>
    <t>Fr.Dirg.</t>
  </si>
  <si>
    <t>Konz-Karthus</t>
  </si>
  <si>
    <t>Rail Station</t>
  </si>
  <si>
    <t>R</t>
  </si>
  <si>
    <t>Recon &amp; raid by French dirigible Fleurus-I. Recon to Sarre, Treves, Lux'g. Dropped 4 155mm shells on stn</t>
  </si>
  <si>
    <t>No</t>
  </si>
  <si>
    <t>Dirg.</t>
  </si>
  <si>
    <t>Icare, L'aeronautique militaire francaise, tome I, p.142</t>
  </si>
  <si>
    <t>Karthaus</t>
  </si>
  <si>
    <t>1 of 3 bombs was a dud.  No record or recollection of damage in this raid.  [Were there any earlier bomb raids in WWI?]</t>
  </si>
  <si>
    <t>Tetershein</t>
  </si>
  <si>
    <t>Train</t>
  </si>
  <si>
    <t>Fr. Dirigible Fleurus I - 3 bombs on train; recon at Sarrebourg and Mohlbach</t>
  </si>
  <si>
    <t>MF16</t>
  </si>
  <si>
    <t>Metz - Frescaty</t>
  </si>
  <si>
    <t>Zepp sheds</t>
  </si>
  <si>
    <t>Lt. Cesari &amp; Corporal Prudhommeaux made unsuccessful attack - 1st French airplane raid</t>
  </si>
  <si>
    <t>MF7</t>
  </si>
  <si>
    <t>Verdun</t>
  </si>
  <si>
    <t>Martel, 18</t>
  </si>
  <si>
    <t>One source [didn't record it at the time] says Lt. Finck damaged a Zeppelin on 15 August - according to Martel, p.18, this was 20 August and a fire was started</t>
  </si>
  <si>
    <t>Genappe (N of); Louvain</t>
  </si>
  <si>
    <t>Bivouacs; "region of"</t>
  </si>
  <si>
    <t>T</t>
  </si>
  <si>
    <t>Fr. Dirigible Dupuy-de-Lôme, 6 155mm shells on bivouacs, 3 shells on "region" - says daytime raid but probably began after midnight or ended before midnight (assuming latter 3 shells were 155mm)</t>
  </si>
  <si>
    <t>Petit-Roeulx; Kosseignies</t>
  </si>
  <si>
    <t>Bivouacs; Rail Stn</t>
  </si>
  <si>
    <t>O</t>
  </si>
  <si>
    <t>Fr. Dirigible Montgolfier, 3 155mm shells (40kg each) on each target</t>
  </si>
  <si>
    <t>Luxembourg</t>
  </si>
  <si>
    <t>Rail Stn</t>
  </si>
  <si>
    <t>Fr. Dirigible Fleurus I - 4x155mm shells on station</t>
  </si>
  <si>
    <t>Hollerich, Lux.</t>
  </si>
  <si>
    <t>[THIS RECORD SAYS TIME WAS NOON BUT BOMBING RECORD OF FRENCH DIRIGIBLE IMPLIES IT WAS PROBABLY MIDNIGHT ON 22/23 AUGUST 1914. -SCS]  David Heal puts raid on night of 22/23 AUG 1914 and lists damage as 3185.75 francs. AM CHANGING THIS RECORD FROM THE USAS BOMBING SURVEY INFO OF NOON ON 23 AUG AND 3086 FRANCS DAMAGE. Bombs landed around the rail station and perhaps hit it - the Gendarmerie report is mute on that issue.  Two of them were duds.</t>
  </si>
  <si>
    <t>Hollerick</t>
  </si>
  <si>
    <t>NARA 990; David Heal, Stand To! #91 April/May 2011, p.41</t>
  </si>
  <si>
    <t>Vitremont Forest</t>
  </si>
  <si>
    <t>Bivouacs</t>
  </si>
  <si>
    <t>Fr. Dirigible Adj. Vincenot dropped 1 shell</t>
  </si>
  <si>
    <t>Day</t>
  </si>
  <si>
    <t>Brit.</t>
  </si>
  <si>
    <t>Villers-Cotterets (north of…)</t>
  </si>
  <si>
    <t>Cavalry</t>
  </si>
  <si>
    <t>According to Martel (p.18), 1st British bombing - 2 bombs dropped</t>
  </si>
  <si>
    <t>RNAS Eastchurch Sqn</t>
  </si>
  <si>
    <t>Düsseldorf &amp; Cologne</t>
  </si>
  <si>
    <t>Army Zepp sheds</t>
  </si>
  <si>
    <t>4 Sopwith Tabloids attempt to reach Army Zepp sheds from Antwerp. 3 turn back due to fog. 1 of 4 Hales bombs dropped by Flt.Lt. Charles Collet hits a shed but doesn't detonate because it was released from too low an altitude to arm itself.</t>
  </si>
  <si>
    <t>Very low</t>
  </si>
  <si>
    <t>Tabloid</t>
  </si>
  <si>
    <t>Antwerp</t>
  </si>
  <si>
    <t>Al Nugent's records</t>
  </si>
  <si>
    <t>Heindicourt</t>
  </si>
  <si>
    <t>"rassemblements signalés"</t>
  </si>
  <si>
    <t>Fr. Dirigible Fleurus I - says daytime raid but probably began after or ended before midnight</t>
  </si>
  <si>
    <t>Luxembourg City</t>
  </si>
  <si>
    <t>Apparently Rail Lines</t>
  </si>
  <si>
    <t>David Heal's article says bombs fell near a rail bridge on the main rail line to Belgium.  Had one hit a nearby gasometer, it could have resulted in severe damage. Article includes a photo of a Berlin newspaper article saying 16 bombs were dropped and 2 people wounded.</t>
  </si>
  <si>
    <t>David Heal, Stand To! #91 April/May 2011, pp.42-3</t>
  </si>
  <si>
    <t>F.25</t>
  </si>
  <si>
    <t>Étain (NW of…)</t>
  </si>
  <si>
    <t>U/K</t>
  </si>
  <si>
    <t>1st raid by F.25</t>
  </si>
  <si>
    <t>Martel, 22</t>
  </si>
  <si>
    <t>Cologne</t>
  </si>
  <si>
    <t>City?</t>
  </si>
  <si>
    <t>"Flight of Avro 504s raided Cologne" -Avro, The Archive Photographs Series, p.6 [Can't be certain this isn't a garble of the 9 October raid by Tabloids]</t>
  </si>
  <si>
    <t>Düsseldorf</t>
  </si>
  <si>
    <t>Marix destroys Z.IX in its shed. Ran out of petrol, force-landed, and returned to Antwerp by bicycle. Ian Gardiner (The Flatpack Bombers) says he dropped 2x20 lb Hales bombs.</t>
  </si>
  <si>
    <t>Al Nugent's records &amp; Ian Gardiner, "The Flatpack Bombers", p.48</t>
  </si>
  <si>
    <t>Rail station</t>
  </si>
  <si>
    <t>Spencer-Grey could not find Cologne Zepp shed so bombed rail stn. Ian Gardiner (The Flatpack Bombers) says he dropped 2x20 lb Hales bombs.</t>
  </si>
  <si>
    <t>Camp-des-Romains</t>
  </si>
  <si>
    <t>Fr. Dirigible Adj. Vincenot dropped 5 shells &amp; 1 melinite bomb</t>
  </si>
  <si>
    <t>Yes</t>
  </si>
  <si>
    <t>Gerrard and Grey aborted due to fog</t>
  </si>
  <si>
    <t>Hendicourt; Chamblay</t>
  </si>
  <si>
    <t>Fr. Dirigible Fleurus I - 4x95mm shells and 2x22kg bombs on Hendicourt; 4x120mm shells on Chamblay</t>
  </si>
  <si>
    <t>Tergnier</t>
  </si>
  <si>
    <t>Fr. Dirigible Montgolfier - says daytime raid but probably began after or ended before midnight - 22 shells dropped</t>
  </si>
  <si>
    <t>Sarrebourg, Petit-Eich, Heining</t>
  </si>
  <si>
    <t>Rail Stns &amp; Trains</t>
  </si>
  <si>
    <t>Fr. Dirigible Conté - 15 shells on Sarrebourg Stn; 6 shells on Petit-Eich stn; 1 shell on trains; 3 shells on Heining stn</t>
  </si>
  <si>
    <t>Freidrichshafen</t>
  </si>
  <si>
    <t>1 of 4 Avro 504s aborted on takeoff at Belfort when tailskid broke. 11 of 12 20-lb. Hales bombs successfully dropped by other 3 a/c.  Claimed Zepp L7 damaged, along with construction shed and hydrogen-generating facility.  (Probably not.)  Biggs shot down during raid and made POW.</t>
  </si>
  <si>
    <t>Avro504</t>
  </si>
  <si>
    <t>Belfort</t>
  </si>
  <si>
    <t>Al Nugent's records &amp; Ian Gardiner, "The Flatpack Bombers", pp.70-79</t>
  </si>
  <si>
    <t>MF29</t>
  </si>
  <si>
    <t>Fribourg-en-Brisgau</t>
  </si>
  <si>
    <t>6 shells dropped</t>
  </si>
  <si>
    <t>Martel, p.23</t>
  </si>
  <si>
    <t>18 or 19 shells dropped - Martel says "considerable damage" with 13 bombs hitting objective</t>
  </si>
  <si>
    <t>Martel, p.23,34</t>
  </si>
  <si>
    <t>Saarburg</t>
  </si>
  <si>
    <t>Sarrebourg</t>
  </si>
  <si>
    <t>GB1</t>
  </si>
  <si>
    <t>Givenchy-en-Gohelle</t>
  </si>
  <si>
    <t>Village</t>
  </si>
  <si>
    <t>Mission 1015-1215 - 11 Voisins, 66 x 90mm shells.  Heavily shelled by AAA; 2 observers wounded. De Goys &amp; his pilot chased an Aviatik &amp; fired at it with a carbine.  CORRECT NAME OF BASE IS PRESUMABLY Saint-Pol-sur-Tenoise.</t>
  </si>
  <si>
    <t>Voisin</t>
  </si>
  <si>
    <t>St. Pol-en-Ternoise</t>
  </si>
  <si>
    <t>Martel, p.36 &amp; GB1 War Diary Images 0005-6</t>
  </si>
  <si>
    <t>Hénin-Liétard (near Lens)</t>
  </si>
  <si>
    <t>RR stn</t>
  </si>
  <si>
    <t>Afternoon raid. 12x90mm shells on target.  CORRECT NAME OF BASE IS PRESUMABLY Saint-Pol-sur-Tenoise.</t>
  </si>
  <si>
    <t>GB1 War Diary Image 0006</t>
  </si>
  <si>
    <t>Dieuze</t>
  </si>
  <si>
    <t>Salt factory damaged</t>
  </si>
  <si>
    <t>(S of Bensdorf)</t>
  </si>
  <si>
    <t>MF25</t>
  </si>
  <si>
    <t>Rémilly-sur-Nied (Lorraine)</t>
  </si>
  <si>
    <t>HQ chateau</t>
  </si>
  <si>
    <t>10 shells dropped</t>
  </si>
  <si>
    <t>MF 7 or 11</t>
  </si>
  <si>
    <t>Vauciennes</t>
  </si>
  <si>
    <t>Martel, p.35</t>
  </si>
  <si>
    <t>GB1/VB3</t>
  </si>
  <si>
    <t>St. Mihiel</t>
  </si>
  <si>
    <t>Suburbs of town</t>
  </si>
  <si>
    <t>Toul</t>
  </si>
  <si>
    <t>GB1 War Diary Image 0008</t>
  </si>
  <si>
    <t>Belfort Group</t>
  </si>
  <si>
    <t>Remingen</t>
  </si>
  <si>
    <t>Troops</t>
  </si>
  <si>
    <t>D&amp;S: Capt. Happe in M.F.7 destroyed balloon w/ MG &amp; dropped 4000 flechettes on troops</t>
  </si>
  <si>
    <t>St.Mihiel (E of)</t>
  </si>
  <si>
    <t>Troop billets</t>
  </si>
  <si>
    <t>Verdun or Toul</t>
  </si>
  <si>
    <t>Chambley</t>
  </si>
  <si>
    <t>German HQ</t>
  </si>
  <si>
    <t>1 of 10 from Verdun reached target; nine could not climb above 1500 meters because of weather (and weak engines); 6x90mm bombs. Later mentions another plane, presumably an 11th, that had trouble and crashed from 600 meters.</t>
  </si>
  <si>
    <t>GB1 War Diary Images 0009-10</t>
  </si>
  <si>
    <t>Thiaucourt</t>
  </si>
  <si>
    <t>6 bombs - presumably 90mm and 1 plane</t>
  </si>
  <si>
    <t>GB1 War Diary Image 0009</t>
  </si>
  <si>
    <t>Chambley; La Chaussee; Lamorville</t>
  </si>
  <si>
    <t>German HQ; Air park; artillery</t>
  </si>
  <si>
    <t>7 a/c total; War Diary is unclear - definitely 5 bombs each on air park and artillery, but text does not make it clear whether total was 18 or 28.  VERY strong wind - took 2 hours to reach objective and 12 minutes to get back!</t>
  </si>
  <si>
    <t>GB1 War Diary Image 0010</t>
  </si>
  <si>
    <t>Hendicourt &amp;/or Varvinay</t>
  </si>
  <si>
    <t>2 reconnaissances &amp; 1 bombardment; 6x90mm shells</t>
  </si>
  <si>
    <t>Pagny</t>
  </si>
  <si>
    <t>6x90mm dropped; am assuming 1 plane</t>
  </si>
  <si>
    <t>Pagny-sur-Moselle</t>
  </si>
  <si>
    <t>Don't know # of a/c - probably 3 total for both raids - 14x90mm</t>
  </si>
  <si>
    <t>Don't know # of a/c - probably 3 total for both raids - 3x90mm</t>
  </si>
  <si>
    <t>St. Maurice; Ville-sur-Iron</t>
  </si>
  <si>
    <t>Artillery park; airfield</t>
  </si>
  <si>
    <t>Morning raid. 9 a/c, 23x90mm bombs on St. Maurice</t>
  </si>
  <si>
    <t>GB1 War Diary Image 0011</t>
  </si>
  <si>
    <t>Thiaucourt; Vilecey</t>
  </si>
  <si>
    <t>6x90mm on Thiaucourt; 3x90mm on Vilecey - # a/c unknown</t>
  </si>
  <si>
    <t>Spincourt</t>
  </si>
  <si>
    <t>German HQ &amp; RR stn</t>
  </si>
  <si>
    <t>Morning raid - 35x90mm bombs</t>
  </si>
  <si>
    <t>GB1 War Diary Image 0011 &amp; Martel 36</t>
  </si>
  <si>
    <t>Puxe (S of)</t>
  </si>
  <si>
    <t>Airfield</t>
  </si>
  <si>
    <t>A</t>
  </si>
  <si>
    <t>Afternoon raid</t>
  </si>
  <si>
    <t>Arnaville, Pagny, Château Salins</t>
  </si>
  <si>
    <t>Auto Park; Rail Stn; HQ</t>
  </si>
  <si>
    <t>19, 6, 17 x90mm shells on the 3 targets respectively. No a/c numbers given</t>
  </si>
  <si>
    <t>GB1 War Diary Image 0012 &amp; Martel 36</t>
  </si>
  <si>
    <t>GB2 (original) VB4</t>
  </si>
  <si>
    <t>Flanders: Ghistelles &amp; Ostend</t>
  </si>
  <si>
    <t>Airfield &amp; Harbor</t>
  </si>
  <si>
    <t>St-Pol-sur-Mer</t>
  </si>
  <si>
    <t>Nilsson, OTF v.4, #3, p.235</t>
  </si>
  <si>
    <t>Avollers</t>
  </si>
  <si>
    <t># Voisins not listed- 3?</t>
  </si>
  <si>
    <t>GB1 War Diary Image 0012</t>
  </si>
  <si>
    <t>Réchicourt-le-Château</t>
  </si>
  <si>
    <t>RR Stn</t>
  </si>
  <si>
    <t># Voisins not listed- 2?</t>
  </si>
  <si>
    <t>GB2 (orig.) VB4 &amp; VB5</t>
  </si>
  <si>
    <t>Flanders: near Leffinghe</t>
  </si>
  <si>
    <t>Suspected airfield</t>
  </si>
  <si>
    <t>Bollarville or Bollweiler</t>
  </si>
  <si>
    <t>D&amp;S: Capt. Happe in M.F.7 fought off Aviatik. Martel: dropped 8x90mm on station</t>
  </si>
  <si>
    <t>D&amp;S &amp; Martel, p.83</t>
  </si>
  <si>
    <t>1Wing RNAS</t>
  </si>
  <si>
    <t>Zeebrugge, Belgium</t>
  </si>
  <si>
    <t>Submarine Base</t>
  </si>
  <si>
    <t>Date actually "middle of" Feb.</t>
  </si>
  <si>
    <t>Dover (?)</t>
  </si>
  <si>
    <t>AIR1/2107</t>
  </si>
  <si>
    <t>Flanders: Ghistelles</t>
  </si>
  <si>
    <t>5 crews of VB4 &amp; 3 of VB5</t>
  </si>
  <si>
    <t>Somme-py, Montfauxelles, Vouziers, Termes</t>
  </si>
  <si>
    <t>Rail stns &amp; bridges</t>
  </si>
  <si>
    <t>VBs 1, 2, 3 dropped bombs 1000-1100. Unknown # of Voisins; some could not get high enough to cross lines. Working to interdict German resupply by rail. Bombs: 16x90mm &amp; 9x155mm long.</t>
  </si>
  <si>
    <t>Melette</t>
  </si>
  <si>
    <t>GB1 War Diary Images 0015-6</t>
  </si>
  <si>
    <t>Flanders: N of Brugges</t>
  </si>
  <si>
    <t>Naval Station</t>
  </si>
  <si>
    <t>5 crews of VB4 &amp; 2 of VB5</t>
  </si>
  <si>
    <t>Nilsson, OTF v.4, #3, p.235 &amp; GB2 War Diary Image 0007</t>
  </si>
  <si>
    <t>Bazancourt, Challerange, Pont-Faverger, Dontrien, d'Autry</t>
  </si>
  <si>
    <t>RR stns</t>
  </si>
  <si>
    <t>T.O.1015. # Voisins u/k; VB 1,2,3 participated. 15x90mm &amp; 11x155mm long bombs</t>
  </si>
  <si>
    <t>GB1 War Diary Image 0017 &amp; Martel 38</t>
  </si>
  <si>
    <t>Challerange - Pont Faverger (between)</t>
  </si>
  <si>
    <t>RR line - Dontrain stn; moving train</t>
  </si>
  <si>
    <t>3 of 7 a/c bombed targets with 4x155mm long bombs.</t>
  </si>
  <si>
    <t>GB1 War Diary Image 0019 &amp; Nilsson, OTF, V.1,#4, pp.298-9</t>
  </si>
  <si>
    <t>Fr.</t>
  </si>
  <si>
    <t>Metz &amp; other places</t>
  </si>
  <si>
    <t>RR Stns, trains, troops</t>
  </si>
  <si>
    <t>Metz - 3 bombs on barracks</t>
  </si>
  <si>
    <t>Middleton, v.II, p.59</t>
  </si>
  <si>
    <t>Challerange; Bazancourt; St.Marie-à-Py</t>
  </si>
  <si>
    <t>2 Rail Triangles; Train in stn</t>
  </si>
  <si>
    <t>4x155mm long on Challerage; 3x155mm long and 14x90mm on Bazancourt; 6x90mm on train in St.Marie-à-Py</t>
  </si>
  <si>
    <t>GB1 War Diary Images 0019-20</t>
  </si>
  <si>
    <t>? Mar 15</t>
  </si>
  <si>
    <t>Fr.&amp;Br.</t>
  </si>
  <si>
    <t>"near" Dusseldorf</t>
  </si>
  <si>
    <t>Depot - ammo, vehicles, petrol, engines, balloons</t>
  </si>
  <si>
    <t>Combined French -British raid on u/k date - depot set afire</t>
  </si>
  <si>
    <t>Pearce, CCI V.22, #3, p.126</t>
  </si>
  <si>
    <t>Pont-Faverger to Sommepy</t>
  </si>
  <si>
    <t>Rail Line &amp; Stns</t>
  </si>
  <si>
    <t>Hit Pont-Faverger, Bethienville, Dontrien, St.Souplet, Ste.Marie-à-Py, Sommepy. High winds kept 7 from crossing lines. Dropped 44x90 retardés. Map on image.</t>
  </si>
  <si>
    <t>GB1 War Diary Image 0021</t>
  </si>
  <si>
    <t>Rothweil</t>
  </si>
  <si>
    <t>Gunpowder Factory</t>
  </si>
  <si>
    <t>M</t>
  </si>
  <si>
    <t>D&amp;S: factory bombed this date "with devastating effectiveness"; Martel: Happe dropped 4x90mm shells</t>
  </si>
  <si>
    <t>D&amp;S &amp; Martel,83</t>
  </si>
  <si>
    <t>Dontrien - Ardeuil</t>
  </si>
  <si>
    <t>Rail targets</t>
  </si>
  <si>
    <t>Mission to hinder rail traffic from Bazancourt to Challerange - dropped 95x90mm retardés on rail stations and rail tunnel. Map on Image 0022.</t>
  </si>
  <si>
    <t>GB1 War Diary image 0023 &amp; Martel, p.38</t>
  </si>
  <si>
    <t>D&amp;S: Capt. Happe returned in his M.F.7 to bomb again - are all 3 dates correct??</t>
  </si>
  <si>
    <t>Ostend, Belgium</t>
  </si>
  <si>
    <t>Dunkerque</t>
  </si>
  <si>
    <t>Ferme (Farm) Chausson; Fontaine-en-Dormois</t>
  </si>
  <si>
    <t>Artillery; Troop Billets</t>
  </si>
  <si>
    <t>At 0800, an u/k # of Voisins took off in high winds; 7 made it across the lines to attack artillery batteries that French artillery could not reach.</t>
  </si>
  <si>
    <t>GB1 War Diary Images 0024-6</t>
  </si>
  <si>
    <t>Flanders: Gits; Slype &amp; Beerst</t>
  </si>
  <si>
    <t>Gits airfield; Artillery Batteries</t>
  </si>
  <si>
    <t>GB2 War Diary, Image 0008</t>
  </si>
  <si>
    <t>Time est.; T.O. @ 1115</t>
  </si>
  <si>
    <t>Flanders: Gits</t>
  </si>
  <si>
    <t>Gits airfield</t>
  </si>
  <si>
    <t>Flanders: Slype &amp; Beerst</t>
  </si>
  <si>
    <t>Artillery batteries</t>
  </si>
  <si>
    <t>Y</t>
  </si>
  <si>
    <t>German Rail Lines</t>
  </si>
  <si>
    <t>Clouds at 1400 meters caused abort of mission</t>
  </si>
  <si>
    <t>GB1 War Diary Image 0026</t>
  </si>
  <si>
    <t>Middlekerke</t>
  </si>
  <si>
    <t>Bois (Wood) Chausson</t>
  </si>
  <si>
    <t>Artillery</t>
  </si>
  <si>
    <t>T.O. 1300. 1 crew got through rain &amp; snow to target.</t>
  </si>
  <si>
    <t>GB1 War Diary Image 0027</t>
  </si>
  <si>
    <t>Rottweil</t>
  </si>
  <si>
    <t>Powder Magazine</t>
  </si>
  <si>
    <t>Target blown up (14 mi N of Donaueschingen)</t>
  </si>
  <si>
    <t>T.O.1500. Map Image 0026.</t>
  </si>
  <si>
    <t>GB1 War Diary Images 0026-8</t>
  </si>
  <si>
    <t>La Butte du Mesnil</t>
  </si>
  <si>
    <t>Bombing at 1500 to support 16eme Corps attack on Bois de Mesnil. Very cloudy. 51x90mm retardés. Map on Image 0028.</t>
  </si>
  <si>
    <t>GB1 War Diary Images 0028-9</t>
  </si>
  <si>
    <t>Maison de Champagne, Bois Mesnil, Bois Chausson, Ripont, Rouvroy, Cernay-en-Dormois, Fontaine-en-Dormois</t>
  </si>
  <si>
    <t>Artillery &amp; Troop Billets</t>
  </si>
  <si>
    <t>T.O. 1330, 1600; same support as previous day</t>
  </si>
  <si>
    <t>GB1 War Diary Images 0030-1</t>
  </si>
  <si>
    <t>Bazancourt, Altkirch, Cernay, Mulheim, Anizy, Chauny, Tergnier, Couchy le Chateau</t>
  </si>
  <si>
    <t>Rail stns &amp; Mulheim barracks</t>
  </si>
  <si>
    <t>Pont Faverges</t>
  </si>
  <si>
    <t>Aerodrome &amp; ammo store</t>
  </si>
  <si>
    <t>Challerange</t>
  </si>
  <si>
    <t>Rail jtn</t>
  </si>
  <si>
    <t>T.O.1700. Original mission was artillery at Maison-en-Champagne. 6 planes could not cross lines due to high winds and clouds; 1 bombed alternate target. Am ESTIMATING 6x90mm shells since this has been standard for these missions at this time.</t>
  </si>
  <si>
    <t>GB1 War Diary Images 0031-2</t>
  </si>
  <si>
    <t>Freiburg</t>
  </si>
  <si>
    <t>Maison de Champagne</t>
  </si>
  <si>
    <t>T.O.0900. Continued support for 16th Corps. Map (Image 0033) shows Ripont &amp; Somme-py also bombed as part of this operation.</t>
  </si>
  <si>
    <t>GB1 War Diary Images 0032-34</t>
  </si>
  <si>
    <t>Pont-Faverger, Betheniville, Gratreuil, Sechault, Ardeuil</t>
  </si>
  <si>
    <t>T.O. 0800. Mission was also to interdict enemy planes - 4 fled w/o fighting. Under orders of 4th Armee.</t>
  </si>
  <si>
    <t>GB1 War Diary Image 0034</t>
  </si>
  <si>
    <t>GB3</t>
  </si>
  <si>
    <t>Altkirch, Mulheim</t>
  </si>
  <si>
    <t>D&amp;S: GB3's 1st combat mission - flew Voisin 3's -- Martel (p.42) says this raid was on 21 March</t>
  </si>
  <si>
    <t>D&amp;S</t>
  </si>
  <si>
    <t>GB2 (orig.) VB104,105,106</t>
  </si>
  <si>
    <t>VB104: 4 crews; VB105: 1; VB106: 3 -- 1 crew diverted due to high winds and bombed other targets - 20x90mm shells on Gits aerodrome</t>
  </si>
  <si>
    <t>Nilsson, OTF v.4, #3, p.236 &amp; GB2 War Diary Images 10-11</t>
  </si>
  <si>
    <t>Conflans-en-Jarnisy; Etain</t>
  </si>
  <si>
    <t>RR Stns</t>
  </si>
  <si>
    <t>1st day based at Malzeville - 39 bombs from 1700-1740 - 8x155mm allongués &amp; 31x90mm retardés on Conflans; 1x155 on Etain (not clear why this Voisin diverted). 8 landed at other airfields by the light of landing fires.</t>
  </si>
  <si>
    <t>Malzéville</t>
  </si>
  <si>
    <t>GB1 War Diary Images 0036-7 &amp; Martel, 47</t>
  </si>
  <si>
    <t>1 plane "catches fire" and crew POWs</t>
  </si>
  <si>
    <t>Martel,42</t>
  </si>
  <si>
    <t>GB2 (orig.)</t>
  </si>
  <si>
    <t>Flanders: Ypres-Roulers</t>
  </si>
  <si>
    <t>Railway</t>
  </si>
  <si>
    <t>Assigned target (airfield S. of Roulers) never found - 1 crew dropped 6 bombs on rail line, which I assume are 90mm.  T.O. 0820. War Diary doesn't mention whether 2 crews in air fights dropped bombs.</t>
  </si>
  <si>
    <t>Nilsson, OTF v.4, #3, p.236 &amp; GB2 War Diary Images 11-12</t>
  </si>
  <si>
    <t>Villers-Cotterets</t>
  </si>
  <si>
    <t>Briey</t>
  </si>
  <si>
    <t>RR stn &amp; lines</t>
  </si>
  <si>
    <t>Middleton, v.II, p.64</t>
  </si>
  <si>
    <t>Hoboken?, Antwerp</t>
  </si>
  <si>
    <t>Submarine Yard</t>
  </si>
  <si>
    <t>Slips burnt, 1 sub destroyed, 3 subs damaged</t>
  </si>
  <si>
    <t>Airship sheds &amp; airfield</t>
  </si>
  <si>
    <t>War Diary: T.O. 0830; bombing 1000-1015. Dropped 11x155 and 10x90 bombs, one 90mm hit airship hanger.  Does not say # a/c. -- Martel says airship is damaged &amp; soldiers killed or wounded in Bavarian barracks &amp; King of Bavaria barely escapes being killed -  Middleton (v.II, p60) says 6 planes dropped 12 bombs &amp; that RR station was also a target</t>
  </si>
  <si>
    <t>GB1 War Diary Images 0037-8 &amp; Martel,48 &amp; Middleton, v.II, p.60</t>
  </si>
  <si>
    <t>Flanders: Brugges North</t>
  </si>
  <si>
    <t>Apparently Martel's 1st mission (with pilot Capt. De Castel). 9 crews couldn't reach Brugges due to wind; attacked other u/k targets</t>
  </si>
  <si>
    <t>Nilsson, OTF v.4, #3, p.236 &amp; GB2 War Diary Image 0012</t>
  </si>
  <si>
    <t>Metz</t>
  </si>
  <si>
    <t>City</t>
  </si>
  <si>
    <t>Middleton, v.II, pp.59-60</t>
  </si>
  <si>
    <t>GB1/VB102</t>
  </si>
  <si>
    <t>Rechicourt; Gondrexange</t>
  </si>
  <si>
    <t>GB1/VB102 - only 1 a/c reached original target (Rechicourt) - T.O. 1610; bombed Rechicourt 1720 with 8x90mm bombs; 10x90mm on Gondrexange</t>
  </si>
  <si>
    <t>GB1 War Diary Image 0039</t>
  </si>
  <si>
    <t>Flanders: Various places</t>
  </si>
  <si>
    <t>2 targets were rail lines</t>
  </si>
  <si>
    <t>9 crews couldn't reach "Brugges North" due to weather; 3 attacked various other targets (2 rail lines) with one 155mm bomb each. Martel &amp; de Castel on this mission.</t>
  </si>
  <si>
    <t>Nilsson, OTF v.4, #3, p.236 &amp; GB2 War Diary Images 0013-0014</t>
  </si>
  <si>
    <t>Flanders: "Brugges North", Middelkerke, NW of Ghistilles, Ghistilles, Oudenbourg (?)</t>
  </si>
  <si>
    <t>Railway &amp; barracks</t>
  </si>
  <si>
    <t>Nilsson, OTF v.4, #3, p.236 &amp; GB2 War Diary, Images 0014-0015</t>
  </si>
  <si>
    <t>T.O. 1345. Three crews reached objective; others hit other targets, including Martel (separate record). THIS IS A SUMMARY RECORD.</t>
  </si>
  <si>
    <t>Flanders: "Brugges North"</t>
  </si>
  <si>
    <t>Flanders: Middelkerke, NW of Ghistilles, Ghistilles, Oudenbourg (?)</t>
  </si>
  <si>
    <t>Enemy Lines</t>
  </si>
  <si>
    <t>GB2 War Diary, Images 0014-5</t>
  </si>
  <si>
    <t>PARTIAL RECORD - WX-DIVERTED PLANES FROM BRUGGES RAID. One 155 mm shell in each location.</t>
  </si>
  <si>
    <t>GB2 (orig.) VB5</t>
  </si>
  <si>
    <t>Port</t>
  </si>
  <si>
    <t>T.O. 2220. Return 0035. Capt. Bousquet &amp; Lt. Séjouné.  2x90mm and 1x155 mm bombs dropped. COOL MAP SKETCH IN WAR DIARY.</t>
  </si>
  <si>
    <t>GB2 War Diary, Images 0015-6</t>
  </si>
  <si>
    <t>Villingen</t>
  </si>
  <si>
    <t>Happe dropped ? x 90mm shells (he dropped 4x90mm one month earlier)</t>
  </si>
  <si>
    <t>Martel,84</t>
  </si>
  <si>
    <t>Zeebrugge</t>
  </si>
  <si>
    <t>Sub alongside Mole</t>
  </si>
  <si>
    <t>Handzaeme (near)</t>
  </si>
  <si>
    <t xml:space="preserve">Martel on this mission. T.O. 1440. </t>
  </si>
  <si>
    <t>Nilsson, OTF v.4, #3, p.237 &amp; GB2 War Diary Images 0016-7</t>
  </si>
  <si>
    <t>Courtemarcke</t>
  </si>
  <si>
    <t>Martel's Voisin, piloted by Capt. de Castel, diverted from Handzaeme mission.</t>
  </si>
  <si>
    <t>Vignuelles (Woevre)</t>
  </si>
  <si>
    <t>RR stn &amp; aerodrome</t>
  </si>
  <si>
    <t>Middleton, v.II, p.61</t>
  </si>
  <si>
    <t>Vigneulles-les-Hattonchatel</t>
  </si>
  <si>
    <t>Barracks at RR stn &amp; village</t>
  </si>
  <si>
    <t>T.O.0830; bombing 0950  - 53x90mm bombs - is 1 April night raid mistaken for this one???</t>
  </si>
  <si>
    <t>GB1 War Diary Images 0040-1 and Martel,47</t>
  </si>
  <si>
    <t>Courcelles</t>
  </si>
  <si>
    <t>War Diary does not specify type of shells, but am assuming 90mm based on the number dropped by 3 planes (18) and the fact that they have used nothing else recently. Raid by VB101 &amp; 103.</t>
  </si>
  <si>
    <t>GB1 War Diary Images 0041-2</t>
  </si>
  <si>
    <t>Chambley, Jaulny</t>
  </si>
  <si>
    <t>Rail Stns</t>
  </si>
  <si>
    <t>T.O.1500. Map Image 0043. "Special" mission flying from Verdun.  # Voisins not mentioned. 23x90mm on Chamley stn; 10x90mm on Jaulny stn.</t>
  </si>
  <si>
    <t>GB1 War Diary Images 0045-6</t>
  </si>
  <si>
    <t>Zeebrugge, Bruges, Steenbrugge</t>
  </si>
  <si>
    <t>Repair shops, Harbor, RR Stn</t>
  </si>
  <si>
    <t>GB2 War Diary Image 0018</t>
  </si>
  <si>
    <t>Repair shops</t>
  </si>
  <si>
    <t>Bruges</t>
  </si>
  <si>
    <t>Harbor</t>
  </si>
  <si>
    <t>Steenbrugge</t>
  </si>
  <si>
    <t>Chambley, Thiaucourt, Jaulny, Waville, Bayonville, Mars-la-Tour</t>
  </si>
  <si>
    <t>Bombing around 0900.  78x90mm shells on these rail stns: Chambley 44, Thiaucourt 8, Jaulny 8, Waville 6, Bayonville 4, Mars-la-Tour 6 bombs.  Map on Image 0046</t>
  </si>
  <si>
    <t>GB1 War Diary Images 0046-8</t>
  </si>
  <si>
    <t>Chambley, Bayonville, Waville</t>
  </si>
  <si>
    <t>T.O. 1500. 34x90mm total (which doesn't add up): Chambley 16, Bayonville 6, Waville 6.  I am going with 28 total since War Diary says total for day was 106. # Voisins not given.</t>
  </si>
  <si>
    <t>GB1 War Diary Images 0048-9</t>
  </si>
  <si>
    <t>GB1/VB101</t>
  </si>
  <si>
    <t>Delme</t>
  </si>
  <si>
    <t>Bombed 1915 hours - 6x90mm shells</t>
  </si>
  <si>
    <t>GB1 War Diary Image 0049</t>
  </si>
  <si>
    <t>Bussigny</t>
  </si>
  <si>
    <t>RR jtn</t>
  </si>
  <si>
    <t>Fr. Dirigible Adj. Vincenot dropped 20 Aasen bombs - recon around Mons, Valenciennes</t>
  </si>
  <si>
    <t>Vigneulles</t>
  </si>
  <si>
    <t>Rail Stn &amp; Barracks</t>
  </si>
  <si>
    <t>T.O.0830; bombing 0940-1045. # Voisins not given. Bombs 77x90mm</t>
  </si>
  <si>
    <t>GB1 War Diary Images 0048-50</t>
  </si>
  <si>
    <t>Marching column &amp; Convoy</t>
  </si>
  <si>
    <t>Courcelles,Verny,Vigny,Bayonville, Han sur Nied</t>
  </si>
  <si>
    <t>Rail stns, town (H-s-N), column</t>
  </si>
  <si>
    <t>Bombing ~1000. 9x155mm &amp; 6x90mm. # Voisins not given.</t>
  </si>
  <si>
    <t>GB1 War Diary Images 0052-3</t>
  </si>
  <si>
    <t>Ostend naval yd</t>
  </si>
  <si>
    <t>Harbor or naval yard</t>
  </si>
  <si>
    <t>T.O. 1540. Nilsson says 155mm shells at Ostend - latter seems more likely. On Image 0019, excellent color sketch map.</t>
  </si>
  <si>
    <t>GB2 War Diary Images 0019 &amp; 0020; Nilsson, OTF v.4, #3, p.237 &amp; Davilla &amp; Soltan</t>
  </si>
  <si>
    <t>Antoing</t>
  </si>
  <si>
    <t>Fr. Dirigible Adj. Vincenot dropped 8 Aasen bombs &amp; 10 Schneider bombs - recon near Mons</t>
  </si>
  <si>
    <t>St. Quentin</t>
  </si>
  <si>
    <t>Intel later said central ammo depot &amp; 150 trucks destroyed - fire lasted until the next day</t>
  </si>
  <si>
    <t>Damage caused by AA shell(s), presumably during a raid.  Destroyed 2 switches on Metz-Amanweiler tracks; tracks out of commission 4 hours on 15th and 2 hours on 16th.  Excavation to determine whether shell exploded.</t>
  </si>
  <si>
    <t>Leopoldshoehe</t>
  </si>
  <si>
    <t>Rail workshops</t>
  </si>
  <si>
    <t>10 bombs (E of Huningue)</t>
  </si>
  <si>
    <t>Middleton, v.II, p.62</t>
  </si>
  <si>
    <t>Powder Factory</t>
  </si>
  <si>
    <t>10 bombs - Martel: Happe-Leleu team again (presume 90mm shells)</t>
  </si>
  <si>
    <t>Martel,84 &amp; Middleton, v.II, p.62</t>
  </si>
  <si>
    <t>Maizières-lès-Metz (&amp; surrounding area)</t>
  </si>
  <si>
    <t>Electric Stn</t>
  </si>
  <si>
    <t>I</t>
  </si>
  <si>
    <t>19x155 allongés &amp; 20x90mm retardés bombs. (15km N of Metz) - T.O. 0800-0830; bombing 0900-1000. Maps Images 0051-2</t>
  </si>
  <si>
    <t>GB1 War Diary Images 0051-4</t>
  </si>
  <si>
    <t>Strasbourg</t>
  </si>
  <si>
    <t xml:space="preserve">French dirigible Conté dropped 520kg of explosives </t>
  </si>
  <si>
    <t>Hagendingen</t>
  </si>
  <si>
    <t>5 bombs on Maizieres &amp; Hagondange. 1 fell on Maizieres Factories, 2 near them, 1 in the plain and 1 on the Hagondange blast furnaces.  The latter caused little damage.  Work was not stopped.</t>
  </si>
  <si>
    <t>Maizieres</t>
  </si>
  <si>
    <t>Flanders: Kastelhoeck (near)</t>
  </si>
  <si>
    <t>Airfield &amp; Barracks</t>
  </si>
  <si>
    <t>War Diary lists 5 who could not accomplish mission but does not say why. Martel &amp; de Castel and Nungesser on this mission.</t>
  </si>
  <si>
    <t>GB2 War Diary Image 0021 &amp; Nilsson, OTF v.4, #3, p.237</t>
  </si>
  <si>
    <t>GB1/VB101,103</t>
  </si>
  <si>
    <t>Rombas</t>
  </si>
  <si>
    <t>8x155mm &amp; 8x90mm bombs - several hits seen -- 15 Voisins attacked from GB1 but don't know the number for this part of the raid - probably 7</t>
  </si>
  <si>
    <t>GB1 War Diary Images 0054-7 &amp; Nilsson OTF V.1,#4, p.299 &amp; Martel, 48</t>
  </si>
  <si>
    <t>GB1/VB103</t>
  </si>
  <si>
    <t>Busendorf (Bousse or Buss)</t>
  </si>
  <si>
    <t>Suspected powder factory</t>
  </si>
  <si>
    <t>3x155mm &amp; 6x90mm bombs - hits but no secondary explosions - 15 planes attacked from GB1 but don't know how many on this part of the mission - probably 3</t>
  </si>
  <si>
    <t>Thyssen (at Hagendingen)</t>
  </si>
  <si>
    <t>Blast Furnace</t>
  </si>
  <si>
    <t>B</t>
  </si>
  <si>
    <t>6x155mm &amp; 8x90mm bombs - Central building hit - 15 Voisins went on GB1 raid but don't know how many on this part of it - probably 5</t>
  </si>
  <si>
    <t>Flanders: Roulers</t>
  </si>
  <si>
    <t xml:space="preserve">T.O. 1615. Return 1817. Martel &amp; de Castel (pilote) plus Nungesser on this mission.  Martel &amp; de Castel returned w/ engine trouble. </t>
  </si>
  <si>
    <t>GB2 War Diary Images 0021-2 &amp; Nilsson, OTF v.4, #3, p.237</t>
  </si>
  <si>
    <t>4 bombs exploded in the factory. [See GB1 War Diary map on image 0055.]</t>
  </si>
  <si>
    <t>Hagondange (Forges &amp; Steel Mills)</t>
  </si>
  <si>
    <t>Flanders: Bixschoote (2 km N of) (sp?)</t>
  </si>
  <si>
    <t>Artillery Battery</t>
  </si>
  <si>
    <t xml:space="preserve">T.O. 1520. Return 1727. Martel, de Castel, Nungesser. </t>
  </si>
  <si>
    <t>GB2 War Diary Image 0022 &amp; Nilsson, OTF v.4, #3, p.237</t>
  </si>
  <si>
    <t>Wangen Chateau</t>
  </si>
  <si>
    <t>HQ</t>
  </si>
  <si>
    <t>T.O. 0800 - 3 planes of 7 bombed the Chateau; the other 4 hit other targets due to WX. These two related records are marked NOT Complete because some bombs were apparently dropped that were not in the total.</t>
  </si>
  <si>
    <t>GB1 War Diary Images 0058-9</t>
  </si>
  <si>
    <t>Arnaville; Arnaville to Bayonville</t>
  </si>
  <si>
    <t>RR stn; Convoy</t>
  </si>
  <si>
    <t>T.O. 0800 - 4 of 7 bombed these targets - cloud covered. These two related records are marked NOT Complete because some bombs were apparently dropped that were not in the total.</t>
  </si>
  <si>
    <t>Ostende</t>
  </si>
  <si>
    <t>Naval workshops</t>
  </si>
  <si>
    <t>T.O. 2115. Return 2310. Nungesser - 4 bombs seen to strike target. 1st night raid by GB2.</t>
  </si>
  <si>
    <t>GB2 War Diary Image 0023 &amp; Nilsson, OTF v.4, #3, p.237</t>
  </si>
  <si>
    <t>Flanders: Pilkem</t>
  </si>
  <si>
    <t>Ground targets; marching columns</t>
  </si>
  <si>
    <t>Original target was troops near Pilkem - none reached it - 7 of 11 crews attacked troops in a wide area with 44x90mm bombs, MGs, 2000 flechettes. Martel &amp; Nungesser on mission.</t>
  </si>
  <si>
    <t>GB2 War Diary Images 0023-4 &amp; Nilsson, OTF v.4, #3, p.237</t>
  </si>
  <si>
    <t>Bottwiller</t>
  </si>
  <si>
    <t>Middleton, v.II, p.63</t>
  </si>
  <si>
    <t>RR stn, trains, ammo dump</t>
  </si>
  <si>
    <t>T.O. 0700 VB101 &amp; VB103. 56x90mm &amp; 4x155mm long bombs - ammo dump set on fire. # planes not given, though 13 would be a good guess based on the number &amp; types of bombs.  Planes heavily shelled by AAA. Excellent map on Image 0060.</t>
  </si>
  <si>
    <t>GB1 War Diary Images 0060-62</t>
  </si>
  <si>
    <t>Arnaville</t>
  </si>
  <si>
    <t>Middleton, v.II, pp.63-4</t>
  </si>
  <si>
    <t>Friedrichshafen</t>
  </si>
  <si>
    <t>6 bombs; smoke seen from shed - intel later said Zepp damaged - D&amp;S say a/c was M.F.7 - Martel: Happe/Leleu team - says 2 Zepps damaged (presume 90mm shells)</t>
  </si>
  <si>
    <t>Middleton v.II, p.65 &amp; D&amp;S &amp; Martel,84</t>
  </si>
  <si>
    <t>Leopoldshoehe, Haltingen, Lörrach</t>
  </si>
  <si>
    <t>RR stn, bridges, works</t>
  </si>
  <si>
    <t>Combination of 2 accounts, incl. Martel p. 42 - 21 shells dropped; 1 plane fell in German lines - intel later said stn at Haltingen w/ repair works destroyed - Martel says at Haltingen rail stn, 2 locomotives destroyed, troop movement stopped, and ammo depot set ablaze; at Lörrach 42 killed or wounded. 1 plane downed after fight with Aviatik.</t>
  </si>
  <si>
    <t>Middleton, v.II, p.65 and Martel,42</t>
  </si>
  <si>
    <t>Flanders - Langemarck to Boesinghe</t>
  </si>
  <si>
    <t>Troops, truck convoy, battery</t>
  </si>
  <si>
    <t>8 a/c but 10 sorties.  Afternoon flights against targets of opportunity during ground attack. Nungesser bombed convoy of cars. 1 crew could find no targets at front lines; 1 sick pilot returned early.</t>
  </si>
  <si>
    <t>GB2 War Diary Image 0025 &amp; Nilsson, OTF v.4, #3, p.237</t>
  </si>
  <si>
    <t>Aulchin &amp; Prouvy; Marly; Aulnay</t>
  </si>
  <si>
    <t>Jtn &amp; spur line; station; jtn</t>
  </si>
  <si>
    <t>Fr. Dirigible Adj. Vincenot dropped 7 Aasen bombs on jtn "et troncon d'Aulchin, Prouvy", 5 Aasen bombs on Marly station, and 8 Aasen bombs &amp; 2x155mm shells on Aulnay jtn</t>
  </si>
  <si>
    <t>Habsheim</t>
  </si>
  <si>
    <t>Aerodrome</t>
  </si>
  <si>
    <t>Flanders: near Dixmunde &amp; Clerckem</t>
  </si>
  <si>
    <t>Long-range cannon</t>
  </si>
  <si>
    <t>Martel in VB106 flying with Capt de Castel in Voisin V299; Nungesser - only 1 plane in 8 found objective. T.O. 0910. War Diary says each plane dropped one bomb, so I am assuming it was a 155mm.</t>
  </si>
  <si>
    <t>Nilsson, OTF v.4, #3, p.237 &amp; GB2 War Diary, Images 0026-7</t>
  </si>
  <si>
    <t>Metzeral</t>
  </si>
  <si>
    <t>Somain (in Artois)</t>
  </si>
  <si>
    <t xml:space="preserve">Only MdL Nungesser &amp; Mitrailleur Lostalot found target. T.O. 1133. </t>
  </si>
  <si>
    <t>Humières</t>
  </si>
  <si>
    <t>Nilsson, OTF v.4, #3, p.237 &amp; GB2 War Diary, Images 0027-8</t>
  </si>
  <si>
    <t>GB2 (orig.)/VB104 &amp; 105</t>
  </si>
  <si>
    <t>Brebieres &amp; Athies</t>
  </si>
  <si>
    <t>Original target was Souain rail stn - none reached it. (Not positive Souain is the correct spelling).  T.O. 0647. Return 0910.</t>
  </si>
  <si>
    <t>Nilsson, OTF v.4, #3, p.237 &amp; GB2 War Diary, Image 0028</t>
  </si>
  <si>
    <t>GB2 (orig.)/VB104,5,6</t>
  </si>
  <si>
    <t>Between Beaurains &amp; Pont du Jour</t>
  </si>
  <si>
    <t>Artillery Batteries</t>
  </si>
  <si>
    <t>AM &amp; PM raids; several crews (incl. de Castel &amp; Martel) flew 2 sorties. Nilsson says 55 bombs but I count 54 from the War Diary.</t>
  </si>
  <si>
    <t>Nilsson, OTF v.4, #3, p.237 &amp; GB2 War Diary, Images 0028-30</t>
  </si>
  <si>
    <t>GB2 (orig.)/VB105</t>
  </si>
  <si>
    <t>Beaurains &amp; Tilloy</t>
  </si>
  <si>
    <t>T.O. 0745. Didn't hit Tilloy.</t>
  </si>
  <si>
    <t>GB2 War Diary Image 0030 and Nilsson, OTF v.4, #3, p.237</t>
  </si>
  <si>
    <t>Afternoon raids. Reached both targets.</t>
  </si>
  <si>
    <t>GB2 War Diary Images 0030-1</t>
  </si>
  <si>
    <t>Farbus; Vimy - Acheville region</t>
  </si>
  <si>
    <t>2 assemblies of troops, 1 balloon, 1 rail jtn</t>
  </si>
  <si>
    <t>Late afternoon raids. 500 flechettes dropped on balloon w/o result</t>
  </si>
  <si>
    <t>GB2 War Diary Image 0031 and Nilsson, OTF v.4, #3, p.237</t>
  </si>
  <si>
    <t>Seclin</t>
  </si>
  <si>
    <t>T.O. 0703. Nungesser &amp; Martel involved. It appears the missing crew got back the next day.</t>
  </si>
  <si>
    <t>GB2 War Diary Images 0031-2 and Nilsson, OTF v.4, #3, p.237</t>
  </si>
  <si>
    <t>Orchies, Douai, Brebieres</t>
  </si>
  <si>
    <t>Caused panic among German soldiers at Orchies (the original target). 1 crew hit Orchies, 1 hit Douai, 1 hit Brebieres.</t>
  </si>
  <si>
    <t>GB2 War Diary Image 0032 and Nilsson, OTF v.4, #3, p.237</t>
  </si>
  <si>
    <t>Douai</t>
  </si>
  <si>
    <t>Fr. Dirigible Adj. Vincenot dropped 20 Aasen bombs &amp; 2x155mm shells on rail line, jtn, &amp; stn</t>
  </si>
  <si>
    <t>Icare, L'aeronautique militaire francaise, tome I, p.143</t>
  </si>
  <si>
    <t>GB2 (orig.)/VB106</t>
  </si>
  <si>
    <t>Douai (south of)</t>
  </si>
  <si>
    <t>T.O. 0340. Only MdL Nungesser &amp; Méc. Pochon found target due to WX</t>
  </si>
  <si>
    <t>Vimy-Givenchy-Liévin</t>
  </si>
  <si>
    <t>Total Abort. Earlier raid that day didn't even take off due to WX.</t>
  </si>
  <si>
    <t>GB2 War Diary Image 0033</t>
  </si>
  <si>
    <t>Farbus (vic.)</t>
  </si>
  <si>
    <t>Extensive late afternoon strike on German artillery batteries around Farbus; some flew 2 sorties. Martel &amp; Nungesser flew missions.</t>
  </si>
  <si>
    <t>GB2 War Diary Images 0033-4 and Nilsson, OTF v.4, #3, p.237</t>
  </si>
  <si>
    <t>Cockerell's Sheds in Harbor</t>
  </si>
  <si>
    <t>Somain; Vitry-en-Artois; Brebières, Farbus; Ostracourt to Dourges</t>
  </si>
  <si>
    <t>RR stns; Artillery Batteries; Train</t>
  </si>
  <si>
    <t>GB2 War Diary Images 0034-5 and Nilsson, OTF v.4, #3, p.237</t>
  </si>
  <si>
    <t>1st T.O. 0930; last return 1245. Four sorties later (1535-1910). Nungesser &amp; Martel involved.</t>
  </si>
  <si>
    <t>Somain</t>
  </si>
  <si>
    <t>Vitry-en-Artois</t>
  </si>
  <si>
    <t>Brebières</t>
  </si>
  <si>
    <t>Ostracourt - Dourges</t>
  </si>
  <si>
    <t>Mission 1630 - 1910.</t>
  </si>
  <si>
    <t>Rombach Wks</t>
  </si>
  <si>
    <t>Damage to light and phone lines at Electric Central Stone Factory</t>
  </si>
  <si>
    <t>Rombas-3 mi W of Hagondange</t>
  </si>
  <si>
    <t>NARA 990 Roll 58</t>
  </si>
  <si>
    <t>Rail sidings</t>
  </si>
  <si>
    <t>Only MdL Nungesser &amp; Méc. Pochon found target due to WX</t>
  </si>
  <si>
    <t>Nilsson, OTF v.4, #3, p.238 &amp; GB2 War Diary, Image 0036</t>
  </si>
  <si>
    <t>Mission 0638 - 0956.</t>
  </si>
  <si>
    <t>Cambrai (south of); Beaurains</t>
  </si>
  <si>
    <t>RR stn; Artillery</t>
  </si>
  <si>
    <t>Nilsson, OTF v.4, #3, p.238 &amp; GB2 War Diary, Images 0036-7</t>
  </si>
  <si>
    <t>Cambrai (south of)</t>
  </si>
  <si>
    <t>Beaurains and ?</t>
  </si>
  <si>
    <t>Nungesser</t>
  </si>
  <si>
    <t>Cambrai (region of)</t>
  </si>
  <si>
    <t>Hit various stations near Cambrai, incl. Marguion, Croisilles, Boislaux, Chérisy, Vitry-en-Artois. Excl. 1 plane that diverted to artillery target for U/K reason</t>
  </si>
  <si>
    <t>Nilsson, OTF v.4, #3, p.238 &amp; GB2 War Diary Images 0037-8.</t>
  </si>
  <si>
    <t>Guismappe (?) to Fis-en-Artois (between)</t>
  </si>
  <si>
    <t>Diverted from RR raid</t>
  </si>
  <si>
    <t>Nungesser &amp; Pochon</t>
  </si>
  <si>
    <t>Boisleux</t>
  </si>
  <si>
    <t>Mission 0525 - 0803. Martel in plane with engine trouble.</t>
  </si>
  <si>
    <t>Nilsson, OTF v.4, #3, p.238 &amp; GB2 War Diary Image 0038.</t>
  </si>
  <si>
    <t>Cambrai</t>
  </si>
  <si>
    <t>Nungesser &amp; Pochon - Mission 2110-2330</t>
  </si>
  <si>
    <t>Nilsson, OTF v.4, #3, p.238 &amp; GB2 War Diary Image 0039.</t>
  </si>
  <si>
    <t>Lens (SE of)</t>
  </si>
  <si>
    <t>Rail Line - Branching</t>
  </si>
  <si>
    <t>Mission 2153-0050</t>
  </si>
  <si>
    <t>la Brayelle (near); Fampoux; Neuville - Tetable (?)</t>
  </si>
  <si>
    <t>Airfield; Rail Targets</t>
  </si>
  <si>
    <t>Seven 90mm shells on airfield; 5 on rail lines. Mission 0500-0737.</t>
  </si>
  <si>
    <t>la Brayelle</t>
  </si>
  <si>
    <t>Mission 1640-1935.</t>
  </si>
  <si>
    <t>Nilsson, OTF v.4, #3, p.238 &amp; GB2 War Diary Images 0039-40.</t>
  </si>
  <si>
    <t>Gontrode (near Brussels)</t>
  </si>
  <si>
    <t>Shed not hit but 36 men killed in qtrs</t>
  </si>
  <si>
    <t>RR stn &amp; town</t>
  </si>
  <si>
    <t>Fr. Dirigible Adj. Vincenot dropped 12 Aasen bombs &amp; 4x155mm shells on rail line &amp; town</t>
  </si>
  <si>
    <t>Ludwigshafen &amp; Oppau</t>
  </si>
  <si>
    <t>BASF</t>
  </si>
  <si>
    <t>C</t>
  </si>
  <si>
    <t>GB1 War Diary Images 0065-6 and D&amp;S and Martel,52</t>
  </si>
  <si>
    <t>18 planes - 1 did not return - T.O. 0300, bombed 0600-0625 - several buildings hit; many fires - 49 bombs on Ludwigshaven; 38 on Oppau. 1st plane RTB at 0850.  D&amp;S: V 21 joined GB1 - plant hit by 47x90 caliber and 2x155 caliber bombs - Ludwigs'n plant leaked yellow toxic fumes. Martel says Oppau bombed with 36x90mm and 2x155mm but believes the number of 155s in the records is low for both locations. [CLEARLY TRUE SINCE WAR DIARY CONTRADICTS ITSELF &amp; NOT ENOUGH BOMBS FOR 17 A/C.]  Commandant de Goÿs POW due to engine trouble.</t>
  </si>
  <si>
    <t>Oppau</t>
  </si>
  <si>
    <t>Ludwigshafen</t>
  </si>
  <si>
    <t>Direct damages to BASF in 22 raids was 519,310M; 14 killed.  Each raid or alert caused production losses in another 24 hour plant and in many city businesses. Bombs in north part of city.  Raid 0700 - 0745.</t>
  </si>
  <si>
    <t>BASF, Mannheim</t>
  </si>
  <si>
    <t>Farbus (SW of)</t>
  </si>
  <si>
    <t>Martel had mechanical trouble; several planes had trouble with or ran out of gas!</t>
  </si>
  <si>
    <t>Nilsson, OTF v.4, #3, p.238 &amp; GB2 War Diary Images 0040-41.</t>
  </si>
  <si>
    <t>Farbus (near)</t>
  </si>
  <si>
    <t>Mission 1655-1935. Martel &amp; Nungesser participated.</t>
  </si>
  <si>
    <t>Nilsson, OTF v.4, #3, p.238 &amp; GB2 War Diary Image 0041.</t>
  </si>
  <si>
    <t>Mission 0555-0820. Martel &amp; Nungesser participated.</t>
  </si>
  <si>
    <t>Nilsson, OTF v.4, #3, p.238 &amp; GB2 War Diary Images 0041-42</t>
  </si>
  <si>
    <t>Berchem St. Agathe (near Brussels)</t>
  </si>
  <si>
    <t>Attempt only; couldn't find due to mist</t>
  </si>
  <si>
    <t>Solvay Works</t>
  </si>
  <si>
    <t>Vimy (near)</t>
  </si>
  <si>
    <t>Balloon</t>
  </si>
  <si>
    <t>No success - Mission 1700-1900. Dropped 9 shells of 90mm &amp; 9 of 80mm.  AM ASSUMING 80MM SHELLS WERE THE SAME WEIGHT AS THE 90S.  -SCS</t>
  </si>
  <si>
    <t>Nilsson, OTF v.4, #3, p.238 &amp; GB2 War Diary, Image 0042</t>
  </si>
  <si>
    <t>Frescaty</t>
  </si>
  <si>
    <t>Aircraft Hangers</t>
  </si>
  <si>
    <t>T.O. 0200 on 2 June.  According to Martel, this is GB1's first night raid.</t>
  </si>
  <si>
    <t>GB1 War Diary Image 0067 &amp; Martel 53</t>
  </si>
  <si>
    <t>Bensdorf</t>
  </si>
  <si>
    <t>No damage.</t>
  </si>
  <si>
    <t>Benestroff</t>
  </si>
  <si>
    <t>Deutsch-Avricourt</t>
  </si>
  <si>
    <t>T.O. 1600 - rain - 10x90mm bombs - some hits on rail lines</t>
  </si>
  <si>
    <t>GB1 War Diary Image 0067</t>
  </si>
  <si>
    <t>Angres, Givency, la Folie (near)</t>
  </si>
  <si>
    <t>Mission 1718-1952. Martel (mechanical abort) &amp; Nungesser. Includes 6x80mm shells dropped. Assuming wgt of 80mm shell = wgt of 90mm.</t>
  </si>
  <si>
    <t>Nilsson, OTF v.4, #3, p.238 &amp; GB2 War Diary, Images 0042-43</t>
  </si>
  <si>
    <t>RR Jtn</t>
  </si>
  <si>
    <t>T.O. 0610. War Diary doesn't say why 2 planes aborted. Some bombs hit rail jtn. Heavily shelled by AAA.</t>
  </si>
  <si>
    <t>GB1 War Diary Image 0068</t>
  </si>
  <si>
    <t>Dommary-Baroncourt (N of…)</t>
  </si>
  <si>
    <t>Cannon</t>
  </si>
  <si>
    <t>THIS MISSION NOT IN WAR DIARY - Flew from Verdun to silence huge gun firing on Nancy from Muzeray Woods</t>
  </si>
  <si>
    <t>Martel,53</t>
  </si>
  <si>
    <t>Vimy (near); Farbus; Lens (SE of)</t>
  </si>
  <si>
    <t>Balloon; Rail targets; Artillery</t>
  </si>
  <si>
    <t>Balloon near Vimy was original target. Very cloudy. 1 pilot found ballon NE of Acheville; others hit what they could find, including 2 trains in Farbus station hit with 4x80mm shells.  Assuming same wgt as 90mm shells. Mission 1620-1916.</t>
  </si>
  <si>
    <t>Nilsson, OTF v.4, #3, p.238 &amp; GB2 War Diary, Images 0043-44</t>
  </si>
  <si>
    <t>Stenay</t>
  </si>
  <si>
    <t>Martel says 3 planes attacked HQ. Kilduff's "Hermann Göring - Fighter Ace" says about 30 French bombers attacked Stenay town and the FFA25 airfield starting about 0430, dropping 60-80 bombs in a 2 hour raid. (pp.44-5) He is quoting Bruno Loerzer's account.</t>
  </si>
  <si>
    <t>MF11</t>
  </si>
  <si>
    <t>Verrières</t>
  </si>
  <si>
    <t>Martel,78 &amp; Kilduff, "Göring", pp.44-5</t>
  </si>
  <si>
    <t>Sub</t>
  </si>
  <si>
    <t>Missed by 30 yards</t>
  </si>
  <si>
    <t>4 shells dropped; fire seen</t>
  </si>
  <si>
    <t>Middleton, v.II, p.65</t>
  </si>
  <si>
    <t>Méricourt</t>
  </si>
  <si>
    <t>Railway Gun</t>
  </si>
  <si>
    <t>Mission 1640-1917. A 12 plane diverted for u/k reasons to Brébières; it is a separate record. Bombs incl. 15x80mm shells; assume same wgt as 90mm.  Martel on this mission.</t>
  </si>
  <si>
    <t>Nilsson, OTF v.4, #3, p.238 &amp; GB2 War Diary, Image 0044</t>
  </si>
  <si>
    <t>Brébières</t>
  </si>
  <si>
    <t>Diverted from Méricourt mission for u/k reasons. 1654-1900.</t>
  </si>
  <si>
    <t>?</t>
  </si>
  <si>
    <t>Fr. Dirigible Adj. Vincenot dropped 6x155mm shells. [Target might have been Douai since the distance is the same and it was the previous target.]</t>
  </si>
  <si>
    <t>Hervilly (SE of Roisel)</t>
  </si>
  <si>
    <t>Aviation depot</t>
  </si>
  <si>
    <t>Shed &amp; plane set on fire</t>
  </si>
  <si>
    <t>Grand Triel (NW of St.Quentin)</t>
  </si>
  <si>
    <t>Aviation reserve park</t>
  </si>
  <si>
    <t>Petrol store hit</t>
  </si>
  <si>
    <t>Givency (West of)</t>
  </si>
  <si>
    <t>Intel said later artillery was hampered by the raid. Mission 1612-1904. Martel participated.</t>
  </si>
  <si>
    <t>Nilsson, OTF v.4, #3, p.238 &amp; GB2 War Diary, Image 0045</t>
  </si>
  <si>
    <t>Between Salaumines &amp; Achevelle</t>
  </si>
  <si>
    <t>Did not destroy balloon; only one plane (hit by flak) found this primary target; others hit secondary targets. Used 6x80mm shells; assume same wgt as 90mm. Mission 1705-1920</t>
  </si>
  <si>
    <t>Nilsson, OTF v.4, #3, p.238 &amp; GB2 War Diary, Images 0045-6</t>
  </si>
  <si>
    <t>Givency (vicinity)</t>
  </si>
  <si>
    <t>Majority of Groupe's planes in attack on this designated secondary target (primary target was observation balloon). Mission 1700-1945.</t>
  </si>
  <si>
    <t>Evere (near Brussels)</t>
  </si>
  <si>
    <t>Zepp shed</t>
  </si>
  <si>
    <t>Zepp destroyed (separate from Zepp destroyed in air over Ghent)</t>
  </si>
  <si>
    <t>la Brayelle; Farbus; Vitry-Brebieres &amp; Fresnes - Montauban</t>
  </si>
  <si>
    <t>Airfield; Artillery; Rail Lines</t>
  </si>
  <si>
    <t>Nilsson, OTF v.4, #3, p.238 &amp; GB2 War Diary, Images 0047-8</t>
  </si>
  <si>
    <t>Mission 0418-0740. La Brayelle airfield original target.</t>
  </si>
  <si>
    <t>Farbus</t>
  </si>
  <si>
    <t>Willerval</t>
  </si>
  <si>
    <t>Vitry-Brebieres &amp; Fresnes - Montauban</t>
  </si>
  <si>
    <t>Rail Lines</t>
  </si>
  <si>
    <t>Did not divert for mechanical reasons - pilot wounded by flak. Landed damaged plane on home field.</t>
  </si>
  <si>
    <t>la Folie &amp; Farbus (vicinity)</t>
  </si>
  <si>
    <t>Mission 1704-1950. New tactics to avoid enemy planes. 49 shells of 80mm; assuming same wgt as 90mm.</t>
  </si>
  <si>
    <t>Nilsson, OTF v.4, #3, p.238 &amp; GB2 War Diary, Images 0048-9</t>
  </si>
  <si>
    <t>GB1&amp;V21</t>
  </si>
  <si>
    <t>Karlsruhe</t>
  </si>
  <si>
    <t>Barracks, Chateau, RR Stn, Arms Factory</t>
  </si>
  <si>
    <t>P</t>
  </si>
  <si>
    <t>Reprisal raid for Zepp attacks on England, bombing Nancy, and shelling Verdun - T.O. 0300 - 124 bombs; 80 killed &amp; wounded - D&amp;S: says 2 a/c lost, 1 to a nightfighter - says about 23 civilian casualties -- Martel, p.54 - T.O. 0320, 121x90mm &amp; 3x155mm shells</t>
  </si>
  <si>
    <t>GB1 War Diary Image 0068 &amp; D&amp;S &amp; Martel,54</t>
  </si>
  <si>
    <t>Between Vitry-en-Artois &amp; Brebieres</t>
  </si>
  <si>
    <t>Rail line</t>
  </si>
  <si>
    <t>Fr. Dirigible Adj. Vincenot dropped 12 Aasen bombs &amp; 4x155mm shells on rail line</t>
  </si>
  <si>
    <t>Survey team could not go to Karlsruhe; limited info available.  Report mentions French attack this date as reprisal for German shelling of Verdun and Nancy.</t>
  </si>
  <si>
    <t>GB2 (orig.)/VB104</t>
  </si>
  <si>
    <t>Mission 1100-1240. 5 shells of 80 mm - assuming same wgt as 90 mm.</t>
  </si>
  <si>
    <t>Nilsson, OTF v.4, #3, p.238 &amp; GB2 War Diary, Images 0049-50</t>
  </si>
  <si>
    <t>GB2 (orig.)/VB105 &amp; VB106</t>
  </si>
  <si>
    <t>la Folie</t>
  </si>
  <si>
    <t>Mission 1110-1343. Original target for VB106 was balloon at Acheville that could not be found. 7 shells of 80mm assumed to have same wgt as 90mm. 1 plane aborted due to sick pilote.</t>
  </si>
  <si>
    <t>Between Vimy &amp; Givency</t>
  </si>
  <si>
    <t>Troops &amp; Artillery &amp; Convoy</t>
  </si>
  <si>
    <t>Mission 1645-1907. Nungesser (dropped 1000 flechettes on cars). 13 planes in air only 1 hour after orfer given. 23x80mm shells assumed to have same wgt as 90mm.</t>
  </si>
  <si>
    <t>Nilsson, OTF v.4, #3, p.238 &amp; GB2 War Diary, Image 0050</t>
  </si>
  <si>
    <t>Méricourt; Quiery la Motte - Méricourt area</t>
  </si>
  <si>
    <t>RR Stn; Troops &amp; Balloon &amp; Artillery</t>
  </si>
  <si>
    <t xml:space="preserve">Mission 1400-1645. Nungesser. 11x80mm dropped; assuming = wgt as 90mm. 500 flechettes dropped. </t>
  </si>
  <si>
    <t>Nilsson, OTF v.4, #3, p.239 &amp; GB2 War Diary, Image 0051</t>
  </si>
  <si>
    <t>Rail stn</t>
  </si>
  <si>
    <t>Martel,80</t>
  </si>
  <si>
    <t>Etterbek (near Brussels)</t>
  </si>
  <si>
    <t>Missed.</t>
  </si>
  <si>
    <t>Givency</t>
  </si>
  <si>
    <t>Town</t>
  </si>
  <si>
    <t>Bombed town since couldn't find troops. Mission 1648-1913.  35 of the bombs were 80mm - assuming = wgt as 90mm. Nungesser cited in Army Order.</t>
  </si>
  <si>
    <t>Nilsson, OTF v.4, #3, p.239 &amp; GB2 War Diary, Image 0052</t>
  </si>
  <si>
    <t xml:space="preserve">Fr. Dirigible Adj. Vincenot dropped 12 Aasen bombs &amp; 4x155mm shells </t>
  </si>
  <si>
    <t>la Folie &amp; Farbus (near)</t>
  </si>
  <si>
    <t>Artillery &amp; Troops in woods</t>
  </si>
  <si>
    <t>Mission 1335-1506. 2 sick pilotes. Used 11x80mm shells; assuming = wgt to 90mm. Nungesser.</t>
  </si>
  <si>
    <t>Nilsson, OTF v.4, #3, p.239 &amp; GB2 War Diary, Images 0053-4</t>
  </si>
  <si>
    <t>Fr. dirigible Commandant-Coutelle dropped 8x90mm, 5x155mm, ?x220mm, 2 incendiaries</t>
  </si>
  <si>
    <t>Vitry en Artois, Plouran</t>
  </si>
  <si>
    <t>Airfield &amp; RR stn &amp; Town, Balloon</t>
  </si>
  <si>
    <t>Intended target was airfield there. Mission 0417-0651. 6x10 kg of bombs were on balloon. Record omits description of bombs dropped by one crew; probably 6x80mm. Assuming WGT 80mm = 90 mm.</t>
  </si>
  <si>
    <t>Nilsson, OTF v.4, #3, p.239 &amp; GB2 War Diary, Images 0054-5</t>
  </si>
  <si>
    <t>Hendecourt; Hummel</t>
  </si>
  <si>
    <t>Airfield; Village</t>
  </si>
  <si>
    <t>Mission 0433-0711. 4x10kg dropped on Hummel village by plane with engine problems. Assume WGT 80mm = 90mm.</t>
  </si>
  <si>
    <t>Last mission in Artois.  Mission 1730-2026. Assume WGT 89mm = 90mm. Nungesser dropped 6x10kg on convoy next to Avion (?) rail stn. 1 pilot got lost &amp; dropped no bombs.</t>
  </si>
  <si>
    <t>Nilsson, OTF v.4, #3, p.239 &amp; GB2 War Diary, Images 0055-6</t>
  </si>
  <si>
    <t>Missed by 30 yards - POSSIBLE DUP OF 3 JUN 1915 RECORD - EVERYTHING AGREES!</t>
  </si>
  <si>
    <t>Vigneulles-lès-Hattonchâtel</t>
  </si>
  <si>
    <t>RR stn &amp; hangers</t>
  </si>
  <si>
    <t>Combined GB1 &amp; GB2 raid - this record for GB1 only. T.O. 0300. 1 Voisin force-landed due to 1 MG bullet. 95x90mm retardés dropped. Reddish-brown smoke seen from buildings.</t>
  </si>
  <si>
    <t>GB1 War Diary Image 0070 &amp; Martel, 57 &amp; Nilsson, OTF v.4, #3, p.239</t>
  </si>
  <si>
    <t>This record, based solely on the GB2 War Diary, is for joint GB1&amp;2 raid. Mission 0320-0720 (almost a night raid). 59 bombs were 80mm - assume = WGT to 90mm. Nungesser.</t>
  </si>
  <si>
    <t>Nilsson, OTF v.4, #3, p.239 &amp; GB2 War Diary, Images 0058-9</t>
  </si>
  <si>
    <t>Arnaville, Boyonville, Chauny</t>
  </si>
  <si>
    <t>Middleton, The Great War in the Air, Vol. II, p.77</t>
  </si>
  <si>
    <t>Norroy</t>
  </si>
  <si>
    <t>Military huts</t>
  </si>
  <si>
    <t>Middleton</t>
  </si>
  <si>
    <t>Vignuelles-les-Hattonchatel</t>
  </si>
  <si>
    <t>Ammo depot</t>
  </si>
  <si>
    <t>Fr. Dirigible - 23 bombs (may have been night of 20 July) [ Icare history says 18/19 June --SCS ]</t>
  </si>
  <si>
    <t>4 a/c, 48 shells (S of Vouziers)</t>
  </si>
  <si>
    <t>Colmar</t>
  </si>
  <si>
    <t>Mission 0405-0610. 6 a/c, 8x155mm &amp; 8x90mm shells dropped - troop train &amp; RR buildings hit - partial exodus of town.  Objective was to hinder trains disembarqing troops at Colmar stn during French division's attack on Munster. 120 km round trip. 4 MF11s carried bombardiers; 2 carried machine gunners; the latter two are not counted in the number of a/c because they did not carry bombs.</t>
  </si>
  <si>
    <t>MF29 War Diary Image 0012 &amp; Martel,85 &amp; Middleton,77</t>
  </si>
  <si>
    <t>Mission 1655-1930. Attacked by 2 Aviatiks. There were 8 Farmans, but 2 were escorts and not counted here. They lost the formation anyway. It appears that only 2 planes dropped bombs and the rest didn't get past the lines.</t>
  </si>
  <si>
    <t>MF29 War Diary Images 0013-4 &amp; Martel,85</t>
  </si>
  <si>
    <t>GB1,2,3</t>
  </si>
  <si>
    <t>Conflans</t>
  </si>
  <si>
    <t>Martel, 57 &amp; Nilsson, OTF v.4, #3, p.239</t>
  </si>
  <si>
    <t>31 a/c - stn &amp; engine shed hit -GB2 contributed 8 a/c &amp; 45 bombs - 71 bombs total -- Martel, p.57, mentioned GB3's cannon planes drove off Aviatiks; 2 GB1 crew were wounded (71 shells would be a minimum of 568 kg, assuming all were 90mm shells)</t>
  </si>
  <si>
    <t>GB1 War Diary Images 0070-1</t>
  </si>
  <si>
    <t>GB1 part of combined GB1,2,3 mission. T.o. 1640.  Not clear why 2 Voisins did not reach target.  3 crewmen wounded, incl. Capt. Fequant.</t>
  </si>
  <si>
    <t>Conflans; Thiacourt</t>
  </si>
  <si>
    <t>RR stn; ?</t>
  </si>
  <si>
    <t>GB2 War Diary Images 0059-60</t>
  </si>
  <si>
    <t>This overlaps with record for GB1,2,3. Based just on War Diary images 59-60. Mission 1630-1912. 9x75mm; 21x90mm; 18x80mm (assume = WGT to 90mm). Nungesser. 1 diverted to Thiacourt for u/k reason (3x75mm dropped there).</t>
  </si>
  <si>
    <t>Total Abort due to "sea of clouds". Mission 0425-0800.</t>
  </si>
  <si>
    <t>MF29 War Diary Images 0014-5</t>
  </si>
  <si>
    <t>Autry</t>
  </si>
  <si>
    <t>12 shells - may have been 21 July 1915</t>
  </si>
  <si>
    <t>Dornach (Alsace)</t>
  </si>
  <si>
    <t>Poison gas factory</t>
  </si>
  <si>
    <t>Middleton, v.II, p.78</t>
  </si>
  <si>
    <t>Passchendaele</t>
  </si>
  <si>
    <t>Ypres-Roulers RR</t>
  </si>
  <si>
    <t>Longueval District</t>
  </si>
  <si>
    <t>Rheims - Brimont Hill</t>
  </si>
  <si>
    <t>Defense works</t>
  </si>
  <si>
    <t>Chatel</t>
  </si>
  <si>
    <t>Military stn</t>
  </si>
  <si>
    <t>Burthecourt (Lorr.)</t>
  </si>
  <si>
    <t>Pechelbronn</t>
  </si>
  <si>
    <t>Petrol factory</t>
  </si>
  <si>
    <t>45 a/c started; those that arrived dropped 103 shells</t>
  </si>
  <si>
    <t>Detwiller</t>
  </si>
  <si>
    <t>6 shells</t>
  </si>
  <si>
    <t>Phalsbourg</t>
  </si>
  <si>
    <t>Aviation sheds</t>
  </si>
  <si>
    <t>Chauny</t>
  </si>
  <si>
    <t>40 shells dropped</t>
  </si>
  <si>
    <t>Roessler (at Dornach)</t>
  </si>
  <si>
    <t>Martel says it was MF29's 1st night raid and that it caused considerable damage. Mission 2100-2250. Crew could not see results that night. Pilot was Adj. Almonacid.</t>
  </si>
  <si>
    <t>MF29 War Diary Image 0017 &amp; Martel,85</t>
  </si>
  <si>
    <t>Freibourg en Brisgau</t>
  </si>
  <si>
    <t>Mission - 0335-0633 30 July. 8 planes but 10 sorties - two attempted leaving a 2nd time. Am assuming all the problems were mechanical because weather was not mentioned but one mechanical problem was specifically described.</t>
  </si>
  <si>
    <t>MF29 War Diary Images 0017-9 &amp; Martel,85-6</t>
  </si>
  <si>
    <t>Oil Refinery</t>
  </si>
  <si>
    <t>T.O. 0712. Dropped 45x90mm retardés and 1 incendiary (NFI). Without other info, am assuming incendiary weighed 8 kg like the other bombs. GB2 also went on this mission; their experience is a separate record.</t>
  </si>
  <si>
    <t>GB1 War Diary Image 0072</t>
  </si>
  <si>
    <t>Pechelbronn: Walburg; Beblesheim; Wettweiler; Durrenbach; Strassburg (W of)</t>
  </si>
  <si>
    <t>Oil Refineries; Airfield (Strassburg)</t>
  </si>
  <si>
    <t>GB2's portion of the Pechelbronn raid. Mission 0618-1104. Very cloudy - 7 crews got lost; 2 hit other targets.</t>
  </si>
  <si>
    <t>GB2 War Diary Images 0060-1 and Nilsson, OTF 4/3, p.239</t>
  </si>
  <si>
    <t>Saverne (E of…)</t>
  </si>
  <si>
    <t>Military Encampment</t>
  </si>
  <si>
    <t>Diversion for Pechelbronn raid</t>
  </si>
  <si>
    <t>Alarm only; time lost in 24 hour plant &amp; many businesses.</t>
  </si>
  <si>
    <t>RR stn &amp; Aviatik Factory</t>
  </si>
  <si>
    <t>MF29 War Diary Images 0019-20 &amp; Martel,85 and Bailey &amp; Kilduff, OTF V.25, #4, p.302</t>
  </si>
  <si>
    <t>2 MF11 escorts went on this mission - they are not counted in #s of planes. There were 5 bombers but one made 2 sorties due to mech trouble. Mission 0310-0625 31 July 1915.</t>
  </si>
  <si>
    <t>Aviatik Factory</t>
  </si>
  <si>
    <t>Dalheim; Chateau-Salins</t>
  </si>
  <si>
    <t>Aerodrome; train</t>
  </si>
  <si>
    <t>T.O. 1715. Original target was airfield. Reason for diversion probably was fight with an Aviatik. 1 missing.  7x90 on airfield; 6x90 on train.</t>
  </si>
  <si>
    <t>GB1 War Diary Images 0072-3 &amp; Martel,59</t>
  </si>
  <si>
    <t>Chateau-Bréhain, Vannecourt</t>
  </si>
  <si>
    <t>? and airfield</t>
  </si>
  <si>
    <t>Martel,59</t>
  </si>
  <si>
    <t>Libercourt</t>
  </si>
  <si>
    <t>20 a/c, 40 shells</t>
  </si>
  <si>
    <t>Belgian</t>
  </si>
  <si>
    <t>Houthulst Forest</t>
  </si>
  <si>
    <t>11 Belgian sorties with 3 escorts dropped 1260 kg of HE and incendiary (59 bombs) on the Forest - 1st left at 0210 &amp; last returned at 0445</t>
  </si>
  <si>
    <t>C&amp;C(US), V.14, #3, pp.244-9</t>
  </si>
  <si>
    <t>Morhange (Dalheim)</t>
  </si>
  <si>
    <t>Aviation camp</t>
  </si>
  <si>
    <t>Chateau-Salins</t>
  </si>
  <si>
    <t>Saarbrucken</t>
  </si>
  <si>
    <t>Factory &amp; stn</t>
  </si>
  <si>
    <t>32 a/c T.O., 28 bombed objective w/ 164 shells - smoke and fire observed - German wireless said later Sweibrucken in Bavaria and St. Ingbert hit w/ 8 killed &amp; small material damage. [SEEMS LIKELY THIS IS REALLY THE 9 AUGUST RAID. -SCS]</t>
  </si>
  <si>
    <t>T.O. 0422. Thick fog. 60x90mm &amp; 4x155mm bombs dropped. All planes RTB by 0840. GB2 raided Saarbrucken at the same time; GB3 might have also.</t>
  </si>
  <si>
    <t>GB1 War Diary Image 0073</t>
  </si>
  <si>
    <t>Saarbrucken; St. Ingbert</t>
  </si>
  <si>
    <t>Nilsson, OTF 4/3, p.240 &amp; GB2 War Diary Image 0063</t>
  </si>
  <si>
    <t>GB2's portion of the Saarbrucken raid.  1 Voisin WX-diverted to St. Ingbert. Mission 0440-0837. 6 x 80mm bombs - assume = WGT as 90mm</t>
  </si>
  <si>
    <t>GB2's portion of the Saarbrucken raid.  1 Voisin WX-diverted to St. Ingbert; that bomb load is given in a separate record and is not counted among those bombing Saarbrucken in this record. Mission 0440-0837. 6 x 80mm bombs - assume = WGT as 90mm</t>
  </si>
  <si>
    <t>St. Ingbert</t>
  </si>
  <si>
    <t>WX divert from Saarbrucken raid. Mission 0459-0827.</t>
  </si>
  <si>
    <t>Zweibrucken</t>
  </si>
  <si>
    <t>Raid from 0800 - 0810.</t>
  </si>
  <si>
    <t>454, NARA 990</t>
  </si>
  <si>
    <t>Burbach Steel Wks</t>
  </si>
  <si>
    <t>Fell behind furnaces on Coke grounds; no damage.</t>
  </si>
  <si>
    <t>2,000M is for lost production during the average alert; direct costs due to damage in this particular raid unknown.</t>
  </si>
  <si>
    <t>(8 mi E of Saarbrucken)</t>
  </si>
  <si>
    <t>GB1, 3, V.21</t>
  </si>
  <si>
    <t>St-Mihiel "Spada Valley"</t>
  </si>
  <si>
    <t>Supply Depot (huge)</t>
  </si>
  <si>
    <t>Mission 1645-1930. 21 bombers (19 reached target) protected by 3 fighters and 1 GB3 cannon plane, 108 90mm shells; razed depot to the ground. Can't tell from record if GB3 &amp; V.21 bombers might be among 21 planes. GB1 war diary says 2 planes hit by AAA; those may be the two that aborted mission.</t>
  </si>
  <si>
    <t>GB1 War Diary Image 0073 &amp; GB1 history &amp; Martel,61</t>
  </si>
  <si>
    <t>Unknown</t>
  </si>
  <si>
    <t>Total abort due to clouds &amp; mist. T.O. 0600.</t>
  </si>
  <si>
    <t>GB1 War Diary Image 0074</t>
  </si>
  <si>
    <t>Hendicourt</t>
  </si>
  <si>
    <t>Only 1 crew bombed due to "sea of clouds". Don't know what true target was. Mission 0635-0850.</t>
  </si>
  <si>
    <t>GB2 War Diary Images 0065-6</t>
  </si>
  <si>
    <t>Reichweiler &amp; Mulhouse-Lutterbach</t>
  </si>
  <si>
    <t>Factory &amp; Train</t>
  </si>
  <si>
    <t>Mission 0400-0615. Target is Reichweiler Factory; Reichweiler may not be location - that might be D(?)onnenbruck or Mulhouse, each of which was mentioned. 5 MF11 bombers accompanied by 2 MF11 escorts, which are not counted in this database. Results 2x90mm on factory, 2x155mm duds, 6x90mm on train (train results not seen due to clouds).</t>
  </si>
  <si>
    <t>MF29 War Diary Images 0034-5</t>
  </si>
  <si>
    <t>Lens, Henin, Lietard, Loos</t>
  </si>
  <si>
    <t>Loos &amp; Henin-Lietard raids on 21 August according to poster in "Images of the 1st World War", Balaguier Pub'ns, 2003 - says a Lens raid occurred 6 Sept.</t>
  </si>
  <si>
    <t>Middleton,V.2,82</t>
  </si>
  <si>
    <t>Mulheim</t>
  </si>
  <si>
    <t>RR stn &amp; elec. transformers</t>
  </si>
  <si>
    <t>4 a/c</t>
  </si>
  <si>
    <t>Middleton, v.II, p.80</t>
  </si>
  <si>
    <t>Noyon, Tergnier</t>
  </si>
  <si>
    <t>May be wrong date; 25 AUG record</t>
  </si>
  <si>
    <t>poster in "Images of the 1st World War", Balaguier Pub'ns, 2003, p.130</t>
  </si>
  <si>
    <t>Cernay</t>
  </si>
  <si>
    <t>Mission 0720-0918.  No longer certain that escorts carried no bombs, so am counting the 1 escort in the total.  D&amp;S: discovered on this raid that many bombs were duds (4 of the 6 155mm shells were duds). This mission was also an artillery adjustment mission.</t>
  </si>
  <si>
    <t>MF29 War Diary Images 0035-6 and Davilla &amp; Soltan</t>
  </si>
  <si>
    <t>Lorrach</t>
  </si>
  <si>
    <t>Mission 2100-2330. Results - 1 bomb on the village, 5 outside of it</t>
  </si>
  <si>
    <t>MF29 War Diary Image 0037</t>
  </si>
  <si>
    <t>Offenburg</t>
  </si>
  <si>
    <t>Tergnier, Noyon</t>
  </si>
  <si>
    <t>Targets were on Aisne and Oise rivers, respectively</t>
  </si>
  <si>
    <t>GB1-4</t>
  </si>
  <si>
    <t>Dillingen</t>
  </si>
  <si>
    <t>Blast furnace</t>
  </si>
  <si>
    <t>GB1, 2, 3, 4 - 21 of 26 from GB1 reached target;  9 of 11 from GB2; GB3 contributed 15 a/c -GB1 dropped 53x90mm &amp; 15x155mm - severe damage, fires</t>
  </si>
  <si>
    <t>Nilsson, OTF 4/3, p.240 &amp; Martel,62</t>
  </si>
  <si>
    <t>Blast furnace &amp; Factories</t>
  </si>
  <si>
    <t>Dropped 53x90mm &amp; 15x155mm. War Diary doesn't say why 5 aborted mission. Followed by an Aviatik that did not engage.  All planes RTB at 1040.</t>
  </si>
  <si>
    <t>Dillingen; Fresne en Saulnois; Gruncey (?)</t>
  </si>
  <si>
    <t>Works/Mills; ?; Forest</t>
  </si>
  <si>
    <t>Nilsson, OTF 4/3, p.240 &amp; GB2 War Diary Images 0067-8</t>
  </si>
  <si>
    <t>GB2's portion of the Dillingen mission - 0728-1215. 1 crew came down when enemy fire stopped their engine; crashed; both wounded.</t>
  </si>
  <si>
    <t>Works/Mills</t>
  </si>
  <si>
    <t>Fresne en Saulnois; Gruncey (?)</t>
  </si>
  <si>
    <t>?; Forest</t>
  </si>
  <si>
    <t>Diverted from Dillingen mission</t>
  </si>
  <si>
    <t>Mission 0510-0705. This was also an artillery adjustment mission. 4 bombers plus 2 fighters but apparently the latter also carried bombs. Results seen: 8x90mm on village; 2x90mm &amp; 4x155mm outside village.  Force-landing listed here is because 1 MF11 crashed on landing when the wheels got caught on something illegible.</t>
  </si>
  <si>
    <t>MF29 War Diary Images 0037-8</t>
  </si>
  <si>
    <t>Fr., Br. Belgian</t>
  </si>
  <si>
    <t>60 British, French, Belgian a/c - 4 tons of incendiary &amp; explosive bombs - MUST BE DUP OF 9 SEP RAID</t>
  </si>
  <si>
    <t>Middleton, v.II, p.81</t>
  </si>
  <si>
    <t>Challerange, Cernay, Chatel</t>
  </si>
  <si>
    <t>Source: D&amp;S</t>
  </si>
  <si>
    <t>Laheycourt</t>
  </si>
  <si>
    <t>D&amp;S &amp; Martel,80</t>
  </si>
  <si>
    <t>U/K town on east bank of Rhine River</t>
  </si>
  <si>
    <t>Total Abort. Mission 2100-2125</t>
  </si>
  <si>
    <t>MF29 War Diary Image 0039</t>
  </si>
  <si>
    <t>Vitry en Artois, Grand Pre, Fleville, Pannes, Essey, St. Baussant, Lorrach</t>
  </si>
  <si>
    <t>Iviory, Cierges</t>
  </si>
  <si>
    <t>Beaurepaire (NW of Grandpré)</t>
  </si>
  <si>
    <t>4 Farmans protected by Nieuports; 4 calibers: 75,90,120 incendiaries,155</t>
  </si>
  <si>
    <t>off Ostend</t>
  </si>
  <si>
    <t>Destroyed.</t>
  </si>
  <si>
    <t>Roessler poison gas factory</t>
  </si>
  <si>
    <t>Mission 2045-2245. French intel said 3 days later that 2 neighboring plants were hit with a total of 4 wounded and 150,000 marks damage (Images 0044-5).</t>
  </si>
  <si>
    <t>Near Mulhouse</t>
  </si>
  <si>
    <t>MF29 War Diary Images 0039, 0044-5 &amp; Martel,87</t>
  </si>
  <si>
    <t>Essey, St. Baussant</t>
  </si>
  <si>
    <t>Mülheim; Mulhouse (West of)</t>
  </si>
  <si>
    <t>Electric Stn; Artillery battery</t>
  </si>
  <si>
    <t>Mission: 0445-0702. 4 bombers &amp; 2 fighters but fighters might have dropped bombs too. Martel: the "whole squadron" raided; 13 killed &amp; some wounded. Results seen: 1x155mm &amp; 10x90mm on Mülheim; 1x155mm outside the town; 2x155mm &amp; 4x90mm near artillery emplacements (some or all W of Mulhouse due to 1 MF11 diverting with low engine revs). French intel (Image 0045) reported on 2SEP1915 that 3 were killed &amp; several wounded.</t>
  </si>
  <si>
    <t>MF29 War Diary Image 0041 &amp; 0040 (out of order) &amp; Martel,87</t>
  </si>
  <si>
    <t>Chatel (Argonne)</t>
  </si>
  <si>
    <t>Lançon, Montachenin, Grand Pre, Thourout, Middelkerke</t>
  </si>
  <si>
    <t>See records on 29 AUG - Grand Pre, Monchentin, and Lancon probably same events</t>
  </si>
  <si>
    <t>Grand Pre</t>
  </si>
  <si>
    <t>Monchentin, Lancon</t>
  </si>
  <si>
    <t>This record may refer to diversion of 3 a/c to Dieuze's rail stn during 6SEP raid</t>
  </si>
  <si>
    <t>GB1,2,4</t>
  </si>
  <si>
    <t>Stn, steel plants</t>
  </si>
  <si>
    <t>Combining info from several sources - 62 a/c took off for multi-Groupe raid - 40 planes reached target(?) - 20 of 26 from GB1 reached target - 5 of 10 from GB2 reached target &amp; dropped 25 bombs (also hit Han sur Nied and Vic stn) - attacked by German fighters on return trip - death of Capt. Féquant - Dieuze stn bombed by 3 planes with engine trouble</t>
  </si>
  <si>
    <t>Nilsson, OTF 4/3, p.240 &amp; Martel, 62-3</t>
  </si>
  <si>
    <t>Saarbrucken; Dieuze</t>
  </si>
  <si>
    <t>Stn, steel plants; Works</t>
  </si>
  <si>
    <t>GB1 War Diary Images 0074-5</t>
  </si>
  <si>
    <t>Mission 0645-1045. 20 planes dropped on Saarebruck 93x90mm &amp; 8x155mm &amp; a cheddite torpedo of unknown weight. 3 planes dropped 14x90 &amp; 1x155 on works at Dieuze. DEATH OF CAPT. ALBERT FEQUANT.  No reason given for 3 aborts &amp; 3 diversions.</t>
  </si>
  <si>
    <t xml:space="preserve">Mission 0645-1045. 20 planes dropped on Saarebruck 93x90mm &amp; 8x155mm &amp; a cheddite torpedo of unknown weight. 3 planes dropped 14x90 &amp; 1x155 on works at Dieuze. DEATH OF CAPT. ALBERT FEQUANT. </t>
  </si>
  <si>
    <t>Works</t>
  </si>
  <si>
    <t>Saarbrucken; Han sur Nied; Vic</t>
  </si>
  <si>
    <t>Works/Mills; RR stns</t>
  </si>
  <si>
    <t>Nilsson, OTF 4/3, p.240 &amp; GB2 War Diary images 0068-9</t>
  </si>
  <si>
    <t>GB2 portion of Saarbrucken mission. Mission 0653-1015. Nilsson counts 10 sorties with 5 bombing the objective, but I count 9 and 4 plus 2 Voisin-canon escorts that were to meet them on the way back. Very cloudy weather.</t>
  </si>
  <si>
    <t>Saarbrucken (W of)</t>
  </si>
  <si>
    <t>Han sur Nied</t>
  </si>
  <si>
    <t>Mission 0653-0930.</t>
  </si>
  <si>
    <t>Vic</t>
  </si>
  <si>
    <t>War Diary says this was an objective given by the commandant of Escadrille VB105. Mission 0715-0925.  OBJECTIVE IS ALMOST CERTAINLY VIC-SUR-SEILLE, ENE OF MALZÉVILLE.</t>
  </si>
  <si>
    <t>Peronne</t>
  </si>
  <si>
    <t>RR lines</t>
  </si>
  <si>
    <t>Fr. Dirigible Adj. Vincenot dropped 12 Aasen bombs &amp; 4x155mm shells on RR lines around Peronne - Icare list describes it as rail lines between Eterpigny &amp; Pont-les-Bries</t>
  </si>
  <si>
    <t>Lens, Sarrebourg</t>
  </si>
  <si>
    <t>Fell on RR dam, in field, &amp; in store of bar-iron.  No damage.</t>
  </si>
  <si>
    <t>Maurer Maurer and the microfilm listed this raid as being on 6SEP1916, but the huge French raid on this date, the lack of a raid on 9/6/1916, and the 9/6/1915 report from nearby Burbach show clearly that the record was wrong.  --SCS</t>
  </si>
  <si>
    <t>Fribourg-en-Brisgau; Mulheim</t>
  </si>
  <si>
    <t>City (Aviatik factory, Stn?); Town</t>
  </si>
  <si>
    <t>Mission 0640-0922. War diary says it was a reprisal raid by 5 MF11s on Fribourg with 2 90mm bombs also jettisoned on Mulheim. 2 of the 5 Farmans contained gunners rather than bombardiers, but they may have dropped bombs so I am counting 5 planes instead of 3. Crews saw 5x155mm and 1x90mm land on the city of Fribourg. D&amp;S say 5 M.F.11's raided Aviatik factory with such success the Germans moved it to Leipzig. Martel, 87 says it was a reprisal raid AND that the Aviatik factory was hit and forced to relocate.</t>
  </si>
  <si>
    <t>Esc.29 War Diary Images 0057-9 &amp; D&amp;S &amp; Martel,87</t>
  </si>
  <si>
    <t>Ostend (S. of)</t>
  </si>
  <si>
    <t>Large hangers</t>
  </si>
  <si>
    <t>Sarreburg, Pont Faverger, Warmeriville, Tergnier, Lens</t>
  </si>
  <si>
    <t>Dieuze, St. Medard</t>
  </si>
  <si>
    <t>Nesles (Nesle?)</t>
  </si>
  <si>
    <t>RR stn &amp; Poison Gas Factory</t>
  </si>
  <si>
    <t>Metz, Challerange, Ostende, Zeebrugge</t>
  </si>
  <si>
    <t>Fr.,Br.,Belgian</t>
  </si>
  <si>
    <t>Houlthulst Forest</t>
  </si>
  <si>
    <t>Troops, Barracks, Depots, Ammo Dumps</t>
  </si>
  <si>
    <t>60-plane raid by French, British, Belgian planes dropped 4 tons of HE &amp; incendiary bombs - entire forest &amp; its buildings left in flames - MUST BE DUP OF 25 AUG RAID</t>
  </si>
  <si>
    <t>The Story of the Great War, V.4, 1916</t>
  </si>
  <si>
    <t>Lutterbach</t>
  </si>
  <si>
    <t>Stn, factories</t>
  </si>
  <si>
    <t>Mission 0445-0705. 4 MF11 bombers accompanied by 2 MF11 escorts which did not bomb and are not counted in database. (1 escort had mec abort.) 1 bomber pilot (Adj. Almonacid) was sick and aborted mission.</t>
  </si>
  <si>
    <t>MF29 War Diary Images 0060-1 &amp; Martel,87</t>
  </si>
  <si>
    <t>St. Brayelle</t>
  </si>
  <si>
    <t>Nesles</t>
  </si>
  <si>
    <t>Described as same mission as 8SEP15, probably same bombweight</t>
  </si>
  <si>
    <t>Treves</t>
  </si>
  <si>
    <t>City &amp; RR stn</t>
  </si>
  <si>
    <t>T.O. 0500. Don't know why 3 aborted mission. Dropped 91x90mm &amp; 5x155mm &amp; 1x58cm cheddite torpedo of unknown weight. GB4 may have also been on this raid. Martel says stn &amp; Reichsbank hit.</t>
  </si>
  <si>
    <t>GB1 War Diary 0075 &amp; Martel, 63</t>
  </si>
  <si>
    <t>2 a/c from GB1, 3 from GB2, 3 from GB4 - THE GB1 WAR DIARY LISTS NO BENSDORF RAID THIS DAY</t>
  </si>
  <si>
    <t>Nilsson, OTF 4/3, p.240 &amp; Martel, 63</t>
  </si>
  <si>
    <t>Bensdorf; Klein Bissingen</t>
  </si>
  <si>
    <t>Nilsson, OTF 4/3, p.240 &amp; GB2 War Diary Images 0069-70</t>
  </si>
  <si>
    <t>Bensdorf portion of multi-groupe raid. Nilsson says two GB2 planes bombed Bensdorf but War Diary says only one.  Mission 0505-0655. 2 Voisins-canon escorted.</t>
  </si>
  <si>
    <t>Klein Bissingen</t>
  </si>
  <si>
    <t>Dommary Baroncourt</t>
  </si>
  <si>
    <t>58 bombs - Afternoon raid - RTB 1715.</t>
  </si>
  <si>
    <t>GB1 War Diary 0075</t>
  </si>
  <si>
    <t>Donaueschingen</t>
  </si>
  <si>
    <t xml:space="preserve">War Diary: Mission 0425-0835. 6 Farmans, including 2 escorts (not counted here). 2 bombers aborted; escorts strafed passenger train at treetop level.   Later German newspaper articles say 1 child was killed and 9 wounded (disinformation campaign?). A Swiss paper said the train carried German soldiers.  Martel: 4 planes; strafed a train at Klingnau.  </t>
  </si>
  <si>
    <t>MF29 War Diary Images 0064-5; 0077-8 &amp; Martel,88 and Bailey &amp; Kilduff, OTF V.25 #4, p.302</t>
  </si>
  <si>
    <t>Bensdorf, Langemarck, Chatel-en-Argonne</t>
  </si>
  <si>
    <t>RR Jtn, cantonments</t>
  </si>
  <si>
    <t>After midnight 13/14 SEP</t>
  </si>
  <si>
    <t>Trier (City, Kurenz, East Trier RR, &amp; Rolling Mills)</t>
  </si>
  <si>
    <t>Combining records on city, Kurenz (across tracks from Trier), E. Trier RR, Trier Rolling Mills, and summary on microfilm.  Raid lasted 0830-0900.  Damage to property of 47 people in city costing 33,090M.  Also damage of 253M to RR and 3,256M to factories, presumably Rolling Mills.  Damage to property in Kurenz from 3 bombs of 210M.  "Other Cost" of 141,014M includes 137,458M lost production from 4 days shutdown; remainder is 300M paid in charity to wounded.</t>
  </si>
  <si>
    <t>420, 426, 429, 431, NARA 990 Roll 58</t>
  </si>
  <si>
    <t>Ehrang</t>
  </si>
  <si>
    <t>Damage from bomb on transformer house between Ehrang and Biewer. [TIME AND RAID LENGTH INFO FROM RECORD FOR NEARBY TRIER.]</t>
  </si>
  <si>
    <t>(near Trier)</t>
  </si>
  <si>
    <t>Amagne Lucquy</t>
  </si>
  <si>
    <t>RR stn &amp; Jtn</t>
  </si>
  <si>
    <t>Fr. dirigible Alsace dropped 24x155mm shells &amp; 10 incendiaries [weight unknown]</t>
  </si>
  <si>
    <t>Mission 0640-0930. 1 plane attacked by an Aviatik.</t>
  </si>
  <si>
    <t>Mission 2105-2255. This was recorded on the following day in the war diary but multiple references make it clear that this took place late in the evening of 21 Sept. 1915. Crew could not see results.  A later intel report said a German newspaper reported raid there at 2305 hours (local time), only 5 minutes off from the midpoint of the takeoff and Return to Base times after adjusting for time zone change.</t>
  </si>
  <si>
    <t>MF29 War Diary Image 0080</t>
  </si>
  <si>
    <t>Switch damage.</t>
  </si>
  <si>
    <t>Laon; Guignicourt</t>
  </si>
  <si>
    <t>Fr. dirigible Alsace dropped 16x220mm shells</t>
  </si>
  <si>
    <t>Stuttgart</t>
  </si>
  <si>
    <t>30 shells on Royal Palace &amp; stn</t>
  </si>
  <si>
    <t>Amagne</t>
  </si>
  <si>
    <t>Amagne LUCQUY? Mission 1442-1752. All 90mm shells. Fight with 3 Aviatiks.</t>
  </si>
  <si>
    <t>Matougues</t>
  </si>
  <si>
    <t>Nilsson, OTF 4/3, p.240 &amp; GB2 War Diary p.0072-3</t>
  </si>
  <si>
    <t>Mission ~0520-0912.  No escorts. 11 explosions (of 18) clearly seen, of which 5 were of the 6 155mm shells. Route out and back varied.</t>
  </si>
  <si>
    <t>MF29 War Diary Images 0081-2 &amp; Martel,88</t>
  </si>
  <si>
    <t>Metz-Sablons</t>
  </si>
  <si>
    <t>Mission 0645-0850. Bombed at 0810. Attack by Fokker - 1 a/c force-landed inside Fr. lines and destroyed by German artillery - apparently did not reach target first. Bomb weight total does not include 9 incendiaries of unknown weight.</t>
  </si>
  <si>
    <t>GB1 War Diary 0076 &amp; Martel,64</t>
  </si>
  <si>
    <t>Rottweil; Lutterbach &amp; Riegel</t>
  </si>
  <si>
    <t>Gunpowder Factory; Rail Targets</t>
  </si>
  <si>
    <t>MF29 War Diary Images 0083-5 &amp; Martel,88 and Bailey &amp; Kilduff, OTF V.25 #4, p.302-4</t>
  </si>
  <si>
    <t>T.O. 0502 by 4 Farmans. Only Happe reached target; reported thick dark smoke from powder factory. 1 other crew diverted to Lutterbach with problems gaining altitude; 2 others shot down over Germany by Fokker monoplane. 75mm bombs were probably incendiaries since the sqn had recently received them. I am using a weight of 10kg since the 120mm incendiaries had that weight.</t>
  </si>
  <si>
    <t>Lutterbach; Riegel</t>
  </si>
  <si>
    <t>Rail Stn; Rail Jtn</t>
  </si>
  <si>
    <t>Ostend</t>
  </si>
  <si>
    <t>15" Battery</t>
  </si>
  <si>
    <t>Bombs straddled shed but missed</t>
  </si>
  <si>
    <t>Bazancourt; Epoye; Pomacle to Bazancourt</t>
  </si>
  <si>
    <t>RR stn; Car Park; Artillery</t>
  </si>
  <si>
    <t>Nilsson, OTF 4/3, p.240 &amp; GB2 War Diary  Images 0073-4</t>
  </si>
  <si>
    <t>Only 2 reached Bazancourt (15x90mm); 2 others hit other targets; rest aborted due to "sea of clouds". Mission 1528-1732.</t>
  </si>
  <si>
    <t>Bazancourt</t>
  </si>
  <si>
    <t>Epoye; Pomacle to Bazancourt</t>
  </si>
  <si>
    <t>Car Park; Artillery</t>
  </si>
  <si>
    <t>Bazancourt &amp; St. Hilaire le Petit</t>
  </si>
  <si>
    <t xml:space="preserve">Total WX abort - fog. T.O. 0803. </t>
  </si>
  <si>
    <t>GB2 War Diary Image 0074</t>
  </si>
  <si>
    <t>Bazancourt &amp; Warmierville</t>
  </si>
  <si>
    <t>Sea of clouds. 19x90mm on Warmierville stn; 25x90mm on Bazancourt stn. Mission 1307-1540</t>
  </si>
  <si>
    <t>Nilsson, OTF 4/3, p.240 &amp; GB2 War Diary Images 0074-5</t>
  </si>
  <si>
    <t>Suippe, Bazoncourt, Warmeriville, pont Faverger, St. Hiliare-le-Petit</t>
  </si>
  <si>
    <t>Middleton, v.II, p.79</t>
  </si>
  <si>
    <t>Somme Py</t>
  </si>
  <si>
    <t>Troop column</t>
  </si>
  <si>
    <t>GB5</t>
  </si>
  <si>
    <t>Guignicourt</t>
  </si>
  <si>
    <t>GB5 - 2 a/c - Evening raid - 72 bombs - (D&amp;S say raid was by BM115 of Escadre 1, but 115 was a Caproni sqn.  It was probably Escadrille 118)  Martel says this was not yet GB5, but was the 1st Division of the Breguet-Michelin Escadre.  It became GB5 in December 1915.</t>
  </si>
  <si>
    <t>BM</t>
  </si>
  <si>
    <t>Oiry</t>
  </si>
  <si>
    <t>Martel, 107-8, D&amp;S, page ? &amp; Middleton, v.II, p.79</t>
  </si>
  <si>
    <t>Attigny, Vouziers, Amagne-Lycquy</t>
  </si>
  <si>
    <t>RR stns &amp; jtn</t>
  </si>
  <si>
    <t>Fr. Airship "Alsace" dropped 20x75mm, 16x155mm</t>
  </si>
  <si>
    <t>Middleton &amp; Icare, L'aeronautique militaire francaise, tome I, p.143</t>
  </si>
  <si>
    <t>MF25 &amp; all GBs</t>
  </si>
  <si>
    <t>Vouziers</t>
  </si>
  <si>
    <t>Martel mentions massive attack</t>
  </si>
  <si>
    <t>Martel,81</t>
  </si>
  <si>
    <t>RR stns &amp; bivouacs</t>
  </si>
  <si>
    <t xml:space="preserve">T.O. 1515. 7 aborted for u/k reason; 1 attacked by Fokker &amp; landed badly damaged. </t>
  </si>
  <si>
    <t>GB1 War Diary 0078</t>
  </si>
  <si>
    <t>GB2 portion of Vouziers raid. Mission 1346-1720. 1 sick pilot; 3 couldn't catch up after late start. 4 of the 56x90mm shells dropped on Maure due to mech diversion.</t>
  </si>
  <si>
    <t>Nilsson, OTF 4/3, p.240 &amp; GB2 War Diary Images 0075-6</t>
  </si>
  <si>
    <t>Fr. dirigible Adj-Vincenot dropped 4 shells and 12 Aasen bombs</t>
  </si>
  <si>
    <t>T.O. 1420. Clouds &amp; fog. Dropped 3x155m &amp; 16x105mm &amp; 12 incendiaries.  AM ASSUMING INCENDIARIES WEIGHED 8KG LIKE THE 90MM BOMBS (SOME INCENDIARIES WERE 75MM &amp; OTHERS WERE 90MM, BUT THEIR WGTS ARE UNKNOWN.)</t>
  </si>
  <si>
    <t>Vouziers, Challerange</t>
  </si>
  <si>
    <t>RR stns &amp; aerodrome</t>
  </si>
  <si>
    <t>65 a/c total, over 300 shells - train cut in two near Laon</t>
  </si>
  <si>
    <t>NARA 990</t>
  </si>
  <si>
    <t>Trier</t>
  </si>
  <si>
    <t>DURING ALERTS, RR TRAFFIC &amp; FACTORY &amp; FOUNDRY WORK STOPPED</t>
  </si>
  <si>
    <t>Metz - Sablon</t>
  </si>
  <si>
    <t>40 bombs</t>
  </si>
  <si>
    <t>Middleton, v.II, pp.79-80</t>
  </si>
  <si>
    <t>Total abort due to fog &amp; sea of clouds at 1300 meters.</t>
  </si>
  <si>
    <t>GB1 War Diary 0079</t>
  </si>
  <si>
    <t>Montfauxelles</t>
  </si>
  <si>
    <t>Mission 1425-1700. Sea of clouds - just dropped bombs thru the clouds in region of target.</t>
  </si>
  <si>
    <t>Nilsson, OTF 4/3, p.240 &amp; GB2 War Diary Images 0076-7 &amp; Martel, 76</t>
  </si>
  <si>
    <t>Nonnenbruch woods</t>
  </si>
  <si>
    <t>Mission 1600-1715. Original target was balloon, which disappeared</t>
  </si>
  <si>
    <t>MF29 War Diary Images 0097-8</t>
  </si>
  <si>
    <t>Bétheniville, Warmeriville, Saint-Masme, Pont-Faverger and Bazancourt</t>
  </si>
  <si>
    <t>17 a/c bombed; 6 hit by AAA</t>
  </si>
  <si>
    <t>GB1 War Diary 0079 &amp; Martel,76</t>
  </si>
  <si>
    <t>Two 2-seater Nieuports escorted GB2 and had a combat over the objective. Mission 1340-1548.</t>
  </si>
  <si>
    <t>Nilsson, OTF 4/3, p.240 &amp; GB2 War Diary Images 0077-8 &amp; Martel, 76</t>
  </si>
  <si>
    <t>C.66</t>
  </si>
  <si>
    <t>Flew from Malzéville. Dropped 8x75mm &amp; 1500 flechettes.</t>
  </si>
  <si>
    <t>Night?</t>
  </si>
  <si>
    <t>7 attempts - prob. night of 10-11 but might be 7 attempts over 2 days. 5 a/c reached target. Bombs of 3 straddled shed but missed</t>
  </si>
  <si>
    <t>Metz (RR Stns)</t>
  </si>
  <si>
    <t>10 duds</t>
  </si>
  <si>
    <t>Sablon or Montigny Stns</t>
  </si>
  <si>
    <t>Total abort due to rain &amp; clouds.</t>
  </si>
  <si>
    <t>Bazancourt; Pomacle</t>
  </si>
  <si>
    <t>19 Voisins escorted by 3 Nieuports. Dropped 2x75mm &amp; 2x155 &amp; 44 incendiaries &amp; 75x90mm.  AM ASSUMING INCENDIARIES WEIGHED 8KG LIKE THE 90MM BOMBS (SOME INCENDIARIES WERE 75MM &amp; OTHERS WERE 90MM, BUT THEIR WGTS ARE UNKNOWN.)</t>
  </si>
  <si>
    <t>RR Stn &amp; Troop billets</t>
  </si>
  <si>
    <t>Dropped 10x75mm &amp; 2000 flechettes</t>
  </si>
  <si>
    <t>20 a/c -- Martel: attacked by 3 Aviatiks. War Diary: dropped 104x90mm &amp; 4x155mm &amp; 6 incendiaries of unknown weight. Many bomb strikes seen on houses around rail jtn.</t>
  </si>
  <si>
    <t>GB1 War Diary 0080 &amp; Middleton,V.2,82 &amp; Martel,76</t>
  </si>
  <si>
    <t>Warmériville &amp; Bazancourt</t>
  </si>
  <si>
    <t>Lufbery's 1st mission.  Mission 1308-1530. Two-seater Nieuports escorting but still had trouble. Don't know why 1 crew diverted to Bazancourt RR stn (5x90mm). Reason for 1 abort not given and am assuming it was mechanical.</t>
  </si>
  <si>
    <t>Nilsson, OTF 4/3, p.240 &amp; GB2 War Diary Images 0078-9 &amp; Martel, 76</t>
  </si>
  <si>
    <t>Total abort due to fog</t>
  </si>
  <si>
    <t>GB1 War Diary 0080</t>
  </si>
  <si>
    <t>Machault; Beine</t>
  </si>
  <si>
    <t>Very foggy. Mission 1331-1552. 5x90mm on each rail stn. 1 Nieuport 2-seater flew protection.</t>
  </si>
  <si>
    <t>Nilsson, OTF 4/3, p.240 &amp; GB2 War Diary Images 0079-80</t>
  </si>
  <si>
    <t>3 duds</t>
  </si>
  <si>
    <t>30 shells dropped</t>
  </si>
  <si>
    <t>Trier (City)</t>
  </si>
  <si>
    <t>Most bombs fell in field; 2 duds fell in city.  Raid from 1035-1100.  RR lines and shops, plus some factories, stopped during alerts.</t>
  </si>
  <si>
    <t>GB de Belfort</t>
  </si>
  <si>
    <t>Roessler Poison gas factory</t>
  </si>
  <si>
    <t>GB de Belfort's 1st raid - MF29, MF20, MF14, C34 combined raid - 2 failed to return - 11 bombers (8 M Farmans and 3 Caudrons) and 8 Nieuport escorts - dropped 32 Aasen bombs, 8x155mm, 16x90mm. Mission 1145-1310. MF29 crews saw 1 hit on factory &amp; 8 on tracks at goods stn.</t>
  </si>
  <si>
    <t>MF11 &amp; Caudron G4</t>
  </si>
  <si>
    <t>MF29 War Diary Images 0113-4 &amp; Martel,92 and Bailey &amp; Kilduff, OTF V.25,#4, p.304</t>
  </si>
  <si>
    <t>Aerodrome Sheds</t>
  </si>
  <si>
    <t>Mission 1125-1320. 7 bombers escorted by 3 Nieuports (1 two-seater).</t>
  </si>
  <si>
    <t>MF29 War Diary Images 0126-7</t>
  </si>
  <si>
    <t>Oriocourt</t>
  </si>
  <si>
    <t>Troop concentrations</t>
  </si>
  <si>
    <t xml:space="preserve">T.O. 1100. 128 bombs: 28x75mm &amp; 96x90mm &amp; 3x105mm &amp; 1x155mm. </t>
  </si>
  <si>
    <t>GB1 War Diary Image 0084 &amp; Martel,77</t>
  </si>
  <si>
    <t>Chateau-Salins (NE of…)</t>
  </si>
  <si>
    <t>Long range gun</t>
  </si>
  <si>
    <t>Gun was shelling Nancy - GB2 escorted by 3 Nieuports - Germans dismantle gun. 5x90 on railway at Hedreval(?) and 6/90 on RR stn at Burthecourt</t>
  </si>
  <si>
    <t>Nilsson, OTF 4/3, p.241 &amp; GB2 War Diary Images 0086-7 &amp; Martel, 77</t>
  </si>
  <si>
    <t>GB4 de Belfort</t>
  </si>
  <si>
    <t>Mission 1100-1305. 10 a/c of GB de Belfort (7 MF29; 3 C.61) Attacked by 7 a/c from Habsheim on way back - MF29 and C61 lost 1 each. All of the bombs were seen to fall on the town.</t>
  </si>
  <si>
    <t>MF11 &amp; G4</t>
  </si>
  <si>
    <t>GB4 War Diary, Images 0002-3, Bailey &amp; Kilduff, OTF V.25, #4, p.304; Middleton,V2,82 &amp; Martel,93</t>
  </si>
  <si>
    <t>Mission 1015-1155. 9 a/c of GB de Belfort (7 of MF29; 2 of C.61) dropped shells of 155, 90, 120 mm; also 4 Nieuport escorts (2 single seaters, 2 two-seaters) of N.49 (not counted here). Martel says fire started.</t>
  </si>
  <si>
    <t>GB4 War Diary Image 0005; Middleton,V2,82 &amp; Martel,93</t>
  </si>
  <si>
    <t>Metz-Sablon</t>
  </si>
  <si>
    <t>T.O. 2100. 1st GB1 night raid.</t>
  </si>
  <si>
    <t>GB1 War Diary 0084</t>
  </si>
  <si>
    <t>Mission 2200-0045.</t>
  </si>
  <si>
    <t>GB1 War Diary 0084-5 &amp; Middleton,82</t>
  </si>
  <si>
    <t>T.O. 2027-2055.  Dropped 46x90mm &amp; 2x155mm shells</t>
  </si>
  <si>
    <t>Martel,77 &amp; GB1 War Diary Image 0085</t>
  </si>
  <si>
    <t>Middleton,V2,82</t>
  </si>
  <si>
    <t>Mulhouse; ?</t>
  </si>
  <si>
    <t>Goods Stn; Troops</t>
  </si>
  <si>
    <t>Mission 1030-1255. Original target was Habsheim airfield; Mulhouse stn and troops hit because of clouds. 6 planes of MF29; 2 of C.61; 1 of M.F.20; 3 of C.64. 1 plane returned when 120mm Gros bomb leaked fumes. 4x155 &amp; 8x90 on Mulhouse; 2x155 &amp; 12x90 on cantonments.</t>
  </si>
  <si>
    <t>GB4 War Diary Image 0006; Middleton,V2,82 &amp; Martel,94</t>
  </si>
  <si>
    <t>Another raid on the Mulhausen Goods Station???</t>
  </si>
  <si>
    <t>Ostend (SW of)</t>
  </si>
  <si>
    <t>Sheds (presumably Zepp)</t>
  </si>
  <si>
    <t>Heavy AAA from 10 batteries</t>
  </si>
  <si>
    <t>Metz, Arnaville</t>
  </si>
  <si>
    <t>Towns?</t>
  </si>
  <si>
    <t>Reprisal raid for 2 German planes attacking Nancy at 2300 18/19JAN1916. Dropped 1x155mm &amp; 21 incendiaries. 2 planes RTB 0230; 1 missing.  AM ASSUMING INCENDIARIES WEIGHED 8KG LIKE THE 90MM BOMBS (SOME INCENDIARIES WERE 75MM &amp; OTHERS WERE 90MM, BUT THEIR WGTS ARE UNKNOWN.)</t>
  </si>
  <si>
    <t>GB1 War Diary 0088 &amp; Martel,138</t>
  </si>
  <si>
    <t>GB1,2</t>
  </si>
  <si>
    <t>GB1 (14 of 27 forced to return) &amp; GB2 (13 GB2 a/c; 62 bombs) - Martel says 24 a/c dropped 130 shells on stn and barracks - protected by 4 Nieuports &amp; 3 G4s - 1 bomber lost to enemy action</t>
  </si>
  <si>
    <t>? &amp; Martel,139-140</t>
  </si>
  <si>
    <t>"Military Objectives"</t>
  </si>
  <si>
    <t>T.O. 1330. Dropped 19 incendiaries, 32x75mm, 16x90mm, 9x105mm, 3x155.  War Diary vague on targets. Doesn't say why 14 Voisins aborted.  AM ASSUMING INCENDIARIES WEIGHED 8KG LIKE THE 90MM BOMBS (SOME INCENDIARIES WERE 75MM &amp; OTHERS WERE 90MM, BUT THEIR WGTS ARE UNKNOWN.)</t>
  </si>
  <si>
    <t>GB1 War Diary 0088</t>
  </si>
  <si>
    <t>This is GB2's part in the joint raid. Mission 1334-1605. 1 pilot aborted because he was wounded. Escorted by 4 Nieuports of N.65 and 4 Caudrons of C.66.  Lufbery was one of the pilots.</t>
  </si>
  <si>
    <t>Nilsson, OTF 4/3, p.242 &amp; GB2 War Diary Images 0103-5</t>
  </si>
  <si>
    <t>C.30</t>
  </si>
  <si>
    <t>Anizy to Laon rail line</t>
  </si>
  <si>
    <t>RR</t>
  </si>
  <si>
    <t>2 Caudron G.4s</t>
  </si>
  <si>
    <t>Martel,122</t>
  </si>
  <si>
    <t>RR stn &amp; gasworks</t>
  </si>
  <si>
    <t>45 bombs - CAN'T BE SURE THIS DOESN'T APPLY TO THE DAY RAID SAME DATE</t>
  </si>
  <si>
    <t>Middleton,V.2,167</t>
  </si>
  <si>
    <t>15 duds</t>
  </si>
  <si>
    <t>Freiburg-im-Breisgau</t>
  </si>
  <si>
    <t>Fr. Airship D'Arlandes dropped 18x155mm and 20x90mm shells</t>
  </si>
  <si>
    <t>Icare, L'aeronautique militaire francaise, tome I, p.143 and Martel,129</t>
  </si>
  <si>
    <t>C.56, MF16</t>
  </si>
  <si>
    <t>Achiet-le-Grand</t>
  </si>
  <si>
    <t>2 Caudrons from C.56, 2 Farmans from MF16, &amp; 4 Nieuport escorts from N69</t>
  </si>
  <si>
    <t>Vic; Xures</t>
  </si>
  <si>
    <t>Vehicle? Parc; Bridge</t>
  </si>
  <si>
    <t xml:space="preserve">Original target was Saarbourg - failure since lead a/c's rockets didn’t fire. 2 crews dropped bombs (NFI) on other targets.  OBJECTIVE IS ALMOST CERTAINLY VIC-SUR-SEILLE, ENE OF MALZÉVILLE. </t>
  </si>
  <si>
    <t>GB1 War Diary 0089</t>
  </si>
  <si>
    <t>La Garde; Maizières; Gremencey</t>
  </si>
  <si>
    <t>Original target was Saarbourg - failure since lead a/c's rockets didn’t fire. 3 crews dropped bombs on other targets - 5x10kg on La Garde; 5x90mm on Maizières; 6x90mm on Gremecey. Mission 1330-1605. 1st GB2 use of Gros bombs.  CORRECT SPELLINGS OF OBJECTIVES APPEAR TO BE Lagarde, Maizières-lès-Vic.</t>
  </si>
  <si>
    <t>Nilsson, OTF 4/3, p.242 &amp; GB2 War Diary Images 0106-7</t>
  </si>
  <si>
    <t>Nantillois</t>
  </si>
  <si>
    <t>Martel,116</t>
  </si>
  <si>
    <t>Either 12 noon or 12 midnight.  No damage.</t>
  </si>
  <si>
    <t>Grenade Factory</t>
  </si>
  <si>
    <t>GB1 (13 a/c reached target; 60 bombs) &amp; GB2 (11 GB2 a/c; 56 bombs) - roads, buildings, castle hit - Martel says night raid on 20/21 Feb, not day raid on 21 Feb - says 28 planes dropped 108 bombs - says it was the first night raid by GB1 &amp; GB2</t>
  </si>
  <si>
    <t>? &amp; Martel, 144</t>
  </si>
  <si>
    <t>Factory</t>
  </si>
  <si>
    <t>T.O. 1100. Dropped 9x155mm; 29x105mm; 14 incendiaries; 8x75mm. Most shells fell on the factory.  Took aerial photos.  AM ASSUMING INCENDIARIES WEIGHED 8KG LIKE THE 90MM BOMBS (SOME INCENDIARIES WERE 75MM &amp; OTHERS WERE 90MM, BUT THEIR WGTS ARE UNKNOWN.)</t>
  </si>
  <si>
    <t>GB1 War Diary 0091-2</t>
  </si>
  <si>
    <t>Pagny-sur-Moselle; Vittonville</t>
  </si>
  <si>
    <t>Factories &amp; RR stn; ?</t>
  </si>
  <si>
    <t>GB2 portion of combined raid. Mission 1101-1314.  Am assuming the 13 Gros bombs dropped were the 10 kg size; this is the only size these Voisins could carry.  War Diary says they dropped 15 J.L. bombs; am assuming these are 120mm, 10kg incendiaries mentioned by Martel on p.104. In any event, the total bomb weight won't be far from reality given what the planes could carry.  Attack on Vittonville (4x90mm &amp; 2 J.L.) was a diversion due to engine trouble.</t>
  </si>
  <si>
    <t>Nilsson, OTF 4/3, p.242 &amp; GB2 War Diary Images 0108-9</t>
  </si>
  <si>
    <t>Chateau-de-Martincourt</t>
  </si>
  <si>
    <t>Munition Depot</t>
  </si>
  <si>
    <t>Middleton,V.2,165</t>
  </si>
  <si>
    <t>GB4</t>
  </si>
  <si>
    <t>Habsheim; Mulhouse</t>
  </si>
  <si>
    <t>Aerodrome; Goods Stn</t>
  </si>
  <si>
    <t>Mission 1100-1235. 17 MFs of MF29 &amp; MF123 plus 3 uncounted BM escorts. Dropped 66x120mm Gros bombs. Saw 8 bombs hit the Mulhouse stn; 2 hit Dornach factories; 1 near hangers. Air fights with 5 Aviatiks, 3 Fokkers, 1 Otto; 3 crew wounded. Fired 1348 bullets!</t>
  </si>
  <si>
    <t>GB4 War Diary Images 0018-9, Bailey &amp; Kilduff, OTF V.25,#4, p.304; Middleton,V.2,165</t>
  </si>
  <si>
    <t>C.42</t>
  </si>
  <si>
    <t>Raid by 4 Caudron G4s - AM ASSUMING 4 PLANES DROPPED BOMBS AND THAT THEY DROPPED THE USUAL 50KG PER PLANE.</t>
  </si>
  <si>
    <t>G.4</t>
  </si>
  <si>
    <t>Martel,139</t>
  </si>
  <si>
    <t>Few telegraph wires broken.</t>
  </si>
  <si>
    <t>Mission 2300-0100. German night fighter seen. Dropped 2x155mm; 18x105mm; 5 incendiaries. Bombs hit station &amp; gas factory.  AM ASSUMING INCENDIARIES WEIGHED 8KG LIKE THE 90MM BOMBS (SOME INCENDIARIES WERE 75MM &amp; OTHERS WERE 90MM, BUT THEIR WGTS ARE UNKNOWN.)</t>
  </si>
  <si>
    <t>GB1 War Diary 0092</t>
  </si>
  <si>
    <t>2 duds</t>
  </si>
  <si>
    <t xml:space="preserve">Montcheutin and Lançon </t>
  </si>
  <si>
    <t>Troop Encampments</t>
  </si>
  <si>
    <t>Morning raid - part of Battle of Verdun</t>
  </si>
  <si>
    <t>144 shells</t>
  </si>
  <si>
    <t>GB2/C66</t>
  </si>
  <si>
    <t>Conthil</t>
  </si>
  <si>
    <t>GB2/C66 - 1 a/c, 5 bombs, &lt;500m altitude</t>
  </si>
  <si>
    <t>SW of Bensdorf</t>
  </si>
  <si>
    <t>Nilsson, OTF 4/3, p.242 &amp; GB2 War Diary Image 0111</t>
  </si>
  <si>
    <t>GB1 &amp; GB2</t>
  </si>
  <si>
    <t>Martel: dawn raid against rail station - 6 planes from GB2 and 2 from GB1 - not attacked by enemy a/c - GB2 WAR DIARY CLEARLY STATES CHAMBLEY RAID WASN'T UNTIL MORNING OF 26 FEB - PROBABLY SHOULD DELETE THIS RECORD AFTER SEEING GB1 WAR DIARY</t>
  </si>
  <si>
    <t>Middleton,V.2,165 &amp; Martel,139</t>
  </si>
  <si>
    <t>Mission 2245-0300. Dropped 2x155 &amp; 28x105 &amp; 7 incendiaries.   AM ASSUMING INCENDIARIES WEIGHED 8KG LIKE THE 90MM BOMBS (SOME INCENDIARIES WERE 75MM &amp; OTHERS WERE 90MM, BUT THEIR WGTS ARE UNKNOWN.)</t>
  </si>
  <si>
    <t>GB1/VB114,GB2</t>
  </si>
  <si>
    <t>GB2 - 5 a/c, 20 bombs - 2 of 8 a/c from GB1/VB114 reached target in morning</t>
  </si>
  <si>
    <t>GB1/VB114</t>
  </si>
  <si>
    <t>T.O. 1000. Dropped 2x155mm; 2x105mm</t>
  </si>
  <si>
    <t>Nilsson, OTF 4/3, p.242-3 &amp; GB2 War Diary Image 0111-2</t>
  </si>
  <si>
    <t>GB2 portion of combined raid. Mission 0956-1330. Assuming 2 J.L. bombs dropped by Lufbery were 10 kg incendiaries.</t>
  </si>
  <si>
    <t>Mission 2300-0200.Stn blacked out; only hit tracks. Dropped 2x155mm; 32x105mm; 3 incendiaries.  AM ASSUMING INCENDIARIES WEIGHED 8KG LIKE THE 90MM BOMBS (SOME INCENDIARIES WERE 75MM &amp; OTHERS WERE 90MM, BUT THEIR WGTS ARE UNKNOWN.)</t>
  </si>
  <si>
    <t>GB1 War Diary 0092-3</t>
  </si>
  <si>
    <t>17 duds</t>
  </si>
  <si>
    <t>"The Lines"</t>
  </si>
  <si>
    <t>Two Caudron G4s</t>
  </si>
  <si>
    <t>GB2 War Diary Image 0112</t>
  </si>
  <si>
    <t>Mission 2030-2400. Dropped 30x105mm &amp; 14 Gros bombs (presumably 10kg 120mm bombs). 1st use of Gros bombs mentioned in War Diary.</t>
  </si>
  <si>
    <t>GB1 War Diary 0093</t>
  </si>
  <si>
    <t>GB1 part of mission. Dropped 2x155mm; 2x105mm; 6x75mm. 18 photos taken. Martel 139 says C.66 flew escort.</t>
  </si>
  <si>
    <t>GB2 part of mission. Mission 1104-1320. War Diary says 14 planes left, but 1 dropped leaflets, 3 were Caudron G4 escorts, and two dropped bombs near Avricourt as a decoy.</t>
  </si>
  <si>
    <t>Nilsson, OTF 4/3, p.243 &amp; GB2 War Diary Images 0112-4 &amp; Martel 139</t>
  </si>
  <si>
    <t>Deutsch-Avricourt or Gondrexange(?)-Avricourt</t>
  </si>
  <si>
    <t>2 aircraft raid stn as diversion for Bensdorf raid (Martel). 3rd plane dropped only leaflets there (War Diary). Mission 1104-1320.</t>
  </si>
  <si>
    <t>Martel,139 &amp; GB2 War Diary Image 0112</t>
  </si>
  <si>
    <t>Single successful crew took off 2235, bombed at 2340, RTB 0030. Dropped 8 Gros bombs, presumably 120mm. Returned above the clouds by compass!</t>
  </si>
  <si>
    <t>2 meters of double track destroyed. [TWO DIFFERENT WAR DIARIES LIST BENSDORF RAID AS BEING ON 2 MARCH &amp; # BOMBS MATCHES EXACTLY. -SCS]</t>
  </si>
  <si>
    <t>Thionville - Rail</t>
  </si>
  <si>
    <t>ALERT ONLY - Delay in engine movements and in RR traffic</t>
  </si>
  <si>
    <t>NARA Micro- film 990</t>
  </si>
  <si>
    <t>Maizieres Works</t>
  </si>
  <si>
    <t>Damage to elevator house &amp; lighting arrangement of Mollerung Furnaces I &amp; II</t>
  </si>
  <si>
    <t>Conflans, Metz-Sablons, Arnaville</t>
  </si>
  <si>
    <t>GB1 War Diary 0094</t>
  </si>
  <si>
    <t>Bomb type unspecified.</t>
  </si>
  <si>
    <t>Bomb type &amp; # a/c unspecified.</t>
  </si>
  <si>
    <t>GB1,2 - VB101, C.66, GBM5</t>
  </si>
  <si>
    <t>GB1, GB2 - 124 bombs - D&amp;S: GB2 sent 7 Voisin 5's on this mission - Martel: 5 Caudrons from C.66, 7 Voisins from VB101, and 6 B-Ms from GBM5, dropping 124 shells - no losses [GB1 WAR DIARY SAYS NO RAIDS ON THIS DAY]</t>
  </si>
  <si>
    <t>? &amp; D&amp;S &amp; Martel,140</t>
  </si>
  <si>
    <t>GB2 portion of joint mission. Mission 0849-1116. 8 Voisins of VB105 and 3 Caudrons of C.66. Caudrons escorted but also dropped bombs.  All Gros bombs, presumably of 10kg each.</t>
  </si>
  <si>
    <t>Nilsson, OTF 4/3, p.243 &amp; GB2 War Diary Images 0114-6</t>
  </si>
  <si>
    <t>GB4/MF29</t>
  </si>
  <si>
    <t>Ensisheim</t>
  </si>
  <si>
    <t>Mission 0900-1110. 6 M.F.11 bombers and two Breguet-Michelin planes (bombers?) plus 2 "protection" Nieuports from N.49. Dropped 24x120mm Gros bombs.  It is not clear whether the Breguets dropped bombs or even whether they were supposed to, but they could not keep up with even the 80hp Farmans.</t>
  </si>
  <si>
    <t>MF11 &amp; BM</t>
  </si>
  <si>
    <t>GB4 War Diary Images 0022-3; D&amp;S, ? and Martel, 129</t>
  </si>
  <si>
    <t>GB2/C66 - 2 Caudron G4s, evening raid (exact time not given)</t>
  </si>
  <si>
    <t>Nilsson, OTF 4/3, p.243 &amp; GB2 War Diary Image 0116</t>
  </si>
  <si>
    <t>11 duds</t>
  </si>
  <si>
    <t>Chateau-Salins; Enemy Lines</t>
  </si>
  <si>
    <t>RR Stn; Troops</t>
  </si>
  <si>
    <t>Mission 1105-1305. Described as Test Bombardment (Essai de Bombardement). Not sure what target was. Numbers of Caudrons don't add up - 5 T.O., 2 abort, 2 bombed.</t>
  </si>
  <si>
    <t>GB2 War Diary Image 0117</t>
  </si>
  <si>
    <t>Martel: 30 Gros bombs with anilite from 7 planes start fires in 5 places. War Diary: 16x105mm &amp; 15 Gros bombs, presumably 120mm. 2 planes aborted because they could not attain sufficient altitude.</t>
  </si>
  <si>
    <t>GB1 War Diary 0094 &amp; Middleton,V.2,166 &amp; Martel,145</t>
  </si>
  <si>
    <t>Brieulles</t>
  </si>
  <si>
    <t>GB5 (5 B-M bombers, 1 B-M fighter, 100 bombs); Martel says also escort of 15 Nieuports or G.4s; part of Battle of Verdun</t>
  </si>
  <si>
    <t>Ochey</t>
  </si>
  <si>
    <t>? &amp; Martel, 117</t>
  </si>
  <si>
    <t>GB2/C66,VB105</t>
  </si>
  <si>
    <t>Mission 0846-1218. 6 Voisins &amp; 4 escorting Caudrons, which dropped 3 Gros bombs each. Cdte. Roisin, chief of GB2, missing.</t>
  </si>
  <si>
    <t>Voisin &amp; G.4</t>
  </si>
  <si>
    <t>Nilsson, OTF 4/3, p.243 &amp; GB2 War Diary Images 0118-9</t>
  </si>
  <si>
    <t xml:space="preserve"> ?</t>
  </si>
  <si>
    <t>GB2 War Diary says C.66 flew one bombardment sortie "this evening". May have been attacking German troops; another such raid at "the Lines" was described in an equally vague way on 1 March.</t>
  </si>
  <si>
    <t>GB2 War Diary Image 0119</t>
  </si>
  <si>
    <t>Conflans, Arnaville, Mezieres-les-Metz</t>
  </si>
  <si>
    <t>RR Stn; RR Stn; RR lines &amp; Factory</t>
  </si>
  <si>
    <t>Lemmes</t>
  </si>
  <si>
    <t>GB1 War Diary 0095</t>
  </si>
  <si>
    <t>T.O. 2135-2235. All RTB by 0115. 1 aborted due to engine misfire &amp; other due to sick pilot.</t>
  </si>
  <si>
    <t>T.O. 2135-2235. 4 of 8 bombed original objective with 13x105mm &amp; 10 GROS bombs, presumably 120mm.</t>
  </si>
  <si>
    <t>Diverted due to failure of lights. Dropped 5x105mm on target of opportunity.</t>
  </si>
  <si>
    <t>Mezieres-les-Metz</t>
  </si>
  <si>
    <t>RR lines &amp; Factory</t>
  </si>
  <si>
    <t>Couldn't find objective. Dropped 5x105mm on target of opportunity.</t>
  </si>
  <si>
    <t>Bombing by Caudron G.4s during long range reconnaissance.  Mission 0920-1130</t>
  </si>
  <si>
    <t>Nilsson, OTF 4/3, p.243 &amp; GB2 War Diary Images 0120-1</t>
  </si>
  <si>
    <t>Bombing by Caudron G.4 during long range reconnaissance.  Mission 1420-1550</t>
  </si>
  <si>
    <t>F</t>
  </si>
  <si>
    <t>Bombing by Caudron G.4 during long range reconnaissance.  Mission 1025-1240.  OBJECTIVE IS ALMOST CERTAINLY VIC-SUR-SEILLE, ENE OF MALZÉVILLE.</t>
  </si>
  <si>
    <t>Coutures (W of Chateau-Salins)</t>
  </si>
  <si>
    <t>"Military Works"</t>
  </si>
  <si>
    <t>Bombing by Caudron G.4 during long range reconnaissance.  Mission 1545-1745</t>
  </si>
  <si>
    <t>GB1/VB101 &amp; 114</t>
  </si>
  <si>
    <t>Conflans; Metz-Sablons; Maizieres-les-Metz</t>
  </si>
  <si>
    <t>T.O. 2145-2300. On Conflans: 19x105mm &amp; 16 Gros &amp; 15 incendiaries; On Metz: 7 Gros bombs &amp; 2 incendiaries; On Maizieres-les-Metz: 3 shells (NFI) &amp; 2 incendiaries  - Martel: fire at Conflans in 3 places</t>
  </si>
  <si>
    <t>GB1 War Diary 0096 &amp; Middleton,V.2,166 &amp; Martel,145</t>
  </si>
  <si>
    <t>Brieulles, Dun-sur-Meuse</t>
  </si>
  <si>
    <t>GB1 War Diary 0096</t>
  </si>
  <si>
    <t>Part of the Battle of Verdun. Martel listed this raid as by GB2 on the next day.</t>
  </si>
  <si>
    <t>Dropped 2 Gros bombs, presumably 10kg each</t>
  </si>
  <si>
    <t>Dun-sur-Meuse</t>
  </si>
  <si>
    <t>Dropped 8 Gros bombs, presumably 10kg each</t>
  </si>
  <si>
    <t>GB4&amp;C.61,C.34</t>
  </si>
  <si>
    <t>Habsheim; Mulhousen</t>
  </si>
  <si>
    <t>Mission 1500-1648. 23 a/c of GB4 - 4 M.F.11's lost - E. Udet's 1st victory -  GB4 War Diary says 17 M.F.11's, 4 B.M 4's (1 from C.34), and 2 Caudron G.4's (C.61) raided - 3 bombs seen to hit hangers, 11 hit rail station &amp; nearby factory, rest hit airfield;  Martel says opposed by 10 German planes; 15 bombs on Mulhouse stn &amp; 57 on Habsheim aerodrome; "famous air battle of Habsheim". No list of type of bombs dropped in War Diary</t>
  </si>
  <si>
    <t>GB4 War Diary Images 0027-8; Middleton, ?; D&amp;S, ?; Martel,129-130</t>
  </si>
  <si>
    <t>GB2/C66 - 4 Caudron G.4s, 20 bombs - hi altitude raid w/o observers. Mission 0900-1110.</t>
  </si>
  <si>
    <t>Nilsson, OTF 4/3, p.243 &amp; GB2 War Diary Image 0121</t>
  </si>
  <si>
    <t>Mission 1615-1740</t>
  </si>
  <si>
    <t>GB2 War Diary Image 0121</t>
  </si>
  <si>
    <t>Mission 1450-1530</t>
  </si>
  <si>
    <t>GB2 War Diary Image 0122</t>
  </si>
  <si>
    <t>Vilosne</t>
  </si>
  <si>
    <t>4 Gros bombs dropped during night recon N of Verdun</t>
  </si>
  <si>
    <t>GB1 War Diary Image 0096</t>
  </si>
  <si>
    <t>Potash Factory</t>
  </si>
  <si>
    <t>1 MF11 that force-landed on 18 March attacked this target on its way back home the morning of the 19th after making repairs &amp; spending the night</t>
  </si>
  <si>
    <t>GB4 War Diary Image 0028</t>
  </si>
  <si>
    <t>Mission 1415-1645. Caudron G.4s dropping bombs while on recce missions.</t>
  </si>
  <si>
    <t>Fresne-en-Saulnois</t>
  </si>
  <si>
    <t>GB2</t>
  </si>
  <si>
    <t>Battle of Verdun - THIS MISSION IS NOT IN THE GB2 WAR DIARY AND PROBABLY DID NOT OCCUR</t>
  </si>
  <si>
    <t>Martel, 117</t>
  </si>
  <si>
    <t>Dun</t>
  </si>
  <si>
    <t>Dropped 6 Gros bombs in the course of a reconnaissance. Didn't specify # of planes.</t>
  </si>
  <si>
    <t>Mission 1550-1700. Single G.4 dropped 5x120mm Gros bombs and 2 fusées incendiares - don't know weight of latter and counting it as 0.</t>
  </si>
  <si>
    <t>GB2 War Diary Image 0123</t>
  </si>
  <si>
    <t>Dun-sur-Meuse; Audun-le-Roman</t>
  </si>
  <si>
    <t>Middleton,V.2,166</t>
  </si>
  <si>
    <t>Dropped 4 Gros bombs. Am assuming 1 plane.</t>
  </si>
  <si>
    <t>Dropped 6 Gros bombs. Didn't specify # of planes.</t>
  </si>
  <si>
    <t>Montfaucon</t>
  </si>
  <si>
    <t>Dropped 16 Gros bombs. Didn't specify # of planes.</t>
  </si>
  <si>
    <t>GB1 War Diary Image 0097</t>
  </si>
  <si>
    <t>Mission 1350-1620. Caudron G4s without observers.</t>
  </si>
  <si>
    <t>Nilsson, OTF 4/3, p.243 &amp; GB2 War Diary Image 0124</t>
  </si>
  <si>
    <t>16 large shells</t>
  </si>
  <si>
    <t>Mission 1530-1800. Caudron G4s without observers.</t>
  </si>
  <si>
    <t>Nilsson, OTF 4/3, p.243 &amp; GB2 War Diary Image 0125</t>
  </si>
  <si>
    <t xml:space="preserve">Pagny-sur-Moselle </t>
  </si>
  <si>
    <t>Mission 1530-1720. 5 Gros 120mm bombs; no observer in Caudron G4.</t>
  </si>
  <si>
    <t>GB2 War Diary Image 0125</t>
  </si>
  <si>
    <t>Mazieres-les-Metz</t>
  </si>
  <si>
    <t>Dropped 8 Gros bombs between 2300-2310.</t>
  </si>
  <si>
    <t>Grandpre</t>
  </si>
  <si>
    <t>During the night of March 29/30 bombs were dropped on our factories. 7 of them exploded.  4 of them fell near the central shops damaging the western façade and breaking all the windows.</t>
  </si>
  <si>
    <t>Mission 0830-1030. Took observers on mission.</t>
  </si>
  <si>
    <t>Nilsson, OTF 4/3, p.243 &amp; GB2 War Diary Image 0126</t>
  </si>
  <si>
    <t>Mission 1445-1645. No observers in G4s; using 120mm Gros bombs.</t>
  </si>
  <si>
    <t>N12, N49</t>
  </si>
  <si>
    <t>Laon</t>
  </si>
  <si>
    <t>4 2-seater Nieuports escorted by 4 single-seater Nieuports</t>
  </si>
  <si>
    <t>Nieuport</t>
  </si>
  <si>
    <t>Auden-le-Roman</t>
  </si>
  <si>
    <t>Dirigible Adj-Vincenot dropped 30 shells of 120 anilite (?) - also recon of Conflans, Metz, Thionville, Briey - I'm assuming bombs were 10 kg, 120mm Gros-Andreau bombs</t>
  </si>
  <si>
    <t>Nantillois; Brielles; Montfaucon</t>
  </si>
  <si>
    <t>Mission 2200-0135. 12 Gros bombs on Nantillois and 6 each on other two areas. Rail stn at Brielles was also a target.</t>
  </si>
  <si>
    <t>Etain</t>
  </si>
  <si>
    <t>T.O. 2300. Dropped 28x120mm Gros bombs.</t>
  </si>
  <si>
    <t>Nantillois; Brielles; Etain</t>
  </si>
  <si>
    <t>T.O. 2230. 4 Gros bombs on Nant.; 9 on Brielles; 10 on Etain.</t>
  </si>
  <si>
    <t>GB1 War Diary Image 0098</t>
  </si>
  <si>
    <t>Keyen, Essen, Terrest, Houthulst</t>
  </si>
  <si>
    <t>Reprisal raid</t>
  </si>
  <si>
    <t>Conflans; Conflans to Etain (between)</t>
  </si>
  <si>
    <t>RR Stn; Rail lines &amp; Bivouacs</t>
  </si>
  <si>
    <t>Time not given tho probably at night. 10 Gros bombs on RR stn; 6 on rail lines &amp; bivouacs</t>
  </si>
  <si>
    <t>Dirigible Adj-Vincenot dropped 34 shells of 120 caliber anilite - also recon of lines near Thionville, Briey - Martel, 118, puts it on night of 3/4 April</t>
  </si>
  <si>
    <t>Icare, L'aeronautique militaire francaise, tome I, p.143 &amp; Middleton &amp; Martel,118</t>
  </si>
  <si>
    <t>Nantillois; Damvillers</t>
  </si>
  <si>
    <t>RR stn; Troop Billets</t>
  </si>
  <si>
    <t>T.O. 2200. 10 Gros bombs on Nant. rail stn (plus 2 "incendiary cans", presumably the 10kg, 120mm incendiaries) &amp; 5 on Dam. cantonnements</t>
  </si>
  <si>
    <t>Mission 1055-1315. No observers - Nilsson points out this was a high altitude raid successful in keeping 2 fighters from Frescaty from reaching them.</t>
  </si>
  <si>
    <t>Nilsson, OTF 4/3, p.243 &amp; GB2 War Diary Image 0128</t>
  </si>
  <si>
    <t>Thionville (Town)</t>
  </si>
  <si>
    <t>ONLY INFO IS RAID DATE &amp; # BOMBS.</t>
  </si>
  <si>
    <t>Mission 2035-2200. Bombed at 2130.  8 Gros bombs - 1 a/c returned w/ engine trouble, went back out &amp; crashed due to strong winds near the airfield. 2 crew killed.</t>
  </si>
  <si>
    <t>GB1 War Diary Images 0098-9</t>
  </si>
  <si>
    <t>Total abort due to strong winds.</t>
  </si>
  <si>
    <t>Mission 1530-1800. Caudron G4s without observers. 5 of the 10 Gros bombs missed the rail station and landed up to 300 meters away.</t>
  </si>
  <si>
    <t>GB2 War Diary Image 0130</t>
  </si>
  <si>
    <t>Mission 1530-1815. 1 Caudron with no observer. Bad visibility.</t>
  </si>
  <si>
    <t>Factories / Mills</t>
  </si>
  <si>
    <t>Mission 1125-1335.</t>
  </si>
  <si>
    <t>GB2 War Diary Image 0131</t>
  </si>
  <si>
    <t>Mission 1410-1655 was part of extended recce mission.</t>
  </si>
  <si>
    <t>Nantillois &amp; Brieulles</t>
  </si>
  <si>
    <t>T.O. 2100 by 4 planes. 1 bombed both RR stns with 8 Gros bombs (this record); the other 3 bombed Nantillois &amp; nearby bivouacs (next record).</t>
  </si>
  <si>
    <t>GB1 War Diary Image 0100 &amp; Middleton, V.2, 166</t>
  </si>
  <si>
    <t>RR Stn &amp; bivouacs</t>
  </si>
  <si>
    <t>This record for 2 raids in the same night. 1st (T.O. 2100) - 3 Voisins dropped 18x120mm Gros bombs on station &amp; nearby bivouacs. 3 Voisins took off at 0100 to hit this busy rail station again with 21 bombs. On the 2nd raid, started a large fire on the parc next to the station.</t>
  </si>
  <si>
    <t>GB1/VB101,114</t>
  </si>
  <si>
    <t>Rombach Wks; Conflans, Metz</t>
  </si>
  <si>
    <t>Blast Furnace; rail stn; searchlight &amp; rail lines</t>
  </si>
  <si>
    <t>GB1 War Diary Images 0099-0100</t>
  </si>
  <si>
    <t>T.O. 2130-2350. Objective was Rombach Works - 4 aborted due to darkness &amp; engine trouble (NFI); 2 diverted to other targets.</t>
  </si>
  <si>
    <t>Conflans, Metz</t>
  </si>
  <si>
    <t>Rail stn; searchlight &amp; rail lines</t>
  </si>
  <si>
    <t>6 Gros bombs on Conflans rail stn by one VB101 Voisin at 2315; VB114 Voisin dropped 2 on a searchlight west of Metz at 0045 and 3 on lights on Metz-Conflans rail line.</t>
  </si>
  <si>
    <t>Bombed target between 2250-2307.</t>
  </si>
  <si>
    <t>Damage to business office &amp; Mollerung of Smelting Furnace Wks</t>
  </si>
  <si>
    <t>Total Abort due to fog. Mission 1100-1315</t>
  </si>
  <si>
    <t>GB2 War Diary Image 0132</t>
  </si>
  <si>
    <t>Conflans; Rombach; Arnaville; Pagny-sur-Moselle; Ars-sur-Moselle</t>
  </si>
  <si>
    <t>GB1 War Diary Image 0101</t>
  </si>
  <si>
    <t>6 each took off from VB101 &amp; VB114 between 2145 &amp; 2300.</t>
  </si>
  <si>
    <t>Rail lines</t>
  </si>
  <si>
    <t>Ars-sur-Moselle</t>
  </si>
  <si>
    <t>Rombach</t>
  </si>
  <si>
    <t>Nantillois; Cierges</t>
  </si>
  <si>
    <t>RR stn &amp; village; Rail Lines</t>
  </si>
  <si>
    <t>T.O. from Lemmes @ 2200. 12x120mm Gros bombs on Nant. stn &amp; village, including 1 directed at a searchlight. Fired 200 cartridges at searchlight. 6 other bombs dropped on railway in Ciergnes region.</t>
  </si>
  <si>
    <t>GB1 War Diary Image 0101 &amp; Middleton, V.2, 166</t>
  </si>
  <si>
    <t>Brieulles; Etain; Spincourt</t>
  </si>
  <si>
    <t>Thionville-Foundry</t>
  </si>
  <si>
    <t>Bombs inside/outside foundry grounds: 4/0.  Misc. damage.</t>
  </si>
  <si>
    <t>Carl Fndry, Diedenhofen</t>
  </si>
  <si>
    <t>Most damage to Wrought Iron Store, Cross Transport Tracks #2 &amp; 3</t>
  </si>
  <si>
    <t>Damage to Chimney Furnace III and admin building</t>
  </si>
  <si>
    <t>Wyfweg</t>
  </si>
  <si>
    <t xml:space="preserve">Longuyon; Stenay; </t>
  </si>
  <si>
    <t>Brieulles; Montfaucon; Nantillois</t>
  </si>
  <si>
    <t>Troop billets; RR stn</t>
  </si>
  <si>
    <t>T.O. 2130. 8 Gros bombs on Brieulles stn; 12 on Mont. billets; 6 on Nant. (NFI)  1 crew nearly killed by Gros bombs leaking.</t>
  </si>
  <si>
    <t>GB1 War Diary Image 0102</t>
  </si>
  <si>
    <t>Dun-sur-Meuse, Romagne, Cunel</t>
  </si>
  <si>
    <t>Camps</t>
  </si>
  <si>
    <t>T.O. 0100 on 24 April 1916</t>
  </si>
  <si>
    <t>Nantillois, Cierges, Forges (forest of)</t>
  </si>
  <si>
    <t>14 bombs on Nantillois; 6 on other 2 targets.</t>
  </si>
  <si>
    <t>Fr. dirigible Champange dropped 1200kg of explosives (10x155mm &amp; 6x220mm)</t>
  </si>
  <si>
    <t>Damvillers; Brieulles; Olley to Conflans; Crepion; Foameix</t>
  </si>
  <si>
    <t>RR stn, rail lines, "regions"</t>
  </si>
  <si>
    <t>T.O. 2200. Flew from Lemmes in support of Verdun battle. 6 Gros bombs on Brieulles RR stn &amp; nearby parcs, 4 on region of Damvillers, 4 on Olley-Conflans rail line, 2 each on Crepion &amp; Foameix (NFI)</t>
  </si>
  <si>
    <t>GB1 War Diary Image 0103 &amp; Middleton,V.2,166</t>
  </si>
  <si>
    <t>Romagne; Cierges; Cunel</t>
  </si>
  <si>
    <t>2 planes from 101 &amp; 4 from 114.  20x120mm Gros bombs on Romagne, 5 Cierges, 4 on Cunel</t>
  </si>
  <si>
    <t>GB1 War Diary Image 0103</t>
  </si>
  <si>
    <t>Etain; Pierrepont</t>
  </si>
  <si>
    <t>Roye; Villers-Carbonnel; Biaches</t>
  </si>
  <si>
    <t>C11</t>
  </si>
  <si>
    <t xml:space="preserve">Joeuf-Homécourt </t>
  </si>
  <si>
    <t>Steelworks</t>
  </si>
  <si>
    <t>Martel,146</t>
  </si>
  <si>
    <t>Bayonville</t>
  </si>
  <si>
    <t>Fr. dirigible Adj.-Vincenot dropped 30 shells of 120 anilite - Icare implies it was a day raid but was probably a very early morning or late evening raid</t>
  </si>
  <si>
    <t>Dirigible D'Arlandes dropped 20x155mm &amp; 10x90mm shells - Icare implies it was a day raid but was probably very early morning or late evening</t>
  </si>
  <si>
    <t>"region of…"</t>
  </si>
  <si>
    <t>Dirigible Champagne dropped 1200 kg of explosives</t>
  </si>
  <si>
    <t>Filly, Rouvre, Etain, St.-Jean-de-Buzuy, between Mancourt &amp; Ornes, Foameix</t>
  </si>
  <si>
    <t>Bivouacs, artillery, etc.</t>
  </si>
  <si>
    <t>T.O. 2200-2240. 4 Voisins scattered Gros bombs among many tactical targets in support of Verdun battle.</t>
  </si>
  <si>
    <t>Romagne; Grandpre; Fleville; Bantheville &amp; Bourus</t>
  </si>
  <si>
    <t>Searchlights &amp; rail line; 2 RR stns; troop billets</t>
  </si>
  <si>
    <t>T.O. 2130 from Autrecourt.  1 of 7 planes from VB101.  11 bombs on Romagne; 13 on Grandpre; 9 on Fleville; 4 on B&amp;B.</t>
  </si>
  <si>
    <t>Thionville; Conflans</t>
  </si>
  <si>
    <t>Lamarche</t>
  </si>
  <si>
    <t>Audun-le-Roman; Grandpre; Challerange</t>
  </si>
  <si>
    <t>Spincourt; Etain (near)</t>
  </si>
  <si>
    <t>Huts; Convoy</t>
  </si>
  <si>
    <t>T.O. 2200 from Lemmes. Says 2 planes took off &amp; dropped 4 bombs on huts.  Doesn't say what was dropped on convoy. Support for Verdun battle.</t>
  </si>
  <si>
    <t>Challerange; Grandpre</t>
  </si>
  <si>
    <t>Rail line; RR stn</t>
  </si>
  <si>
    <t>2 planes from 101 &amp; 3 from 114 at Autrecourt.  17x120mm Gros bombs on Challerange &amp; 14 on Grandpre</t>
  </si>
  <si>
    <t>Hayange; Azannes</t>
  </si>
  <si>
    <t>Etain region, incl. Dieppe, Rouvre</t>
  </si>
  <si>
    <t>Bivouacs, parc, rail line, convoy</t>
  </si>
  <si>
    <t xml:space="preserve">T.O. 2200 from Lemmes. </t>
  </si>
  <si>
    <t>GB1 War Diary Image 0104 &amp; Middleton,V.2,167</t>
  </si>
  <si>
    <t>Grandpre; Vouziers, Apremont; Exermont; Fleville</t>
  </si>
  <si>
    <t>Rail jtn; others U/K</t>
  </si>
  <si>
    <t>T.O. 2100 from Autrecourt; 2 from VB101 &amp; 6 from VB114. 19 of 44 Gros bombs on Grandpre jtn.</t>
  </si>
  <si>
    <t>Sebastapol; Spincourt;</t>
  </si>
  <si>
    <t>DATE UNCERTAIN - MAY HAVE BEEN 5MAY1915 OR 5 MAY 1917. 5 MAY TELEGRAM: Last night at 11:35 PM the arrival of enemy planes from Metz was announced. Attack took place at 12:40AM. Number of planes not known. 18 bombs dropped on Steel Works Thyssen w/o causing any particular damage. [signed] Bf. STAHL</t>
  </si>
  <si>
    <t>Hagondange (Thyssen Steel Wrks)</t>
  </si>
  <si>
    <t>NARA 990, Roll 58</t>
  </si>
  <si>
    <t>Damvillers; Etain; Foameix; Azannes</t>
  </si>
  <si>
    <t>U/K; railway; billets; billets</t>
  </si>
  <si>
    <t>T.O. 2130.</t>
  </si>
  <si>
    <t>GB1 War Diary Image 0105 &amp; Middleton,V.2,167</t>
  </si>
  <si>
    <t>Nantillois; Brieulles; Montfaucon; Romagne; Fleville</t>
  </si>
  <si>
    <t>Enemy camps</t>
  </si>
  <si>
    <t>T.O. 2115 from Autrecourt.  4 Voisins of VB101 &amp; 6 of VB114. Hit bivouacs with 44 Gros bombs and 4x75mm.</t>
  </si>
  <si>
    <t>GB1 War Diary Image 0106</t>
  </si>
  <si>
    <t>Differdange</t>
  </si>
  <si>
    <t>ALERT ONLY. LOSS IN PRODUCTION OF IRON @ 498M PER TON.</t>
  </si>
  <si>
    <t>Differdingen, Lux.</t>
  </si>
  <si>
    <t>1 dud</t>
  </si>
  <si>
    <t>GBM5</t>
  </si>
  <si>
    <t>Metz-Frescaty</t>
  </si>
  <si>
    <t>Airship Hanger</t>
  </si>
  <si>
    <t>D&amp;S: 1 Breguet-Michelin of GBM5 dropped 11x75kg on hanger - THIS MUST MEAN 11X75MM BOMBS, NOT KG</t>
  </si>
  <si>
    <t>Damvillers - Ville-devant-Chaumont (region); Brieulles - Clery; Nantillios-Romagne; Apremont - Grandpre</t>
  </si>
  <si>
    <t>Bivouacs; RR stn; bivouacs; RR stn</t>
  </si>
  <si>
    <t>T.O. 2130 from Autrecourt.  9 planes from VB101; 4 from VB114.. Attacked enemy installations on both banks of the Meuse in support of Verdun battle.</t>
  </si>
  <si>
    <t>GB1 War Diary Image 0106 &amp; Middleton,V.2,167</t>
  </si>
  <si>
    <t>Frescaty; Metz; Ars; Arnaville</t>
  </si>
  <si>
    <t>Mission 1100-1335. I'm not entirely sure from the French text that 3 planes had to abort and if so, why.</t>
  </si>
  <si>
    <t>Nilsson, OTF 4/3, p.243 &amp; GB2 War Diary Image 0141</t>
  </si>
  <si>
    <t>Raucourt; Arrocourt; Sedan; Azannes</t>
  </si>
  <si>
    <t>Fleville; Nantillois; Dun-sur-Meuse; Stenay; Etain-Conflans line</t>
  </si>
  <si>
    <t>RR stns plus some bivouacs around Nant.</t>
  </si>
  <si>
    <t>T.O. 2225 from Autrecourt; 8 planes of VB101 &amp; 6 of VB114.</t>
  </si>
  <si>
    <t>39 incendiary bombs were dropped on our colony during the night of May 17/18.  No damage caused but they provoked a panic among the inhabitants.</t>
  </si>
  <si>
    <t>Morhange</t>
  </si>
  <si>
    <t>Aerodrome &amp; Barracks</t>
  </si>
  <si>
    <t>Mission 1115-1325</t>
  </si>
  <si>
    <t>GB2 War Diary Image 0141</t>
  </si>
  <si>
    <t>Murhange; Stenay; Montfaucon; Azannes</t>
  </si>
  <si>
    <t>Brieulles; Stenay; Mouzon; Sedan</t>
  </si>
  <si>
    <t>Bombed rail stns in Meuse valley - # a/c not given</t>
  </si>
  <si>
    <t>Autrecourt</t>
  </si>
  <si>
    <t>GB1 War Diary Image 0107</t>
  </si>
  <si>
    <t>APPARENTLY BASE IS Autrécourt-sur-Aire</t>
  </si>
  <si>
    <t>GB1/VC110</t>
  </si>
  <si>
    <t>Brieulles, W of Damvillers; Grande-Montagne</t>
  </si>
  <si>
    <t>Searchlights; Convoy</t>
  </si>
  <si>
    <t>Cannon-armed Voisin, not bombers, T.O.2300. Fired 25x37mm shells at searchlights &amp; convoy. These Hotchkiss shells weighed 0.555 kg.</t>
  </si>
  <si>
    <t>Voisin4</t>
  </si>
  <si>
    <t>Baroncourt; Etain; Flabas</t>
  </si>
  <si>
    <t>Rail jtn; RR stn; bivouacs</t>
  </si>
  <si>
    <t># a/c not recorded.</t>
  </si>
  <si>
    <t>"From 1:14 to 1:32 locomotion stopped entirely".  NOT CLEAR WHETHER RAID OR ALERT.</t>
  </si>
  <si>
    <t>ALERT AND RAID ON THIS NIGHT (18/19 MAY 1916). CASUALTIES &amp; DIRECT DAMAGE UNKNOWN. LOSS IN PRODUCTION OF IRON @ 498M PER TON.</t>
  </si>
  <si>
    <t xml:space="preserve">No time or # bombs recorded. </t>
  </si>
  <si>
    <t>Wyfweg; Zarren; Handzaeme</t>
  </si>
  <si>
    <t>Grandpre; Apremont; Montfaucon region; Damvillers (S of); Conflans; Brielles; Sivry wood; Dun-sur-meuse to Charpentry</t>
  </si>
  <si>
    <t>2 RR stns; bivouacs; parcs &amp; searchlights; RR stn; searchlights x 2; convoy</t>
  </si>
  <si>
    <t>14 sorties during the night; dropped 78 bombs and fired 27x37mm shells, of which 13 were incendiaries, against searchlights &amp; a convoy.</t>
  </si>
  <si>
    <t>Noyon</t>
  </si>
  <si>
    <t>EXACT DATE UNKNOWN - may have been a couple days on either side of this date</t>
  </si>
  <si>
    <t>Sacy-le-Grand</t>
  </si>
  <si>
    <t>Martel,123</t>
  </si>
  <si>
    <t>RAID ON THIS NIGHT (19/20 MAY 1916). CASUALTIES &amp; DIRECT DAMAGE UNKNOWN. LOSS IN PRODUCTION OF IRON @ 498M PER TON.</t>
  </si>
  <si>
    <t>Etain; Spincourt; Azannes; Damvillers</t>
  </si>
  <si>
    <t>Longuyon and Thionville</t>
  </si>
  <si>
    <t>Etain; Audun; Baroncourt; Spincourt; Brieulles; Azannes-Damvillers region</t>
  </si>
  <si>
    <t>5 RR stns &amp; bivouacs</t>
  </si>
  <si>
    <t>Lumes</t>
  </si>
  <si>
    <t>Rail marshalling yards</t>
  </si>
  <si>
    <t>Single-plane raid by Capt Laurens, starting a tremendous fire with low altitude bombing run and sending trains fleeing; Battle of Verdun.</t>
  </si>
  <si>
    <t>GB1 War Diary Image 0107 &amp; Martel,118</t>
  </si>
  <si>
    <t>Brieulles &amp; Romagne</t>
  </si>
  <si>
    <t>Seachlights</t>
  </si>
  <si>
    <t>Probably VC110 but War Diary doesn't specify. Fired 9x37mm shells on searchlights.</t>
  </si>
  <si>
    <t>Avricourt; Chapelotte</t>
  </si>
  <si>
    <t>Roye</t>
  </si>
  <si>
    <t>Breteuil</t>
  </si>
  <si>
    <t>ALERT ONLY - "Discontinuation of traffic and engine movements".  Lights extinguished at 0240.</t>
  </si>
  <si>
    <t>3 ALARMS ON THIS NIGHT (20/21 MAY 1916). LOSS IN PRODUCTION OF IRON @ 498M PER TON.</t>
  </si>
  <si>
    <t>War Diary says bomb raid took place at 0255 on 21 May</t>
  </si>
  <si>
    <t>Nilsson, OTF 4/3, p.243 &amp; GB2 War Diary Image 0143</t>
  </si>
  <si>
    <t>Wyfweg; Ghistelles</t>
  </si>
  <si>
    <t>U/K - RR Stn &amp; Aerodrome?</t>
  </si>
  <si>
    <t>Dirigible Champagne dropped 1100 kg of explosives - hit by AAA and had to land at Benoite-Vaux</t>
  </si>
  <si>
    <t>Brieulles-sur-Meuse</t>
  </si>
  <si>
    <t>RR line</t>
  </si>
  <si>
    <t>Dirigible Adj.-Vincenot dropped 30 anilite shells [assuming 120mm like the others]. Icare record implies day raid; it is probably very early morning or late evening</t>
  </si>
  <si>
    <t>Jametz; Azannes (region of): Damvillers</t>
  </si>
  <si>
    <t>Command Post; Bivouacs; Convoys</t>
  </si>
  <si>
    <t>T.O. 0030 by 7 of VB101 &amp; 3 of VB114. 6 bombed main objective, important command post at Jametz, with 36x120mm Gros bombs. 3 diverted due to engine trouble and hit bivouacs around Azannes with 23 bombs. Last was a Voisin-Canon which fired 17x37mm shells on convoys &amp; a searchlight at Damivllers and south of Ruis.</t>
  </si>
  <si>
    <t>Mission 0215-0345 on 22 May. 0300 time of attack is an estimate. 1 bomb was close to a train leaving the station, 2 hit the main station building, and 2 hit neighboring houses.  LAST BOMBING MISSION OF THE ORIGINAL GB2.</t>
  </si>
  <si>
    <t>Saint-Benoît Château in Woevre</t>
  </si>
  <si>
    <t>Flight of ? a/c escorted by 3 Nieuports - Martel says 5 a/c from Army Sqn MF5 w/ 3 Nieuport escorts dropped 28x120 caliber bombs</t>
  </si>
  <si>
    <t>? &amp; Martel,119</t>
  </si>
  <si>
    <t>Verdun (N. of )</t>
  </si>
  <si>
    <t>Dirigible Adj.-Vincenot dropped 30 anilite shells [assuming 120 mm like the others]; hit by AAA &amp; forced to land at the Senoux ravine</t>
  </si>
  <si>
    <t>Longuyon; Challerange; Savigny; Laon</t>
  </si>
  <si>
    <t>Ham - Nesle</t>
  </si>
  <si>
    <t>RR Line (between)</t>
  </si>
  <si>
    <t>Ham; Polancourt</t>
  </si>
  <si>
    <t>Ham; La Fere; Chaulnes</t>
  </si>
  <si>
    <t>120 bombs total</t>
  </si>
  <si>
    <t>Reprisal raid (E bank of Rhine)</t>
  </si>
  <si>
    <t>Hombleaux; Roisel; Abbecourt; Tergnier</t>
  </si>
  <si>
    <t>Longuyon, Montmedy; Audun-le-Roman</t>
  </si>
  <si>
    <t>Semide; Thionville; Etain; Tergnier</t>
  </si>
  <si>
    <t>Vongiers</t>
  </si>
  <si>
    <t>RR stn &amp; barracks</t>
  </si>
  <si>
    <t>Grandpré</t>
  </si>
  <si>
    <t>GB1 War Diary Image 0110</t>
  </si>
  <si>
    <t>Thionville; Montmedy; Brieulles; Roisel</t>
  </si>
  <si>
    <t>Larrach</t>
  </si>
  <si>
    <t>Military establishments</t>
  </si>
  <si>
    <t>88 shells</t>
  </si>
  <si>
    <t>Metz &amp; Arnaville</t>
  </si>
  <si>
    <t>GB5 - 18 a/c</t>
  </si>
  <si>
    <t>? &amp; Martel,146</t>
  </si>
  <si>
    <t>Savigny; Romagne</t>
  </si>
  <si>
    <t>Apremont-Grandpre; Septsarges; Brieulles; Consenvoye</t>
  </si>
  <si>
    <t>Rail line; U/K; U/K; Wood</t>
  </si>
  <si>
    <t>Night flight from Autrecourt. Bombs: 2x120mm on A-G rail line: 4x120mm on Sep.; 15x120mm &amp; 8x75mm on Br.; 4x120mm on Cons. Wood</t>
  </si>
  <si>
    <t>GB1 War Diary Image 0111 &amp; Middleton,V.2,167</t>
  </si>
  <si>
    <t>City (reprisal raid)</t>
  </si>
  <si>
    <t>2 a/c - start huge fires - BOMB WGT ESTIMATED FROM MEDIAN FOR MF11s: 224 LBS</t>
  </si>
  <si>
    <t>Bellefontaine</t>
  </si>
  <si>
    <t>Thionville (N. of); Auden-le-Roman</t>
  </si>
  <si>
    <t>Ironworking Factory; Switching Stn</t>
  </si>
  <si>
    <t>Martel,146-7</t>
  </si>
  <si>
    <t>Arnaville; Laon; Saint Erni</t>
  </si>
  <si>
    <t>2 ALERTS THIS NIGHT. LOSS IN PRODUCTION OF IRON @ 498M PER TON.</t>
  </si>
  <si>
    <t>Bomb destroyed roofs &amp; windows on 2 houses in residence district.</t>
  </si>
  <si>
    <t>GB4/F29</t>
  </si>
  <si>
    <t>Barracks &amp; RR stn</t>
  </si>
  <si>
    <t>Mission 1730-2005. 10 bombers plus 1 Nieuport 12 &amp; 1 Sopwith of GB4 plus 2 Nieuport escorts of N.49 and 3 G.4 excorts of C.34 (latter escorted just to the lines); attacked by 6 Fokkers &amp; 2 Aviatiks; crews saw bombs hit barracks and on &amp; around station. 1 bomber shot down, 2 other crew ligthly wounded. D&amp;S: 9 F.40 bombers on 1st raid by this type  - attacked by 8 EA's; each side lost 1 a/c - Martel &amp; war diary: dropped 48x120mm Gros bombs and 2x50kg</t>
  </si>
  <si>
    <t>Farman F.4x</t>
  </si>
  <si>
    <t>Luxieuil-St-Sauveur</t>
  </si>
  <si>
    <t>GB4 War Diary Image 0050 and D&amp;S, ?, and Martel,131</t>
  </si>
  <si>
    <t>GB1/C66</t>
  </si>
  <si>
    <t>C66 of GB1 - 38 "Gros" bombs (Martel says of 120 caliber &amp; War Diary concurs) - GB1 War Diary says target was town ("ville") of Karlsruhe. T.O. at noon. War Diary says they were shelled over objective, which is different from German accounts. Caudron G4's reportedly hit a circus and killed 117 civilians, mostly children - lost 3 bombers to EA on return trip - Christienne et al say 800 casualties (p.116) - bombed from 300m; stopped German bombing of cities for 6 months</t>
  </si>
  <si>
    <t>GB1 War Diary Image 0111 &amp; Christienne &amp; Martel,140</t>
  </si>
  <si>
    <t>Grandpre; Nantillois; Montfaucon (wood); Dannevoux; Varennes</t>
  </si>
  <si>
    <t>RR stn; RR stn; bivouacs; barracks; U/K</t>
  </si>
  <si>
    <t>Flying from Autrecourt. Don't have full breakdown of bomb locations.</t>
  </si>
  <si>
    <t>GB1 War Diary Image 0111</t>
  </si>
  <si>
    <t>Esch sur Aizette, Lux.</t>
  </si>
  <si>
    <t>Factories</t>
  </si>
  <si>
    <t>4 M.F.11's of MF25 - Martel says several blast furnaces damaged and some workers killed and wounded</t>
  </si>
  <si>
    <t>Conflans; Vigneulles; Driluge</t>
  </si>
  <si>
    <t>Trier (City, Gas Works, &amp; E. Trier RR)</t>
  </si>
  <si>
    <t>Raid from 0232-0245.  Combines records from city, gas works, and E. Trier RR.  Damage to property of 155 people including a bank; military treasury set on fire.  7 soldiers burned to death; 2 people injured by bombs.  45M of damage from bomb breaking windows near east side of RR tracks.  Damage to gas works: punctured 8000 cu.m. gas holder in 72 places &amp; set on fire.  1200M to repair damage, 600M worth of gas lost (600 cu.m.), 2200M damage to buildings.  [USED 4200M DAMAGE TO "FACTORIES" FROM MICROFILM SINCE IT WAS SLIGHTLY HIGHER THAN THESE ITEMIZED FIGURES.]  "Other" damage of 200M due to own AA fire.  No time lost to gas works.</t>
  </si>
  <si>
    <t>420, 426, 428, NARA Roll 58</t>
  </si>
  <si>
    <t>ALERT ONLY - "Discontinuation of traffic and engine movements"</t>
  </si>
  <si>
    <t>Survey team could not go to Karlsruhe; limited info available.  Report mentions French raid this date which caused Germans to strengthen &amp; reorganize home defense against aircraft.</t>
  </si>
  <si>
    <t>Pierrepont; Longuyon</t>
  </si>
  <si>
    <t>Thionville; Rombach; Dun; Vilesnes</t>
  </si>
  <si>
    <t>Tergnier; Chauny; Coney</t>
  </si>
  <si>
    <t>Orroire (near Noyon)</t>
  </si>
  <si>
    <t>Munitions Factory</t>
  </si>
  <si>
    <t>Factory hit by a good deal of the bombs - 60x120mm Gros bombs.</t>
  </si>
  <si>
    <t>GB1 War Diary Image 0112</t>
  </si>
  <si>
    <t>Nesles, Roye, Tergnier</t>
  </si>
  <si>
    <t>2 cannon Voisons attacked Tergnier</t>
  </si>
  <si>
    <t>Thionville; Conflans; Etain</t>
  </si>
  <si>
    <t>OBVIOUSLY, JULY 1916 IS MISSING FROM LIST OF FRENCH NIGHT RAIDS IN MIDDLETON</t>
  </si>
  <si>
    <t>Saint-Quentin</t>
  </si>
  <si>
    <t>Support to Battle of the Somme. Martel says switching stn destroyed, traffic delayed for 16 hours, troop trains hit.</t>
  </si>
  <si>
    <t>Conflans &amp; Metz</t>
  </si>
  <si>
    <t>RR stns &amp; searchlights</t>
  </si>
  <si>
    <t>Summary record. 6 planes T.O.2245-2330. 3 mech aborted with engine or lighting problems. 2 bombed Conflans w/ 12 Gros bombs; 3rd shelled Metz with 20x37mm cannon shells; half of them incendiaries.</t>
  </si>
  <si>
    <t>Conflans part of summary record.</t>
  </si>
  <si>
    <t>Stn &amp; searchlights</t>
  </si>
  <si>
    <t>Metz part of summary record. Counting cannon shells like bombs. 16 of the 37mm shells hit the rail station; 4 were shot at nearby searchlights.</t>
  </si>
  <si>
    <t>MF50, C30</t>
  </si>
  <si>
    <t xml:space="preserve">Martel: four Farmans from M.F.50 and two Caudron G.4s from C.30 drop 38 shells of 120 caliber </t>
  </si>
  <si>
    <t>Martel,125</t>
  </si>
  <si>
    <t>Appilly</t>
  </si>
  <si>
    <t>Flew from Sachy-le-Grand.  Started a fire at the station.</t>
  </si>
  <si>
    <t>Brieulles; Nantillois; Montfaucon; Cierges; Septsarges</t>
  </si>
  <si>
    <t>ALERT AND RAID ON THIS DAY. CASUALTIES &amp; DIRECT DAMAGE UNKNOWN. LOSS IN PRODUCTION OF IRON @ 498M PER TON.</t>
  </si>
  <si>
    <t>5 bombs dropped the night of July 1/2. 1 fell on Thomas Steel Mill, one on the house of the HQ, 3 on the railroad.  Some material damage was caused.</t>
  </si>
  <si>
    <t>Pont L'Eveque; Tergnier</t>
  </si>
  <si>
    <t>"Station" in French (probably military post); RR stn &amp; surrounding buildings</t>
  </si>
  <si>
    <t>Flew from Sachy-le-Grand.  Started fires.</t>
  </si>
  <si>
    <t>GB1 War Diary Image 0113</t>
  </si>
  <si>
    <t>Vilosne &amp; Brieulles</t>
  </si>
  <si>
    <t>Flew from Autrecourt.</t>
  </si>
  <si>
    <t>C30 (?)</t>
  </si>
  <si>
    <t>9 Caudrons escorted by N12; 1 G.4 shot down (Battle of the Somme)</t>
  </si>
  <si>
    <t>2 ALERTS. LOSS IN PRODUCTION OF IRON @ 498M PER TON.</t>
  </si>
  <si>
    <t>River Terminal (gare d'eau); RR stn &amp; rail jtn</t>
  </si>
  <si>
    <t>Flew from Sachy-le-Grand.</t>
  </si>
  <si>
    <t>Voyennes (Somme Valley)</t>
  </si>
  <si>
    <t>River Terminal</t>
  </si>
  <si>
    <t>Martel: Terminal set on fire, also "ravaged" regions of Roisel &amp; Peronne, Cannon planes attack searchlights (Battle of Somme)</t>
  </si>
  <si>
    <t>Lam-les-Maines</t>
  </si>
  <si>
    <t>Mazieres-les-Metz; Arnaville &amp; Max &amp; Argency &amp; Metz</t>
  </si>
  <si>
    <t>RR Stn ; searchlights</t>
  </si>
  <si>
    <t>T.O. 2245-2335. 3 a/c bombed stn with 22 Gros bombs and 2 others fired 29x37mm shells at searchlights.  Counting cannon shells as bombs. 1 gunlayer wounded by AAA.</t>
  </si>
  <si>
    <t>Arnaville &amp; Max &amp; Argency &amp; Metz</t>
  </si>
  <si>
    <t>Searchlights</t>
  </si>
  <si>
    <t>Vilosne &amp; Consenvoye &amp; Dannevoux</t>
  </si>
  <si>
    <t>Flew from Autrecourt. Dropped 18 shells each of 120mm &amp; 75mm.</t>
  </si>
  <si>
    <t>6 machines bombed</t>
  </si>
  <si>
    <t>Martel,119</t>
  </si>
  <si>
    <t>Most damage to Furnace Buildings &amp; Rolling Mill shops</t>
  </si>
  <si>
    <t>Mission 0030-0300 on 14 July. 1 GB4 MF11 (130hp) drops 2x200 mm bombs on station &amp; town; strafes train and barracks. This was a long-range night recce mission as well as a bombing mission.</t>
  </si>
  <si>
    <t>Martel,131 &amp; GB4 War Diary Images 0056-7</t>
  </si>
  <si>
    <t xml:space="preserve">Tergnier; Attilly; Attilly to Chauny; Pont L'Eveque; </t>
  </si>
  <si>
    <t xml:space="preserve">RR stn &amp; lines &amp; marshalling yard; RR stn; RR lines; River Terminal (gare d'eau); </t>
  </si>
  <si>
    <t>GB1 War Diary Image 0114</t>
  </si>
  <si>
    <t>Aborted Mission. T.O. 0015, 0030. 1 did not return, other returned with engine trouble.</t>
  </si>
  <si>
    <t>GB4 War Diary Image 0057</t>
  </si>
  <si>
    <t>Lörrach</t>
  </si>
  <si>
    <t>RTB 2400 hours on 17July. MF11 (130hp). Dropped 2x200mm and 6x75mm bombs.</t>
  </si>
  <si>
    <t>Martel,131 &amp; GB4 War Diary Image 0059</t>
  </si>
  <si>
    <t>MF63</t>
  </si>
  <si>
    <t>Montmedy; Azannes</t>
  </si>
  <si>
    <t>RR stn; Bivouacs</t>
  </si>
  <si>
    <t>Souilly</t>
  </si>
  <si>
    <t>Martel,147</t>
  </si>
  <si>
    <t>Gorze-Arnaville region; Metz (N of); Mars-la-Tour</t>
  </si>
  <si>
    <t>Lights; Lights; RR lines</t>
  </si>
  <si>
    <t>T.O. 2330-0035 from Malzeville.</t>
  </si>
  <si>
    <t>GB1 War Diary Image 0115</t>
  </si>
  <si>
    <t>Ham (SE of)</t>
  </si>
  <si>
    <t>Rail Jtn</t>
  </si>
  <si>
    <t>Dropped bombs as part of night reconnaissance from Sacy-le-Grand.</t>
  </si>
  <si>
    <t>RR stn &amp; nearby bivouacs</t>
  </si>
  <si>
    <t>Dropped bombs at 2300; flew from Autrecourt</t>
  </si>
  <si>
    <t>ALERT ONLY - "Discontinuation of traffic and engine movements". Lights extinguished at 12 midnight.</t>
  </si>
  <si>
    <t>ALERT AND RAID ON THIS NIGHT (19/20 JULY 1916). CASUALTIES &amp; DIRECT DAMAGE UNKNOWN. LOSS IN PRODUCTION OF IRON @ 498M PER TON.</t>
  </si>
  <si>
    <t>Longuyon; Brieulles</t>
  </si>
  <si>
    <t>PRESUMABLY RAIL TARGETS</t>
  </si>
  <si>
    <t>MF1</t>
  </si>
  <si>
    <t>Conflans; Mars-le-Tour</t>
  </si>
  <si>
    <t>8 a/c; no losses</t>
  </si>
  <si>
    <t>Saizerais</t>
  </si>
  <si>
    <t>Martel,143</t>
  </si>
  <si>
    <t>Tergnier; Nemessis; Tergnier to Ham</t>
  </si>
  <si>
    <t>Rail Targets</t>
  </si>
  <si>
    <t>Flew from Sacy-le-Grand.  Nemessis or Menessis?</t>
  </si>
  <si>
    <t>Flew from Autrecourt and dropped 47 "large caliber shells" (NFI) on rail stn.  ESTIMATE IS BASED ON 7 VB114 PLANES FLYING TO THE SAME TARGET THE PREVIOUS DAY.</t>
  </si>
  <si>
    <t>T.O. 0420; bombed 0600. Capt. De Kerillis commanding. Flew from Malzeville. 40 Gros bombs; 3 EA attacked 2 last Caudrons w/o result.</t>
  </si>
  <si>
    <t>T.O. 1005; bombed at 1145. - 8 a/c, 40 bombs. De Kerillis attacked an enemy plane.</t>
  </si>
  <si>
    <t>T.O. 1600.  Doesn't say why 2 Caudrons did not reach target - 35 Gros bombs. They were chased by 3 enemy planes that did not reach them.</t>
  </si>
  <si>
    <t>Vignuelles</t>
  </si>
  <si>
    <t>Thionville</t>
  </si>
  <si>
    <t>Part of raid by VC110 on Thionville &amp; Arnaville. 3 planes dropped 19 bombs on Thionville &amp; 8 on Arnaville, so I am assuming that 2 hit only Thionville and the 3rd hit only Arnaville. War Diary appears to say bombs were dropped between 2240 &amp; 0245 but this may have been the time from T.O. to landing.  Three large fires started in Thionville - one in the station, another near it, another east of town.</t>
  </si>
  <si>
    <t>GB1 War Diary Image 0116</t>
  </si>
  <si>
    <t>Part of raid by VC110 on Thionville &amp; Arnaville. 3 planes dropped 19 bombs on Thionville &amp; 8 on Arnaville, so I am assuming that 2 hit only Thionville and the 3rd hit only Arnaville. War Diary appears to say bombs were dropped between 2240 &amp; 0245 but this may have been the time from T.O. to landing.</t>
  </si>
  <si>
    <t>Tergnier; Menessis; Jussy</t>
  </si>
  <si>
    <t>Flew from Sacy-le-Grand. In addition to the 106x120mm bombs; dropped 2 incendiaries of U/K weight.  Nemessis or Menessis?</t>
  </si>
  <si>
    <t>Metalworking Factories</t>
  </si>
  <si>
    <t>4 or 6 machines - bombed 2 other unspecified dates also before 31JUL1916 - Battle of Verdun</t>
  </si>
  <si>
    <t>RAID ON THIS NIGHT (21/22 JULY 1916). CASUALTIES &amp; DIRECT DAMAGE UNKNOWN. LOSS IN PRODUCTION OF IRON @ 498M PER TON.</t>
  </si>
  <si>
    <t>Mission 1725-2005. War Diary entry incorrectly lists this evening raid in the next day's entry. - 6 bombers &amp; 6 other a/c of GB4, including a Sopwith &amp; at least 1 Nieuport 12. Also 5 Nieuport 11s of N.49 and 1 a/c of C.61.  Attacked by ~10 EA, Fokkers, Aviatiks, and 2 bimotor planes, including 1 maybe firing a cannon. 1 F.43 bomber and 1 other French plane missing; 1 observer killed.  30x120mm and 2x200mm bombs dropped. Claim 2 kills and 2 probables.</t>
  </si>
  <si>
    <t>GB4 War Diary Images 0060-1 &amp; D&amp;S, OtF &amp; Martel,131</t>
  </si>
  <si>
    <t>RAID ON THIS NIGHT (22/23 JULY 1916). CASUALTIES &amp; DIRECT DAMAGE UNKNOWN. LOSS IN PRODUCTION OF IRON @ 498M PER TON.</t>
  </si>
  <si>
    <t>Aerodrome, barracks, military buildings</t>
  </si>
  <si>
    <t>T.O. 1000, bombing 1145.  Several bombs clearly hit the barracks.</t>
  </si>
  <si>
    <t>"Several" soldiers killed [am estimating 5 --SCS] when 25 bombs hit near barracks.</t>
  </si>
  <si>
    <t>T.O. 0300. [Hard to say if this is a day or night raid!] 1st 2 bombs seen to hit the objective.</t>
  </si>
  <si>
    <t>T.O.1700. Offensive reconnaissance along route Pont-à-Mousson, Luppy, St. Eprve; Chateau-Salins, Xures, Parroy.  Dropped 12 bombs along the way on various targets.</t>
  </si>
  <si>
    <t>GB1 War Diary Image 0117</t>
  </si>
  <si>
    <t>Total abort due to weather.</t>
  </si>
  <si>
    <t>ALERT ONLY - "Discontinuation of traffic and engine movements".  RECORD COULD BE INTERPRETED TO MEAN THAT ALERT TOOK PLACE AT 1725 ON 23 JULY. (LESS LIKELY SINCE IT SAYS LIGHTS WERE EXTINGUISHED AT 5:25 &amp; THEY PROBABLY WOULDN'T BE ON AT THAT HOUR ANYWAY.)</t>
  </si>
  <si>
    <t>Sarrebourg; Herzing</t>
  </si>
  <si>
    <t>Aerodrome; U/K</t>
  </si>
  <si>
    <t>T.O. 0940. Herzing was bombed by 1 a/c since it couldn't reach Sarrebourg. War Diary doesn't list bombs dropped on aerodrome; 10 anilite bombs of unknown wgt dropped on Herzing. AM ASSUMING THESE ARE 10KG GROS-ANDREAU BOMBS AND THAT 10 OF THEM TOTAL WERE ACTUALLY DROPPED ON BOTH TARGETS. THIS IS BASED ON KNOWN BOMB LOADS FOR THE SAME ESCADRILLE.</t>
  </si>
  <si>
    <t>Dannevoux, Brieulles, Vilosne, Gercourt (wood)</t>
  </si>
  <si>
    <t>During the night of July 25/26 7 bombs fell on our establishments.  1 fell on Russian POW camp.  [Other minor factory, neighborhood and camp damage listed]  3 men slightly wounded and 1 man severely wounded by pieces of the bomb.</t>
  </si>
  <si>
    <t>Fr.Drig.</t>
  </si>
  <si>
    <t>Dirigible D'Arlandes dropped 7x220mm &amp; 16x155mm</t>
  </si>
  <si>
    <t>Tergnier; Jussy; Chauny; Coucy; Carlepont (N of)</t>
  </si>
  <si>
    <t>Railways &amp; searchlights; RR Jtn; Convoy; AAA battery</t>
  </si>
  <si>
    <t>Flew from Sacy-le-Grand.</t>
  </si>
  <si>
    <t>? &amp; Bivouacs</t>
  </si>
  <si>
    <t>ALERT ONLY - "Discontinuation of traffic and engine movements"  Lights extinguished at 0105.</t>
  </si>
  <si>
    <t>RAID ON THIS NIGHT (26/27 JULY 1916). CASUALTIES &amp; DIRECT DAMAGE UNKNOWN. LOSS IN PRODUCTION OF IRON @ 498M PER TON.</t>
  </si>
  <si>
    <t>Rixingen</t>
  </si>
  <si>
    <t>Aerodrome &amp; RR stn</t>
  </si>
  <si>
    <t>T.O. 0840, bombed 1015 with 40 anilite bombs of unknown weight.   AM ASSUMING THE BOMBS ARE 10KG GROS BOMBS FOR THE PURPOSE OF MAKING AN ESTIMATE.</t>
  </si>
  <si>
    <t>GB1 War Diary Image 0118</t>
  </si>
  <si>
    <t>Menessis; Jussy; Chauny; Appilly</t>
  </si>
  <si>
    <t>T.O. 2210. Flew from Autrecourt. Don't know why 2 didn't reach objective.</t>
  </si>
  <si>
    <t>GBM5/BM117</t>
  </si>
  <si>
    <t>Single BM flown by Lts Richet &amp; Le Couteulx drop 30x155 caliber</t>
  </si>
  <si>
    <t>Palesne</t>
  </si>
  <si>
    <t>3 Wing RNAS</t>
  </si>
  <si>
    <t>Benzine Stores &amp; Barracks</t>
  </si>
  <si>
    <t>Mission 0434-0655. AIR 1/2107 says British force was 3 bombers, dropping 520 lbs of bombs and that French force was 6 bombers. (AIR 1/111/15/39/1 says one of the 3 broke a propeller and never got off.  Took off in a different machine but couldn't see formation &amp; RTB. Bombs dropped: 4x65lbs.)  French intel: "Considerable damage reported in the neighborhood of the Railway Stn.  Immediately after the raid the number of anti-aircraft guns was quadrupled."</t>
  </si>
  <si>
    <t>Sopwith</t>
  </si>
  <si>
    <t>Luxeuil</t>
  </si>
  <si>
    <t>AIR 1/111/15/39/1</t>
  </si>
  <si>
    <t>Raided with the French, who did have an air fight.  APPARENTLY CORRECT SPELLING IS Müllheim.</t>
  </si>
  <si>
    <t>Mission 0430-0652. Joint 17-a/c raid with RNAS. 4 GB4 bombers &amp; 1 RNAS Sopwith bomber. Escorts - GB4: 2 Sopwiths &amp; 2 Nieuport 12s; N.49: 3 fighters; C.61: 2 fighters; C.34: 2 fighters; RNAS: 1 Sopwith fighter (don't know if it carried bombs). (All Sopwiths are 1½ Strutters). French bombs dropped: 6x155mm from 2 Farman bombers. Brit bombs dropped: 4x32kg bombs [Their records: 8x65lb]. Only French bombs counted in this record. No combat but one F.42 bomber missing. All French &amp; British bombs seen to hit Mulheim except 1 Brit bomb that hit Mulheim-Fribourg rail line.</t>
  </si>
  <si>
    <t>GB4 War Diary Images 0063-4 &amp; Martel 131</t>
  </si>
  <si>
    <t>C10 ?</t>
  </si>
  <si>
    <t>Metz ?</t>
  </si>
  <si>
    <t>Kilduff cites air battle by Hermann Göring against 5 Caudron G.4s allegedly attacking Metz. (They were intercepted before they got there.) Göring shot one down apparently from escadrille C10.  According to Bailey, C10 had one crewman WIA that day; according to the SHAA book of escadrilles, C10 had no deaths or missing aircraft anywhere near that time.</t>
  </si>
  <si>
    <t>Kilduff, Göring, p.82</t>
  </si>
  <si>
    <t>Rumelingen Blast Furnace</t>
  </si>
  <si>
    <t>Loss of Fe production at blast furnace computed at 500M per ton (MM, p.494) [SINCE THIS WAR-LONG AVERAGE IS NOT ADJUSTED FOR INFLATION, IT PRESUMABLY OVERSTATES LOSSES IN CURRENT MARKS EARLY IN THE WAR AND UNDERSTATES LOSSES LATE IN THE WAR.-SCS]</t>
  </si>
  <si>
    <t>4 or 6 machines - bombed 2 other unspecified dates also since 21JUL1916</t>
  </si>
  <si>
    <t>Saint-Juvin</t>
  </si>
  <si>
    <t>Rumelingen Bst Furn.</t>
  </si>
  <si>
    <t>Loss of Fe production at blast furnace computed at 500M per ton (MM, p.494)</t>
  </si>
  <si>
    <t>EXACT DATES UNKNOWN - Martel says MF25 bombed Rombach 3 times in 1st week in August</t>
  </si>
  <si>
    <t>Dannevoux</t>
  </si>
  <si>
    <t>Flew from Autrecourt.  Type of bombs not specified; am assuming the usual 10kg, 120mm Gros bombs. 2 Voisins dropping 14 of these bombs makes sense.</t>
  </si>
  <si>
    <t>GB1 War Diary Image 0119</t>
  </si>
  <si>
    <t>"F.Gross wounded in upper thigh and A.Bach wounded in the back by bombardment."  "Marked 8094 in Floschingen." (???) "Interruption in the smelting works."</t>
  </si>
  <si>
    <t>Ham</t>
  </si>
  <si>
    <t>OBVIOUSLY, JULY 1916 IS MISSING FROM LIST OF FRENCH NIGHT RAIDS</t>
  </si>
  <si>
    <t>Flew from Sacy-le-Grand. 10 of 11 aborted due to high winds.</t>
  </si>
  <si>
    <t>Montmedy; Sedan; Damvillers; Noyon</t>
  </si>
  <si>
    <t>MF25 attacked Montmedy RR stn</t>
  </si>
  <si>
    <t>Middleton, V.2,167 &amp; Martel,119</t>
  </si>
  <si>
    <t>RR targets &amp; munitions factory</t>
  </si>
  <si>
    <t>GB1 War Diary Image 0120</t>
  </si>
  <si>
    <t>Vilosnes; Saint-Juvin; Montfaucon</t>
  </si>
  <si>
    <t>RR stn; RR stn; Bivouacs</t>
  </si>
  <si>
    <t>Flew from Autrecourt.  # and type of bombs not specified. AM ASSUMING 3 VOISINS X 7 BOMBS X 10KG.</t>
  </si>
  <si>
    <t>ALERT ONLY - "Great traffic interruption, very serious because of the delay in engine movements.  Therefore, considerable delay of RR trains."</t>
  </si>
  <si>
    <t>Combles; Noyon; Stenay; Sedan; Conflans</t>
  </si>
  <si>
    <t>GB1/CEP115</t>
  </si>
  <si>
    <t>Marshalling yard &amp; rail workshops</t>
  </si>
  <si>
    <t>1st mission of CEP115 (w/ Capronis) - bombed at 0030.  Flew from Malzeville. There are differences in numbers of a/c and bombs between the GB1 war diary and the CAP115 log book.  I used the latter since it should be closer to the source.  Capronis #16,32,39 successfully bombed; #15 had trouble with Canton engine and returned; #29 lost in crash.</t>
  </si>
  <si>
    <t>Caproni</t>
  </si>
  <si>
    <t>GB1 War Diary Image 0121 &amp; CAP115 Image 0031</t>
  </si>
  <si>
    <t>Menessis; Noyon; Chauny-Tergnier</t>
  </si>
  <si>
    <t>RR Jtn; RR stn; RR line</t>
  </si>
  <si>
    <t>GB1 War Diary Image 0121</t>
  </si>
  <si>
    <t>Vilosnes-Dannevoux</t>
  </si>
  <si>
    <t>Flew from Autrecourt.  # and type of bombs not specified.</t>
  </si>
  <si>
    <t>Bombs inside/outside foundry grounds: 5/11.</t>
  </si>
  <si>
    <t>Bombs inside/outside foundry grounds: 1/0.  Only glass broken.</t>
  </si>
  <si>
    <t>3 ALERTS THIS NIGHT (5/6 AUG 1916). LOSS IN PRODUCTION OF IRON @ 498M PER TON.</t>
  </si>
  <si>
    <t>Flew from Malzeville. Bombed at 1300.  2 bursts seen on rail station.</t>
  </si>
  <si>
    <t>GB1 War Diary Image 0121 &amp; Martel,143</t>
  </si>
  <si>
    <t>Saint-Quentin; Chauny</t>
  </si>
  <si>
    <t>RR stn; RR stn &amp; munitions plant</t>
  </si>
  <si>
    <t>Date might have been night of 5/6 August with bombs falling after midnight.  Capronis 29&amp;16 each dropped 20x120mm Gros bombs. Raid in CAP115 summary but not in GB1 war diary.</t>
  </si>
  <si>
    <t>CAP115 Image 0031</t>
  </si>
  <si>
    <t>Metz-Sablon; Thionville; Rombach</t>
  </si>
  <si>
    <t>3 ALERTS IN 1 NIGHT: 0007-0155, 0235-0300, 0415-0500. - "Great traffic interruption, very serious because of the delay in engine movements.  Therefore, considerable delay of RR trains." Lights extinguished at 0008, 0235, 0415.</t>
  </si>
  <si>
    <t>COMBINED 2 RECORDS W/ OVERLAPPING TIMES (0055-0410, 0125-0315) - PROBABLY RECORDS SEPARATE EXPERIENCES AT SABLON AND MONTIGNY STNS - "TIME LOST" IS SUM OF 2 TIMES; "RAID LENGTH" IS LONGER OF 2 - SCS</t>
  </si>
  <si>
    <t>Bombs inside/outside foundry grounds: 4/0.  Damage to light &amp; power connections.</t>
  </si>
  <si>
    <t>Battle of the Somme - 11 machines drop 88x120 caliber.  Flew from Sacy-le-Grand.</t>
  </si>
  <si>
    <t>GB1 War Diary Image 0121 &amp; Martel,126</t>
  </si>
  <si>
    <t>GB4/MF123</t>
  </si>
  <si>
    <t>Gunpowder factory &amp; Rail Stn</t>
  </si>
  <si>
    <t>Mission 2020-2350. Raid 2220-2235. Drop 6x155mm on powder factory and 3x75mm on rail stn &amp; line. Cruising altitude 2000m; bombing altitude 300m. Single Farman F.42 of MF123 - tremendous explosion  - Martel names Adj. Baron (P) and Adj. Emmanueli (O).</t>
  </si>
  <si>
    <t>GB4 War Diary Images 0066-7, Middleton,V.2,167 &amp; D&amp;S, OTF, &amp; Martel,131-2</t>
  </si>
  <si>
    <t>Audun-le-Roman; Longvillon</t>
  </si>
  <si>
    <t>Montmédy</t>
  </si>
  <si>
    <t>Bazancourt; Damvillers</t>
  </si>
  <si>
    <t>Rixigen (Réchicourt?); Deutsch-Avricourt</t>
  </si>
  <si>
    <t>Martel says Réchicourt.  Morning raid. Dropped 28*120mm total on 2 rail stns.</t>
  </si>
  <si>
    <t>GB1 War Diary Image 0122 &amp; Martel,143</t>
  </si>
  <si>
    <t>Dugney; Appilly</t>
  </si>
  <si>
    <t>D&amp;S: Breguet-Michelins bombed; 4 cannon-armed Breguet 5's attacked searchlights</t>
  </si>
  <si>
    <t>Lassigny-Combles</t>
  </si>
  <si>
    <t>Vouziers; Bazancourt</t>
  </si>
  <si>
    <t>Brebach Iron &amp; Steel Works</t>
  </si>
  <si>
    <t>Small buildings destroyed.  [Small chance it actually is 9AUG1915, the date listed for a Saarbrucken raid. Microfilm agrees with Maurer Maurer, though, that date is 1916.--SCS]</t>
  </si>
  <si>
    <t>Metz-Sablon; Metz</t>
  </si>
  <si>
    <t>Rail targets; Barracks</t>
  </si>
  <si>
    <t>Dropped 120x120mm bombs between 2215 - 2240.  REP Capronis 15,16,32,39.</t>
  </si>
  <si>
    <t>GB1 War Diary Image 0122 &amp; Esc.115 Image 0032</t>
  </si>
  <si>
    <t xml:space="preserve">MF25 </t>
  </si>
  <si>
    <t>Tergnier to Noyon; Pont L'Eveque; Appilly</t>
  </si>
  <si>
    <t>Rail lines; la gare d'eau; RR stn</t>
  </si>
  <si>
    <t>Battle of the Somme - fires started at Tergnier &amp; Noyon</t>
  </si>
  <si>
    <t>GB1 War Diary Image 0123 &amp; Middleton,V.2,167 &amp; Martel,126</t>
  </si>
  <si>
    <t>T.O.1700 from Malzeville. 9 Caudrons made an offensive reconnaissance of 70 km behind German lines.  Dropped 18 bombs on targets of convenience.</t>
  </si>
  <si>
    <t>GB1 War Diary Image 0123</t>
  </si>
  <si>
    <t>Guiscard</t>
  </si>
  <si>
    <t>T.O. 2000. Doesn't say why one plane did not complete mission.</t>
  </si>
  <si>
    <t>TELEGRAM: An enemy plane from Gendringen - Metz passed over the RR and Freight stations today at 7:50PM at a height of about 50 meters. 3 bombs were dropped on track#8. 1 rail and 1 sleeper destroyed; 4 RR signals, 1 electric switch and 1 post switch damaged. No persons injured. Work not affected. Bf. STAHL</t>
  </si>
  <si>
    <t>Hagondange (Rail Stn)</t>
  </si>
  <si>
    <t>Chaillon (near)</t>
  </si>
  <si>
    <t>Barracks</t>
  </si>
  <si>
    <t>T.O. 1520. Dropped 12 anilite bombs (u/k weight). Area is on the heights of the Meuse.</t>
  </si>
  <si>
    <t>GB1 War Diary Image 0124</t>
  </si>
  <si>
    <t>Montmedy</t>
  </si>
  <si>
    <t>T.O. 1150.  31 anilite bombs - strong winds disturbed the raid</t>
  </si>
  <si>
    <t>Stn &amp; train</t>
  </si>
  <si>
    <t>3 Gros bombs dropped on Arnaville stn.  De Kerillis dropped 2 anilite duds elsewhere on a train; machine-gunned it. Total # of Caudrons U/K.</t>
  </si>
  <si>
    <t>Offensive reconnaissance by 3 Caudrons. Dropped one 200 mm anilite bomb.</t>
  </si>
  <si>
    <t>Esc.115 Images 0036-7</t>
  </si>
  <si>
    <t>3 Caudrons bombed at 1430 - 10x120mm &amp; 1x200mm anilite</t>
  </si>
  <si>
    <t>GB1 War Diary Image 0125</t>
  </si>
  <si>
    <t>Schwillingen</t>
  </si>
  <si>
    <t>Mission 1955-2400.  Adj.s Baron &amp; Emmanueli dropped bombs on RR stn when couldn't find Rottweil gunpowder factory. Describe it as "presumably" at Schwemingen.</t>
  </si>
  <si>
    <t>GB4 War Diary Image 0071 &amp; Martel,132</t>
  </si>
  <si>
    <t>Metz-Sablon &amp; north of Metz</t>
  </si>
  <si>
    <t>RR stn &amp; Military establishments</t>
  </si>
  <si>
    <t>GB1 War Diary Image 0125 &amp; Esc.115 Image 0036</t>
  </si>
  <si>
    <t>5 Capronis T.O. 2130-2200 according to GB1 war diary. Am using CEP115 records that say 4 T.O. (Capronis #32,20,15,18).</t>
  </si>
  <si>
    <t xml:space="preserve">Dropped bombs 2235-2330. </t>
  </si>
  <si>
    <t>Metz (N of)</t>
  </si>
  <si>
    <t>Caproni #15 dropped bombs 2225-2310 on alternate target due to mech trouble.</t>
  </si>
  <si>
    <t>Maizieres-les-Metz; Metz-Sablon; Conflans</t>
  </si>
  <si>
    <t>RR stn; RR stn; "region"</t>
  </si>
  <si>
    <t>3 Voisin-Canons T.O. 0010-0025.</t>
  </si>
  <si>
    <t>Maizieres-les-Metz</t>
  </si>
  <si>
    <t>Number dropping bombs here U/K. Bombed 0130.</t>
  </si>
  <si>
    <t>"Region"</t>
  </si>
  <si>
    <t>Number dropping bombs here U/K. Bombed 0210.</t>
  </si>
  <si>
    <t>Conflans; Sedan; Ham; Nesle; Guiscard</t>
  </si>
  <si>
    <t>RR Stn &amp; Huts</t>
  </si>
  <si>
    <t xml:space="preserve">Battle of the Somme - huge fire started - flew from Sacy-le-Grand - 85x120mm </t>
  </si>
  <si>
    <t>GB1 War Diary Image 0125 &amp; Martel, 126</t>
  </si>
  <si>
    <t>9 GB1/C66 Caudron G4's - 40x120mm &amp; 1x200mm - bombed at 1410.</t>
  </si>
  <si>
    <t>GB1 War Diary Image 0125 &amp; Martel, 143</t>
  </si>
  <si>
    <t>Lagarde</t>
  </si>
  <si>
    <t>Drops 1x200mm bomb during barrage flight.</t>
  </si>
  <si>
    <t>3 bombs on factory.</t>
  </si>
  <si>
    <t>Rosch; Villecourt</t>
  </si>
  <si>
    <t>Etain; Conflans; Rombach</t>
  </si>
  <si>
    <t>Middleton,V.2,168</t>
  </si>
  <si>
    <t>GB4/F123</t>
  </si>
  <si>
    <t>Mission 2050-2450. Bombed at 2250. 1 Farman F.42, again flown by Adj.s Baron &amp; Emmanuelli.</t>
  </si>
  <si>
    <t>GB4 War Diary Images 0073-4 &amp; Middleton,V.2,168</t>
  </si>
  <si>
    <t>Chauny; Ham</t>
  </si>
  <si>
    <t>May have been GBM5 - 13 sorties (9 a/c) dropping 480 bombs</t>
  </si>
  <si>
    <t>Middleton,V.2,168 and Martel, 126</t>
  </si>
  <si>
    <t>Airfield &amp; Bivouacs</t>
  </si>
  <si>
    <t>Dropped 20 anilite shells at 1400 hours, presumably 120mm based on other recent C.66 raids in which they carried 5 each.</t>
  </si>
  <si>
    <t>Jallaucourt &amp; Lemoncourt; Armsdorf; Metz-Sablon; Dillingen</t>
  </si>
  <si>
    <t>Troop billets; RR stn; RR stn; Blast Furnaces</t>
  </si>
  <si>
    <t>GB1 War Diary Image 0126 &amp; Esc.115 Images 0038-9</t>
  </si>
  <si>
    <t>T.O. 2325-0010.Differences in GB1 &amp; CEP115 records. 8 or 9 a/c T.O.; 3 or 4 Capronis turned back due to clouds.</t>
  </si>
  <si>
    <t>Jallaucourt &amp; Lemoncourt</t>
  </si>
  <si>
    <t>At 0020, Caproni #15 WX-diverted from Dillingen and dropped 5 or 6 Gros bombs of 200mm.</t>
  </si>
  <si>
    <t>Armsdorf ?</t>
  </si>
  <si>
    <t>RR stn &amp; rail line</t>
  </si>
  <si>
    <t>At 0030, Caproni #32 dropped 30 Gros bombs of 120mm on someplace illegible after WX-diverting from Dillingen.</t>
  </si>
  <si>
    <t>RR stn &amp; nearby barracks</t>
  </si>
  <si>
    <t>At 0135, Caproni #17 dropped 30 Gros bombs of 120mm after WX-diverting from Metz-Sablon.  Not clear that the troop billets were at Metz.</t>
  </si>
  <si>
    <t>"NW of Sarrebruck"</t>
  </si>
  <si>
    <t>At 0215, 2 Capronis (#39&amp;16) dropped 60 Gros bombs of 120mm. Saw bomb strikes on blast furnaces and lit buildings. Crews: Adj. Cartault &amp; MdL Perrot; S/Lt. Raymond &amp; Sergent Marie.  Raymond &amp; Marie (#39) got lost and flipped the Caproni upon landing; they were not injured.</t>
  </si>
  <si>
    <t>Bruges; Somme-Py; Sarrebourg</t>
  </si>
  <si>
    <t>Arnaville; Metz to Pont-à-Mousson</t>
  </si>
  <si>
    <t>RR stn; Rail line</t>
  </si>
  <si>
    <t>Dropped 10x120mm bombs from 0010 to 0020.</t>
  </si>
  <si>
    <t>GB1 War Diary Image 0126</t>
  </si>
  <si>
    <t>Night of 10/11 Sept. 28 bombs dropped.  "Considerable" damage to buildings and material (long list - no numbers given).  1 laborer seriously wounded.  IT IS POSSIBLE THAT ONE OR TWO OF THE CEP115 CAPRONIS HIT HAGENDINGEN INSTEAD OF DILLINGEN - BOTH WERE BLAST FURNACES &amp; YOU'D FLY OVER HAGENDINGEN TO REACH DILLINGEN.  THE LATTER IS ABOUT 125 KM AWAY, THOUGH, AND HAGENDINGEN IS A FLIGHT OF 60 KM FROM MALZEVILLE. EACH CAPRONI CARRIED 30 BOMBS.  I DON'T CONSIDER THIS CLOSE ENOUGH TO BE A MATCH.  -SCS</t>
  </si>
  <si>
    <t>Semoncourt; Metz; Dillingen</t>
  </si>
  <si>
    <t>Marville, Mars-la-Tour</t>
  </si>
  <si>
    <t>Aerodromes</t>
  </si>
  <si>
    <t>Guiscard; Roisel; Handicourt; Etain; Damvillers</t>
  </si>
  <si>
    <t>Possibly CAP115 - it was out this night but targets u/k</t>
  </si>
  <si>
    <t>Blast Furnaces</t>
  </si>
  <si>
    <t>T.O. 2300-2315. Saw bomb strikes near blast furnaces.</t>
  </si>
  <si>
    <t>GB1 War Diary Image 0127</t>
  </si>
  <si>
    <t>Jouy; Metz to Pont-à-Mousson</t>
  </si>
  <si>
    <t>?; Rail Line</t>
  </si>
  <si>
    <t>T.O. 2300-2315.</t>
  </si>
  <si>
    <t>Thionville; Uckingen</t>
  </si>
  <si>
    <t>RR stn; Blast Furnaces</t>
  </si>
  <si>
    <t>CEP115 Images 0039-40 &amp; GB1 War Diary Image 0126</t>
  </si>
  <si>
    <t>T.O. 2002-0005. CONFLICTS BETWEEN CEP115 &amp; GB1 DATA.  USING THE FORMER IN THOSE CASES SINCE IT IS CLOSER TO THE SOURCE.  1 Caproni (#15) flew 2 missions this night; three (#22,23,32) aborted due to fog. 3 landed on other French fields; 1 (#15) returned with 1 of 3 engines out due to flak. Dropped bombs on Bensdorf; am calling this a "Mech Diversion" since that category is the closest.</t>
  </si>
  <si>
    <t>2 Capronis (20,16) dropped 60x120mm bombs; saw bursts on target. A 3rd Caproni (17) also bombed target; am ASSUMING also 30x120mm.</t>
  </si>
  <si>
    <t>Uckingen</t>
  </si>
  <si>
    <t>1 Caproni (#15) dropped 6x200mm bombs.  Uckingen was apparently a primary objective (along with Thionville) based on CEP115 log entries.</t>
  </si>
  <si>
    <t>Diverted after AAA damage to prop (#15 on 2nd raid of night).</t>
  </si>
  <si>
    <t>RR Stn, Lines &amp; Huts</t>
  </si>
  <si>
    <t>Dropped 87x120mm bombs. Two strong explosions, followed by two columns of thick white smoke, in the neighborhood of the rail stn. Flew from Sacy-le-Grand.</t>
  </si>
  <si>
    <t>Uckange Commune</t>
  </si>
  <si>
    <t>Bombs fell "near Stumm Factory"</t>
  </si>
  <si>
    <t>Tergnier; Chauny; Guiscard; Stenay; Dillingen</t>
  </si>
  <si>
    <t>GB1/VC110 was out this night</t>
  </si>
  <si>
    <t>VB101</t>
  </si>
  <si>
    <t>THERE IS NO WAR DIARY ENTRY THAT MATCHES THIS RECORD.  Battle of the Somme - huge fires started</t>
  </si>
  <si>
    <t>Martel,126</t>
  </si>
  <si>
    <t>Conflans-Jarny stn; Chambley &amp; Gorze region?</t>
  </si>
  <si>
    <t>RR Stn; Searchlights</t>
  </si>
  <si>
    <t>T.O. 2200-2340. Bombed Conflans-Jarny stn 2335-0020 with 174x120mm bombs. Many hits seen. 1 Caproni bombed searchlights with 30x120mm bombs. The latter saw 2 German night fighters but no battle took place.  CEP115 log does not list the 8th Caproni until two pages after the other entries.  No bomb info in log so using GB1 war diary.  These Capronis bombed Conflans: #51,16,20,23,48,38,34; #30 aborted mission.  CEP115 log says nothing about any locations except Conflans &amp; Jarnissy.</t>
  </si>
  <si>
    <t>GB1 War Diary Image 0127 &amp; CEP115 Images 0040-41,43</t>
  </si>
  <si>
    <t>Uckingen &amp; Gandringen</t>
  </si>
  <si>
    <t>RR stn; RR jtn</t>
  </si>
  <si>
    <t>4 Voisins T.O. 2300-2340 and go their separate ways.</t>
  </si>
  <si>
    <t>Metz to Pont-à-Mousson</t>
  </si>
  <si>
    <t>RR Line</t>
  </si>
  <si>
    <t>Martel: set on fire</t>
  </si>
  <si>
    <t>Martel, 120</t>
  </si>
  <si>
    <t>Extensive damage in many parts of works - worst in Rolling Mill Bldgs, Bldg of Martinworks, Steel smelting house, Furnace building, and Office of main workshop</t>
  </si>
  <si>
    <t>Betheneville; Pont Faverges</t>
  </si>
  <si>
    <t>Uckingen; Rombas; Mondelingen</t>
  </si>
  <si>
    <t>GB1 War Diary Image 0127 &amp; CEP115 Image 0041</t>
  </si>
  <si>
    <t>T.O. 2140-2220. CEP115 log doesn't mention Mondelingen; apparently one of the four Capronis that bombed Uckingen (#15,16,19,51) actually did not.  Capronis #22 &amp; 48 both aborted Rombach mission with right LeRhone engines malfunctioning. #30 bombed Rombach.  For once, the two sources agree completely on bomb wgt &amp; #.</t>
  </si>
  <si>
    <t>T.O. 2140-2220. 2 Capronis dropped 30x120mm each and another dropped 6x200mm bombs.</t>
  </si>
  <si>
    <t>T.O. 2140-2220.  1 Caproni dropped 30x120mm bombs.</t>
  </si>
  <si>
    <t>Mondelingen (region of)</t>
  </si>
  <si>
    <t>T.O. 2140-2220.  1 Caproni dropped 30x120mm bombs.  APPARENTLY NOW CALLED MONDELANGE.</t>
  </si>
  <si>
    <t>Metz (S of); Bensdorf;</t>
  </si>
  <si>
    <t>Rail lines; RR stn</t>
  </si>
  <si>
    <t>Dropped 14 Gros bombs between 0015 &amp; 0035.</t>
  </si>
  <si>
    <t>GB1 War Diary Image 0128</t>
  </si>
  <si>
    <t>Tergnier &amp; Chauny; Guiscard; Menessis</t>
  </si>
  <si>
    <t>Rail targets &amp; nearby huts</t>
  </si>
  <si>
    <t>Flew from Sacy-le-Grand. Dropped 77x120mm &amp; 8 incendiaries of U/K weight. Started fires at Tergnier and Guiscard.</t>
  </si>
  <si>
    <t>Spincourt; Longuyon</t>
  </si>
  <si>
    <t>Rumelingen &amp; Oettlingen</t>
  </si>
  <si>
    <t>Rumelingen is in Luxembourg; Oettlingen is across the line in Lorraine. Other cost is lost Fe production at 500M per ton.</t>
  </si>
  <si>
    <t>Rumelange &amp; Ottange</t>
  </si>
  <si>
    <t>416, NARA 990</t>
  </si>
  <si>
    <t>[May have been 16 Sept. like Saarbrucken record - altho microfilm agrees with Maurer Maurer--SCS.]  Damage to roofs, windows, &amp; tracks.</t>
  </si>
  <si>
    <t>Chauny; Hirson; Tergnier; Guiscard; Appilly to Chauny; Compiegne to Noyon (N of)</t>
  </si>
  <si>
    <t>RR line; RR stn; RR stn &amp; searchlight; RR stn &amp; huts; RR line; Huts</t>
  </si>
  <si>
    <t>May have been 15 Sept. like Burbach record, altho NARA 990 microfilm agrees with Maurer Maurer--SCS</t>
  </si>
  <si>
    <t>Damage to lighting and phone lines</t>
  </si>
  <si>
    <t>Habsheim; Tergnier; Abbecourt</t>
  </si>
  <si>
    <t>Nantillois; Villers-Carbonnel</t>
  </si>
  <si>
    <t>8 x 120mm bombs</t>
  </si>
  <si>
    <t>Mannheim &amp; Ludwigshafen</t>
  </si>
  <si>
    <t>Chemical Plants</t>
  </si>
  <si>
    <t>Mission 1915-0050; bombed Ludwigshafen around 2130 with 3x155mm then bombed Mannheim with same. 2 of 3 did not explode at Ludwigshafen. Fire and strong explosions at Mannheim, which was completely lit up. Crashed near Bar-le-Duc with both pilot &amp; gunner hurt. 240 km flight one way.  Martel: 1 a/c, Adj. Baron &amp; Cpl.Dantziger</t>
  </si>
  <si>
    <t>GB4 War Diary Images 0075-6 &amp; Martel, 132</t>
  </si>
  <si>
    <t>Fr.Dirig.</t>
  </si>
  <si>
    <t>Marcoing</t>
  </si>
  <si>
    <t>Airship raid - D'Arlandes dropped 1000kg of anilite explosives</t>
  </si>
  <si>
    <t>Fins; Epehy; Roisel; Harvilly</t>
  </si>
  <si>
    <t>St.-Quentin (RR stn) &amp; Hesdin &amp; Savy (airfields)</t>
  </si>
  <si>
    <t>Started fire at Savy</t>
  </si>
  <si>
    <t>Hamel</t>
  </si>
  <si>
    <t>Martel, 126</t>
  </si>
  <si>
    <t>Direct damages to BASF in 22 raids was 519,310M; 14 killed.  Each raid or alert caused production losses in another 24 hour plant and in many city businesses. Raid 12midnight - 12:40am.  [The way they recorded dates may mean this raid was actually on 9/23 vice 9/22. --SCS]  No bombs in Ludwigshafen; all fell in Mannheim.</t>
  </si>
  <si>
    <t>Martel: 6 GB1/C66 Caudron G4s - According to war diary, 10 bombs dropped from 2 G4s - assuming 120mm bombs based on other raids where C.66 dropped 5 of these bombs from each Caudron. Attacked by (possibly) a Rumpler; in one G.4, 1 crewman was killed and the other wounded.  OBJECTIVE IS ALMOST CERTAINLY VIC-SUR-SEILLE, ENE OF MALZÉVILLE.</t>
  </si>
  <si>
    <t>GB1 War Diary Image 0128 &amp; Martel,143</t>
  </si>
  <si>
    <t>N.23</t>
  </si>
  <si>
    <t>Spincourt Forest</t>
  </si>
  <si>
    <t>German Installations</t>
  </si>
  <si>
    <t>Practice by Capt. Robert de Beauchamp for the Essen raid the next day. Flew a Sopwith 1 B1. Use of 120mm Gros bombs is inferred since he dropped those the next day.</t>
  </si>
  <si>
    <t>Vadelaincourt-le-Bas</t>
  </si>
  <si>
    <t>Kilduff, OTF 26/3 p.241</t>
  </si>
  <si>
    <t>Rombach; Essen</t>
  </si>
  <si>
    <t>Rombach; Esch-sur-Alzette, Thionville</t>
  </si>
  <si>
    <t>MF25's entire squadron (this overlaps with other record for this night)</t>
  </si>
  <si>
    <t>? &amp; Martel,120</t>
  </si>
  <si>
    <t>Ham; Hombleux; Manancourt; Vreignes</t>
  </si>
  <si>
    <t>RAID ON THIS NIGHT (23/24 SEP 1916). CASUALTIES &amp; DIRECT DAMAGE UNKNOWN. LOSS IN PRODUCTION OF IRON @ 498M PER TON.</t>
  </si>
  <si>
    <t>Essen</t>
  </si>
  <si>
    <t>800km raid in Sopwith 1-seaters by Captains Beauchamp and Daucourt w/o opposition. Mission 1100-1700. Kilduff says Martel has the wrong sqn #.</t>
  </si>
  <si>
    <t>Middleton,V.2,166 &amp; Martel,134 &amp; Kilduff OTF 26/3 p.241</t>
  </si>
  <si>
    <t>Village &amp; RR stn</t>
  </si>
  <si>
    <t>Flew from Sacy-le-Grand. Dropped 98x120mm.</t>
  </si>
  <si>
    <t>GB1 War Diary Image 0130 &amp; Middleton,V.2,168</t>
  </si>
  <si>
    <t>Dillingen; Saarlouis; Bouss; Metz-Sablon</t>
  </si>
  <si>
    <t>Blst furnace; Factories; Blast Furnace; RR stn</t>
  </si>
  <si>
    <t>GB1 War Diary Image 0129 &amp; CEP115 Images 0042-3</t>
  </si>
  <si>
    <t>T.O. 2115-2205.  Caproni #38 was bound for Dillingen with 30x120mm bombload but the GB1 War Diary assumes they did not attack the target (w/o saying why).  The war diary does not mention Caproni # 51, which took off but then returned in 30 minutes with a bad "Canton" engine. "Les escadrilles…" says Ltt Vouaux &amp; Sgt Reydellet disappeared this date.</t>
  </si>
  <si>
    <t>T.O. 2115-2205. Capronis 23,53,30,16.</t>
  </si>
  <si>
    <t>Saarlouis</t>
  </si>
  <si>
    <t>T.O. 2115-2205.  Capronis #20,34</t>
  </si>
  <si>
    <t>Bouss</t>
  </si>
  <si>
    <t>T.O. 2115-2205.  Caproni #48</t>
  </si>
  <si>
    <t>T.O. 2115-2205.  Caproni #22</t>
  </si>
  <si>
    <t>Entire Squadron</t>
  </si>
  <si>
    <t>Martel,120</t>
  </si>
  <si>
    <t>Bombed between 0010 &amp; 0100. Based on a similar pattern seen earlier this month, it seems that one plane carried 10 bombs and the other 2 carried 6 each.</t>
  </si>
  <si>
    <t>GB1 War Diary Images 0129-0130</t>
  </si>
  <si>
    <t>Woippy; Metz-Thionville</t>
  </si>
  <si>
    <t>Sailly-Saillisel; Bois de Saint Vaast</t>
  </si>
  <si>
    <t>Guiscard; Noyon</t>
  </si>
  <si>
    <t>Village &amp; RR stn &amp; lines &amp; huts; RR stn</t>
  </si>
  <si>
    <t>GB1 War Diary Image 0130</t>
  </si>
  <si>
    <t>Rodange, Luxbrg.</t>
  </si>
  <si>
    <t>Half hour raid during night. (Can't tell which night, 24/25 or 25/26.)  6 bombs in city; glass damage.  (Total damage in all 9 raids: 20,000 marks in town; 10,920 to factory; 15,000 marks cost for protection.)</t>
  </si>
  <si>
    <t>RAID ON THIS NIGHT (25/26 SEP 1916). CASUALTIES &amp; DIRECT DAMAGE UNKNOWN. LOSS IN PRODUCTION OF IRON @ 498M PER TON.</t>
  </si>
  <si>
    <t>Flew from Sacy-le-Grand. War Diary says they dropped 112 "shells of large caliber", but these numbers seem to match those of the 120mm shells they have been dropping all along, so I'm assuming this has not changed.</t>
  </si>
  <si>
    <t>Middleton,168</t>
  </si>
  <si>
    <t>F.63</t>
  </si>
  <si>
    <t>Vigneulles-les-Hattonchâtel</t>
  </si>
  <si>
    <t>Martel: 5 planes in midday raid (Middleton says night raid)</t>
  </si>
  <si>
    <t>Middleton,168 &amp; Martel, 120</t>
  </si>
  <si>
    <t>Bosch magneto factory</t>
  </si>
  <si>
    <t>Mission 1730-2350. Bombed ~2000 hours; pilot believed he hit Bosch factory. Adj.s Baron &amp; Chazard in single F.43. Navigated by stars part of the way and recognized Stuttgart from configuration of rail stn!</t>
  </si>
  <si>
    <t>GB4 War Diary Images 0078-9 &amp; Middleton,V.2,168</t>
  </si>
  <si>
    <t>Tergnier; St. Quentin &amp; Guiscard; Mennessy; Porquericourt; Annois to Ham</t>
  </si>
  <si>
    <t>Rail line &amp; airfield; RR stns; Rail line; Forest; Train</t>
  </si>
  <si>
    <t>Flew from Sacy-le-Grand. Train was machine-gunned as well as bombed.  Dropped 88x120mm bombs plus 4 incendiaries of unknown wgt.</t>
  </si>
  <si>
    <t>GB1 War Diary Image 0131 &amp; Middleton,V.2,168</t>
  </si>
  <si>
    <t>1 GB4 a/c - Martel: 1 a/c raids at the end of the day; 10x155 mm shells dropped by Lt. Bonne (P) and Soldat Szopinsky (O).  THIS IS NOT IN THE WAR DIARY.  APPARENTLY CORRECT SPELLING IS Müllheim.</t>
  </si>
  <si>
    <t>Martel,132</t>
  </si>
  <si>
    <t>Bombs inside/outside foundry grounds: 3/9.  About 2000 roof tile thrown down.</t>
  </si>
  <si>
    <t>Combined Fr.&amp;Br.</t>
  </si>
  <si>
    <t>Oberndorf</t>
  </si>
  <si>
    <t>Summary from Hastings' 1964 article, probably the best account of the raid</t>
  </si>
  <si>
    <t>Hastings, C&amp;C(US), 1964, V.5,N.4,p.379</t>
  </si>
  <si>
    <t>Oberndorf &amp; Donaueschingen</t>
  </si>
  <si>
    <t>Mauser Works</t>
  </si>
  <si>
    <t>AIR 1/2107 says British force was 15 bombers and 6 fighters, dropping 3867 lbs of bombs.  Hastings agrees with this.  The numbers of a/c aborted, bombing, etc. comes from Hastings. The six Breguet-Michelin V bombers attacked Donaueschingen by mistake. Fighter aircraft are not counted among these figures.</t>
  </si>
  <si>
    <t>Strutter &amp; BM</t>
  </si>
  <si>
    <t>GB4/MF29, MF123, BM120</t>
  </si>
  <si>
    <t>Mauser Factory</t>
  </si>
  <si>
    <t>39 a/c Franco-British raid; 10 did not return - Numbers taking off, bombing, etc., are in dispute so I am using a/c figures from Hastings, C&amp;C(US) V.5, #4, 1964, p.379. Am using bomb weight figures from W.E. Fischer Jr, "The Developmenf of Military Night Aviation to 1919", p.71, who used a French summary report on night bombardment. That source listed 17 sorties from 3 GB4 escadrilles dropping 480+580+1790=2850 kg.  Since 9 of the 17 bombed Oberndorf, I'm estimating the weight dropped as 9/17 of that total. For matching purposes, I'm dividing the casualty and damage figures between GB4 and the RNAS by the estimated weight of bombs dropped.  Mission 1315-1750.  Fighter aircraft are not counted among these figures.</t>
  </si>
  <si>
    <t>Hastings, C&amp;C(US), 1964, V.5,N.4,p.379 &amp; GB4 War Diary Images 0079-0080.</t>
  </si>
  <si>
    <t>C.61</t>
  </si>
  <si>
    <t>Martel says flight of G4s sent to Lorrach as a diversion - not clear if they dropped any bombs. A GB4 REPORT (IMAGE 0080) SAYS YES.</t>
  </si>
  <si>
    <t>Martel, 132</t>
  </si>
  <si>
    <t>C&amp;C (US) article: 12 bombers reached there - 153 bomb strikes (12 duds) “The new buildings of the Mauser factory suffered partial heavy damage.”  Five were killed, including 1 French and 1 Russian POW.  “Factory work was partially disrupted for two days.”</t>
  </si>
  <si>
    <t>Bock, C&amp;C(US), V.8,N.1 pp.68-70</t>
  </si>
  <si>
    <t>C.63</t>
  </si>
  <si>
    <t>Vouziers; Ardeuil</t>
  </si>
  <si>
    <t>RR stn; Encampments</t>
  </si>
  <si>
    <t>Probably day raid; 3 Caudron G.4s</t>
  </si>
  <si>
    <t>Nesle; Ham</t>
  </si>
  <si>
    <t>Metigny</t>
  </si>
  <si>
    <t>Noyon; Chauny; Appilly - Chauny (between)</t>
  </si>
  <si>
    <t>RR stns; Train</t>
  </si>
  <si>
    <t>GB1 War Diary Image 0132 &amp; Middleton,V.2,168</t>
  </si>
  <si>
    <t>16 bombs</t>
  </si>
  <si>
    <t>St. Quentin; Tergnier</t>
  </si>
  <si>
    <t>RR stns &amp; Tergnier airfield</t>
  </si>
  <si>
    <t>T.O. 2030-2130. Bombed 2155-2230. Hit a moving train at the station with 8 bombs. Capronis #30,20,51,34,53,48 dropped 30x120mm each. #53 aborted 1 takeoff when oil bulb broke and then took off again -- abort is not listed in GB1 war diary.  #42 aborted with lighting problem.</t>
  </si>
  <si>
    <t>GB1 War Diary Image 0132 &amp; CEP115 Log Images 0044-5</t>
  </si>
  <si>
    <t>C.11</t>
  </si>
  <si>
    <t>Mons and Chaussée</t>
  </si>
  <si>
    <t>Ammo dumps</t>
  </si>
  <si>
    <t>"early hours of 22 Oct"</t>
  </si>
  <si>
    <t>Worst damage in Construction workshop and Power-house</t>
  </si>
  <si>
    <t>Pussignes;</t>
  </si>
  <si>
    <t>GB1/VC110 &amp; VB114</t>
  </si>
  <si>
    <t>Thyssen works - Blast Furnaces</t>
  </si>
  <si>
    <t>16 bombs from GB1 - VC110 (1 a/c, 10 bombs); VB114 (1 a/c, 6 bombs).  [IT MIGHT HAVE BEEN 2 PLANES FROM VC110 DROPPING 10 BOMBS, BUT APPARENTLY THEY WERE AGAIN FOLLOWING THE PATTERN OF ONE PLANE CARRYING 10 BOMBS AND THE OTHERS CARRYING SIX EACH.]</t>
  </si>
  <si>
    <t>GB1 War Diary Images 0132-3</t>
  </si>
  <si>
    <t>War Diary only lists crews; doesn't mention objective or anything else. W.E. Fischer's table on p.71 cites French summary report on night bombing &amp; is source for location and bomb weight. It said 4 planes sortied from each escadrille but War Diary lists them by name.</t>
  </si>
  <si>
    <t>Fischer, 71 &amp; GB4 War Diary Image 0083</t>
  </si>
  <si>
    <t>GB4/BM120</t>
  </si>
  <si>
    <t>Hagendingen &amp; Thionville</t>
  </si>
  <si>
    <t>Thyssen works - Blast Furnaces; RR stn</t>
  </si>
  <si>
    <t>GB1 War Diary Images 0132-3 &amp; CEP115 Log Image 0046</t>
  </si>
  <si>
    <t>Capronis 48,51,20,22,34,53.</t>
  </si>
  <si>
    <t>GB1 War Diary Image 0132 &amp; CEP115 Log Image 0046</t>
  </si>
  <si>
    <t>Caproni #23 diverted to Thionville when couldn't find Hagendingen.</t>
  </si>
  <si>
    <t>Norroy (region of)</t>
  </si>
  <si>
    <t>Lights</t>
  </si>
  <si>
    <t>GB1 War Diary Image 0133</t>
  </si>
  <si>
    <t>Louvigny</t>
  </si>
  <si>
    <t>Magny to Marly</t>
  </si>
  <si>
    <t>Nilssen says VB114 received Voisin 8 a/c in late September but "Les escadrilles…" says it wasn't until November 1916.</t>
  </si>
  <si>
    <t>Night of 22/23 October 5 bombs dropped, doing "great" damage to buildings and railcars (detailed list - no numbers given)</t>
  </si>
  <si>
    <t>Thyssen Iron Works</t>
  </si>
  <si>
    <t>AIR 1/2107 says force was 13 bombers and 7 fighters, dropping 2990 lbs of bombs.  Pilots reported only 2 factory chimneys remained standing. French intel verified this and said "3 of 5 blast furnaces were completely put out of action".</t>
  </si>
  <si>
    <t>Malzeville</t>
  </si>
  <si>
    <t>AIR 1/2107</t>
  </si>
  <si>
    <t>Spincourt; Azannes</t>
  </si>
  <si>
    <t>2 sqns of about 7-10 planes followed each other at a short distance.  [Detailed list of "serious" damage to buildings - 1 dud]</t>
  </si>
  <si>
    <t>Grandpre; Challerange</t>
  </si>
  <si>
    <t>U/K; RR stn</t>
  </si>
  <si>
    <t>Conflans; Courcelles</t>
  </si>
  <si>
    <t>GB1 War Diary Image 0133 &amp; Middleton,V.2,168 &amp; CEP115 Log Images 0047-48</t>
  </si>
  <si>
    <t>T.O.2325-0020. Bombed 0040-0135. GB1 War Diary says 8 Capronis hit Conflans; CEP115 log lists 7 on one page and sticks the 8th into the middle of November's entries.  The War Diary does not say so, but the Courcelles attack was probably done by a Caproni that couldn't find or reach Conflans.</t>
  </si>
  <si>
    <t>GB1 War Diary Image 0133 &amp; Middleton,V.2,168 &amp; CEP115 Log Image 0047</t>
  </si>
  <si>
    <t>Capronis 48,20,51,53,42,45,22,23. #45 crashed in wood &amp; destroyed.</t>
  </si>
  <si>
    <t>Caproni #24. Force-landed with damage.</t>
  </si>
  <si>
    <t>T.O. 0030-0055.</t>
  </si>
  <si>
    <t>GB1 War Diary Image 0135</t>
  </si>
  <si>
    <t>Ham; Athies; Peronne</t>
  </si>
  <si>
    <t>U/K; U/K; Aerodrome</t>
  </si>
  <si>
    <t>T.O. 2320-0005.  Bombed 0045-0120.  5 bombs hit houses SE of Chambley. Capronis 20,34,48,17 bombed. #23 had Canton engine problem.</t>
  </si>
  <si>
    <t>GB1 War Diary Image 0136 &amp; CEP115 Log Image 0048.</t>
  </si>
  <si>
    <t>T.O. 2320-0005. Bombed 0030-0050. Capronis 19,30,53,22 bombed. Caproni 19 "broken" afterward.</t>
  </si>
  <si>
    <t>Residence in workshops damaged - windows, doors, roofs.</t>
  </si>
  <si>
    <t>Spincourt; Dommary-Baroncourt; Eton</t>
  </si>
  <si>
    <t>RR; RR; Airfield</t>
  </si>
  <si>
    <t>Martel: 7 a/c</t>
  </si>
  <si>
    <t>Vadelaincourt</t>
  </si>
  <si>
    <t>C.64</t>
  </si>
  <si>
    <t>Vouziers; Monthois</t>
  </si>
  <si>
    <t>Dommary-Baroncourt</t>
  </si>
  <si>
    <t>3 a/c</t>
  </si>
  <si>
    <t>Algringen (W of Thionville)</t>
  </si>
  <si>
    <t>T.O. 2037-2115. Bombed 2210-2245. "The objective was hit very effectively". Capronis bombing: #22,36,48,20,30,53,24.  ALGRANGE ON MODERN MAPS. --SCS</t>
  </si>
  <si>
    <t>W of Thionville</t>
  </si>
  <si>
    <t>GB1 War Diary Image 0136 &amp; CEP115 Log Image 0049</t>
  </si>
  <si>
    <t>T.O. 0015 and dropped bombs at 0115. 2nd sortie of the night for this crew (S/Lt. Hébrard &amp; Caporal Lieduière in Caproni #30)</t>
  </si>
  <si>
    <t>GB1 War Diary Image 0137 &amp; CEP115 Log Image 0049</t>
  </si>
  <si>
    <t>Courcelles-sur-Nied</t>
  </si>
  <si>
    <t>T.O. 2140-2155. Bombed 2310-2320. Doesn't say why 1 plane aborted.</t>
  </si>
  <si>
    <t>GB1 War Diary Image 0137</t>
  </si>
  <si>
    <t>T.O. 2210-2245; bombed 2325-2345.</t>
  </si>
  <si>
    <t>Voisin8</t>
  </si>
  <si>
    <t>ALERT ONLY - "From 10:20 to 5:00 lights were extinguished at the depot. Great traffic interruptions."</t>
  </si>
  <si>
    <t>During the night of Nov. 9/10 two workmen were instantly killed by bombs and one engineer was wounded…Only a small amount of material damage…</t>
  </si>
  <si>
    <t>RAID ON THIS NIGHT (9/10 NOV 1916). CASUALTIES &amp; DIRECT DAMAGE UNKNOWN. LOSS IN PRODUCTION OF IRON @ 498M PER TON.</t>
  </si>
  <si>
    <t>Volklingen</t>
  </si>
  <si>
    <t>Bombweight from AIR 1/2107; says 9 bombers accompanied by 8 fighters.  French intel says "serious material damage was done by this raid".</t>
  </si>
  <si>
    <t>4 Voisins each from 110 &amp; 114 T.O. 2210-2255; 7 bomb Frescaty 2340-0025 &amp; 1 bombs Hagendingen at 2355. Not clear whether this was the plan or plane(s) diverted.</t>
  </si>
  <si>
    <t>Hagondange</t>
  </si>
  <si>
    <t>Rombach; Chambley</t>
  </si>
  <si>
    <t>Blast Furnaces: RR stn</t>
  </si>
  <si>
    <t>GB1 War Diary Image 0137 &amp; CEP115 Log Images 0049-50</t>
  </si>
  <si>
    <t>T.O. after 2025. War Diary mentions 11 Capronis, but one of them was a separate sortie that I am counting separately.</t>
  </si>
  <si>
    <t>Bombed 2225-2355. Capronis 54,48,23,26,20,36,17,53,30</t>
  </si>
  <si>
    <t>Caproni #22 diverted due to engine trouble &amp; bombed at 2205.</t>
  </si>
  <si>
    <t>Dieuze (Frescaty?)</t>
  </si>
  <si>
    <t>2nd sortie of the night for S/Lt. Raymond in Caproni #53. T.O. 0005; bombed 0100.  CEP115 log calls this Frescaty.</t>
  </si>
  <si>
    <t>St. Quentin; Tergnier; Mennessis</t>
  </si>
  <si>
    <t>No bomb weight given.  ESTIMATING 8X120MM BOMBS PER PLANE LIKE THERE WERE FOR A RECENT RAID ON 2 OF THE SAME RAIL STNS. -SCS</t>
  </si>
  <si>
    <t>GB1 War Diary Image 0138</t>
  </si>
  <si>
    <t>GB4/F29 &amp; F123</t>
  </si>
  <si>
    <t>Steel Mills</t>
  </si>
  <si>
    <t>War Diary says little and contradicts itself.  Putting this together with Fischer, quoting French summary report, it appears that 4 Farmans and 4 B-Ms bombed.  Fischer also source of bomb weight since his numbers are more precise than War Diary figure. War Diary says raid was between 2000 and 2100 hours; that bombs were seen to hit the target and several fires started.</t>
  </si>
  <si>
    <t>Farmans &amp; BM</t>
  </si>
  <si>
    <t>Fischer, 71 &amp; GB4 War Diary Image 0088</t>
  </si>
  <si>
    <t>Night of 10/11 November - French communique said area was "sprinkled with bombs".  Virtually all missed.  Current to mines interrupted "a few hours" [arbitrarily calling it 3 hours - SCS].  Too many bombs to count - at least 50.  More details in narrative.</t>
  </si>
  <si>
    <t>Hit Coke grounds-West, smelting room, blast engine house and steel works Pumphaus.  Various roofs, steam conductor &amp; steam kettle destroyed.</t>
  </si>
  <si>
    <t>Bombweight from AIR 1/2107; says 14 bombers accompanied by 7 fighters.  French intel says "serious material damage was done by this raid".</t>
  </si>
  <si>
    <t>Bombing altitude varied from 5000 to 12,000 feet. Number is average, as well as bombing time.</t>
  </si>
  <si>
    <t>Ham; St.Quentin; Tergnier; Nesle; Dienge aerodrome</t>
  </si>
  <si>
    <t>Metz-Sablons; Rombach; Frescaty</t>
  </si>
  <si>
    <t>RR; Blast furnaces (?); Airfield</t>
  </si>
  <si>
    <t>GB1 War Diary Image 0138 &amp; CEP115 Log Images 0050-51</t>
  </si>
  <si>
    <t>9 Capronis T.O. 2205-2250 &amp; 6 of them hit 3 different targets. Capronis #36,26,24 aborted with mech problems. Malzéville airfield was being bombed when #26 RTB at 23:10.</t>
  </si>
  <si>
    <t>RR stn, lines &amp; neighborhood</t>
  </si>
  <si>
    <t>9 Capronis T.O. 2205-2250 &amp; hit 3 different targets. Capronis #23,30,54 bombed this target 0005-0010.</t>
  </si>
  <si>
    <t>Blast furnaces (?)</t>
  </si>
  <si>
    <t>9 Capronis T.O. 2205-2250 &amp; hit 3 different targets. Capronis #17,48 bombed this target 2350-0005. War diary said target was RR; log said factories; logically it would have been blast furnaces.</t>
  </si>
  <si>
    <t>9 Capronis T.O. 2205-2250 &amp; hit 3 different targets. Caproni #53 bombed this target 2230.</t>
  </si>
  <si>
    <t>U/K # of planes attacked two RR stns in two waves - started dropping bombs at 2100 and stopped at 0410. AM ESTIMATING 26 SORTIES BASED ON RATIO OF SORTIES TO BOMB WGT FOR THE SAME ESCADRILLE 4 DAYS LATER.</t>
  </si>
  <si>
    <t>War Diary says very little, confirming # of airplanes in Fischer table. Says raid took place from 2045 to 2245; it's probably time from takeoff to landng.  They could see the bombs hit the plants.</t>
  </si>
  <si>
    <t>Fischer, 71 &amp; GB4 War Diary Images 0088-9</t>
  </si>
  <si>
    <t>ALERT ONLY</t>
  </si>
  <si>
    <t>Bombweight from AIR 1/2107; says 9 bombers accompanied by 7 fighters.  French intel says civil employees, mostly Swiss, refused to continue to work in the Sarre Valley factories due to fear of bombardment and the factories now have to be manned by the military.</t>
  </si>
  <si>
    <t>Number of bombs uncertain - 1 plane unaccounted for at time of report - might have been 32 or 35 bombs vice 36.</t>
  </si>
  <si>
    <t>Foundries</t>
  </si>
  <si>
    <t>KILDUFF MENTIONS THIS RAID BUT I BELIEVE HE MISREAD THE ACCOUNT. IT WAS WRITTEN ON THE 12TH, DESCRIBING A LATE NIGHT RAID WHICH I BELIEVE TO BE THAT OF 11/12 NOV.</t>
  </si>
  <si>
    <t>Kilduff, C&amp;C(US) V.5, #1, p.8</t>
  </si>
  <si>
    <t>Damage to Km. 3 of the pig iron track</t>
  </si>
  <si>
    <t>Grisolles (N of Ham)</t>
  </si>
  <si>
    <t>Flew from Sacy-le-Grand. War Diary says they dropped 141 "shells of large caliber", but these numbers seem to match those of the 120mm shells they have been dropping all along, so I'm assuming this has not changed.  Also, they used 120mm bombs in the previous raid four days earlier.</t>
  </si>
  <si>
    <t>GB1 War Diary Image 0139</t>
  </si>
  <si>
    <t>Erch-sur-Alzette; Tergnier</t>
  </si>
  <si>
    <t>15000 kg of bombs</t>
  </si>
  <si>
    <t>RAID ON THIS NIGHT (16/17 NOV 1916). CASUALTIES &amp; DIRECT DAMAGE UNKNOWN. LOSS IN PRODUCTION OF IRON @ 498M PER TON.</t>
  </si>
  <si>
    <t>Munich</t>
  </si>
  <si>
    <t>Capitaine de Beauchamp left in a Sopwith 1B1 at 0800 to bomb Munich in a reprisal raid!  Crossed the Alps &amp; force-landed in Italy. Martel says carried 6x120mm Gros bombs. Listed in GB4 War Diary and Kilduff article on N.23. Some sources (Christienne &amp; Martel) put the raid on the previous day.</t>
  </si>
  <si>
    <t>GB4 War Diary Image 0089 &amp; Kilduff OTF 26/3 p.244 &amp; Martel 135-6</t>
  </si>
  <si>
    <t>Golaucourt; Grisolles</t>
  </si>
  <si>
    <t>War Diary doesn't specify # a/c. Raids took place between 0200 and 0600.  [I'm not entirely sure from the wording whether these raids took place the night of 17/18 Nov or 24 hours earlier. -SCS] Flew from Sacy-le-Grand.</t>
  </si>
  <si>
    <t>Middleton,V.2,168 &amp; GB1 War Diary Image 0139</t>
  </si>
  <si>
    <t>Somme Front</t>
  </si>
  <si>
    <t>100 bombs</t>
  </si>
  <si>
    <t>Bruyeres;Ghistelles</t>
  </si>
  <si>
    <t>6 a/c</t>
  </si>
  <si>
    <t>Blast furnaces &amp; factories</t>
  </si>
  <si>
    <t>Middleton,V.2,169</t>
  </si>
  <si>
    <t>RARE DAYLIGHT RAID - 1545-1900.  # A/C not specified.  Christienne, et al, p.114, say VB101 attacked this airfield several times and that they dropped 171x120kg bombs on this date [this seems high] - no losses - says Germans abandoned the airfield - D&amp;S agree on 171 bombs and abandonment - Martel &amp; War Diary says they are 171x120 mm bombs, which makes sense.</t>
  </si>
  <si>
    <t>GB1 War Diary Image 0139 &amp; Martel, 126 &amp; Christienne 114 &amp; D&amp;S</t>
  </si>
  <si>
    <t>Steel Mills "Hauts Formaneaux"</t>
  </si>
  <si>
    <t>Mission 2130-0110. Bombs: 12x155mm &amp; 12x120mm. I calculate this as 420 km, but Fischer's report said 360 kg. Fischer is quoting SHAA document, "Operations de Bombardement de Nuit Effectuees par l'Aviation de Bombardement", Oct.-Dec.1916.</t>
  </si>
  <si>
    <t>GB4 War Diary Image 0089 &amp; Fischer, 71</t>
  </si>
  <si>
    <t>Bombs on steel works &amp; in front of mortar battery.  Damage to roofs &amp; conductors.</t>
  </si>
  <si>
    <t>Bombweight from AIR 1/2107; says 9 bombers accompanied by 7 fighters.</t>
  </si>
  <si>
    <t>Trier (Kurenz)</t>
  </si>
  <si>
    <t>3 bombs damaged property of 47 people in Kurenz (across tracks from Trier).  Microfilm says no damage in Trier.</t>
  </si>
  <si>
    <t>Kurenz</t>
  </si>
  <si>
    <t>Bomb destroyed house at Pfalzel.</t>
  </si>
  <si>
    <t>Thionville; Damvillers</t>
  </si>
  <si>
    <t>Factories; bivouacs</t>
  </si>
  <si>
    <t>Spincourt; Billy-sur-Largrennes</t>
  </si>
  <si>
    <t>RR stn; U/K</t>
  </si>
  <si>
    <t>9 bombs</t>
  </si>
  <si>
    <t>2 ALERTS THAT NIGHT: 1930-2012, 0045-0145 - "Great interruptions at depot."</t>
  </si>
  <si>
    <t>Rumelingen &amp; Ottlingen BF</t>
  </si>
  <si>
    <t>720 kg of bombs</t>
  </si>
  <si>
    <t>3 ALERTS: 2115-2120, 2135-2320, 2350-0025. IN 3RD ALERT, LIGHTS EXTINGUISHED AT 2400 - "Great interruptions at depot."</t>
  </si>
  <si>
    <t>Martigny; Ham</t>
  </si>
  <si>
    <t>Romagne-sur-des-routes; N of Verdun</t>
  </si>
  <si>
    <t>Munition dumps</t>
  </si>
  <si>
    <t>Dun-sur-Meuse; Montmedy</t>
  </si>
  <si>
    <t>500 kg of bombs</t>
  </si>
  <si>
    <t>Brieulles-sur-Meuse; Charleville-Meziers</t>
  </si>
  <si>
    <t>Anizy</t>
  </si>
  <si>
    <t>480 kgs</t>
  </si>
  <si>
    <t>Records from AIR 1/648/17/122/397 indicate bombers accompanied by 4 fighters.</t>
  </si>
  <si>
    <t>AIR 1/648/17/122/397</t>
  </si>
  <si>
    <t>Courcelles-sur-Nied; Bongen (region)</t>
  </si>
  <si>
    <t>RR stn; Airfield</t>
  </si>
  <si>
    <t>War Diary calls it a night raid - plane T.O. at 1600 and bombed 1715-1730, which would have been in the dark this time of year.  Two bombs on RR stn &amp; 4 on airfield.</t>
  </si>
  <si>
    <t>Courtisols</t>
  </si>
  <si>
    <t>GB1 War Diary Image 0140</t>
  </si>
  <si>
    <t>Intersection of routes of Delme, Chateau-Salins, Baronweiler</t>
  </si>
  <si>
    <t>Rampe électrique (?)</t>
  </si>
  <si>
    <t>T.O. 1725 or 1815.  Whatever it was, it extinguished itself.</t>
  </si>
  <si>
    <t>T.O. 1725 or 1815.</t>
  </si>
  <si>
    <t>CEP115 dropped bombs on three targets between 1600 &amp; 1850.  This is barely a night raid since it is so early but on this date it should have been dark at 1700 German time.  The attack on Rombach by Capronis 25,51,48 can be treated as a separate entry.</t>
  </si>
  <si>
    <t>GB1 War Diary Image 0140 &amp; CEP115 Log Image 0054</t>
  </si>
  <si>
    <t>Hagondange; Frescaty</t>
  </si>
  <si>
    <t>Blast Furnaces; Airfield</t>
  </si>
  <si>
    <t>War Diary says Capronis dropped bombs between 1600 &amp; 1850.  This is barely a night raid since it is so early but on this date it should have been dark at 1700 German time.  Caproni #52, piloted by the Commandant, couldn't find Hagondange so didn't bomb any target.  Was damaged by AAA fire.</t>
  </si>
  <si>
    <t>Capronis 54 &amp; 17 bombed Hagondange; #17 dropped 27 bombs there and another 3 on Frescaty.</t>
  </si>
  <si>
    <t>GB4/F123 &amp; BM120</t>
  </si>
  <si>
    <t>Bous, Dillingen, Volklingen, Brebach, Burbach, Nuenkirchen</t>
  </si>
  <si>
    <t>Factories, Blast Furnaces, &amp; Trains</t>
  </si>
  <si>
    <t>1 plane crashed 5km from airfield on way out; another crashed upon return. Bomb weight from Fischer's source, "Operations de Bombardement de Nuit…"  It almost sounds like every plane picked its own target.</t>
  </si>
  <si>
    <t>GB4 War Diary Image 0091 &amp; Fischer, 71</t>
  </si>
  <si>
    <t>"usines"</t>
  </si>
  <si>
    <t>Dirigible Champagne drops 10x155mm shells and "24 220 gros" shells [Almost certainly an error - I think they have to be 120mm Gros-Andreau bombs; the 200mm bombs are 50kg each]</t>
  </si>
  <si>
    <t>Joeuf</t>
  </si>
  <si>
    <t>2 ALERTS: 1955-2010, 0030-0050; LIGHTS EXTINGUISHED AT 2000 &amp; 0030. (RECORD COULD BE INTERPRETED AS ALERTS AT 0755 &amp; 1230 ON EITHER 27DEC OR 28DEC, BUT THESE SEEM LESS LIKELY).  - "Great interruptions at depot."</t>
  </si>
  <si>
    <t>Athus, Belgium</t>
  </si>
  <si>
    <t>1 bomb hit house at RR station; no damage to railroad.  (Total damage in 8 raids: to town 19,000 francs; to Athus-Grevegne Works 400,000 francs.)</t>
  </si>
  <si>
    <t>On Lux. border</t>
  </si>
  <si>
    <t>Bombs inside/outside foundry grounds: 15/0.  No glass damaged.</t>
  </si>
  <si>
    <t xml:space="preserve">3 raids: 2100-2140, 2307-2327, &amp; 0325-0400.  More bombs fell in Mannheim.  Direct damages to BASF in 22 raids was 519,310M; 14 killed.  Each raid or alert caused production losses in another 24 hour plant and in many city businesses. </t>
  </si>
  <si>
    <t>Matigny; Haucourt; Flers; Bernes</t>
  </si>
  <si>
    <t>Middleton, V.3, p.140</t>
  </si>
  <si>
    <t>Rouilly; Athies; Villecourt</t>
  </si>
  <si>
    <t>Cantonments</t>
  </si>
  <si>
    <t>Ghistelles; Guiscard</t>
  </si>
  <si>
    <t>Aerodrome; RR stn &amp; hutments</t>
  </si>
  <si>
    <t>Text unclear - these targets may have also been hit the night of 6JAN1917 in addition to 5JAN1917</t>
  </si>
  <si>
    <t>Middleton, V.3, p.141</t>
  </si>
  <si>
    <t>Spinecourt (S of…)</t>
  </si>
  <si>
    <t>Longeau</t>
  </si>
  <si>
    <t>Ammo dumps at farm</t>
  </si>
  <si>
    <t>Mesnil - St. Nicaize; Arcigny</t>
  </si>
  <si>
    <t>Haucourt; Matigny</t>
  </si>
  <si>
    <t>Liaucourt Wood</t>
  </si>
  <si>
    <t>Attichy</t>
  </si>
  <si>
    <t>Depots</t>
  </si>
  <si>
    <t>Work stopped in factories, businesses, &amp; shops during alerts.</t>
  </si>
  <si>
    <t>Burbach</t>
  </si>
  <si>
    <t>AIR 1/2107 confirms bombweight and says 10 bombers escorted by 6 fighters.</t>
  </si>
  <si>
    <t>Bombs near smelting furnace, in steel works, near foundry, etc.  Damage to large water reservoir, roofs, sheds, and tracks.</t>
  </si>
  <si>
    <t>Text unclear - raid was daytime on 24th or night on 25th - 2000 kg dropped, great fire started</t>
  </si>
  <si>
    <t>St. Quentin; Voyonnes</t>
  </si>
  <si>
    <t xml:space="preserve">Text unclear - raid was daytime on 24th or night on 25th </t>
  </si>
  <si>
    <t>Huts</t>
  </si>
  <si>
    <t>Chauny (S of…)</t>
  </si>
  <si>
    <t>RR stn &amp; military workshops</t>
  </si>
  <si>
    <t>Text unclear - raid was daytime on 24th or night on 25th - fire and big explosion caused</t>
  </si>
  <si>
    <t>Military factories</t>
  </si>
  <si>
    <t>Polembray</t>
  </si>
  <si>
    <t>RR stns &amp; factories</t>
  </si>
  <si>
    <t>Athies; Hombleux</t>
  </si>
  <si>
    <t>Colmar; Rombach; Chauny; Ham</t>
  </si>
  <si>
    <t>Barracks &amp; railways</t>
  </si>
  <si>
    <t>Saar Valley - Volklingen, Burbach, Brebach</t>
  </si>
  <si>
    <t>1 BM4 crashed &amp; burned when it hit electrical wires on takeoff - crew killed</t>
  </si>
  <si>
    <t>GB4 War Diary Image 0094</t>
  </si>
  <si>
    <t>Mazieres; Rombas; Hagendingen</t>
  </si>
  <si>
    <t>RR Stn &amp;Electric plant; Blast Furnaces</t>
  </si>
  <si>
    <t>GB1 War Diary Image 0142 &amp; CEP115 Log Images 0056-7</t>
  </si>
  <si>
    <t>T.O.1800-1910. Dropped bombs 1925-2045. - War Diary says 4 Caproni CEP2 B2's attacked Mazieres; #41 destroyed when hungup bomb exploded after landing; 1 killed; 3 wounded; 2 a/c on ground and a hanger also destroyed. Caproni #54 force-landed with damage in a forest. War Diary &amp; Log don't agree on numbers - am using a/c numbers from Log since other doesn't record every mech abort.  Am using bomb #s &amp; wgts from War Diary since some are not clear in Log.</t>
  </si>
  <si>
    <t>Mazieres</t>
  </si>
  <si>
    <t>RR Stn &amp;Electric plant</t>
  </si>
  <si>
    <t>Capronis 36 &amp; 41 dropped 5x200mm &amp; 30x120mm Gros bombs</t>
  </si>
  <si>
    <t>Dropped 2x200mm &amp; 30x120mm Gros bombs. Capronis 52 &amp; 54 (probably) bombed.</t>
  </si>
  <si>
    <t>Caproni #40 dropped 30x120mm Gros bombs</t>
  </si>
  <si>
    <t>Delme (N of)</t>
  </si>
  <si>
    <t>"Lights"</t>
  </si>
  <si>
    <t>GB1 War Diary Image 0142</t>
  </si>
  <si>
    <t>Work stopped in factories, businesses, &amp; shops during alerts. Alerts at 2120, 2330, 2400 - durations unknown.</t>
  </si>
  <si>
    <t>Survey team could not go to Karlsruhe; limited info available.</t>
  </si>
  <si>
    <t>2 RAIDS &amp; 3 ALERTS ON THIS NIGHT (9/10 FEB 1917). CASUALTIES &amp; DIRECT DAMAGE UNKNOWN. LOSS IN PRODUCTION OF IRON @ 498M PER TON.</t>
  </si>
  <si>
    <t>Rumelingen &amp; Ottlingen Blast Furnaces</t>
  </si>
  <si>
    <t>Rombach; Hagendingen</t>
  </si>
  <si>
    <t>T.O.1725-2245. 3 planes bombed 2330-2350. S/Lt. Raymond &amp; Sergt. Marie went twice to Rombach in #53. War Diary &amp; Log disagree on airplane numbers and bombs.  Am using Log for a/c numbers and War Diary for bomb #s and wgts. Caproni #17 mech-aborted over the lines and was destroyed in crash.  #16 also mech-aborted.</t>
  </si>
  <si>
    <t>T.O.1725-2245. 3 planes bombed 2330-2350. S/Lt. Raymond &amp; Sergt. Marie went twice to Rombach in #53.</t>
  </si>
  <si>
    <t>"Works"</t>
  </si>
  <si>
    <t>T.O.1725-2245. 3 planes bombed 2330-2350. Caproni #31.</t>
  </si>
  <si>
    <t>Bombed 2305-2330. Voisin Escadrille unspecified.  CHANGED "VOISIN" TO "VOISIN8" BASED ON D&amp;S INFO THAT NO VOISIN 5s REMAINED AFTER DEC1915 - CORROBORATED BY BOMBWGT/PLANE DATA.</t>
  </si>
  <si>
    <t>Low level attack by 2 Voisins - 350 rounds fired into buildings - no bombs dropped. Escadrille not named.  CHANGED "VOISIN" TO "VOISIN8" BASED ON D&amp;S INFO THAT NO VOISIN 5s REMAINED AFTER DEC1915 - CORROBORATED BY BOMBWGT/PLANE DATA.</t>
  </si>
  <si>
    <t>Burbach, Brebach, St. Ingbert</t>
  </si>
  <si>
    <t>Factories (Steel Mills?)</t>
  </si>
  <si>
    <t>Very few details in War Diary. 14 crews took part; 4 landed elsewhere after bombing - don't know if landed with damage or not.</t>
  </si>
  <si>
    <t>GB4 War Diary Images 0094-5</t>
  </si>
  <si>
    <t>ALERT ONLY - LIGHTS EXTINGUISHED AT 2110. - "Great interruptions at depot."</t>
  </si>
  <si>
    <t>Benzol cooler hit.</t>
  </si>
  <si>
    <t>Most of damage at Thomas drossing-mills</t>
  </si>
  <si>
    <t>Damage to Employees Colony &amp; phone lines</t>
  </si>
  <si>
    <t>Rumelingen is in Luxembourg; Oettlingen is across the line in Lorraine. Other cost is lost Fe production at 500M per ton.  SOURCES DISAGREE ON DATE; MAY HAVE BEEN NIGHT OF 10/11 FEB 1916.</t>
  </si>
  <si>
    <t>Rumelingen is in Luxembourg; Oettlingen is across the line in Lorraine.</t>
  </si>
  <si>
    <t>St. Quentin; Ham</t>
  </si>
  <si>
    <t>Railways</t>
  </si>
  <si>
    <t xml:space="preserve">Blast furnaces </t>
  </si>
  <si>
    <t>T.O. 1850-2350 (or 2355). Capronis 54,51,53 bombed Uckingen. Differences in details between GB1 war diary &amp; CEP115 log -- am using the latter since it's closer to the source of the info.  TWO ATTEMPTS OF #52 TO TAKE OFF WERE NOT LISTED IN THE LOG UNTIL A MONTH LATER, PROBABLY EXPLAINING THE DIFFERENCES.  Could not take off due to snow.</t>
  </si>
  <si>
    <t>CEP115 Log Images 0057-8, 0062 &amp; GB1 War Diary Image 0143</t>
  </si>
  <si>
    <t>T.O. 1850-2350 (or 2355). Capronis 37,31 bombed Rombach. Differences in details between GB1 war diary &amp; CEP115 log -- am using the latter since it's closer to the source of the info.</t>
  </si>
  <si>
    <t>CEP115 Log Images 0057-8 &amp; GB1 War Diary Image 0143</t>
  </si>
  <si>
    <t>T.O. 1850-2350 (or 2355).1 of the 6 Capronis made 2 sorties.</t>
  </si>
  <si>
    <t>T.O. 1850-2350 (or 2355). Caproni 51bombed Maizières-les-Metz RR stn on its 2nd sortie of the night. Differences in details between GB1 war diary &amp; CEP115 log -- am using the latter since it's closer to the source of the info.</t>
  </si>
  <si>
    <t>GB1/VB110,114</t>
  </si>
  <si>
    <t>Dieuze; Falkenburg, Priocourt</t>
  </si>
  <si>
    <t>Airfield &amp; Barracks; bivouacs</t>
  </si>
  <si>
    <t>T.O. 1745-2130. Targets bombed &amp; machine-gunned.  The War Diary does not say whether the missing a/c dropped bombs but the next Voisin raid by 5 planes shows the same number of bombs dropped as in this raid.</t>
  </si>
  <si>
    <t>GB1 War Diary Image 0143</t>
  </si>
  <si>
    <t>MAURER MAURER: Night of 15/16 February.  All those killed and 25 of the wounded were Russian POWs.  Damage to mills, buildings, &amp; sheds.  TELEGRAM: Last night at 8:00 and 11:00PM the arrival of enemy planes from Metz was announced. The planes passed over the station repeatedly and at 8PM, 11PM, and 3AM some bombs were dropped on the rolling mill and on the grounds of the Steel Works, where Russians are living. 4 Russians killed, 18 severely wounded. Damages in Works significant. No bombs dropped in RR Yards. -Bf. STAHL</t>
  </si>
  <si>
    <t>388, NARA 990 (Roll 58)</t>
  </si>
  <si>
    <t>1 shelter destroyed.</t>
  </si>
  <si>
    <t>Étain (S of)</t>
  </si>
  <si>
    <t>Technically, a/c type is unknown, but N.23 had 2 Sopwith 2-seaters and the rest Nieuports &amp; Spads, so these raids were almost certainly done by the Sopwiths.</t>
  </si>
  <si>
    <t>Kilduff, OTF 26/3 p.247</t>
  </si>
  <si>
    <t>Dirigible Champagne dropped bombs - dirigible Pilatre-de-Rozier also fell in flames this night at Voellerdingen</t>
  </si>
  <si>
    <t>Grandpre; Romange-sous-Montfaucon</t>
  </si>
  <si>
    <t>Brebach</t>
  </si>
  <si>
    <t>Iron Works</t>
  </si>
  <si>
    <t>AIR 1/2107 gave bombweight and says 13 bombers escorted by 5 fighters.</t>
  </si>
  <si>
    <t>Calculations imply that each Strutter carried 2 bombs instead of the usual four.  It is possible that the bomb # and wgt are understated by half.</t>
  </si>
  <si>
    <t>GB4/S.29</t>
  </si>
  <si>
    <t>Haumont Lès Lachaussée</t>
  </si>
  <si>
    <t>Bombed from 1515-1545. 2 single-seater Sopwiths, 1 two-seater Sopwith, plus one Spad fighter (not counted in this database). 4x40kg "English" bombs.  Results not seen.</t>
  </si>
  <si>
    <t>GB4 War Diary Image 0095</t>
  </si>
  <si>
    <t>Spinecourt</t>
  </si>
  <si>
    <t>Munition depot</t>
  </si>
  <si>
    <t>Middleton, V.3, p.142</t>
  </si>
  <si>
    <t>Ars-sur-Moselle; Solgne (N of Delme)</t>
  </si>
  <si>
    <t>Factory; RR stn</t>
  </si>
  <si>
    <t>T.O. 2000-2015. Raid by Voisins. 1 got lost and bombed rail stn.  CHANGED "VOISIN" TO "VOISIN8" BASED ON D&amp;S INFO THAT NO VOISIN 5s REMAINED AFTER DEC1915 - CORROBORATED BY BOMBWGT/PLANE DATA.</t>
  </si>
  <si>
    <t>Solgne (N of Delme)</t>
  </si>
  <si>
    <t>Falkenberg</t>
  </si>
  <si>
    <t>Listed in CEP115 log but not in GB1 war diary. Capronis 53,54,37. Bomb wgt not listed; am assuming the usual 30x120mm Gros bombs.</t>
  </si>
  <si>
    <t>CEP115 Log Image 0059</t>
  </si>
  <si>
    <t>Volkingen</t>
  </si>
  <si>
    <t>Works/Factories</t>
  </si>
  <si>
    <t>Listed in CEP115 log but not in GB1 war diary. Capronis 36,31. Target type and bomb wgt not listed - assuming the usual 30x120mm Gros bombs.  Within a week "usines" are hit again at Volkingen and Bous, so am assuming the same this time.</t>
  </si>
  <si>
    <t>Bous</t>
  </si>
  <si>
    <t>Listed in CEP115 log but not in GB1 war diary. Caproni #51. Bomb wgt not listed; am assuming the usual 30x120mm Gros bombs.  Within a week "usines" are hit again at Volkingen and Bous, so am assuming the same this time.</t>
  </si>
  <si>
    <t>Work stopped in factories, businesses, &amp; shops during alerts. Alerts 1530-1620, 1645-1703.</t>
  </si>
  <si>
    <t>Villers-lés-Mangiennes</t>
  </si>
  <si>
    <t>Esch-sur-Alzette</t>
  </si>
  <si>
    <t>ALERT ONLY (MAY HAVE BEEN 3 MARCH) - "Great interruptions at depot."</t>
  </si>
  <si>
    <t>Bombs inside/outside foundry grounds: 1/1.  Glass &amp; rail signal connections damaged.</t>
  </si>
  <si>
    <t>Frescati &amp; Woelfling</t>
  </si>
  <si>
    <t>Blast furnaces</t>
  </si>
  <si>
    <t>T.O. 2100</t>
  </si>
  <si>
    <t>Bous, Volklingen; Deluce (?)</t>
  </si>
  <si>
    <t>Blast Furnaces &amp; Works; RR Stn</t>
  </si>
  <si>
    <t>CEP115 Log Image 0060</t>
  </si>
  <si>
    <t>Not in GB1 War Diary. Caproni #31 aborted with problems with Canton-Unne engine. Bomb #s &amp; wgts not given but consistently were 30x120mm Gros bombs per plane before and after this raid. Attack on RR stn might have been WX or mech diversion but log does not say so.</t>
  </si>
  <si>
    <t>Blast Furnaces &amp; Works</t>
  </si>
  <si>
    <t>Not in GB1 War Diary. Capronis #51,22,53. Bomb #s &amp; wgts not given but consistently were 30x120mm Gros bombs per plane before and after this raid. Attack on RR stn might have been WX or mech diversion but log does not say so.</t>
  </si>
  <si>
    <t>Not in GB1 War Diary. Caproni #20. Bomb #s &amp; wgts not given but consistently were 30x120mm Gros bombs per plane before and after this raid. Attack on RR stn might have been WX or mech diversion but log does not say so.</t>
  </si>
  <si>
    <t>Deluce (sp?)</t>
  </si>
  <si>
    <t>Not in GB1 War Diary. Caproni #40. Bomb #s &amp; wgts not given but consistently were 30x120mm Gros bombs per plane before and after this raid. Attack on RR stn might have been WX or mech diversion but log does not say so.</t>
  </si>
  <si>
    <t>AIR 1/2107 gave bombweight and says 9 bombers escorted by 6 fighters.</t>
  </si>
  <si>
    <t>36x65lb bombs dropped on Brebach &amp; 4x65lb on St.Avold rail stn.</t>
  </si>
  <si>
    <t>Work stopped in factories, businesses, &amp; shops during alerts. Clerk recording this was not consistent on AM/PM. Alert may have been 12 hours earlier.</t>
  </si>
  <si>
    <t>Varennes</t>
  </si>
  <si>
    <t>Over 3 tons of bombs (1 sqn)</t>
  </si>
  <si>
    <t>Mezeires</t>
  </si>
  <si>
    <t>MF25 -- AM PRESUMING THAT OBJECTIVE IS Maizières-Lès-Metz  --SCS</t>
  </si>
  <si>
    <t>HP</t>
  </si>
  <si>
    <t>GB1/VC110,VB114</t>
  </si>
  <si>
    <t>Arnaville; Ars-sur-Moselle (S of)</t>
  </si>
  <si>
    <t>T.O.2145. Dropped 48x120mm &amp; 8x155mm.</t>
  </si>
  <si>
    <t>Villeneuve</t>
  </si>
  <si>
    <t>GB1 War Diary Image 0144</t>
  </si>
  <si>
    <t>3 ALERTS: 2155-2230, 2300-2330, 0100-0250. - "Great interruptions at depot."</t>
  </si>
  <si>
    <t>Morchingen (Morhange)</t>
  </si>
  <si>
    <t>Bombweight from AIR 1/2107. Record says 6 bombers escorted by 3 fighters.  French intel said prisoners later described raid as very effective since several enemy aircraft had to be replaced.</t>
  </si>
  <si>
    <t>Moyeuvre</t>
  </si>
  <si>
    <t>NOT CLEAR WHETHER S.29 PLANES BOMBED ANYTHING. War Diary says "Accompanying photographic &amp; bombing mission of Moyeuvre". (the RNAS attack on Morchingen/Morhange?).  3 single-seat and 1 two-seater Sopwiths. One of the former went down in enemy lines &amp; was destroyed by French artillery.</t>
  </si>
  <si>
    <t>GB4 War Diary Image 0097</t>
  </si>
  <si>
    <t>Frankfurt A.M.</t>
  </si>
  <si>
    <t>S/Lt Jean Baumont flew 600 km. Bio &amp; photo on Kilduff, p.248.  Technically, a/c type is unknown, but N.23 had 2 Sopwith 2-seaters and the rest Nieuports &amp; Spads, so these raids were almost certainly done by the Sopwiths.  He was awarded the Légion d'Honneur on 19 April 1917.  Citation is in Paul Edson Green papers, National WWI Museum, Br.131 squadron history, "Livre d'Or: Escadrille 131" on the page with Baumont's bio.</t>
  </si>
  <si>
    <t>Moulins-lès-Metz</t>
  </si>
  <si>
    <t>Raid by HP #1460 of No.3 Wing RNAS; pilot was Sqn Cdr J.T.Babington - original objective was blast furnaces at Hagendingen</t>
  </si>
  <si>
    <t>Bous, Volklingen; Z(?)étingen</t>
  </si>
  <si>
    <t>Works; RR Stn</t>
  </si>
  <si>
    <t>CEP Log Images 0061-2 &amp; Middleton, V.3, p.142</t>
  </si>
  <si>
    <t>Not in GB1 War Diary. Log describes target as "works" (usines) but I'm specifying blast furnaces as target type.</t>
  </si>
  <si>
    <t>Not in GB1 War Diary. Log describes target as "works" (usines) but I'm specifying blast furnaces as target type. Capronis #20,26,22,52. Right LeRhone of #52 malfunctioned after bombing but apparently it landed normally.</t>
  </si>
  <si>
    <t>Not in GB1 War Diary. Log describes target as "works" (usines) but I'm specifying blast furnaces as target type. Capronis #30,51,53,40,54. #54 force-landed at Luxieuil with damage due to fog after bombing target.</t>
  </si>
  <si>
    <t>Z(?)étingen</t>
  </si>
  <si>
    <t>Not in GB1 War Diary. Log describes target as "works" (usines) but I'm specifying blast furnaces as target type. Caproni #31. Probably WX or mech divert but log doesn't say so.</t>
  </si>
  <si>
    <t>Arnaville; Bayonville; Frescaty; Maizeres-les-Metz</t>
  </si>
  <si>
    <t>RR stn; Troop huts; Airfield; Factory</t>
  </si>
  <si>
    <t>Bombed 2230-0040.</t>
  </si>
  <si>
    <t>Damage to Mine St. Paul and to "Machinery, Apparatus, switches"</t>
  </si>
  <si>
    <t>16 bombs on aerodrome killed 13 horses &amp; wounded 2 men.</t>
  </si>
  <si>
    <t>COSTS PARTIALLY ESTIMATED BECAUSE 1 INSURANCE CO DIDN'T REPORT EACH RAID'S DAMAGE SEPARATELY. POST-1918 AIRRAID CLAIMS DIVIDED PROPORTIONATELY BETWEEN THE LAST 2 RAIDS (16 &amp; 25 SEP)</t>
  </si>
  <si>
    <t>NARA 990, Roll 58, p. 001100</t>
  </si>
  <si>
    <t>Bombing target: 1910-1940. 3 BM bombers; 1 other got lost &amp; RTB, where it crashed. 96x115mm bombs. (I'm assuming these are the 8kg short 115mm bombs, not the 20kg long 115mm bombs.)  Although this raid was listed in the GB4 War Diary, BM120 may have been part of GB5 at this time.</t>
  </si>
  <si>
    <t>GB4/F130</t>
  </si>
  <si>
    <t>Sarre Valley (Rail lines Metz-Maizières &amp; Metz-Conflans as far as Chatel)</t>
  </si>
  <si>
    <t>4 Farman F.40s. 24x155mm shells, which the War Diary says is 528kg (22kg each vice 25). Could not observe results on this very dark night.</t>
  </si>
  <si>
    <t>GB4 War Diary Images 0097-8</t>
  </si>
  <si>
    <t>5 ALERTS: 2100-2118, 2245-2320, 0055-0110, 0200-0235, 0255-0320  - "Great interruptions at depot."</t>
  </si>
  <si>
    <t>2 RAIDS &amp; 1 ALERT ON THIS NIGHT (17/18 MAR 1917). CASUALTIES &amp; DIRECT DAMAGE UNKNOWN. LOSS IN PRODUCTION OF IRON @ 498M PER TON.</t>
  </si>
  <si>
    <t>Factories (&amp; rail?)</t>
  </si>
  <si>
    <t>More than 1 squadron</t>
  </si>
  <si>
    <t>ALERT AT 2120; LIGHTS OUT AT 2125 - "Great interruptions at depot."</t>
  </si>
  <si>
    <t>AIR 1/2107 says  6 bombers escorted by 3 fighters; agrees on weight of bombs.</t>
  </si>
  <si>
    <t>Herméville-en-Woëvre</t>
  </si>
  <si>
    <t>2 tons of bombs</t>
  </si>
  <si>
    <t>Montfaucon Woods</t>
  </si>
  <si>
    <t>Braquis Wood</t>
  </si>
  <si>
    <t>Étain</t>
  </si>
  <si>
    <t>Fr./MF25</t>
  </si>
  <si>
    <t>Thionville &amp; Briey Basin</t>
  </si>
  <si>
    <t>Factories in Briey</t>
  </si>
  <si>
    <t>1 ton of bombs dropped (source Middleton) - MF25 bombed Briey</t>
  </si>
  <si>
    <t>Middleton, V.3, p.142 lists Thionville (no sqn listed)</t>
  </si>
  <si>
    <t>4 ALERTS: 2120-2300, 0015-0115, 0120-0230, 0350-0415 - "Lights at depot extinguished over 4 hours. Great traffic interruptions."</t>
  </si>
  <si>
    <t>5 ALERTS ON THIS NIGHT (25/26 MAR 1917). CASUALTIES &amp; DIRECT DAMAGE UNKNOWN. LOSS IN PRODUCTION OF IRON @ 498M PER TON.</t>
  </si>
  <si>
    <t>AM PRESUMING THAT OBJECTIVE IS Maizières-Lès-Metz  --SCS</t>
  </si>
  <si>
    <t>Alert only.</t>
  </si>
  <si>
    <t>Damage to buildings.</t>
  </si>
  <si>
    <t>HP #1460 of No.3 Wing RNAS, pilot FSL E.B. Waller</t>
  </si>
  <si>
    <t>FE2</t>
  </si>
  <si>
    <t>Izel-lès-Hameau</t>
  </si>
  <si>
    <t>G.K. Williams Summary</t>
  </si>
  <si>
    <t>ALERT ONLY - RECORD COULD BE INTERPRETED OTHER WAYS, BUT NOT LIKELY. APPARENTLY DAYTIME RAID.  NO EXTINGUISHING OF LIGHTS MENTIONED.</t>
  </si>
  <si>
    <t>RR Stn,Sidings,Aerodrome</t>
  </si>
  <si>
    <t>RR Stn,Sidings</t>
  </si>
  <si>
    <t>Rail Line to Arras</t>
  </si>
  <si>
    <t>Trains &amp; Stn near Douai</t>
  </si>
  <si>
    <t>3 ALERTS: 2217-2240, 2310-2325, 2340-0020.  "Traffic interruptions"</t>
  </si>
  <si>
    <t>Iron Wrks</t>
  </si>
  <si>
    <t>HP #1459 of 3 Wing RNAS; pilot FSL J.F.Jones -- record only in AIR 12107, not in other lists of 3 Wing Activity</t>
  </si>
  <si>
    <t>Depot &amp; Aerodrm</t>
  </si>
  <si>
    <t>HP #1460 of 3 Wing RNAS; pilot FSL E.B. Waller -- record only in AIR 12107, not in other lists of 3 Wing Activity</t>
  </si>
  <si>
    <t>Trains near Douai</t>
  </si>
  <si>
    <t>Juniville, Pont Faverger; ?</t>
  </si>
  <si>
    <t>RR stns; Airfield</t>
  </si>
  <si>
    <t>T.O.2130-2240 of 13 Voisins; 10 bombed, 2 did recce, 1 strafed airfield with cannon fire. Bombs/shells dropped/fired: 102x120mm; 31x155mm; 10x37mm (cannon shells). This calculates to 1801 kg, War Diary says 1833 kg.  CHANGED "VOISIN" TO "VOISIN8" BASED ON D&amp;S INFO THAT NO VOISIN 5s REMAINED AFTER DEC1915 - CORROBORATED BY BOMBWGT/PLANE DATA.</t>
  </si>
  <si>
    <t>GB1 War Diary Image 0145</t>
  </si>
  <si>
    <t>CEP115</t>
  </si>
  <si>
    <t>Courcelles s/ Nied; Dieuze</t>
  </si>
  <si>
    <t>RR stn (prob.); Barracks</t>
  </si>
  <si>
    <t>CEP115 Log Images 0063-4</t>
  </si>
  <si>
    <t>Martel 211 (Fr. Version) says CEP115 left GB1 on 7APR1917. Capronis #40,15,53 weather-aborted. FIRST USE OF 120mm (50 kg) Gros bombs.</t>
  </si>
  <si>
    <t>Courcelles s/ Nied</t>
  </si>
  <si>
    <t>RR Stn (probably)</t>
  </si>
  <si>
    <t>Am presuming Courcelles target was RR stn since all other Courcelles strikes were there.  Bombed by Capronis 22,20,31.</t>
  </si>
  <si>
    <t>Bombed by Capronis 51 &amp; 52.</t>
  </si>
  <si>
    <t>6 ALERTS: 2108-2240, 2245-0010, 0045-0150, 0200-0240, 0310-0355, 0410-0420. LIGHTS EXTINGUISHED AT 2110.  "Because of darkness, Engineer Petold fell into turning platform.  Received head &amp; shoulder injuries.  Lights at depot extinguished over 6 hours. Interruptions at coaling station."</t>
  </si>
  <si>
    <t>Nine "torpedoes" (incl. 3 duds) dropped during the night of 13/14 April.  No damage.</t>
  </si>
  <si>
    <t>3 ALERTS. LOSS IN PRODUCTION OF IRON @ 498M PER TON.</t>
  </si>
  <si>
    <t>Morning Raid: 1105-1345. Escorted by 5 Sopwith fighters (not counted), of which 2 did not return. Much damage and several fires seen in center of town.</t>
  </si>
  <si>
    <t>Afternoon Raid: 1530-1820. Accompanied by 3 Sopwith fighters (not counted), of which 1 did not return.</t>
  </si>
  <si>
    <t>War Diary says this is a reprisal raid in response to the sinking of a hospital ship.  Six single-seat Sopwith bombers, 5 two-seat Sopwith protection planes from S.29 plus 3 Nieuport single-seaters from Groupe 515.  Am assuming the two-seaters did not drop bombs because the British ones didn't.  Dropped 22x65lb "English" bombs. Results in town not seen but British flyers saw lots of damage &amp; fires in center of town. BRITISH record AIR 12107 says 15 French planes (6 bombers and 9 fighters, including 1 Spad not mentioned by the French) accompanied No.3 Wing on this reprisal raid.  Says 25 British machines (15 bombers and 8 fighters) dropped 3900 lbs and French dropped 1564 lbs. The latter appears to assume the S.29 dropped 24 bombs, 4 per plane, vice 22.  MARTEL (p.235) matches War Diary.</t>
  </si>
  <si>
    <t>GB4 War Diary Images 0099-0100; AIR 1/2107; AIR 1/648/17/122/397; Martel 235</t>
  </si>
  <si>
    <t>Betheniville</t>
  </si>
  <si>
    <t>Recce flight &amp; bombing mission by 1 Voisin.  T.O.2145.  Dropped 10x120mm &amp; 3x155mm.</t>
  </si>
  <si>
    <t>Damage to park &amp; clearing grounds; lighting &amp; phone lines</t>
  </si>
  <si>
    <t>ALERT ONLY - "Delay in engine movements."</t>
  </si>
  <si>
    <t>Trains near Douai; Trucks</t>
  </si>
  <si>
    <t>Total abort due to high winds &amp; low clouds.</t>
  </si>
  <si>
    <t>GB1 War Diary Image 0146</t>
  </si>
  <si>
    <t>Berru &amp; Epoy</t>
  </si>
  <si>
    <t>Troops on the march</t>
  </si>
  <si>
    <t>Presumably VC110 - fired cannon shells at troops at 1045</t>
  </si>
  <si>
    <t>Rethel, Semides, La Neuville, Pont Faverger, Juniville; Betheniville to Pont-Faverger</t>
  </si>
  <si>
    <t>Bombed rail stns 2340-0135. One Voisin fired 15 cannon shells at a train (I AM INCLUDING THOSE IN BOMB WGT.)   CHANGED "VOISIN" TO "VOISIN8" BASED ON D&amp;S INFO THAT NO VOISIN 5s REMAINED AFTER DEC1915 - CORROBORATED BY BOMBWGT/PLANE DATA.</t>
  </si>
  <si>
    <t>Amagne-Lucquy, Le Chatelet sur Retourne, Warmierville, Pont Faverger; Chateau-Porcieu &amp; Nanteuil sur Aisne regions; others</t>
  </si>
  <si>
    <t>RR stns; Bivouacs; Various</t>
  </si>
  <si>
    <t>T.O. 2150-2335. 13 bombed, one shelled various targets with cannon fire. Dropped 122x120mm; 27x155mm, fired 21x37mm shells. War Diary totaled bomb weight incorrectly.</t>
  </si>
  <si>
    <t>Isles s/ Suippes</t>
  </si>
  <si>
    <t>Dropped bombs on some lights during a reconnaissance mission.</t>
  </si>
  <si>
    <t>GB1 War Diary Image 0147</t>
  </si>
  <si>
    <t>Rhordorf (maybe)</t>
  </si>
  <si>
    <t>Attempt to bomb Oberndorf at night with 2 Sopwith single-seat bombers. Mission 0345-0655. Sea of clouds. 1 bombed a rail jtn with 4x65lb English bombs; the other RTB with his bombs.</t>
  </si>
  <si>
    <t>GB4 War Diary Images 0100-0101</t>
  </si>
  <si>
    <t>GB1/SOP66,111</t>
  </si>
  <si>
    <t>Maurel, Grateuil</t>
  </si>
  <si>
    <t>6 Sop. Strutters on a morning raid</t>
  </si>
  <si>
    <t>Amagne-Lucquy, Warmierville, Pont Faverger, Betheniville; Neuville &amp; Epoye; Merlan farm</t>
  </si>
  <si>
    <t>RR stns; Bivouacs</t>
  </si>
  <si>
    <t>T.O. 2100-2145; 1 of the 9 Voisins fired cannon at targets. Bomb wgt totals don't add up; am just using War Diary's total.  CHANGED "VOISIN" TO "VOISIN8" BASED ON D&amp;S INFO THAT NO VOISIN 5s REMAINED AFTER DEC1915 - CORROBORATED BY BOMBWGT/PLANE DATA.</t>
  </si>
  <si>
    <t>GB4/F.130</t>
  </si>
  <si>
    <t>Neuenbourg (Neuenburg am Rhein)</t>
  </si>
  <si>
    <t>Bombing 2150-2245. 5 Farmans dropping 30x155mm. No results seen. 1 fatal crash on return.</t>
  </si>
  <si>
    <t>Farman</t>
  </si>
  <si>
    <t>Luxeuil-les-Bains</t>
  </si>
  <si>
    <t>GB4 War Diary Image 0101</t>
  </si>
  <si>
    <t>Trains,Stn,MT near Douai</t>
  </si>
  <si>
    <t>Juniville, Bazancourt, Machault, Pont-Faverger, Warmierville, Amagne-Lucquy, Bethienville, Selles (bivouacs), Catelet (stn &amp; airfield)</t>
  </si>
  <si>
    <t>13 Voisins T.O. 2100-2130; 3 T.O. again 0130-0200.</t>
  </si>
  <si>
    <t>1 RAID &amp; 3 ALERTS ON THIS NIGHT (26/27 APR 1917). CASUALTIES &amp; DIRECT DAMAGE UNKNOWN. LOSS IN PRODUCTION OF IRON @ 498M PER TON.</t>
  </si>
  <si>
    <t>Epoye (region of)</t>
  </si>
  <si>
    <t>T.O. 2200-2245.</t>
  </si>
  <si>
    <t>GB1 War Diary Image 0148</t>
  </si>
  <si>
    <t>Pont-Faverger &amp; Betheniville</t>
  </si>
  <si>
    <t>T.O.2145-2200; bombed 2225-2310.</t>
  </si>
  <si>
    <t>Pont-Faverger</t>
  </si>
  <si>
    <t>T.O. 0015-0045.</t>
  </si>
  <si>
    <t>Bombed at 1310 with 8x65lb English bombs. 3 Sopwith bombers and 4 fighters (not counted) took off to raid Habsheim airfield. 1 bomber could not take off and 2 fighters force-landed with engine trouble before reaching the target. Crews saw 10 hangers and lots of construction at airfield.</t>
  </si>
  <si>
    <t>GB4 War Diary Images 0101-2</t>
  </si>
  <si>
    <t>Colmar; Herlisheim (E. of)</t>
  </si>
  <si>
    <t>Airfield; ?</t>
  </si>
  <si>
    <t xml:space="preserve">3 Sopwith bombers were accompanied by 1 Sopwith fighter.  Colmar airfield was the original target but was reached by only 1 bomber which dropped 4x65lb English bombs at 1315. 2nd bomber was waylaid by 2 German defenders and dropped same amount on target of convenience. Doesn't say what happened to the 3rd bomber.  10 photos taken over Colmar. </t>
  </si>
  <si>
    <t>Maison-Bleue</t>
  </si>
  <si>
    <t>13 Strutters escorted by 10 SPADs in morning raid - T.O.1000-1025 - 2 fights on return</t>
  </si>
  <si>
    <t>Amagne-Lucquy, Betheniville, Warmierville; Pont Faverger, Juniville; St-Pierre to St-Etienne à Arnes</t>
  </si>
  <si>
    <t>T.O.2100-2230; 8 Voisins from each escadrille</t>
  </si>
  <si>
    <t>Colmar; Mulheim; Schlestadt (near); Black Forest</t>
  </si>
  <si>
    <t>Airfield, Rail Stn, Trains, Factory</t>
  </si>
  <si>
    <t>GB4 War Diary Image 0102</t>
  </si>
  <si>
    <t>Five Farmans T.O., 1 RTB with engine trouble. Each bombed their own target with 6x155mm = 132kg. Two pilots punished for not following orders tho I am not clear on the details.</t>
  </si>
  <si>
    <t>Five Farmans T.O., 1 RTB with engine trouble. Each bombed their own target with 6x155mm = 132kg. Two pilots punished for not following orders tho I am not clear on the details.  CORRECT SPELLING IS Müllheim.</t>
  </si>
  <si>
    <t>Schlestadt (near)</t>
  </si>
  <si>
    <t>Trains</t>
  </si>
  <si>
    <t>Black Forest</t>
  </si>
  <si>
    <t>Thionville, Carlschutte, Bensdorf</t>
  </si>
  <si>
    <t>RR Stn; Works; RR Stn</t>
  </si>
  <si>
    <t>CEP115 Log Images 0066-7</t>
  </si>
  <si>
    <t>CEP115 was not mentioned in GB1 War Diary after 15FEB1917 and may no longer be part of GB1.  Caproni #16 crashed on takeoff on this date and the log entry is in the middle of the raid entries.  Does not specifically say so, but I'm assuming it was supposed to go on the bombing raid. Caproni #52 had to abort Thionville raid with trouble with right LeRhone engine.</t>
  </si>
  <si>
    <t>Capronis #22,51,26,30,20</t>
  </si>
  <si>
    <t>Carlschutte</t>
  </si>
  <si>
    <t>Capronis #31,40. Log says target was "Works"; Mauer Mauer says Karlschutten was steel works; also refers to it as Carl Foundry.  No bombs hit there that day or any day near it.</t>
  </si>
  <si>
    <t>Caproni #15</t>
  </si>
  <si>
    <t>Trains,Stn near Douai</t>
  </si>
  <si>
    <t>Chatelet s/ Retourne; Pont Faverger &amp; Warmeriville; Merland farm; St-Soupplet</t>
  </si>
  <si>
    <t>Airfield; RR stns; airfield; bivouacs</t>
  </si>
  <si>
    <t>Voisin units - 9 of 13 bombed airfield - T.O.2030-2400; bombed 2130-0100.  CHANGED "VOISIN" TO "VOISIN8" BASED ON D&amp;S INFO THAT NO VOISIN 5s REMAINED AFTER DEC1915 - CORROBORATED BY BOMBWGT/PLANE DATA.</t>
  </si>
  <si>
    <t>GB1 War Diary Image 0149</t>
  </si>
  <si>
    <t>RECORD IS CONFUSING.  2 ALERTS, 2305-0005 &amp; 0020-0110.  MAY HAVE OCCURRED THE PREVIOUS NIGHT OR AT 1105 &amp; 1220 THAT DAY. "Great traffic interruptions."</t>
  </si>
  <si>
    <t>Sissone</t>
  </si>
  <si>
    <t>Camp</t>
  </si>
  <si>
    <t>8 Sopwiths &amp; 10 SPAD escorts - bombed at 1015.</t>
  </si>
  <si>
    <t>Chatelet, le Merland; Pont Faverger</t>
  </si>
  <si>
    <t>Airfields; RR stns</t>
  </si>
  <si>
    <t>11 Voisins T.O. 2110-2330 (1 made 2 sorties). 7 bombed Chatelet airfield.</t>
  </si>
  <si>
    <t>Total abort due to weather. 1 force-landed without damage; unknown number of others RTB.</t>
  </si>
  <si>
    <t>Lahr</t>
  </si>
  <si>
    <t>Airship shed</t>
  </si>
  <si>
    <t>1 Farman dropped 6x155mm shells (22kg each) at 2400 hours. Results not seen.</t>
  </si>
  <si>
    <t>GB4/Sop123</t>
  </si>
  <si>
    <t>3 Sopwith bombers and 3 Sopwith fighters (not counted) attacked at 0700. Each bomber dropped 4x65lb English bombs.  1 fighter was a photo plane that took 3 photos.  Attacked by 2 enemy planes on the way back but all RTB.</t>
  </si>
  <si>
    <t>GB4 War Diary Image 0103</t>
  </si>
  <si>
    <t>Valenciennes &amp; Somain</t>
  </si>
  <si>
    <t>Rail Stn &amp; Trains</t>
  </si>
  <si>
    <t>Valenciennes</t>
  </si>
  <si>
    <t>Goods Stn</t>
  </si>
  <si>
    <t>Somain, Cantin, Escaudin</t>
  </si>
  <si>
    <t>La Goules</t>
  </si>
  <si>
    <t>Chatelet s/ Retourne;Bethienville; Pont Faverger; between St-Hilaire-le-Petit &amp; St-Martin le Heureux</t>
  </si>
  <si>
    <t>Airfield; 2 RR stns; Bivouac</t>
  </si>
  <si>
    <t>T.O. 2100-2330; 14 a/c; 15 sorties. Caused huge fire &amp; explosions at Chatelet at 0025. All but 4 planes hit the airfield, the main objective. Two nighttime air combats. Esc.114 participated in this raid.  CHANGED "VOISIN" TO "VOISIN8" BASED ON D&amp;S INFO THAT NO VOISIN 5s REMAINED AFTER DEC1915 - CORROBORATED BY BOMBWGT/PLANE DATA.</t>
  </si>
  <si>
    <t>GB1 War Diary Image 0150</t>
  </si>
  <si>
    <t>GB1/S.111</t>
  </si>
  <si>
    <t>Orfeuil (SW of)</t>
  </si>
  <si>
    <t>Camp of Huts</t>
  </si>
  <si>
    <t>T.O. 0330. Bombed 0500. One single-seater Sopwith.</t>
  </si>
  <si>
    <t>Thionville; Carlschutte (at Thionville); maybe Courcelles RR stn</t>
  </si>
  <si>
    <t>RR Stn &amp; Bridge; Works</t>
  </si>
  <si>
    <t>CEP115 Log Image 0067</t>
  </si>
  <si>
    <t>It appears that Caproni #22 was sent to Courcelles to bomb RR stn but had to abort with engine trouble.  This is the interpretation I'm using in this database entry.  A less likely interpretation of the sketchy notes (since it doesn't list numbers of bombs) is that it diverted to Courcelles with engine trouble and bombed it.</t>
  </si>
  <si>
    <t>RR Stn &amp; Bridge</t>
  </si>
  <si>
    <t>Capronis 20,51,26,52 targeted Thionville RR stn &amp; bridge.</t>
  </si>
  <si>
    <t>Works (Steel Foundry)</t>
  </si>
  <si>
    <t>Capronis #31 &amp; 30 bombed Carlschutte Works in Thionville - or thought they did.</t>
  </si>
  <si>
    <t>Essigny-le-Petit</t>
  </si>
  <si>
    <t>D&amp;S: Paul Schmitt bombers - "successful" raid</t>
  </si>
  <si>
    <t>Paul Schmitt</t>
  </si>
  <si>
    <t>3 ALERTS - 0120-0230, 0245-0315, 0320-0420.  LIGHTS EXTINGUISHED AT 0120, APPARENTLY FOR THE WHOLE TIME.  "Great traffic interruptions."</t>
  </si>
  <si>
    <t>Raid from 11.50PM to 12.20AM.  [INFO IN MAUER MAUER WAS GARBLED; CORRECTED WITH MICROFILM.]  Damage done to property of 122 people but 47 [of them] who were insured did not report amount.  Fire in lumber yard; damage to military treasury again, church, restaurant, bank, houses.  Injured man paid 75M charity.  RR lines and shops, plus some factories, stopped during alerts.</t>
  </si>
  <si>
    <t>421, NARA Roll 58</t>
  </si>
  <si>
    <t>Night of 2/3 May about 22 bombs…no damage…</t>
  </si>
  <si>
    <t>Bombs dropped at Treasury bldg of factory</t>
  </si>
  <si>
    <t>GB4/Sop29</t>
  </si>
  <si>
    <t>Bombed at 0600. 4 Sopwith bombers &amp; 3 Sopwith fighters of S.29 &amp; 1 Nieuport of Groupe 515. 4x65lb English bombs per bomber.  Planes heavily shelled by AAA crossing the lines and above Colmar. 1 bomber force-landed with engine trouble on the way back.  No results seen.</t>
  </si>
  <si>
    <t>Bombed at 2215 by 2 Farmans with 12x155mm bombs.</t>
  </si>
  <si>
    <t>Lens,Mericourt,Carvin,...</t>
  </si>
  <si>
    <t>Trains,Stns,Aerodrome</t>
  </si>
  <si>
    <t>Lens</t>
  </si>
  <si>
    <t>Train Stn</t>
  </si>
  <si>
    <t>2 trains</t>
  </si>
  <si>
    <t>Beaumony</t>
  </si>
  <si>
    <t>Mericourt</t>
  </si>
  <si>
    <t>Trains in Stn</t>
  </si>
  <si>
    <t>Carvin</t>
  </si>
  <si>
    <t>Courrieres (N of...)</t>
  </si>
  <si>
    <t>GB4/SOP123</t>
  </si>
  <si>
    <t>Sierentz (Sierens ?)</t>
  </si>
  <si>
    <t>3 Sopwith bombers &amp; 3 Sopwith fighters &amp; 1 Nieuport of Groupe 515. Dropped 12 "English" bombs of 65lb at 0615 hours. Heavy AAA.  Attacked by about a dozen Germans.  1 bomber down in flames.</t>
  </si>
  <si>
    <t>GB4 War Diary Images 0103-4</t>
  </si>
  <si>
    <t>Douai (vicinity)</t>
  </si>
  <si>
    <t>Juniville; Chatelet s/ Retourne;Bethienville; Ville s/ Retourne</t>
  </si>
  <si>
    <t>Rail stn; airifield; RR stn; Lights</t>
  </si>
  <si>
    <t>T.O.2130-0100. 18 a/c; 19 sorties. Violent fire started at Juniville rail stn. Esc.110 &amp; 114 (others?) were involved.  CHANGED "VOISIN" TO "VOISIN8" BASED ON D&amp;S INFO THAT NO VOISIN 5s REMAINED AFTER DEC1915 - CORROBORATED BY BOMBWGT/PLANE DATA.</t>
  </si>
  <si>
    <t>1 RAID ON THIS NIGHT (4/5 MAY 1917). CASUALTIES &amp; DIRECT DAMAGE UNKNOWN. LOSS IN PRODUCTION OF IRON @ 498M PER TON.</t>
  </si>
  <si>
    <t>GB1/S.66,S.111</t>
  </si>
  <si>
    <t>Chamouille, Vorges RR stn; Bruyeres; Chernizy; Corbeny</t>
  </si>
  <si>
    <t>Mission 0840-1220.</t>
  </si>
  <si>
    <t>GB1 War Diary Image 0151</t>
  </si>
  <si>
    <t>Time given as midnight; presumably means 2400 vice 0000.  (Total damage in 8 raids: to town 19,000 francs; to Athus-Grevegne Works 400,000 francs.)</t>
  </si>
  <si>
    <t>Dorignies</t>
  </si>
  <si>
    <t>Aerodrome, Factory</t>
  </si>
  <si>
    <t>Juniville; Chatelet s/ Retourne; Machault; Warmierville; Pont-Faverger; Bethienville;</t>
  </si>
  <si>
    <t>5 RR stns; huts</t>
  </si>
  <si>
    <t>T.O.2110-0105. 1 Voisin-Canon fired 10x37mm shells at rail stn &amp; huts. War Diary incorrectly implies 37mm shell weighed 5kg instead of 0.5 kg. 19 planes; 20 sorties.  CHANGED "VOISIN" TO "VOISIN8" BASED ON D&amp;S INFO THAT NO VOISIN 5s REMAINED AFTER DEC1915 - CORROBORATED BY BOMBWGT/PLANE DATA.</t>
  </si>
  <si>
    <t>Aerodrome &amp; Other Targets</t>
  </si>
  <si>
    <t>"Other Targets"</t>
  </si>
  <si>
    <t>T.O.2100. Total abort due to fog and strong west wind.  CHANGED "VOISIN" TO "VOISIN8" BASED ON D&amp;S INFO THAT NO VOISIN 5s REMAINED AFTER DEC1915 - CORROBORATED BY BOMBWGT/PLANE DATA.</t>
  </si>
  <si>
    <t>Varennes (near)</t>
  </si>
  <si>
    <t>Mission 0905-1130. 4 biplace Sopwiths. Max altitude 3500 meters.</t>
  </si>
  <si>
    <t>Maure &amp; Somme-Py (between)</t>
  </si>
  <si>
    <t>"Enemy infrastructure"</t>
  </si>
  <si>
    <t>Sopwith that forcelanded w/ mech trouble this day T.O. again at 1335, escorted by a Sopwith of C.43.  GB1 Sopwith dropped 4x120mm bombs; don't know if C.43 a/c did.</t>
  </si>
  <si>
    <t>Trains &amp; Searchlight</t>
  </si>
  <si>
    <t>Searchlight</t>
  </si>
  <si>
    <t>Maure, Varennes</t>
  </si>
  <si>
    <t>Rail line &amp; troop billets</t>
  </si>
  <si>
    <t>T.O. 0715-0745. Biplace Sopwiths</t>
  </si>
  <si>
    <t>GB1 War Diary Image 0152</t>
  </si>
  <si>
    <t>Amagne-Lucquy, Selles, St-Masmes, Pont-Faverger, Warmeriville</t>
  </si>
  <si>
    <t>RR stns &amp; munitions depots</t>
  </si>
  <si>
    <t>Mission 2300-0230.  CHANGED "VOISIN" TO "VOISIN8" BASED ON D&amp;S INFO THAT NO VOISIN 5s REMAINED AFTER DEC1915 - CORROBORATED BY BOMBWGT/PLANE DATA.</t>
  </si>
  <si>
    <t>Pont-Faverger, Betheniville, St.Hillaire-le-Petit</t>
  </si>
  <si>
    <t>Mission 0040-0400. Avion-canon fired 12 shells at troop billets. [Esc. VC110 is assumed based on narrative]</t>
  </si>
  <si>
    <t>GB1 War Diary Image 0153</t>
  </si>
  <si>
    <t>Juniville, Epoye, Warmeriville, Betheniville; Juniville (S of), Neuville-en-Tourne to Fuy</t>
  </si>
  <si>
    <t>RR stns?; bivouacs</t>
  </si>
  <si>
    <t>T.O.2200-0115.  [The bombweight in this record differs from the total given in the report - 2230kg - because it assumes 37mm shells weighed 2 kg each instead of 0.555 kg.] .  CHANGED "VOISIN" TO "VOISIN8" BASED ON D&amp;S INFO THAT NO VOISIN 5s REMAINED AFTER DEC1915 - CORROBORATED BY BOMBWGT/PLANE DATA.</t>
  </si>
  <si>
    <t>ALERT ONLY - "Great traffic interruptions."</t>
  </si>
  <si>
    <t>Betheniville, Pont Faverger</t>
  </si>
  <si>
    <t>T.O.1500.  9 air combats</t>
  </si>
  <si>
    <t>Rethel, Amagne-Lucquy</t>
  </si>
  <si>
    <t>T.O.0000-0130. Started fire at A-L. 1 plane bombed from 300 meters. [I calculate 2450 kg; War Diary says 2375kg.] .  CHANGED "VOISIN" TO "VOISIN8" BASED ON D&amp;S INFO THAT NO VOISIN 5s REMAINED AFTER DEC1915 - CORROBORATED BY BOMBWGT/PLANE DATA.</t>
  </si>
  <si>
    <t>Challerange &amp; Mont-Fauxelles; St. Marie a Py to Somme-Py</t>
  </si>
  <si>
    <t>Rail &amp; camps; railway</t>
  </si>
  <si>
    <t>T.O.0900-0930. 15 Sopwiths of which 1 was single-seater</t>
  </si>
  <si>
    <t>GB1 War Diary Image 0154</t>
  </si>
  <si>
    <t>Vouziers; Semide &amp; Orfeuille</t>
  </si>
  <si>
    <t>Rail Stn; Munitions Depots</t>
  </si>
  <si>
    <t>T.O. 2155-2340. 1 a/c that did not complete mission was not accounted for in War Diary so numbers here don't add up.  Also the total bomb wgt in the War Diary doesn't match the numbers of bombs (180x120mm &amp; 48x155mm), so I'm not using the War Diary total.  CHANGED "VOISIN" TO "VOISIN8" BASED ON D&amp;S INFO THAT NO VOISIN 5s REMAINED AFTER DEC1915 - CORROBORATED BY BOMBWGT/PLANE DATA.</t>
  </si>
  <si>
    <t>Maulan</t>
  </si>
  <si>
    <t>Caproni #51 aborted after AAA hit. Raid by Capronis #20,37,26 (twice), 57 (twice), 36, 30.</t>
  </si>
  <si>
    <t>CEP115 Log Images 0070-1</t>
  </si>
  <si>
    <t>3 ALERTS - 2240-2330, 0010-0020, 0232-0240.  LIGHTS EXTINGUISHED AT 2240, APPARENTLY FOR THE WHOLE TIME.  "Great traffic interruptions."</t>
  </si>
  <si>
    <t>Machault</t>
  </si>
  <si>
    <t>T.O. 0900. 19 Sopwiths &amp; 8 Spad escorts of N.37 - 3 bombers turned back - 15 hit target &amp; 1 hit RR stn south of there. 1 Spad did not return.</t>
  </si>
  <si>
    <t>[Illegible] Baden</t>
  </si>
  <si>
    <t>Caproni #30</t>
  </si>
  <si>
    <t>CEP115 Log Image 0071</t>
  </si>
  <si>
    <t>Capronis #20,37,36,51,57.</t>
  </si>
  <si>
    <t>Don</t>
  </si>
  <si>
    <t>Aire[-sur-la-Lys] (Trexennes Aerodrome)</t>
  </si>
  <si>
    <t>Damage to houses.  (Total damage in 8 raids: to town 19,000 francs; to Athus-Grevegne Works 400,000 francs.)</t>
  </si>
  <si>
    <t>Don, St. Sauveur</t>
  </si>
  <si>
    <t>St. Sauveur</t>
  </si>
  <si>
    <t>Thionville and Lumes</t>
  </si>
  <si>
    <t>Capronis #37,51,26,36,57,30. #57 reported one MG bullet in back propeller.</t>
  </si>
  <si>
    <t>Chatelet-sur-Retourne &amp; Warmeriville</t>
  </si>
  <si>
    <t>Munitions Depots</t>
  </si>
  <si>
    <t>Mission 2130-0300. 1 aborted due to sick observer; 1 got lost and crashed on landing. War Diary mentions 15 planes but 1 sortied twice.  CHANGED "VOISIN" TO "VOISIN8" BASED ON D&amp;S INFO THAT NO VOISIN 5s REMAINED AFTER DEC1915 - CORROBORATED BY BOMBWGT/PLANE DATA.</t>
  </si>
  <si>
    <t>GB1 War Diary Image 0155</t>
  </si>
  <si>
    <t>Nouvion-Catillon</t>
  </si>
  <si>
    <t>D&amp;S: Paul Schmitt bombers</t>
  </si>
  <si>
    <t>2 ALERTS: 2310-2325, 0010-0040.  "Great traffic interruptions."</t>
  </si>
  <si>
    <t>Lille (a few sites near)</t>
  </si>
  <si>
    <t>Rail Targets, Aerodrome</t>
  </si>
  <si>
    <t>Ascq (near Lille)</t>
  </si>
  <si>
    <t>Tournai(near Lille)</t>
  </si>
  <si>
    <t>Tourmignies (probably)</t>
  </si>
  <si>
    <t>Machault, Semide, Juniville, Amagne-Lucquy</t>
  </si>
  <si>
    <t>Mission 2150-0200.  CHANGED "VOISIN" TO "VOISIN8" BASED ON D&amp;S INFO THAT NO VOISIN 5s REMAINED AFTER DEC1915 - CORROBORATED BY BOMBWGT/PLANE DATA.</t>
  </si>
  <si>
    <t>Faienceries,Templeuve</t>
  </si>
  <si>
    <t>Rail Targets (Goods)</t>
  </si>
  <si>
    <t>Faienceries</t>
  </si>
  <si>
    <t>Templeuve</t>
  </si>
  <si>
    <t>Lille, Mouscron (vic.)</t>
  </si>
  <si>
    <t>Comines</t>
  </si>
  <si>
    <t>Wervicq</t>
  </si>
  <si>
    <t>La Madeleine</t>
  </si>
  <si>
    <t>Menin Stn</t>
  </si>
  <si>
    <t>Rolling Stock</t>
  </si>
  <si>
    <t>Warneton</t>
  </si>
  <si>
    <t>Cross Roads</t>
  </si>
  <si>
    <t>Wasquehal</t>
  </si>
  <si>
    <t>Courtrai,Menin,etc.</t>
  </si>
  <si>
    <t>Rail Stns, Trains</t>
  </si>
  <si>
    <t>Quesnoy (just S of...)</t>
  </si>
  <si>
    <t>Avelchen</t>
  </si>
  <si>
    <t>Courtrai Stn</t>
  </si>
  <si>
    <t>Trains &amp; Rolling Stock</t>
  </si>
  <si>
    <t>Quesnoy - Comines Line</t>
  </si>
  <si>
    <t>Kilduff, C&amp;C V.15,#1, p.11</t>
  </si>
  <si>
    <t>Capronis #37,26,51,20,15,36,30,53 bombed Morhange; #22 left for there but had to abort after 10 minutes w/ trouble with the right LeRhone engine.</t>
  </si>
  <si>
    <t>CEP115 Log Images 0072-3</t>
  </si>
  <si>
    <t>Caproni #57 bombed Bensdorf tho 9 others left for Morhange. This may have been originally intended to hit Morhange, but the log does not say so. Am ASSUMING that the Bensdorf target was the RR stn since it was the previous week.</t>
  </si>
  <si>
    <t>CEP115 Log Image 0072</t>
  </si>
  <si>
    <t>During the night of June 3/4 15 bombs fell on the colony.  Only a slight amount of material damage…One bomb fell on steel mill w/o … damage.</t>
  </si>
  <si>
    <t>SOP29</t>
  </si>
  <si>
    <t>Molsheim</t>
  </si>
  <si>
    <t>7 SOP29 a/c - can't tell from the description whether all were bombers (probably not)</t>
  </si>
  <si>
    <t>St-Masmes (region of)</t>
  </si>
  <si>
    <t>Mission 1430-1700. 8 Sopwiths attacking troop billets in Suippe Valley. War Diary says 2 did not complete mission but doesn't say why.</t>
  </si>
  <si>
    <t>Lumes; Faissault</t>
  </si>
  <si>
    <t>RR stn; Train</t>
  </si>
  <si>
    <t>T.O. 2300 by 2 single-seat Sopwiths. Lumes is E of Mezieres; Faissault is NE of Rethel on the Attigny-Rethel RR line. This mission is described twice in the War Diary, I'm using the 4 June description since it is about only the Sopwiths.</t>
  </si>
  <si>
    <t>GB1 War Diary Image 0156</t>
  </si>
  <si>
    <t>Chatelet s/ Retourne &amp; Bazancourt; Warmeriville</t>
  </si>
  <si>
    <t>RR Stns; Munitions Depot</t>
  </si>
  <si>
    <t>Mission 2145-0315 by Esc. 110 &amp; 114. Of 12 a/c, two had engine trouble and two completed two sorties each. In addition to dropping 200x120mm bombs, they fired 400 cartridges at trains &amp; airfields &amp; dropped 5 kg of propaganda. This mission is described twice in the War Diary - I'm using the description from 5 June under the assumption that they had a better picture of what had occurred the next morning than they did in the middle of the night. I'm subtracting the plane and bomb totals of the Sopwiths from the 5 June account since they are covered in a separate database entry.  CHANGED "VOISIN" TO "VOISIN8" BASED ON D&amp;S INFO THAT NO VOISIN 5s REMAINED AFTER DEC1915 - CORROBORATED BY BOMBWGT/PLANE DATA.</t>
  </si>
  <si>
    <t>Hauve (?); Morhange; Dieuze</t>
  </si>
  <si>
    <t>Works; Airfield; Barracks</t>
  </si>
  <si>
    <t>Main target listed as "works [usine] of la Hauve".  Hauve may be a factory name rather than a location.  Also can't rule out that it is a foundry instead of a normal factory. No info on whether 3 Capronis that went to Dieuze and Morhange intended to or were diverted with problems. Caproni #26 broke a prop and RTB after 10 minutes. #53 had engine failure and crashed.</t>
  </si>
  <si>
    <t>Hauve (?)</t>
  </si>
  <si>
    <t>Main target listed as "works of la Hauve".  Hauve may be a factory name rather than a location. Also can't rule out that it is a foundry instead of a normal factory. Capronis # 51,30,15,57 bombed there.</t>
  </si>
  <si>
    <t>Capronis 20&amp;22 bombed here.</t>
  </si>
  <si>
    <t>Caproni #37 bombed Dieuze barracks.</t>
  </si>
  <si>
    <t>Roulers,Comines</t>
  </si>
  <si>
    <t>RR Stns, Train</t>
  </si>
  <si>
    <t>Roulers</t>
  </si>
  <si>
    <t>Roulers-Menin (between)</t>
  </si>
  <si>
    <t>Comines Stn</t>
  </si>
  <si>
    <t>Trucks</t>
  </si>
  <si>
    <t>Raid from 0030-0130.  Damage to 164 places in center &amp; south of city.  RR lines &amp; shops, plus some factories, stopped during alerts and raids. [CORRECTED DAMAGE COST WITH MICROFILM.]</t>
  </si>
  <si>
    <t>Raid from 2345 - 0235 night of 4/5 June 1917. MICROFILM says 2345-0215.</t>
  </si>
  <si>
    <t>1 RAID ON THIS NIGHT (4/5 JUNE 1917). CASUALTIES &amp; DIRECT DAMAGE UNKNOWN. LOSS IN PRODUCTION OF IRON @ 498M PER TON.</t>
  </si>
  <si>
    <t>Wervicq,Roulers,Menin,etc</t>
  </si>
  <si>
    <t>Trains &amp; Stns</t>
  </si>
  <si>
    <t>Menin-Roulers (between)</t>
  </si>
  <si>
    <t>Rail Stn, Train</t>
  </si>
  <si>
    <t>Mouscron,Hegnes (betw'n)</t>
  </si>
  <si>
    <t>Croix</t>
  </si>
  <si>
    <t>Courtrai Jtn</t>
  </si>
  <si>
    <t>Menin</t>
  </si>
  <si>
    <t>Wervicq,Quesnoy,Warneton</t>
  </si>
  <si>
    <t>Rail Stns &amp; Tracks</t>
  </si>
  <si>
    <t>Wervicq Stn</t>
  </si>
  <si>
    <t>Rail Stn &amp; Tracks</t>
  </si>
  <si>
    <t>Rail Stn,Tracks,Battery</t>
  </si>
  <si>
    <t>Warneton-Comines (betw'n)</t>
  </si>
  <si>
    <t>Supply Dump on RR line</t>
  </si>
  <si>
    <t>Quesnoy Stn</t>
  </si>
  <si>
    <t>Roulers (4 mi SW of...)</t>
  </si>
  <si>
    <t>Track</t>
  </si>
  <si>
    <t>Varennes, Manre</t>
  </si>
  <si>
    <t>Afternoon raid by biplace Sopwiths</t>
  </si>
  <si>
    <t>Kilduff OTF 24/3 p.253</t>
  </si>
  <si>
    <t>Menin,Courtrai,War'n,We'q</t>
  </si>
  <si>
    <t>Stations and Trains</t>
  </si>
  <si>
    <t>Station and Train</t>
  </si>
  <si>
    <t>Courtrai</t>
  </si>
  <si>
    <t>Goods Yard</t>
  </si>
  <si>
    <t>Dump at Stn</t>
  </si>
  <si>
    <t>Rolling stock at Stn</t>
  </si>
  <si>
    <t>Warneton,Comines</t>
  </si>
  <si>
    <t>Rail Stns and Dump</t>
  </si>
  <si>
    <t>Dump on rail line</t>
  </si>
  <si>
    <t>Rail Stn (vicinity)</t>
  </si>
  <si>
    <t>Aumenencourt-le-Grand &amp; St.Etienne sur Suippes</t>
  </si>
  <si>
    <t>Afternoon raid by 9 biplace Sopwiths; 7 had engine trouble.</t>
  </si>
  <si>
    <t>GB1 War Diary Image 0157</t>
  </si>
  <si>
    <t>St-Martin le Heureux, Betheniville, Heutregiville, Warmeriville, Juniville, Chatelet s/ Retourne, Mezieres, Charleville, Mohon; Suippe Valley, Binarville, Manre</t>
  </si>
  <si>
    <t>Mission 2235-0550. 15 Voisin-Peugeot (1 made 2 sorties) &amp; 4 biplace Sopwiths of S.111.  Some Voisins flew at very low altitude - 320m and 800-900m mentioned. THIS RECORD IMPLIES 155MM BOMBS WEIGH 23 KG AGAIN. THE FIRST GB1 RECORDS INDICATED 23KG, THEN LATER 25KG, NOW 23 AGAIN.</t>
  </si>
  <si>
    <t>Sopwith &amp; Voisin</t>
  </si>
  <si>
    <t>RR stn?</t>
  </si>
  <si>
    <t>Assuming target is RR Stn since that was specified as a recent target there.  Capronis 22,57,37 bombed Bensdorf; 26 &amp; 52 had engine trouble &amp; aborted mission.</t>
  </si>
  <si>
    <t>CEP115 Log Images 0073-4</t>
  </si>
  <si>
    <t>Barracks?</t>
  </si>
  <si>
    <t>Assuming target is barracks since that was specified as a recent target there.  Caproni 36 bombed Dieuze.</t>
  </si>
  <si>
    <t>St. Avold (Stn)</t>
  </si>
  <si>
    <t>Raid from 9 - 10pm.  ST. AVOLD IS ABOUT 15KM N OF BENSDORF &amp; 25KM N OF DIEUZE.</t>
  </si>
  <si>
    <t>(Between Metz &amp; Saarbrucken)</t>
  </si>
  <si>
    <t>3 ALERTS: 2350-0010, 0045-0255, 0325-0340. LIGHTS EXTINGUISHED SIMULTANEOUSLY WITH ALERTS - "Delay in engine movements."</t>
  </si>
  <si>
    <t>AT LEAST 1 RAID ON THIS NIGHT (15/16 JUNE 1917). CASUALTIES &amp; DIRECT DAMAGE UNKNOWN. LOSS IN PRODUCTION OF 950 TONS OF IRON (@ 498M PER TON) IS LARGEST OF WAR FOR 1 DAY AT THIS SITE.</t>
  </si>
  <si>
    <t>GB1/SOP66</t>
  </si>
  <si>
    <t>Manre (N. of)</t>
  </si>
  <si>
    <t>6 biplace Sopwiths</t>
  </si>
  <si>
    <t>Burbach; Stieriugen-Wedel</t>
  </si>
  <si>
    <t>Steel Works; Unknown</t>
  </si>
  <si>
    <t>CEP115 Log Image 0074</t>
  </si>
  <si>
    <t>Steel Works</t>
  </si>
  <si>
    <t>Capronis #37,20,22,51,26,15.</t>
  </si>
  <si>
    <t>Stieriugen-Wedel</t>
  </si>
  <si>
    <t>Caproni #57 diverted to S-W when right Le Rhone failed 75km from the lines</t>
  </si>
  <si>
    <t>Avricourt, Rechicourt</t>
  </si>
  <si>
    <t>10 Sopwiths (4 fighters and 6 bombers) dropped 660 kg total</t>
  </si>
  <si>
    <t>Autry, Betheniville; Bois de Forges</t>
  </si>
  <si>
    <t>RR stns; camps</t>
  </si>
  <si>
    <t>Sopwith biplace</t>
  </si>
  <si>
    <t>GB1/V.114</t>
  </si>
  <si>
    <t>St-Masmes</t>
  </si>
  <si>
    <t>RR stn &amp; neighboring camps</t>
  </si>
  <si>
    <t>Schirmeck (7km W of…)</t>
  </si>
  <si>
    <t>RR platform</t>
  </si>
  <si>
    <t>660 kg - 12 Sopwiths (6 bombers &amp; 12 fighters)</t>
  </si>
  <si>
    <t>St-Clement-à-Arnes</t>
  </si>
  <si>
    <t>Stormy night - no results observed</t>
  </si>
  <si>
    <t>GB1 War Diary Image 0158</t>
  </si>
  <si>
    <t>GB1/SOP111</t>
  </si>
  <si>
    <t>Autry (SE of)</t>
  </si>
  <si>
    <t>War Diary mentions bad weather so I'm assuming the 3 Sopwith biplaces aborted due to that rather than engine trouble.</t>
  </si>
  <si>
    <t>Juniville, St-Clement-à-Arnes, Ville-sur-Retourne, St-Martin l'Heureux</t>
  </si>
  <si>
    <t>Munitions Depots &amp; RR stns</t>
  </si>
  <si>
    <t xml:space="preserve">12 Voisin-Peugeots - 1 didn't complete mission, 1 did 2 missions. Objectives were hit or bracketed, especially depots at St-Clement. Mentions bad weather so am assuming 1 abort due to weather. 155mm bombs here weighed 23kg. </t>
  </si>
  <si>
    <t>Beine, St. Martin l'Heureux</t>
  </si>
  <si>
    <t>"Enemy organizations"</t>
  </si>
  <si>
    <t>Sopwith biplaces in three patrols</t>
  </si>
  <si>
    <t>Machault, Cauroy, St-Pierre-à-Arnes</t>
  </si>
  <si>
    <t>Complete cloud cover - Machault stn seemed to be hit; otherwise doesn't mention targets</t>
  </si>
  <si>
    <t>Provin</t>
  </si>
  <si>
    <t>Reckem, Menim</t>
  </si>
  <si>
    <t>Aerodrome &amp; RR Stn</t>
  </si>
  <si>
    <t>Reckem</t>
  </si>
  <si>
    <t>RR Station</t>
  </si>
  <si>
    <t>GB1/V.110</t>
  </si>
  <si>
    <t>Betheniville - Pont Faverger (between)</t>
  </si>
  <si>
    <t>Terrible weather. Am assuming targets were tactical because most others were during this time.</t>
  </si>
  <si>
    <t>Engel RR, Leugenboom Gun</t>
  </si>
  <si>
    <t>Leug'm Gun;Sidings,sheds</t>
  </si>
  <si>
    <t>Leugenboom Gun</t>
  </si>
  <si>
    <t>Leug'm Gun</t>
  </si>
  <si>
    <t>Engel</t>
  </si>
  <si>
    <t>RR sidings and sheds</t>
  </si>
  <si>
    <t>Ramilies Chin,Ch'u duSart</t>
  </si>
  <si>
    <t>Ramilies Chin</t>
  </si>
  <si>
    <t>Chateau du Sart</t>
  </si>
  <si>
    <t>Lille (vicinity of...)</t>
  </si>
  <si>
    <t>Transport and RR trucks</t>
  </si>
  <si>
    <t>Fort Carnot</t>
  </si>
  <si>
    <t>Fort and commo trenches</t>
  </si>
  <si>
    <t>Ascq</t>
  </si>
  <si>
    <t>RR Tracks</t>
  </si>
  <si>
    <t>Dun-sur-Meuse; Vilsone</t>
  </si>
  <si>
    <t>13 a/c of MF25</t>
  </si>
  <si>
    <t>Suippe (valley?); Machault; Merland farm</t>
  </si>
  <si>
    <t>Troop billets; RR stn; Airfield</t>
  </si>
  <si>
    <t>2 Voisin-Peugeots - reading between the lines, it just sounds like they were flying around looking for targets of opportunity - 155mm bombs again weigh 25kg, according to War Diary</t>
  </si>
  <si>
    <t>RECORD VERY CONFUSING DUE TO LACK OF AM/PM INFO.  TIMES GIVEN ARE 11:55-1:20 AND 11:05-12:20. CAN'T TELL IF THESE ARE 2 SIMULTANEOUS RAIDS IN THIONVILLE AREA, DAY RAID FOLLOWED BY NIGHT RAID, OR VICE-VERSA.  REMARKS: "2 bombs on wood shed w/o damage. 3 bombs in wing[??]. 10-12 altogether, remaining on slaughter house.  City water works damaged.  Flight [probably of bombers, not of trains] stopped after one hour. Cessation [apparently of traffic] from 11:00 to 11:30 [11:50?].  No locomotive left. Cessation in coaling stations."</t>
  </si>
  <si>
    <t>2 raids this date; 14 bombs followed by 30 bombs.</t>
  </si>
  <si>
    <t>Beine &amp; St-Masmes (regions)</t>
  </si>
  <si>
    <t>Very bad weather. Targets not specified except for "regions", so I assume they were tactical targets of opportunity. 2 planes crashed.</t>
  </si>
  <si>
    <t>Machault; Dontrien</t>
  </si>
  <si>
    <t>RR stn &amp; billets; Billets</t>
  </si>
  <si>
    <t>3 planes; 4 sorties - bomb weight listed as 500kg but this must be an estimate. Objectives hit.</t>
  </si>
  <si>
    <t>Heule,Wervicq,C'trai-Is'm</t>
  </si>
  <si>
    <t>Trains &amp; Aerodrome</t>
  </si>
  <si>
    <t>Heule</t>
  </si>
  <si>
    <t>Wervicq (near...)</t>
  </si>
  <si>
    <t>Courtai-Iseghem RR Line</t>
  </si>
  <si>
    <t>Neufchatel, Aumenancourt; Vieux-les-Asfeld of Brienne-sur-Ainse (S. of) &amp; Roisy (N. of)</t>
  </si>
  <si>
    <t>RR stns; Camps of huts</t>
  </si>
  <si>
    <t>Sopwiths</t>
  </si>
  <si>
    <t>GB1 War Diary Image 0159</t>
  </si>
  <si>
    <t>Heule and Bissechen</t>
  </si>
  <si>
    <t>Bissechen</t>
  </si>
  <si>
    <t>Dun; Lemes; Bontheville; Mouzon; Buzancy</t>
  </si>
  <si>
    <t>UK;UK;Ammo Dump; Airfield; Airfield</t>
  </si>
  <si>
    <t>22 a/c of MF25</t>
  </si>
  <si>
    <t>Essen, Coblenz, Treves</t>
  </si>
  <si>
    <t>Factories; City; RR stn</t>
  </si>
  <si>
    <t>GB1 War Diary Image 0159 &amp; Nilsson, OTF V.1, No.4, pp.309-310</t>
  </si>
  <si>
    <t>Incredible night raid by 4 day bombers - 2 reached Essen &amp; 2 diverted to other targets - T.O. 2105, RTB 0415 - 1 landed in Holland</t>
  </si>
  <si>
    <t>Coblenz</t>
  </si>
  <si>
    <t>GB1, GMB5</t>
  </si>
  <si>
    <t>Italian source describes 11 bomber raid - 2 Capronis, 6 Breguet-Michelins of GBM5, 2 Voisin bombers of V.110, and 1 Sopwith singleseater of SOP111 - caused a large fire and much damage to RR stn. GB1 War Diary says 2 Esc.110 Voisin-Peugeots T.O. 2250 &amp; dropped 22x120mm &amp; 6x155mm &amp; 4 Michelin flares (obus éclairants).</t>
  </si>
  <si>
    <t>GB1 War Diary Image 0160 &amp; Abate &amp; Apostolo, p.238</t>
  </si>
  <si>
    <t>Machault; Semide, Cauroy, Mesnil-Lespinois (N of)</t>
  </si>
  <si>
    <t>RR stn; camps</t>
  </si>
  <si>
    <t>Mixed Sopwith biplace/monoplace/Voisin raid. Fire at Cauroy; explosion at Machault stn. 15 planes; 3 Voisin-Peugeots did not complete mission presumably for mech trouble; 1 plane flew 2 sorties. Fired 650 rounds at troop billets.</t>
  </si>
  <si>
    <t>GB5 ?</t>
  </si>
  <si>
    <t>Italian source describes French unit as GBM.5, consisting of Breguet-Michelin sqns 117,119,121 - APPARENTLY 5 a/c (4 Capronis) took off and 3 Capronis turned back - 5 hour mission, 415 km</t>
  </si>
  <si>
    <t>Abate &amp; Apostolo, Caproni in the 1st WW, p.238</t>
  </si>
  <si>
    <t>Treves; Ludwigshafen; Phalsbourg</t>
  </si>
  <si>
    <t>City?; City?; RR Line</t>
  </si>
  <si>
    <t>CEP115 Log Images 0075-6</t>
  </si>
  <si>
    <t>Reprisal raids. Capronis 52 (destination U/K) &amp; 30 (Ludwigshafen) aborted with right and left Rhone engine trouble, respectively.</t>
  </si>
  <si>
    <t>Capronis 15 &amp; 57.</t>
  </si>
  <si>
    <t>Caproni 26</t>
  </si>
  <si>
    <t>Phalsbourg (toward)</t>
  </si>
  <si>
    <t>Caproni 51. Can't tell whether Phalsbourg was the intended target or if 51 diverted.  Bomb # &amp; wgt not given; estimated using info from every other raid #51 has been on.</t>
  </si>
  <si>
    <t>Worms</t>
  </si>
  <si>
    <t>20 bombs on outskirts of city near POW camp.  Bomb survey says French raided here &amp; real target was probably Ludwig'n or Mannheim. [WHICH IS &gt;20KM N OF LUDWIGSHAFEN]</t>
  </si>
  <si>
    <t>Binarville, Apremont; Varennes; Chehery</t>
  </si>
  <si>
    <t>Bivouacs; Huts; RR line</t>
  </si>
  <si>
    <t>GB1 War Diary Image 0160</t>
  </si>
  <si>
    <t>Bisseghen,Wervicq,etc.</t>
  </si>
  <si>
    <t>Aerodrome &amp; RR targets</t>
  </si>
  <si>
    <t>Bisseghen</t>
  </si>
  <si>
    <t>Wevelghem (near)</t>
  </si>
  <si>
    <t>RR Track</t>
  </si>
  <si>
    <t>Wervicq &amp; Menin (between)</t>
  </si>
  <si>
    <t>Linselles (near)</t>
  </si>
  <si>
    <t>Hostile Battery in action</t>
  </si>
  <si>
    <t>"Several" bombs fell in field 300 yards from RR stn; only glass damage.  4 others fell in field near water works; no damage. [TIME MAY NOT BE CORRECT - RAID ON SAME DATE IN NEARBY TRIER WAS AT 2330.]</t>
  </si>
  <si>
    <t>AA and duds did slight damage</t>
  </si>
  <si>
    <t>Trier (City, Olewig town, &amp; E. Trier RR)</t>
  </si>
  <si>
    <t>Raid from 2330-0245.  Combined records of Trier city, Olewig town, &amp; E. Trier RR.  100 places damaged in middle &amp; south of city; 51 [of them] who had insurance failed to report damage.  Nunnery "very nearly destroyed" by fire.  Damage total includes 723M damage to RR buildings at south of yard; "Other" cost is damage by AA fire to RR buildings.  In Olewig (in Trier district), bombs damaged property of 121 people, costing 14,732M.</t>
  </si>
  <si>
    <t>Olewek</t>
  </si>
  <si>
    <t>421, 426, 431</t>
  </si>
  <si>
    <t>Warneton,Menin,Comines...</t>
  </si>
  <si>
    <t>Menin (N of...)</t>
  </si>
  <si>
    <t>Comines (NW of...)</t>
  </si>
  <si>
    <t>Unknown(the town itself?)</t>
  </si>
  <si>
    <t>Heule,Bisseghen,Menin,etc</t>
  </si>
  <si>
    <t>Aerodromes &amp; RR targets</t>
  </si>
  <si>
    <t>RR Stn, Sheds, Perm.Way</t>
  </si>
  <si>
    <t>Comines (W of...)</t>
  </si>
  <si>
    <t>1 a/c broke up in midair - GB4</t>
  </si>
  <si>
    <t>Kilduff, C&amp;C V.15,#1, p.11-12</t>
  </si>
  <si>
    <t>Ramegnies Chin,Ingelmun'r</t>
  </si>
  <si>
    <t>Aerodromes and RR?</t>
  </si>
  <si>
    <t>Ingelmunster</t>
  </si>
  <si>
    <t>Ramegnies Chin</t>
  </si>
  <si>
    <t>Unknown (rail targets?)</t>
  </si>
  <si>
    <t>Montblainville; Manre &amp; Autry</t>
  </si>
  <si>
    <t>Huts; huts &amp; RR stns</t>
  </si>
  <si>
    <t>Sopwith raid. War Diary says 3 a/c flew two missions but that doesn't add up with other info - if true, some of these numbers are wrong. 1 a/c aborted due to sick pilot (lousy weather).</t>
  </si>
  <si>
    <t>GB1 War Diary Image 0161</t>
  </si>
  <si>
    <t>Moorsele,Reckhem,Menin...</t>
  </si>
  <si>
    <t>Aerodromes &amp; Rail</t>
  </si>
  <si>
    <t>Moorsele</t>
  </si>
  <si>
    <t>Reckham</t>
  </si>
  <si>
    <t>Menin (around...)</t>
  </si>
  <si>
    <t>RR Tracks &amp; Jtns</t>
  </si>
  <si>
    <t>Wervicq &amp; Comines(betw'n)</t>
  </si>
  <si>
    <t>Active Battery</t>
  </si>
  <si>
    <t>Halluin</t>
  </si>
  <si>
    <t>Moorsele&amp;Ledeghem(betw'n)</t>
  </si>
  <si>
    <t>Arne valley; Machault; Semide</t>
  </si>
  <si>
    <t>Camps; RR stn; Ammo dump</t>
  </si>
  <si>
    <t>Very bad weather. Fired 150 rounds at a train on the Machault-Semide line.</t>
  </si>
  <si>
    <t>Thionville; Courcelles</t>
  </si>
  <si>
    <t>RR Stations</t>
  </si>
  <si>
    <t>CEP115 Log Image 0076</t>
  </si>
  <si>
    <t>Caproni #26 probably diverted to Courcelles, though the log does not say so.  Mech divert seems most likely of the choices.  Caproni #59 had to abort the takeoff and the took off again successfully and bombed Thionville.</t>
  </si>
  <si>
    <t>Capronis #51,30,15,20,52,57,59 bombed Thionville.</t>
  </si>
  <si>
    <t>Caproni #26 probably diverted to Courcelles, though the log does not say so.</t>
  </si>
  <si>
    <t>2 raids this date; 2 bombs followed by 3 bombs.</t>
  </si>
  <si>
    <t>Wervicq,Lille,Halluin...</t>
  </si>
  <si>
    <t>RR Targets</t>
  </si>
  <si>
    <t>RR Stn &amp; sheds</t>
  </si>
  <si>
    <t>Gheluvelt</t>
  </si>
  <si>
    <t>Rest Camp</t>
  </si>
  <si>
    <t>Lille,St.Onore (between)</t>
  </si>
  <si>
    <t>RR Triangle</t>
  </si>
  <si>
    <t>Gentillerie; Warmeriville</t>
  </si>
  <si>
    <t>"organizations"; RR stn &amp; ammo dump</t>
  </si>
  <si>
    <t>7 Voisin-Peugeots &amp; 1 Sopwith; 3 planes made 2 sorties. Fired 160 rounds at bivouacs.</t>
  </si>
  <si>
    <t>Damage to phone lines</t>
  </si>
  <si>
    <t>Comines,Courtrai(between)</t>
  </si>
  <si>
    <t>Searchlights &amp; Batteries</t>
  </si>
  <si>
    <t>Comines (near)</t>
  </si>
  <si>
    <t>Transport</t>
  </si>
  <si>
    <t>RR Goods Yard</t>
  </si>
  <si>
    <t>1 a/c from SOP123 dropped 120kg</t>
  </si>
  <si>
    <t>Kilduff, C&amp;C V.15,#1, p.12</t>
  </si>
  <si>
    <t>Brieulles sur Meuse; Nantillois, Vilosnes (S of)</t>
  </si>
  <si>
    <t>RR stn; barracks</t>
  </si>
  <si>
    <t>Sopwiths - several strikes seen on huts</t>
  </si>
  <si>
    <t>Lumes, Monthois, Challerange, St-Martin l'Heureux; Betheniville, Machault, Perthes, Chatelet</t>
  </si>
  <si>
    <t>4 Sopwith biplaces (1 flew twice) and 9 Voisins (8 Peugeot &amp; 1 Canton-Unné)</t>
  </si>
  <si>
    <t>Longuyon</t>
  </si>
  <si>
    <t>Capronis #30,20,15,59,37</t>
  </si>
  <si>
    <t>CEP115 Log Image 0077</t>
  </si>
  <si>
    <t>Caproni #60. There is some chance it was originally headed to Thionville with the others, but the log does not say so.</t>
  </si>
  <si>
    <t>383, NARA 990 (Roll 58)</t>
  </si>
  <si>
    <t>Heavy AA fire 2315-0115. 2 bombs near tracks Hagondange-Gendringen</t>
  </si>
  <si>
    <t>Damage to rail sidings opposite pig iron weigh-house</t>
  </si>
  <si>
    <t>St. Juvin, Fleville</t>
  </si>
  <si>
    <t>GB1 War Diary Images 0161-2</t>
  </si>
  <si>
    <t>Comines,Halluin,etc</t>
  </si>
  <si>
    <t>U/K,RR,Battery,Camp</t>
  </si>
  <si>
    <t>Lighted part of (town?)</t>
  </si>
  <si>
    <t>Halluin (S of...)</t>
  </si>
  <si>
    <t>Roncq-Halluin Road</t>
  </si>
  <si>
    <t>Lighted Camp</t>
  </si>
  <si>
    <t>Zandvoorde (near...)</t>
  </si>
  <si>
    <t>RR Stn &amp; Uckengen</t>
  </si>
  <si>
    <t>Capronis 30,52,15,51,59. #15 says it bombed "Thionville &amp; Uckengen".</t>
  </si>
  <si>
    <t>CEP115 Log Image 0078</t>
  </si>
  <si>
    <t>Metz-Woippy</t>
  </si>
  <si>
    <t>Capronis #37 &amp; 60.  They might have diverted from the Thionville raid, but the log does not say so.</t>
  </si>
  <si>
    <t>Night of 23/24 July a large number of bombs dropped in Hagondange district.  Some damage to tracks - 22 fell around Moselle River pumping station. MICROFILM: AA fire 2300-0215. Kil 171.5, bombs 100m E of track.</t>
  </si>
  <si>
    <t>Hagondange (Rail Stn, Forges &amp; Steel Mills)</t>
  </si>
  <si>
    <t>383, 388, NARA 990 (Roll 58)</t>
  </si>
  <si>
    <t>GB3/PS125</t>
  </si>
  <si>
    <t>D&amp;S: 2 Paul Schmitt bombers</t>
  </si>
  <si>
    <t>Champien</t>
  </si>
  <si>
    <t>Lanquetaille</t>
  </si>
  <si>
    <t>German camps</t>
  </si>
  <si>
    <t>D&amp;S: 18 Paul Schmitt bombers</t>
  </si>
  <si>
    <t>Rail Stn and Lines</t>
  </si>
  <si>
    <t>4 of 8 sorties aborted with LeRhone engine problems. Capronis 52,59,30,25 bombed; 37,60,51,59 (1st sortie) aborted. Two of the planes specifically mention hitting the intersection of rail lines.</t>
  </si>
  <si>
    <t>CEP115 Log Images 0078-9</t>
  </si>
  <si>
    <t>MAY HAVE BEEN 1:10 AM</t>
  </si>
  <si>
    <t>Bombs fell between Maizieres &amp; Woippy.  No communication from trains. MICROFILM: AA fire 2315-0100</t>
  </si>
  <si>
    <t>Marcke,Menin,Halluin,...</t>
  </si>
  <si>
    <t>Aerodrome, Rail Targets</t>
  </si>
  <si>
    <t>Ledeghem (probably)</t>
  </si>
  <si>
    <t>RR Sidings</t>
  </si>
  <si>
    <t>Marcke</t>
  </si>
  <si>
    <t>Menin (near...)</t>
  </si>
  <si>
    <t>Mouscron (SW of...)</t>
  </si>
  <si>
    <t>Info from British report and from Microfilm summary.</t>
  </si>
  <si>
    <t>Buzancy</t>
  </si>
  <si>
    <t>Monthois, St-Morel, Challerange, Bagat; Bouconville, Semide, Somme-Py</t>
  </si>
  <si>
    <t>RR stns; Huts</t>
  </si>
  <si>
    <t>Voisin bombers</t>
  </si>
  <si>
    <t>GB1 War Diary Image 0162</t>
  </si>
  <si>
    <t>TIME 10:50-11:40; AA FIRE 11:33-11:40 (AM/PM UNKNOWN)</t>
  </si>
  <si>
    <t>10 Sopwiths - 350 kg - # of Sopwiths that were bombers is unknown, but was probably 3 based on wgt of bombs dropped. A SOP29 observer killed in air fight after raid.</t>
  </si>
  <si>
    <t>Suippe &amp; Arne valleys; Semide, Juniville, Amagne-Lucquy</t>
  </si>
  <si>
    <t>Camps; RR stns</t>
  </si>
  <si>
    <t>Fire at St-Hilaire-le-Petit &amp; Amagne-Lucquy stn hit. Fired 97 rounds in addition to bombing.</t>
  </si>
  <si>
    <t>Capronis 52,30,60,25,59 bombed; #37 aborted with LeRhone engine trouble.</t>
  </si>
  <si>
    <t>CEP115 Log Images 0079-80</t>
  </si>
  <si>
    <t>Caproni #15. Am assuming target was rail station since other raids here have been against that.  Log doesn't say whether #15 diverted from Thionville but it might have.</t>
  </si>
  <si>
    <t>Marcke,Gheluwe,Courtrai..</t>
  </si>
  <si>
    <t>Aerodromes, etc.</t>
  </si>
  <si>
    <t>Probable Hangers</t>
  </si>
  <si>
    <t>Gheluwe (near...)</t>
  </si>
  <si>
    <t>Hutments</t>
  </si>
  <si>
    <t>Lille (NE of...)</t>
  </si>
  <si>
    <t xml:space="preserve">Raid 0115-0140.  Direct damages to BASF in 22 raids was 519,310M; 14 killed.  Each raid or alert caused production losses in another 24 hour plant and in many city businesses. </t>
  </si>
  <si>
    <t>Ludwigshafen RR</t>
  </si>
  <si>
    <t>Bomb fell by switch tracks; 1 RR car damaged.  No traffic delays.</t>
  </si>
  <si>
    <t>No AA fire.</t>
  </si>
  <si>
    <t>AA fire 2307-0110</t>
  </si>
  <si>
    <t>"East wing, 11 bombs thrown. Considerable delay in RR traffic. Interruptions in coal delivery and feeding of fire workers in dug-outs. Main track obstructed because of air attack."</t>
  </si>
  <si>
    <t>Bombs inside/outside foundry grounds: 16/11.  All victims were Russian POWs.  Glass, railway, building, &amp; machinery damage.</t>
  </si>
  <si>
    <t>3 raids this date; 24, 5, and 5 bombs.</t>
  </si>
  <si>
    <t>Marcke,Menin,Ledeghem...</t>
  </si>
  <si>
    <t>Aerodrome &amp; RR Stns</t>
  </si>
  <si>
    <t>Aerodrome &amp; Chateau</t>
  </si>
  <si>
    <t>RR Stn Sidings</t>
  </si>
  <si>
    <t>RR Stn &amp; Sidings</t>
  </si>
  <si>
    <t>Ledeghem</t>
  </si>
  <si>
    <t>RR Stn,Sidings,Ammo Dump</t>
  </si>
  <si>
    <t>Houthem (SW of...)</t>
  </si>
  <si>
    <t>Lumes, Amagne-Lucquy, Attigny, Juniville; Clement-à-Arnes</t>
  </si>
  <si>
    <t>RR stns; Ammo dump</t>
  </si>
  <si>
    <t>Voisin-Peugeots. Fires at A-L &amp; Juniville stns; explosion at Attigny stn.</t>
  </si>
  <si>
    <t>St-Masmes, Betheniville, Pont-Faverger</t>
  </si>
  <si>
    <t>Camps &amp; AAA batteries</t>
  </si>
  <si>
    <t>Mission 0300-0440 by Sopwiths. Dropped 4, 6, and 2 120mm bombs on the 3 targets, respectively, and fired 500 rounds. Attacked "caterpiller" AAA batteries.</t>
  </si>
  <si>
    <t>Gheluwe</t>
  </si>
  <si>
    <t>Dadizeele,Morsele,Gheluwe</t>
  </si>
  <si>
    <t>Village &amp; hutments</t>
  </si>
  <si>
    <t>Dadizeele</t>
  </si>
  <si>
    <t>Morsele</t>
  </si>
  <si>
    <t>AA fire 2215-2230</t>
  </si>
  <si>
    <t>Gisseghem</t>
  </si>
  <si>
    <t>Heule,Bisseghem,Marcke</t>
  </si>
  <si>
    <t>Hochst A.M.</t>
  </si>
  <si>
    <t>NO BOMBS IN CITY LIMITS. FACTORY STOPPED DURING 40% OF ALERTS</t>
  </si>
  <si>
    <t>Tourcoing (N of...)</t>
  </si>
  <si>
    <t>Lys Valley, Mouveaux</t>
  </si>
  <si>
    <t>RR etc., Aerodrome</t>
  </si>
  <si>
    <t>Mouveaux</t>
  </si>
  <si>
    <t>Town, Dumps, RR Stn</t>
  </si>
  <si>
    <t>Not Specified (town?)</t>
  </si>
  <si>
    <t>Linselles</t>
  </si>
  <si>
    <t>Town &amp; Factory</t>
  </si>
  <si>
    <t>Gheluve</t>
  </si>
  <si>
    <t>Wesquehal (near...)</t>
  </si>
  <si>
    <t>Rail Traffic</t>
  </si>
  <si>
    <t>AA fire 2330-2335</t>
  </si>
  <si>
    <t>GB1/SOP111 &amp; ?</t>
  </si>
  <si>
    <t>2 Sop Strutters from Malzeville - T.O. 0415, over target 0500, RTB 0815. Martel says this was a reprisal for bombings of Paris &amp; Nancy and that it was conducted by 2 Sopwiths; one hit north of the city, the other in the center. The details in Martel regarding the S.111 Sopwith are confirmed in the GB1 War Diary.  According to the "Livre d'Or: Escadrille 131" (squadron history held by Nat'l WWI Museum in Paul Edson Green papers), the pilots were Albert Mézergues of Esc.129 and Jean Baumont.</t>
  </si>
  <si>
    <t>Martel, 237 &amp; GB1 War Diary Image 0163</t>
  </si>
  <si>
    <t>Account is sketchy - airfield was "target" of Sopwith fighter that was brought down by AAA - don't know if other planes were involved or if they dropped bombs or strafed the airfield</t>
  </si>
  <si>
    <t>Two Sopwith bombers attacked this airfield with 120kg of bombs in mission that was probably part of Habsheim raid somehow -- account is sketchy</t>
  </si>
  <si>
    <t>Wervicq, Comines</t>
  </si>
  <si>
    <t>U/K and Battery</t>
  </si>
  <si>
    <t>Not Specified</t>
  </si>
  <si>
    <t>Comines (near...)</t>
  </si>
  <si>
    <t>Ascq,Lille,Lys Valley</t>
  </si>
  <si>
    <t>Rail &amp; anything w/ lights</t>
  </si>
  <si>
    <t>Anything with lights on</t>
  </si>
  <si>
    <t>Lys Valley</t>
  </si>
  <si>
    <t>Lezennes (near...)</t>
  </si>
  <si>
    <t>Rail Line</t>
  </si>
  <si>
    <t>Dommary-Baroncourt, Etain</t>
  </si>
  <si>
    <t>Damage to locomotive shops of Mine railway</t>
  </si>
  <si>
    <t>Hellenes</t>
  </si>
  <si>
    <t>Engine Workshops</t>
  </si>
  <si>
    <t>Roulers, etc.</t>
  </si>
  <si>
    <t>Stn, Train, &amp; Town</t>
  </si>
  <si>
    <t>Licherbelde</t>
  </si>
  <si>
    <t>Town?</t>
  </si>
  <si>
    <t>Houth</t>
  </si>
  <si>
    <t>Rest Billet</t>
  </si>
  <si>
    <t>Ypres (SE of...)</t>
  </si>
  <si>
    <t>Hostile Batteries</t>
  </si>
  <si>
    <t>Manre</t>
  </si>
  <si>
    <t>Afternoon raid on camps near railway by 1 Sopwith</t>
  </si>
  <si>
    <t>Sénard-en-Argonne</t>
  </si>
  <si>
    <t>GB1 War Diary Image 0163</t>
  </si>
  <si>
    <t>Courtrai,Dadizele,etc.</t>
  </si>
  <si>
    <t>RR Stn,Towns</t>
  </si>
  <si>
    <t>Dadizele</t>
  </si>
  <si>
    <t>Moorslede</t>
  </si>
  <si>
    <t>Lille</t>
  </si>
  <si>
    <t>Menin &amp; Ypres (between)</t>
  </si>
  <si>
    <t>Road</t>
  </si>
  <si>
    <t>Becelaere</t>
  </si>
  <si>
    <t>Freiburg im Breisgau</t>
  </si>
  <si>
    <t>1 single-seater and 8 two-seaters of SOP123; one 2-seater shot down</t>
  </si>
  <si>
    <t>10 two-seaters of SOP29</t>
  </si>
  <si>
    <t>St. Juvin, le Grandpre, Fleville; Somme Py</t>
  </si>
  <si>
    <t>Sopwith bombers - also fired 500 rounds - St-Juvin stn seen hit.  Nilsson OTF 1/4, p.311-2, lists this raid on 13 August</t>
  </si>
  <si>
    <t>GB1 War Diary Image 0163 &amp; Nilsson, OTF 1/4, pp.311-2</t>
  </si>
  <si>
    <t>Mission 1800-1930. Stn seen hit. Nilsson OTF 1/4, p.311-2, lists this raid on 13 August. Afternoon raid - Sopwith bombers</t>
  </si>
  <si>
    <t>St-Juvin, Dun s/ Meuse; Spincourt forest</t>
  </si>
  <si>
    <t>RR Stns; Bivouacs</t>
  </si>
  <si>
    <t>Nilsson OTF 1/4, p.311-2, lists this raid on 13 August. Voisin-Peugeot bombers - 1 overturned on T.O.; crew wounded. Fired 200 rounds at targets.</t>
  </si>
  <si>
    <t>16 a/c of MF25</t>
  </si>
  <si>
    <t>Dommary-Baroncourt, Montmedy</t>
  </si>
  <si>
    <t>Capronis #30,52,51,59 bombed. #60 aborted with trouble in the right LeRhone engine. Bomb wgt for #59 not given, but it has consistently dropped 6x200mm in the past.</t>
  </si>
  <si>
    <t>CEP115 Log Images 0081-4</t>
  </si>
  <si>
    <t>AA fire 2205-0030</t>
  </si>
  <si>
    <t>Dun-sur-Meuse; Banthéville; Sommerange</t>
  </si>
  <si>
    <t>RR; Ammo Depot; Bivouacs</t>
  </si>
  <si>
    <t>13 biplace Strutters of Sop.66 &amp; Sop.111 escorted by 16 SPADs of SPA65 &amp; SPA124- 1 SOP111 a/c forced to land (POW) &amp; Sergt. Harold Willis POW. Dropped 56 bombs of 120mm (Toelle says =560 kg).</t>
  </si>
  <si>
    <t>GB1 War Diary Image 0163 &amp; Guttman, Laf. Esc., p.82 and Toelle, OTF v.14, #2, pp.358-371</t>
  </si>
  <si>
    <t>Remonville</t>
  </si>
  <si>
    <t>Sivry sur Meuse</t>
  </si>
  <si>
    <t>RR stn &amp; bivouacs</t>
  </si>
  <si>
    <t>11 Sopwith biplaces &amp; 16 SPAD escorts</t>
  </si>
  <si>
    <t>Bethincourt (N. of)</t>
  </si>
  <si>
    <t>Trenches</t>
  </si>
  <si>
    <t>2 Sopwiths escorted by 6 Spads - dropped 8 bombs &amp; fired 260 rounds.</t>
  </si>
  <si>
    <t>GB1 War Diary Image 0164</t>
  </si>
  <si>
    <t>Malancourt (E. of)</t>
  </si>
  <si>
    <t>3 Sopwiths escorted by 3 Spads. Dropped 12 bombs &amp; fired 885 rounds.</t>
  </si>
  <si>
    <t>Hebebois wood &amp; Gremilly - Orn?? rail line</t>
  </si>
  <si>
    <t>Troops &amp; rail line</t>
  </si>
  <si>
    <t>3 Sopwiths escorted by 3 Spads</t>
  </si>
  <si>
    <t>Lezennes, Menin</t>
  </si>
  <si>
    <t>Aerodrome and Town? (RR?)</t>
  </si>
  <si>
    <t>Lezennes</t>
  </si>
  <si>
    <t>Town? RR?</t>
  </si>
  <si>
    <t>Germans bombed MF25 while 9 a/c were out bombing airfields - lost 7 a/c at Vadelaincourt &amp; 1 mechanic wounded</t>
  </si>
  <si>
    <t>Dun, Brieulles, Fleville; Cheppy; Bantheville</t>
  </si>
  <si>
    <t>RR stns; camps; ammo dump</t>
  </si>
  <si>
    <t>16 Voisin-Peugeots - violent fire at Bath. ammo dump. Fired 240 rounds.</t>
  </si>
  <si>
    <t>AA fire 2150-2340</t>
  </si>
  <si>
    <t>Colmar; Logelbach</t>
  </si>
  <si>
    <t>Munitions Depot &amp; ?; RR Stn</t>
  </si>
  <si>
    <t>Not clear on target type at Colmar. Caproni 59 entry said bombed munitions depot near Colmar; all other entries just said Colmar. #52 aborted due to heavy fog and broken prop; #51 aborted with Rhone engine trouble &amp; broken prop; 26 aborted due to fog. #60 bombed Colmar &amp; forcelanded with damage. #30 WX-diverted - lost in fog. #59 didn't specify bombload but has consistently dropped 6x200mm.  All planes left from Luxeuil, having flown there from Malzéville on 18AUG1917.</t>
  </si>
  <si>
    <t>Munitions Depot &amp; ?</t>
  </si>
  <si>
    <t>Logelbach</t>
  </si>
  <si>
    <t>Lezennes,Gare de France..</t>
  </si>
  <si>
    <t>Aerodrome,Town?,Factory</t>
  </si>
  <si>
    <t>Turcoing</t>
  </si>
  <si>
    <t>Gare de France</t>
  </si>
  <si>
    <t>(Presumably) Town</t>
  </si>
  <si>
    <t>AA fire 2205-2315</t>
  </si>
  <si>
    <t>Freiburg, Colmar, Schlettstadt</t>
  </si>
  <si>
    <t>Aerodromes (?)</t>
  </si>
  <si>
    <t>Both SOP29 and SOP123 were flying. Not sure if all targets were airifields; Schlettstadt certainly was - it was bombed by two SOP29 2-seaters. Colmar was bombed by 3 Sopwith 2-seaters. 1 bomber shot down.</t>
  </si>
  <si>
    <t>St. Juvin, Grandpre</t>
  </si>
  <si>
    <t>Morning &amp; afternoon raids by 11 &amp; 10 Sopwiths escorted by 12 &amp; 10 Spads, respectively, against similar targets. 1st raid RTB 0705.</t>
  </si>
  <si>
    <t>St. Juvin, Grandpre; Cernay (forest of)</t>
  </si>
  <si>
    <t>RR stns; Camps</t>
  </si>
  <si>
    <t>Morning &amp; afternoon raids by 11 &amp; 10 Sopwiths escorted by 12 &amp; 10 Spads, respectively, against similar targets. In PM raid, fires started in St-Juvin village and Grandpre rail stn.</t>
  </si>
  <si>
    <t>Courtrai,Ledeghem,Ypres</t>
  </si>
  <si>
    <t>RR Sidings,Town?,Battery</t>
  </si>
  <si>
    <t>Ypres (N of...)</t>
  </si>
  <si>
    <t>Battery</t>
  </si>
  <si>
    <t>MF25's airfield attacked again during raid</t>
  </si>
  <si>
    <t>St. Juvin; Remontville; Exermont</t>
  </si>
  <si>
    <t>RR stn; Airfield; Bivouacs</t>
  </si>
  <si>
    <t>Voisin-Peugeot bombers. Fired 200 rounds; dropped 300 tracts.</t>
  </si>
  <si>
    <t>RR stn (presumably)</t>
  </si>
  <si>
    <t>Capronis 30 &amp; 52 did not specify bomb weight, but have consistently dropped 30x120mm each. Target type not specified, but must be RR stn like before. Both had returned to Malzéville from Luxeuil earlier that day.</t>
  </si>
  <si>
    <t>CEP115 Log Image 0083</t>
  </si>
  <si>
    <t>AA fire 2215-2330</t>
  </si>
  <si>
    <t>Mission 1400-1600. 2 Sopwiths</t>
  </si>
  <si>
    <t>Mouveaux,Lezennes,Ascq,..</t>
  </si>
  <si>
    <t>Aerodromes &amp; Rail Targets</t>
  </si>
  <si>
    <t>Rail Sidings</t>
  </si>
  <si>
    <t>Lille-Courtrai RR Line</t>
  </si>
  <si>
    <t>Moving Train</t>
  </si>
  <si>
    <t>Froyeunes (at Lezennes?)</t>
  </si>
  <si>
    <t>Froyeunes Chateau</t>
  </si>
  <si>
    <t>Laix</t>
  </si>
  <si>
    <t>German Base</t>
  </si>
  <si>
    <t>Fires started</t>
  </si>
  <si>
    <t>En-dalà, Septsarges, Ogons, Beuges, Nantillois</t>
  </si>
  <si>
    <t>Bivouacs &amp; Camps</t>
  </si>
  <si>
    <t>Voisin-Peugeot bombers. Total KG of bombs dropped disagrees with numbers of 120 &amp; 155 mm bombs dropped (125 &amp; 5); I'm going with the total weight listed.  Also dropped 300 leaflets on Cuizy.</t>
  </si>
  <si>
    <t>AA fire 2140-2220</t>
  </si>
  <si>
    <t>2 ALERTS - 2225-2250, 0005-0050</t>
  </si>
  <si>
    <t>Gremilly, Warville, Moirey, Bezonveaux, St-Christophe farm</t>
  </si>
  <si>
    <t>11 Sopwith biplaces &amp; 9 SPAD escorts</t>
  </si>
  <si>
    <t>Puxieux</t>
  </si>
  <si>
    <t>Lezennes,Huele,etc.</t>
  </si>
  <si>
    <t>Aerodromes,RR Targets</t>
  </si>
  <si>
    <t>Huele</t>
  </si>
  <si>
    <t>Courtrai (N of...)</t>
  </si>
  <si>
    <t>Factory (Lighted)</t>
  </si>
  <si>
    <t>Lille (SE of...)</t>
  </si>
  <si>
    <t>Lille (around...)</t>
  </si>
  <si>
    <t>Lights &amp; Searchlights</t>
  </si>
  <si>
    <t>Hellemmes</t>
  </si>
  <si>
    <t>RR Engine Repair Shops</t>
  </si>
  <si>
    <t>Mouveau</t>
  </si>
  <si>
    <t>Warvin</t>
  </si>
  <si>
    <t>Tournai</t>
  </si>
  <si>
    <t>Mouveaux,Quesnoy,etc.</t>
  </si>
  <si>
    <t>Aerodrome,RR Targets</t>
  </si>
  <si>
    <t>Quesnoy</t>
  </si>
  <si>
    <t>St. Andre</t>
  </si>
  <si>
    <t>Ramegnies Chin,Lezennes..</t>
  </si>
  <si>
    <t>Lille (near...)</t>
  </si>
  <si>
    <t>Ft. Carnot</t>
  </si>
  <si>
    <t>Afternoon raid; 5 Sopwiths &amp; 10 Spad escorts cross the lines at 1715. Some bombs fall SE of the rail stn and on houses.</t>
  </si>
  <si>
    <t>GB1 War Diary Image 0165</t>
  </si>
  <si>
    <t>Famars,Heule,Lezen's,Ascq</t>
  </si>
  <si>
    <t>Aerodromes &amp; Trains</t>
  </si>
  <si>
    <t>Famars</t>
  </si>
  <si>
    <t>Lille,Wambrecaies(bet'n)</t>
  </si>
  <si>
    <t>Ascq Sidings (outside...)</t>
  </si>
  <si>
    <t>Moving Trains</t>
  </si>
  <si>
    <t>Charmois; Dun, Brieulles, Fleville; Remonville; Chatel-Cherey, Charpentry, Romagne, Montfaucon</t>
  </si>
  <si>
    <t>Chateau; RR stns; airfield; camps</t>
  </si>
  <si>
    <t>15 Voisin-Peugeots &amp; 2 Sopwiths fly 22 sorties - also dropped 1400 leaflets &amp; fired 1000 rounds at trains, convoys, bivouacs - AA fire heavy. Fires started at chateau, airfield, &amp; Dun &amp; Brielles rail stns.</t>
  </si>
  <si>
    <t>CEP115 (GB2)</t>
  </si>
  <si>
    <t>Capronis 57,26,15.  CEP115 was attached to GB2 at some point during August.</t>
  </si>
  <si>
    <t>CEP115 Log Image 0084</t>
  </si>
  <si>
    <t>Capronis 56 &amp; 57 (2nd raid of night)</t>
  </si>
  <si>
    <t>AA fire 2255-0210</t>
  </si>
  <si>
    <t>APPARENTLY ALERT ONLY - LIGHTS EXTINGUISHED AT 2230. "From 11 to 12:00 no locomotives left sheds. Complete paralysis of train communciations &amp; traffic."</t>
  </si>
  <si>
    <t>Bombs inside/outside foundry grounds: 4/4.  Glass and fence damage.</t>
  </si>
  <si>
    <t>Famars,Ram.Chin,Somain,..</t>
  </si>
  <si>
    <t>Aerodromes,RR targets</t>
  </si>
  <si>
    <t>RR Jtn Sidings &amp; Dump</t>
  </si>
  <si>
    <t>Ramegines Chin</t>
  </si>
  <si>
    <t>Douai-Somain Line</t>
  </si>
  <si>
    <t>RR Jtn &amp; Sidings</t>
  </si>
  <si>
    <t>Conflans, St-Juvin, Grandpre, Fleville; Remonville, Aincreville, Marville; Septsarges, Nantillois, Very, Villers-denant-Dun, Gresnes; Bantheville</t>
  </si>
  <si>
    <t>RR stns; airfields; camps; ammo dump</t>
  </si>
  <si>
    <t>Numbers of planes have to be considered approximate since the War Diary entry is unclear and self-contradictory. 5 Sopwiths mentioned apparently are also listed in the Treves record this same night, so I deducted them from the total mentioned in the War Diary. There were 24 or more Voisin sorties, including 5 by one plane. - 1 Voisin-Peugeot downed by AA but landed in French lines - dropped 2500 leaflets "Rede das President Wilson". Fired 685 rounds.</t>
  </si>
  <si>
    <t>Two raids on Treves over 4/5 Sept. First by 2 monoplaces, dropping 24x120mm. Second early morning (mission 0345-0610) on 5 Sept by 2 biplaces (dropped 12x120mm). War Diary says 126 bombs rather than 12, but that is clearly a typo. It seems likely that these were reprisal raids since the target description was given as "city" (ville) but I can find no documentation in Martel confirming that these raids were a reprisal.</t>
  </si>
  <si>
    <t>Capronis 15 &amp; 30. 15 made 3 trips that night; 57 &amp; 30 made two.</t>
  </si>
  <si>
    <t>CEP115 Log Image 0085</t>
  </si>
  <si>
    <t>Capronis 37,56,15,57. 15 made 3 trips that night; 57 &amp; 30 made two.</t>
  </si>
  <si>
    <t>Caproni 57. 15 made 3 trips that night; 57 &amp; 30 made two.</t>
  </si>
  <si>
    <t>Duds dropped on track #4. MICROFILM: AA fire 0330-0400</t>
  </si>
  <si>
    <t>Bombs inside/outside foundry grounds: 4/1.</t>
  </si>
  <si>
    <t>Bombs fell near tracks between Richtung-Woippy. MICROFILM: AA fire 2223-0130</t>
  </si>
  <si>
    <t>2 raids this date; 15 bombs followed by 1 bomb.</t>
  </si>
  <si>
    <t>THIS RECORD IS OUT OF SEQUENCE AND MAY BE WRONG.</t>
  </si>
  <si>
    <t>Challerange; R bank of Meuse</t>
  </si>
  <si>
    <t>10 Voisins &amp; 4 Sopwiths (3 biplace &amp; 1 monoplace) flew 24 sorties</t>
  </si>
  <si>
    <t>Hagondange &amp; Uckingen; Metz-Woippy &amp; Thionville; Frescaty; Langeville-les-Metz</t>
  </si>
  <si>
    <t>Works; RR Stns; Airfield; Unknown</t>
  </si>
  <si>
    <t>CEP115 Log Images 0085-6</t>
  </si>
  <si>
    <t>Log doesn't say if any of these targets were diversions from other targets. #56 aborted with right Rhone engine failure. #30 struck a piece of a Farman aileron upon takeoff &amp; aborted.</t>
  </si>
  <si>
    <t>Caproni #37</t>
  </si>
  <si>
    <t>Caproni #15 - 1st flight</t>
  </si>
  <si>
    <t>#57 - 2nd flight. #15 - 2nd flight - dropped 4 of its 6 200mm bombs here.</t>
  </si>
  <si>
    <t>#57 - 1st flight</t>
  </si>
  <si>
    <t>#15 - 2nd flight - dropped last 2 of its 6 200mm bombs here.</t>
  </si>
  <si>
    <t>Longeville-les-Metz</t>
  </si>
  <si>
    <t>Caproni #58 - target type unspecified but later that month they bombed the RR stn at the same town, so I'm assuming this is a rail target</t>
  </si>
  <si>
    <t>La Madeleine RR Triangle</t>
  </si>
  <si>
    <t>Goods Traffic</t>
  </si>
  <si>
    <t>Bissechem</t>
  </si>
  <si>
    <t>Aerodrome (or Dump)</t>
  </si>
  <si>
    <t>5 bombs on steel works.  1 dud between tracks 14 &amp; 15. MICROFILM: AA fire 2215-0050</t>
  </si>
  <si>
    <t>Raid from 11.58PM to 12.15AM [Microfilm].  56 buildings damaged in center of town; worst damage to military barracks and Circuit Court.  24 [of them] with insurance didn't report their damage.  4 soldiers killed. RR lines &amp; shops, plus some factories, stopped during alerts and raids.</t>
  </si>
  <si>
    <t>1 RAID &amp; 1 ALERT ON THIS NIGHT (5/6 SEP 1917). CASUALTIES &amp; DIRECT DAMAGE UNKNOWN. LOSS IN PRODUCTION OF IRON @ 498M PER TON.</t>
  </si>
  <si>
    <t>Caures (woods)</t>
  </si>
  <si>
    <t>Afternoon raid; 3 Sopwiths. Number of bombs not given. I'M ESTIMATING THIS USING A TYPICAL LOAD FOR BIPLACE SOPWITHS; 4X120MM BOMBS PER PLANE.</t>
  </si>
  <si>
    <t>GB1 War Diary Image 0166</t>
  </si>
  <si>
    <t xml:space="preserve">No AA fire </t>
  </si>
  <si>
    <t>ALERT ONLY - POSSIBLE THIS ALERT TOOK PLACE THE PREVIOUS AFTERNOON AT 4:10PM</t>
  </si>
  <si>
    <t>Capronis 37, 26, &amp; 30(1st of 2 missions)</t>
  </si>
  <si>
    <t>CEP115 Log Images 0086-7</t>
  </si>
  <si>
    <t>Capronis 57 &amp; 30 (2nd of 2 missions)</t>
  </si>
  <si>
    <t>Caproni 58</t>
  </si>
  <si>
    <t>Caproni 15</t>
  </si>
  <si>
    <t>Ascq,Roubaix,Mouveaux</t>
  </si>
  <si>
    <t>Aerodromes &amp; searchlights</t>
  </si>
  <si>
    <t>Ascq (near...)</t>
  </si>
  <si>
    <t>Roubaix (W of...)</t>
  </si>
  <si>
    <t>APPARENTLY ALERT FOLLOWED BY ATTACK.  TIMES LISTED ARE 2310-2340 &amp; 0050-0300. REMARKS: "From 12:50 to 3:00, no locomotives because of darkness.  Up to 5:00 [6:00?] because of attack."  CALCULATED "TIME LOST" AS 0050-0500; ALERT LENGTH AS 2310-2340 + 0050-0300.</t>
  </si>
  <si>
    <t>Courtrai,Lille,Quesnoy</t>
  </si>
  <si>
    <t>Searchlights,Aerod.,Batt.</t>
  </si>
  <si>
    <t>Courtrai (vicinity of...)</t>
  </si>
  <si>
    <t>Courtrai (Marcke?)</t>
  </si>
  <si>
    <t>Quesnoy (near...)</t>
  </si>
  <si>
    <t>AA fire 0050-0240</t>
  </si>
  <si>
    <t>AA fire 2150-2235</t>
  </si>
  <si>
    <t>Lys Valley (S of...)</t>
  </si>
  <si>
    <t>Dump,Rail,Aerod.,Battery</t>
  </si>
  <si>
    <t>Bisseghem</t>
  </si>
  <si>
    <t>Dump</t>
  </si>
  <si>
    <t>Asqc</t>
  </si>
  <si>
    <t>Sidings</t>
  </si>
  <si>
    <t>Lille-Tournai Line</t>
  </si>
  <si>
    <t>Track &amp; Moving Train</t>
  </si>
  <si>
    <t>Lemprett (near...)</t>
  </si>
  <si>
    <t>Batteries,AA,Searchlights</t>
  </si>
  <si>
    <t>Sivry sur Meuse, Septsarges, Brieulles, Montfaucon, Spincourt</t>
  </si>
  <si>
    <t>Voisin-Peugeots T.O. 2115. Poor visibility. Caused a fire E. of Nantillois. Fired 97 rounds.</t>
  </si>
  <si>
    <t>AA fire 0030-0200</t>
  </si>
  <si>
    <t>11 2-seater and 1 single-Sopwiths. 1 S.123 2-str shot down</t>
  </si>
  <si>
    <t>Kilduff, C&amp;C V.15,#1, p.13</t>
  </si>
  <si>
    <t>Nantillois, Montfaucon (N of), Very (wood); Brieulles</t>
  </si>
  <si>
    <t>Camps; RR stn &amp; Ammo Dump</t>
  </si>
  <si>
    <t>Voisin-Peugeots. 194 rounds fired. Targets hit or bracketed.</t>
  </si>
  <si>
    <t>Capronis 37,15,58,22,59 bombed Thionville. 26 aborted when left Rhone engine failed.</t>
  </si>
  <si>
    <t>CEP115 Log Images 0087-8</t>
  </si>
  <si>
    <t>Sinck (??)</t>
  </si>
  <si>
    <t>Not specified</t>
  </si>
  <si>
    <t>Caproni #56. Can't tell if this was originally part of Thionville raid.</t>
  </si>
  <si>
    <t>MICROFILM: Attack 2250-0142; AA fire 2105-0005. Direction of Gendringen at 10PM 3 bombs. 2 bombs between Bussingen and (?). All telegraph &amp; telephone lines cut in direction to Gendringen.  1st communication with Gen. at 2.24 AM. [TIME LOST FIGURED AS 2250-0224 -SCS]</t>
  </si>
  <si>
    <t>383, NARA 990 Roll 58</t>
  </si>
  <si>
    <t>Marville</t>
  </si>
  <si>
    <t>Capronis 15,58,37,59,52,26,56 bombed. #57 aborted after T.O. with broken prop &amp; right fuselage(?)</t>
  </si>
  <si>
    <t>CEP115 Log Image 0088</t>
  </si>
  <si>
    <t>AA fire 2132-2150</t>
  </si>
  <si>
    <t>Rumbeke &amp; Hooglede</t>
  </si>
  <si>
    <t>Billets (Villages?)</t>
  </si>
  <si>
    <t>Rumbeke</t>
  </si>
  <si>
    <t>Billets (Village?)</t>
  </si>
  <si>
    <t>Hooglede</t>
  </si>
  <si>
    <t>Menin,Gheluwe,Wervicq,...</t>
  </si>
  <si>
    <t>Towns</t>
  </si>
  <si>
    <t>Maizières</t>
  </si>
  <si>
    <t>Capronis 37,15,58,52. #26 aborted with Canton engine failure.</t>
  </si>
  <si>
    <t>CEP115 Log Images 0088-9</t>
  </si>
  <si>
    <t>Caproni #59. May have diverted from Mazières mission but log does not say so.</t>
  </si>
  <si>
    <t>Caproni #30. May have diverted from Mazières mission but log does not say so.</t>
  </si>
  <si>
    <t>Menin &amp; Wervicq</t>
  </si>
  <si>
    <t>RR Stn &amp; Town</t>
  </si>
  <si>
    <t>ALERT ONLY - LIGHTS EXTINGUISHED AT 2010.</t>
  </si>
  <si>
    <t>AA fire 2020-2112</t>
  </si>
  <si>
    <t>Wervicq &amp; Menin</t>
  </si>
  <si>
    <t>RR Stns,Towns,Crossroads</t>
  </si>
  <si>
    <t>RR Stn,Town</t>
  </si>
  <si>
    <t>Menin,Gheluvelt,Wervicq</t>
  </si>
  <si>
    <t>Crossroads</t>
  </si>
  <si>
    <t>Eclisfontaine &amp; Remonville</t>
  </si>
  <si>
    <t>Voisin-Peugeot.</t>
  </si>
  <si>
    <t>Thionville, Thionville-Terville, Metz-Woippy, Langeville-les-Metz; Florange; Luxembourg</t>
  </si>
  <si>
    <t>RR Stns; Railway; U/K</t>
  </si>
  <si>
    <t>CEP115 Log Images 0089-90</t>
  </si>
  <si>
    <t>Caproni #52 aborted 2nd mission of night with left Le Rhone engine problem. #56 flew 2 missions; Numbers 59, 37, 58 flew 3 missions each; #15 flew one sortie.</t>
  </si>
  <si>
    <t>Capronis 59,15,58</t>
  </si>
  <si>
    <t>Thionville-Terville</t>
  </si>
  <si>
    <t>Caproni 37</t>
  </si>
  <si>
    <t>Capronis 56,59,37,58</t>
  </si>
  <si>
    <t>Capronis 59,37,58</t>
  </si>
  <si>
    <t>Florange</t>
  </si>
  <si>
    <t>Caproni 56</t>
  </si>
  <si>
    <t>Caproni 52. Target not specifically mentioned but all other targets were rail stations or lines.</t>
  </si>
  <si>
    <t>During the 2nd half of Sept. the Mills were often attacked.  Only specific info is: "On Sept. 22 at noon a strong sqn, undoubtedly American [not in 1917! -SCS], sprinkled the district between Thionville &amp; Metz with several hundred bombs.  Within a few minutes 160 points of fall were noted w/i the mills."  Little damage - 1 hit a gas main &amp; some tracks were damaged. Also "50-60 bombs in vicinity of station". MICROFILM: AA fire 1215-1230. TELEGRAPH: ...1 house [in] the Steel Works was hit; 1 child wounded. Repair of damaged track lasted until 6PM...</t>
  </si>
  <si>
    <t>389; NARA 990 Roll 58</t>
  </si>
  <si>
    <t>COMBINED 2 RECORDS W/ OVERLAPPING TIMES, PRESUMABLY RECORDING SEPARATE EXPERIENCES AT 2 METZ STNS: 1ST - 1945-2115, 3 WOUNDED, 20 BOMBS DROPPED, 2 DUDS; 2ND - 1945-0230, 7 WOUNDED, 15 BOMBS DROPPED. "TIME LOST" IS SUM OF 2 TIMES; "RAID LENGTH" IS LONGER TIME -SCS</t>
  </si>
  <si>
    <t>AA fire 2010-2316</t>
  </si>
  <si>
    <t>383; NARA 990</t>
  </si>
  <si>
    <t>Bombs inside/outside foundry grounds: 2/1.</t>
  </si>
  <si>
    <t>Damage to Stahlheim [Workers?] Colony, Middlestreet #76, adjoining houses</t>
  </si>
  <si>
    <t>1 RAID &amp; 3 ALERTS ON THIS NIGHT (22/23 SEP 1917). CASUALTIES &amp; DIRECT DAMAGE UNKNOWN. LOSS IN PRODUCTION OF IRON @ 498M PER TON.</t>
  </si>
  <si>
    <t>Donon</t>
  </si>
  <si>
    <t>No details known.</t>
  </si>
  <si>
    <t>Capronis 37,26,57,58,56,25 bombed RR stn; 52 &amp; 48 aborted with Rhone engine problems. #37 completed mission but was damaged by AA fire.</t>
  </si>
  <si>
    <t>CEP115 Log Image 0090</t>
  </si>
  <si>
    <t>MAURER MAURER &amp; MICROFILM: Passenger track damaged.  Gas pipe in steel works &amp; 1 house in Stalheim hit.  1 child wounded. [THESE DETAILS ARE PROBABLY CONFUSED WITH THOSE OF THE DAY BEFORE - THE 22SEP1917 TELEGRAPH MESSAGE MENTIONED THE PIPE, THE HOUSE, AND THE CHILD. -SCS]  AA fire 0230-0300</t>
  </si>
  <si>
    <t>383; NARA 990 Roll 58</t>
  </si>
  <si>
    <t>AA fire 2035-2050</t>
  </si>
  <si>
    <t>APPARENTLY ALERT ONLY - "Entire cessation of coaling".</t>
  </si>
  <si>
    <t>Brieulles, Romagne sous Montfaucon, Aincreville, Sivry s/ Meuse; Remonville (S of)</t>
  </si>
  <si>
    <t>12 Voisins. Also fired 350 rounds &amp; dropped 3000 leaflets. Fire started at Sivry s/ Meuse. # of bombs on each target in order: 66, 10, 10, 26, 36.</t>
  </si>
  <si>
    <t>Brieulles, Romagne sous Montfaucon, Aincreville, Sivry s/ Meuse</t>
  </si>
  <si>
    <t>Remonville (S of)</t>
  </si>
  <si>
    <t>Caproni 37 bombed target. #59 aborted when Sergent Marie's finger was cut [off?] by right propeller. #59 left again with a new pilot &amp; aborted with spark plug trouble.</t>
  </si>
  <si>
    <t>CEP115 Log Images 0090-91</t>
  </si>
  <si>
    <t>AA fire 1950-2245</t>
  </si>
  <si>
    <t>1 RAID &amp; 1 ALERT ON THIS NIGHT (24/25 SEP 1917). CASUALTIES &amp; DIRECT DAMAGE UNKNOWN. LOSS IN PRODUCTION OF IRON @ 498M PER TON.</t>
  </si>
  <si>
    <t>RR Stns,Towns,Roads</t>
  </si>
  <si>
    <t>Menin,Ghel't,Wer'q,Zand.</t>
  </si>
  <si>
    <t>Roads</t>
  </si>
  <si>
    <t>Becelacre</t>
  </si>
  <si>
    <t>Tilly, Romagne</t>
  </si>
  <si>
    <t>Landreville, Chassange; Brieulles, St-Juvin; Nantillois</t>
  </si>
  <si>
    <t>Airfields, RR stns, Camp</t>
  </si>
  <si>
    <t>Voisins also fired 250 rounds &amp; dropped 2500 leaflets.Several hangers hit at Landreville.</t>
  </si>
  <si>
    <t>Capronis 48,20,25,37,57 bombed target</t>
  </si>
  <si>
    <t>CEP115 Log Image 0091</t>
  </si>
  <si>
    <t>AA fire 2015-2200</t>
  </si>
  <si>
    <t>APPARENTLY ALERT ONLY - "1 fireman fell into turning platform because of darkness.  Serious injury on head."</t>
  </si>
  <si>
    <t>Auboue</t>
  </si>
  <si>
    <t>Over 100 bombs fell on town that night - one hit Russian prisoner barracks, killing six.  [Several other unspecified raids there and in nearby towns of Joeuf and Homecourt]</t>
  </si>
  <si>
    <t>SE of Briey</t>
  </si>
  <si>
    <t>Altkirch, S of Colmar</t>
  </si>
  <si>
    <t>NOT A BOMBING RAID - Dropped propaganda leaflets - GB4</t>
  </si>
  <si>
    <t>1 a/c, presumably a Farman - 60 kg</t>
  </si>
  <si>
    <t>Romagne; Marville; Mars-la-Tour</t>
  </si>
  <si>
    <t>RR stn; airfields</t>
  </si>
  <si>
    <t>AA fire 2203-2218</t>
  </si>
  <si>
    <t>Ledeghem,Menin,Wevelghem,</t>
  </si>
  <si>
    <t>RR Stns &amp; Villages</t>
  </si>
  <si>
    <t>RR Stn &amp; Village</t>
  </si>
  <si>
    <t>Wevelghem</t>
  </si>
  <si>
    <t>Roncq</t>
  </si>
  <si>
    <t>Village?</t>
  </si>
  <si>
    <t>Dadizelle</t>
  </si>
  <si>
    <t>Marville; Brieulles, Fleville; Penvilliers, Sivry s/ Meuse</t>
  </si>
  <si>
    <t>Airfield; RR stns; Camps</t>
  </si>
  <si>
    <t>GB1 War Diary Image 0167</t>
  </si>
  <si>
    <t>Voisin-Peugeots - bad weather. Fired 800 rounds, dropped 3000 leaflets. Hits on Marville airfield. 1 plane flying at 350 meters landed with damage.</t>
  </si>
  <si>
    <t>Brieulles, Fleville</t>
  </si>
  <si>
    <t>Penvilliers, Sivry s/ Meuse</t>
  </si>
  <si>
    <t>Raid 9:00 - 9:30pm.  All 5 bombs in fields.  (Total damage in all 9 raids: 20,000 marks in town; 10,920 to factory; 15,000 marks cost for protection.)</t>
  </si>
  <si>
    <t>Raids 2130-2220, 2315-2330. AA fire 2150-2200, 2315-2330</t>
  </si>
  <si>
    <t>Gontrode,St.Denis Westrem</t>
  </si>
  <si>
    <t>Airship Shed &amp; Aerodrome</t>
  </si>
  <si>
    <t>St.Denis Westrem</t>
  </si>
  <si>
    <t>Aerodrome (Presumably)</t>
  </si>
  <si>
    <t>Gontrode</t>
  </si>
  <si>
    <t>Airship Shed</t>
  </si>
  <si>
    <t>Gontrode,Courtai,Menin...</t>
  </si>
  <si>
    <t>Airship Shed,RR Stns,Huts</t>
  </si>
  <si>
    <t>Capronis 37,15,52,57 all aborted after 40-50 minutes due to thick fog</t>
  </si>
  <si>
    <t>AA fire 2300-2400</t>
  </si>
  <si>
    <t>APPARENTLY ALERT ONLY - "Collision of engines 4226 &amp; 4189. Both machinists received head injuries."</t>
  </si>
  <si>
    <t>Gontrode,Courtrai,Bis'm..</t>
  </si>
  <si>
    <t>Airship Shed,Stn,Dump,...</t>
  </si>
  <si>
    <t>Wervicq (N of...)</t>
  </si>
  <si>
    <t>RR Track???</t>
  </si>
  <si>
    <t>Courtrai (W of...)</t>
  </si>
  <si>
    <t>WX divert from Frankfurt reprisal raid</t>
  </si>
  <si>
    <t>GB1 War Diary Image 0167 &amp; Nilsson, OTF 1/4, p.312</t>
  </si>
  <si>
    <t>Telephone wires destroyed.</t>
  </si>
  <si>
    <t>SOP123</t>
  </si>
  <si>
    <t>Frankfurt</t>
  </si>
  <si>
    <t>1 a/c of SOP123 dropped 60kg</t>
  </si>
  <si>
    <t>Luxeuil-St-Sauveur</t>
  </si>
  <si>
    <t>1 a/c of SOP29 dropped 60kg</t>
  </si>
  <si>
    <t>Athus, Longuyon</t>
  </si>
  <si>
    <t>Frankfurt, Treves, Coblenz,Thionville; Metz-Wappy</t>
  </si>
  <si>
    <t>Cities; RR stn</t>
  </si>
  <si>
    <t>GB1 War Diary Image 0167 &amp; Martel, 238</t>
  </si>
  <si>
    <t>Metz-Wappy</t>
  </si>
  <si>
    <t>Raid by Lts. Richet &amp; Thonier</t>
  </si>
  <si>
    <t>Martel, 238</t>
  </si>
  <si>
    <t>Stuttgart; Thionville, Dieuze, Maizières, Hagondingen</t>
  </si>
  <si>
    <t>City; RR Stns</t>
  </si>
  <si>
    <t>CEP115 Log Image 0092</t>
  </si>
  <si>
    <t>Caproni #20 aborted with right Rhone engine failure</t>
  </si>
  <si>
    <t>Capronis 30&amp;26 bombed Stuttgart on ~6 hour mission by carrying half the normal bomb load</t>
  </si>
  <si>
    <t>Capronis 25 &amp; 48</t>
  </si>
  <si>
    <t>Caproni 52 diverted from Stuttgart due to fog. Carried only 15 bombs due to expected distance but 4 of them got hung up &amp; were not dropped.</t>
  </si>
  <si>
    <t>Hagondingen</t>
  </si>
  <si>
    <t>Caproni 57 - completed mission despite Canton engine losing power</t>
  </si>
  <si>
    <t>Raids on nights of 1/2, 16/17, 17/18, 29/30, 30/31 October, totalling 118 bombs inside the mills.  Some material damage. MICROFILM: AA fire 2040-2400</t>
  </si>
  <si>
    <t>389, NARA 990 Roll 58</t>
  </si>
  <si>
    <t>(Total damage in 8 raids: to town 19,000 francs; to Athus-Grevegne Works 400,000 francs.)</t>
  </si>
  <si>
    <t>In city, 3 bombs damaged property of 28 people (4045M).  1 bomb just S of RR station, damaging main track to Mainz &amp; a switch track (100M) and 18 passenger cars (4,550M).  Traffic switched around damage w/o delays.</t>
  </si>
  <si>
    <t>478, 479</t>
  </si>
  <si>
    <t>Raid from 2110-2227.  82 buildings &amp; houses damaged.  "45 people who were insured failed to report their damages." A STRAIGHT EXTRAPOLATION WOULD ESTIMATE TOTAL DAMAGES AT 2562 MARKS.</t>
  </si>
  <si>
    <t>Bombs inside/outside foundry grounds: 7/11.  Serious damage to windows &amp; doors of Villa Rochling.</t>
  </si>
  <si>
    <t>Line Sablon-Moselle bridge destroyed &amp; supporting wall &amp; telegraph connection destroyed.  Tracks out of commission 7 hours.</t>
  </si>
  <si>
    <t>2 raids this date; 14 bombs followed by 6 bombs.</t>
  </si>
  <si>
    <t>GB2/V.101</t>
  </si>
  <si>
    <t>Baden</t>
  </si>
  <si>
    <t>Reprisal raid described by Martel.</t>
  </si>
  <si>
    <t>Mittelbron</t>
  </si>
  <si>
    <t>Bühl</t>
  </si>
  <si>
    <t>Frankfurt, Rastadtt</t>
  </si>
  <si>
    <t>Cities</t>
  </si>
  <si>
    <t>GB1 War Diary Images 0167-8 &amp; Martel, 238</t>
  </si>
  <si>
    <t>11 Sopwith monoplaces T.O. 2040-2140. Last RTB 0200. Started a violent fire in the center of Frankfurt. Martel provides info this was reprisal raid and says 46 were killed or wounded. 1 a/c &amp; 12 bombs unaccounted for in War Diary narrative - possibly WX-diverted and bombed some other target.</t>
  </si>
  <si>
    <t>Rastadtt</t>
  </si>
  <si>
    <t>Brieulles; Chassagne</t>
  </si>
  <si>
    <t>RR stn; airfield</t>
  </si>
  <si>
    <t>There is a break in the War Diary, so there is a small chance this raid occurred on the previous night.</t>
  </si>
  <si>
    <t>GB1 War Diary Image 0169</t>
  </si>
  <si>
    <t>Capronis 52,37,56.</t>
  </si>
  <si>
    <t>AA fire 2200-2320. [CHANGED RECORD FROM RAID TO ALERT. -SCS]</t>
  </si>
  <si>
    <t>ALERT ONLY. ALL FACTORIES STOPPED WORK. NO RR DELAYS.</t>
  </si>
  <si>
    <t>Work stopped in factories, businesses, &amp; shops during alerts. 2 alerts - 0046-0100, 0105-0200.</t>
  </si>
  <si>
    <t>ALERTS 0104-0130, 0500-0525. NO BOMBS IN CITY LIMITS. FACTORY STOPPED DURING 40% OF ALERTS</t>
  </si>
  <si>
    <t>No AA fire. [ORIGINAL RECORD CALLED THIS A RAID - ALMOST CERTAINLY AN ALERT. -SCS]</t>
  </si>
  <si>
    <t>Damage to Mollerung Furnaces I &amp; II</t>
  </si>
  <si>
    <t>[ORIGINAL RECORD CALLED THIS A RAID - ALMOST CERTAINLY AN ALERT. -SCS]</t>
  </si>
  <si>
    <t>APPARENTLY ALERT ONLY - "Workers on locomotive fall because of darkness."</t>
  </si>
  <si>
    <t>Altkirch to Cerny</t>
  </si>
  <si>
    <t>NOT A BOMBING RAID - 11 a/c dropped 2800 propaganda leaflets &amp; did recce</t>
  </si>
  <si>
    <t>SHAA - G.A.N. Summary of Operations for 16-31 October 1917</t>
  </si>
  <si>
    <t>Bohain</t>
  </si>
  <si>
    <t>Day ?</t>
  </si>
  <si>
    <t>SHAA - G.A.E. Summary of Operations for 16-31 October 1917</t>
  </si>
  <si>
    <t>Attacked aerodrome 5 days before Rudolf Kersting left</t>
  </si>
  <si>
    <t>Works/Mill</t>
  </si>
  <si>
    <t>Raid was part of the blockade of the iron-producing basin</t>
  </si>
  <si>
    <t>Waville</t>
  </si>
  <si>
    <t>Maizières-les-Metz</t>
  </si>
  <si>
    <t>Unit listed as G.B.5 (A.V.) - raid was part of the blockade of the iron-producing basin</t>
  </si>
  <si>
    <t>Woippy</t>
  </si>
  <si>
    <t>THIS RECORD ALMOST CERTAINLY DUPLICATES CEP115 RECORD - Raid was part of the blockade of the iron-producing basin</t>
  </si>
  <si>
    <t>THERE IS SOME CHANCE THIS SHOULD BE COURCELLES &amp; THAT IT DUPLICATES CEP115 RECORD - Raid was part of the blockade of the iron-producing basin</t>
  </si>
  <si>
    <t>THIS RECORD ALMOST CERTAINLY PARTIALLY DUPLICATES CEP115 RECORD - Raid was part of the blockade of the iron-producing basin</t>
  </si>
  <si>
    <t>CAP115 (GB2)</t>
  </si>
  <si>
    <t>Caproni #37 - bomb wgt &amp; # not specified by new recorder but must be same as before.  LES ESCADRILLES… SAYS SQN CHANGED DESIGNATION TO CAP115 SOMETIME DURING OCTOBER 1917.</t>
  </si>
  <si>
    <t>CEP115 Log Image 0093</t>
  </si>
  <si>
    <t>Caproni #52 - bomb wgt &amp; # not specified by new recorder but must be same as before</t>
  </si>
  <si>
    <t>Caproni #52, apparently 2nd mission - bomb wgt &amp; # not specified by new recorder but must be same as before</t>
  </si>
  <si>
    <t>Caproni #57 - bomb wgt &amp; # not specified by new recorder but must be same as before</t>
  </si>
  <si>
    <t>MICROFILM: Attacks 2040-0036, 0118-0425; AA fire 2135-2300, 0150-0425. [Referring to latter attack,] "13 bombs on steel works. Telegraph lines &amp; windows destroyed. 1 person severely wounded &amp; 3 others slightly wounded. [TELEGRAM gives different timing:] "...About 11PM 13 bombs dropped around the Steel Works...[its] Canteen badly damaged...[same wording on 4 wounded]...Material damages 3-4000 marks. Work not interrupted. RR yards not hit. [signed] Bf STAHL"</t>
  </si>
  <si>
    <t>Burbach Works-Blast Furn.</t>
  </si>
  <si>
    <t>DH4</t>
  </si>
  <si>
    <t>GB4/SOP29</t>
  </si>
  <si>
    <t>City (reprisal)</t>
  </si>
  <si>
    <t>1 Sopwith bomber</t>
  </si>
  <si>
    <t>Kilduff, C&amp;C V.15,#1, p.13 &amp; SHAA - G.A.E. Summary of Operations for 16-31 October 1917</t>
  </si>
  <si>
    <t>Mont-d'Origny</t>
  </si>
  <si>
    <t>Catelet</t>
  </si>
  <si>
    <t>Ars sur Moselle</t>
  </si>
  <si>
    <t>Noveant</t>
  </si>
  <si>
    <t>Capronis 37,52,57. Bomb numbers &amp; wgts not given but have been so consistent before and after that they can be estimated w/o uncertainty. Raid was part of the blockade of the iron-producing basin</t>
  </si>
  <si>
    <t>CEP115 Log Image 0093 &amp; SHAA - G.A.E. Summary of Operations for 16-31 October 1917</t>
  </si>
  <si>
    <t>Raids on nights of 1/2, 16/17, 17/18, 29/30, 30/31 October, totalling 118 bombs inside the mills.  Some material damage.  MICROFILM: AA fire 1940-2328. RR STN TELEGRAM DATED 18 OCT 191{8} ALMOST CERTAINLY REFERS TO THIS RAID: "Last night, beginning at 7:40PM &amp; lasting until 8:30PM enemy planes were seen over the RR stn &amp; Steel Works. 20 bombs were dropped in Steel Works. 1 Russian and 2 civilians slightly injured. Several tracks of RR stn of Thyssen damaged. RR yard not hit. 1 dud dropped in kil. 170,500 E of track. [signed] Bf STAHL"</t>
  </si>
  <si>
    <t>Hagondange (RR Stn, Forges &amp; Steel Mills)</t>
  </si>
  <si>
    <t>APPARENTLY ALERT ONLY - "Long standstill in movement of locomotives."</t>
  </si>
  <si>
    <t>10/17 &amp; 10/24 entries were out of sequence and may be wrong or reversed (microfilm was the same way).</t>
  </si>
  <si>
    <t>Damage to tracks, clubhouse building, foundry officials' residences. [CASUALTIES NOT IN US SURVEY, SO USED BRITISH SURVEY FOR THOSE: 5 KILLED, 9 INJURED. BRIT. SURVEY REPORTED 17000 MARKS DAMAGE -SCS]</t>
  </si>
  <si>
    <t>Mortiers</t>
  </si>
  <si>
    <t>Crepy</t>
  </si>
  <si>
    <t>Queuemonceau</t>
  </si>
  <si>
    <t>Troop Billets</t>
  </si>
  <si>
    <t>Assis s/Serre</t>
  </si>
  <si>
    <t>ALERTS 1309-1344, 1452-1552. NO BOMBS IN CITY LIMITS. FACTORY STOPPED DURING 40% OF ALERTS</t>
  </si>
  <si>
    <t>Work stopped in factories, businesses, &amp; shops during alerts. 2 alerts - 0335-0405, 0408-0425.</t>
  </si>
  <si>
    <t>Wadgassen &amp; Bous</t>
  </si>
  <si>
    <t>Factory &amp; Railways</t>
  </si>
  <si>
    <t>Dandry Farm</t>
  </si>
  <si>
    <t>Depot (Prob. Munitions)</t>
  </si>
  <si>
    <t>Unit listed as G.B.5 (A.V.)</t>
  </si>
  <si>
    <t>Forest of Vencheres</t>
  </si>
  <si>
    <t>Unit listed as G.B.5 (A.V.).  VENCHÈRES IS 85KM ESE OF OCHEY</t>
  </si>
  <si>
    <t>Unit listed as G.B.5 (A.V.) - raid was part of the blockade of the iron-producing basin.  MOYEUVRE-GRANDE IS ABOUT 15KM SW OF THIONVILLE.</t>
  </si>
  <si>
    <t>Caproni #37. Can't tell whether this was a diversion from Hagondange.  Raid was part of the blockade of the iron-producing basin</t>
  </si>
  <si>
    <t>Capronis #57 &amp; 52. Raid was part of the blockade of the iron-producing basin</t>
  </si>
  <si>
    <t>MICROFILM: AA fire 0355-0450. Bombs dropped on tracks between Roplingen and Moueuvre.</t>
  </si>
  <si>
    <t>383, NARA 990</t>
  </si>
  <si>
    <t>2 ALERTS - 1535-1700, 2220-2345.</t>
  </si>
  <si>
    <t>AA fire 2200-2330. "Bombs dropped on tracks Nos. 2 and 4, between Hagendingen and Mochern."</t>
  </si>
  <si>
    <t>12 Sopwiths</t>
  </si>
  <si>
    <t>Damage to mine railway dam, furnaces III &amp; IV and Russian camp</t>
  </si>
  <si>
    <t>Saarbrucken &amp; vicinity</t>
  </si>
  <si>
    <t>Railway Jtns,Stns,Trains</t>
  </si>
  <si>
    <t>St.Avold (Metz-Saarbrkn)</t>
  </si>
  <si>
    <t>Rail Station &amp; Train</t>
  </si>
  <si>
    <t>Wallersburg</t>
  </si>
  <si>
    <t>Merlenbach(St.Avold-Srbn)</t>
  </si>
  <si>
    <t>Rail Junction</t>
  </si>
  <si>
    <t>Homberg (vic. Merlenbach)</t>
  </si>
  <si>
    <t>Burbach Works</t>
  </si>
  <si>
    <t>Longeville</t>
  </si>
  <si>
    <t>AA fire 1950-2130. [CHANGED RECORD FROM RAID TO ALERT. -SCS]</t>
  </si>
  <si>
    <t>"Engineer Schmitt wounded in head by grenades. Track Wadgannan - Kargoten destroyed by bombs. Locomotives 8483, 7822, 8487, 8057 &amp; 7723 were considerably delayed."</t>
  </si>
  <si>
    <t>Vandières</t>
  </si>
  <si>
    <t>Saarbrucken &amp; others</t>
  </si>
  <si>
    <t>Railways,Bldgs,Trains</t>
  </si>
  <si>
    <t>St. Avold</t>
  </si>
  <si>
    <t>Train (south of station)</t>
  </si>
  <si>
    <t>Railway &amp; Buildings</t>
  </si>
  <si>
    <t>Cateau</t>
  </si>
  <si>
    <t>Caproni 52 - Raid was part of the blockade of the iron-producing basin</t>
  </si>
  <si>
    <t>CEP115 Log Image 0094 &amp; SHAA - G.A.E. Summary of Operations for 16-31 October 1917</t>
  </si>
  <si>
    <t>Caproni 26 - Raid was part of the blockade of the iron-producing basin</t>
  </si>
  <si>
    <t>Bettembourg</t>
  </si>
  <si>
    <t xml:space="preserve">Caproni 57 on 2nd mission of the night. Canton engine prop broken by AA shell; 1 rocker on left Rhone engine broke.  Bomb # &amp; wgt not listed so am using GB2 summary data even though it is unusual. Raid was part of the blockade of the iron-producing basin. BETTEMBOURG, LUX. IS 20KM N OF THIONVILLE. </t>
  </si>
  <si>
    <t xml:space="preserve">Capronis 15, 56, 57 (1st raid of night). Raid was part of the blockade of the iron-producing basin. </t>
  </si>
  <si>
    <t xml:space="preserve">GB2 report to G.A.E. lists a higher bombweight than CEP115 log. Am assuming here that other GB2 planes hit this target the same night. Raid was part of the blockade of the iron-producing basin. </t>
  </si>
  <si>
    <t>Work stopped in factories, businesses, &amp; shops during alerts. 2 alerts - 1015-1050, 1145-1205.</t>
  </si>
  <si>
    <t>"No locomotives went out because of grenades. Coaling delayed. Locomotives 8057, 7707, 8487, 8421 &amp; 1022 were considerably delayed."</t>
  </si>
  <si>
    <t>Raids on nights of 1/2, 16/17, 17/18, 29/30, 30/31 October, totalling 118 bombs inside the mills.  Some material damage. MICROFILM: AA fire 2000-2300</t>
  </si>
  <si>
    <t>RAIDS AND/OR ALERT @ 2025-2320 &amp; 0140-0410.  "Bombs fell on E. wing, whereby entrance to Kunzig was prevented."</t>
  </si>
  <si>
    <t>1 RAID &amp; 1 ALERT ON THIS NIGHT (29/30 OCT 1917). CASUALTIES &amp; DIRECT DAMAGE UNKNOWN. LOSS IN PRODUCTION OF IRON @ 498M PER TON.</t>
  </si>
  <si>
    <t>Dud fell near tracks Metz-Amanwieler.  Dug up.  Track out 6 hours.</t>
  </si>
  <si>
    <t>Pirmasens</t>
  </si>
  <si>
    <t>Boot Factory</t>
  </si>
  <si>
    <t>Schlettstadt</t>
  </si>
  <si>
    <t>Sélestat ON MODERN MAPS</t>
  </si>
  <si>
    <t>Saar Valley (4 locations)</t>
  </si>
  <si>
    <t>Fact.,Furn.,SteelWrks,Trn</t>
  </si>
  <si>
    <t>Distance from Base is approximate.  --SCS</t>
  </si>
  <si>
    <t>Voelklingen</t>
  </si>
  <si>
    <t>Factory, Saar Valley</t>
  </si>
  <si>
    <t>North Saar Valley</t>
  </si>
  <si>
    <t>Furnaces</t>
  </si>
  <si>
    <t>Saar Valley</t>
  </si>
  <si>
    <t xml:space="preserve">1 Sopwith 2-seater - 40 kg </t>
  </si>
  <si>
    <t>GB2 report to GAE said dropped 12 bombs totaling 968 lb.  CEP115 report said six totaling 660 lb., so assuming non-CEP115 a/c from GB2 also attacked this target.  Have amended this GB2 record.  Raid was part of the blockade of the iron-producing basin</t>
  </si>
  <si>
    <t>Caproni #56.  Raid was part of the blockade of the iron-producing basin</t>
  </si>
  <si>
    <t>[Damage figure in database is understated - bombing survey says 4-raid total represents 791 claims but doesn't include an almost equal number of claims paid by insurance. Number injured is from BRITISH SURVEY, which listed 1 killed (like US survey) and 4 wounded. --SCS]</t>
  </si>
  <si>
    <t>Work stopped in factories, businesses, &amp; shops during alerts. 2 alerts - 1203-1240, 1248-1310.</t>
  </si>
  <si>
    <t>AA fire 1520-1620.  [CHANGED ORIGINAL RECORD FROM RAID TO ALERT. -SCS]</t>
  </si>
  <si>
    <t>[Maurer Maurer had impossible date; corrected with NARA 990 microfilm.] Attack at 1940 until 2000. Earlier alert sounded at 1920; AA fire 1940-2200. [EITHER DURATION OF ATTACK OR AA FIRE IS WRONG.]  "8 bombs dropped north &amp; south of RR crossing Kil. 170.86.  One car derailed &amp; damaged.  8 wires broken.  3 bombs in steel works-no damage." TELEGRAM: "Last night at 7:40PM the RR stn was passed repeatedly by enemy planes coming from Metz...Heavy AA fire. 8 bombs were dropped in kil. 170,186, between 10 &amp; 15 m directly N &amp; S of RR crossing. 1 dud on track #2. 2 duds between tracks #3 and 4. 1 HE bomb (Sprengbombe) on track #4. 2 HE bombs and 1 dud on track Thyssen. 2 cars thrown off the track, 1 pierced through by pieces of shell. 1 bomb fell on Southern end of bridge. Tracks 1-4 slightly damaged. 8 electric wires torn. Also 1 Blocking switch &amp; switch #137 damaged. No persons were injured... Bf STAHL"</t>
  </si>
  <si>
    <t>Hagondange (Rail Stn, Forges, Steel Mills)</t>
  </si>
  <si>
    <t>383; 389; NARA 990 Roll 58</t>
  </si>
  <si>
    <t>Damage to Cross-way gallery III &amp; IV</t>
  </si>
  <si>
    <t>Damage in vicinity of Local Bureau</t>
  </si>
  <si>
    <t>BRITISH SURVEY says damage of 47,646 marks - US survey only gave monthly totals</t>
  </si>
  <si>
    <t>9 Sopwiths (2 single-seaters &amp; 7 2-seaters), 220 kg, 300 leaflets</t>
  </si>
  <si>
    <t>Ruffach</t>
  </si>
  <si>
    <t>Munitions Depot</t>
  </si>
  <si>
    <t>220 kg - 10 Sopwith 2-seaters</t>
  </si>
  <si>
    <t>Kilduff, C&amp;C V.15,#1, p.14</t>
  </si>
  <si>
    <t>Wetérinthal</t>
  </si>
  <si>
    <t>Munitions Depot &amp; RR stn</t>
  </si>
  <si>
    <t>200 kg - 7 2-seaters and one single-seater Sopwith</t>
  </si>
  <si>
    <t>Kaiserslautern (south of)</t>
  </si>
  <si>
    <t>GB5/Br117,120</t>
  </si>
  <si>
    <t>Martel says reprisal by 17 Breguets of Br117 &amp; Br120 was a reprisal for repeated bombardments of Dunkerque.</t>
  </si>
  <si>
    <t>Breguet14</t>
  </si>
  <si>
    <t>SHAA - G.A.E. Summary of Operations for 1-15 November 1917; Martel - last page of 1917 chapter</t>
  </si>
  <si>
    <t>Alsace (various locations)</t>
  </si>
  <si>
    <t>Munit'ns Depots &amp; Troop Billets</t>
  </si>
  <si>
    <t>Combined record of raids on 6 days ordered by VII Armée - 156 bombs; 2120 kg total</t>
  </si>
  <si>
    <t>SHAA - G.A.E. Summary of Operations for 1-15 November 1917</t>
  </si>
  <si>
    <t>GB4/SOP132</t>
  </si>
  <si>
    <t>Lts Le Gorju and Chauvin fell in combat over Colmar and Died for France.  This record must overlap with the combined record above.  Based on 48kg bomb wgt, assume only 1 Sopwith 2-seater dropping bombs.</t>
  </si>
  <si>
    <t>Br132 Journal des Marches et Operations (Image 0001) &amp; Les escadrilles… p.304</t>
  </si>
  <si>
    <t>Caproni #52 bombed RR stn; #30 aborted with Rhone engine failure.  Raid was part of the blockade of the iron-producing basin</t>
  </si>
  <si>
    <t>CEP115 Log Image 0095 &amp; SHAA - G.A.E. Summary of Operations for 1-15 November 1917</t>
  </si>
  <si>
    <t>Caproni 58 bombed target.  Raid was part of the blockade of the iron-producing basin</t>
  </si>
  <si>
    <t>GB2 summary had higher bombwgt than just the one CEP115 Caproni, so other GB2 a/c must have also attacked this target. Raid was part of the blockade of the iron-producing basin</t>
  </si>
  <si>
    <t>Kaiserslautern</t>
  </si>
  <si>
    <t>Raid from 1505 - 1545.  Most city businesses closed during air raids.</t>
  </si>
  <si>
    <t>Mittelsheim (S of)</t>
  </si>
  <si>
    <t>Illfurth</t>
  </si>
  <si>
    <t>Rail Depot</t>
  </si>
  <si>
    <t>Altkirch to Thann</t>
  </si>
  <si>
    <t>Front Lines</t>
  </si>
  <si>
    <t>5 single-seat &amp; 2 2-seater Sopwiths - MUST OVERLAP WITH RECORD BELOW</t>
  </si>
  <si>
    <t>SHAA - G.A.N. Summary of Operations for 1-15 November 1917</t>
  </si>
  <si>
    <t>Hirsingen</t>
  </si>
  <si>
    <t>2 Sopwith 2-seaters - 60 kg</t>
  </si>
  <si>
    <t>Machault, Juniville, Attigny, Vrizy, Autry, Contrueve; Neuville-en-Tourne-à-Puy, Alincourt, Contreuve</t>
  </si>
  <si>
    <t>RR Stns; Camps</t>
  </si>
  <si>
    <t>1st GB1 raid since 2 Oct and 1st using Breguet 14s and 1st using 115 long bombs. Mission 0930-1315. Camps at Contreuve &amp; Neuville hit. Rail line cut at Voncq.</t>
  </si>
  <si>
    <t>GB1 War Diary Image 0170</t>
  </si>
  <si>
    <t>Wittelsheim (S of)</t>
  </si>
  <si>
    <t>1 Sopwith single-seater</t>
  </si>
  <si>
    <t>Altkirch to Cernay</t>
  </si>
  <si>
    <t>28 Sopwith 2-seaters &amp; 1 single-seater - MUST OVERLAP WITH RECORD BELOW</t>
  </si>
  <si>
    <t>4 Sopwith bombers</t>
  </si>
  <si>
    <t>Schweighhausen</t>
  </si>
  <si>
    <t>Encampments</t>
  </si>
  <si>
    <t>1 Sopwith</t>
  </si>
  <si>
    <t>MUST OVERLAP WITH OTHER GB4 RECORDS THIS DAY - Combined record of raids on 6 days ordered by VII Armée - 156 bombs; 2120 kg total</t>
  </si>
  <si>
    <t>2 Sopwith bombers</t>
  </si>
  <si>
    <t>GB4/SOP129</t>
  </si>
  <si>
    <t>Military Installations</t>
  </si>
  <si>
    <t>Factories/Mills</t>
  </si>
  <si>
    <t>Wihr-au-Val</t>
  </si>
  <si>
    <t>2 Sopwith bombers - 240 kg</t>
  </si>
  <si>
    <t>Kilduff, C&amp;C V.15,#1, p.14 &amp; SHAA - G.A.E. Summary of Operations for 15-30 November 1917</t>
  </si>
  <si>
    <t>3 Sopwith bombers</t>
  </si>
  <si>
    <t>Bisel to Burnhaupt</t>
  </si>
  <si>
    <t>17 Sopwith two-seaters</t>
  </si>
  <si>
    <t>SHAA - G.A.E. Summary of Operations for 15-30 November 1917</t>
  </si>
  <si>
    <t>CAP115 dropped 6 bombs totaling 660 lbs on Courcelles this night, though 1 Caproni also had a mech abort.  Am assuming that remaining bombs listed in GB2 report was dropped by a different non-115 a/c, though it is also possible that the GB2 report is wrong.  Raid was part of the blockade of the iron-producing basin</t>
  </si>
  <si>
    <t>Courcelles sur Nied</t>
  </si>
  <si>
    <t>Caproni 56 bombed Courcelles. #58 had a "dry failure" of the Canton engine and was damaged upon landing. Raid was part of the blockade of the iron-producing basin</t>
  </si>
  <si>
    <t>CAP115 Log Image 0095 &amp; SHAA - G.A.E. Summary of Operations for 15-30 November 1917</t>
  </si>
  <si>
    <t>AA fire 2150-2210</t>
  </si>
  <si>
    <t>Varvinay (region of)</t>
  </si>
  <si>
    <t>Pont-Faverger; Neuchatel-sur-Aisne (possibly near)</t>
  </si>
  <si>
    <t>Troop Billets; Rail line</t>
  </si>
  <si>
    <t>GB1 War Diary Image 0171 &amp; SHAA - G.A.N. Summary of Operations for 16-30 November 1917</t>
  </si>
  <si>
    <t>Not clear whether the targets hit were the original targets. # bombs estimated for 4 Breguets based on number and weight dropped by the other one.</t>
  </si>
  <si>
    <t>Neufchatel-sur-Aisne</t>
  </si>
  <si>
    <t>Pont Faverger</t>
  </si>
  <si>
    <t>Combined record of raids in Alsace on 7 days ordered by VII Armée - 9 sorties, 336 bombs; 4857 kg total</t>
  </si>
  <si>
    <t>SHAA - G.A.E. Summary of Operations for 1-15 December 1917</t>
  </si>
  <si>
    <t>Neuhausen</t>
  </si>
  <si>
    <t>On list of British reprisal raids provided to Clemenceau</t>
  </si>
  <si>
    <t>Marimbois</t>
  </si>
  <si>
    <t>Wassigny</t>
  </si>
  <si>
    <t>SHAA - G.A.N. Summary of Operations for 1-15 December 1917</t>
  </si>
  <si>
    <t>Vadencourt</t>
  </si>
  <si>
    <t>Busigny</t>
  </si>
  <si>
    <t>Fresnoy-le-Grand</t>
  </si>
  <si>
    <t>Capronis 26 &amp; 56 hit target; 52 aborted when, at 1900 meters, the oil blister broke for the left Rhone engine.  I HAVE DELETED A GB2 RECORD FOR 2 PLANES BOMBING THIONVILLE THIS NIGHT. BELIEVE IT IS DUPLICATE WITH INCORRECT DATA (42 BOMBS TOTALING 4180 LB). Raid was part of the blockade of the iron-producing basin</t>
  </si>
  <si>
    <t>CAP115 Log Image 0097</t>
  </si>
  <si>
    <t>Saarbrucken &amp; Zweibrucken</t>
  </si>
  <si>
    <t>Factory,Town,Rail Station</t>
  </si>
  <si>
    <t>Tantonville</t>
  </si>
  <si>
    <t>Saarbrucken (west of)</t>
  </si>
  <si>
    <t>Factory and town</t>
  </si>
  <si>
    <t>Railway Station</t>
  </si>
  <si>
    <t>Ruffach, Burbach</t>
  </si>
  <si>
    <t>THIS RECORD &amp; THE TWO BELOW IT ARE CERTAINLY DESCRIBING SOME OF THE SAME EVENTS</t>
  </si>
  <si>
    <t>Rouffach</t>
  </si>
  <si>
    <t>Brigadier Birot in single-seat Sopwith</t>
  </si>
  <si>
    <t>GB1/Br108,111</t>
  </si>
  <si>
    <t>Amagne-Lucguy, Chatelet sur Retourne</t>
  </si>
  <si>
    <t>Afternoon raid by Breguets - War Diary doesn’t say why 5 RTB. 82x115mm long + 16x115mm short bombs - 1st GB1 mention of short bombs. Chatelet RR stn hit; A-L stn bracketed.</t>
  </si>
  <si>
    <t>GB1 War Diary Image 0171 &amp; SHAA - G.A.N. Summary of Operations for 1-15 December 1917</t>
  </si>
  <si>
    <t>Hermeville</t>
  </si>
  <si>
    <t>GB5 (AV)</t>
  </si>
  <si>
    <t>Esch s/ Alzette</t>
  </si>
  <si>
    <t>Raid was part of the blockade of the iron-producing basin - I don't know what AV means but record clearly states it was a Nuit raid</t>
  </si>
  <si>
    <t>Voisin8/10</t>
  </si>
  <si>
    <t>Guise</t>
  </si>
  <si>
    <t>Hirson</t>
  </si>
  <si>
    <t>Etreux</t>
  </si>
  <si>
    <t>Caproni #52 bombed Thionville; #30 had to RTB with problems with both Rhone engines.  Raid was part of the blockade of the iron-producing basin</t>
  </si>
  <si>
    <t>CAP115 Log Image 0097 &amp; SHAA - G.A.E. Summary of Operations for 1-15 December 1917</t>
  </si>
  <si>
    <t>Le Cateau</t>
  </si>
  <si>
    <t>AA fire 0030-0120. TELEGRAM 5 DEC 1917: "From 12:30 to 1:20AM enemy planes seen over the RR stn. Number and direction of planes not known. 3 HE bombs in Steel Works Thyssen, on the Russians' camp. Slight material damages. No persons injured. Bf STAHL"</t>
  </si>
  <si>
    <t>RAID - "F. 184353 [TRAIN # ?] - Hospital train to Saarbrucken bombarded, causing the disconnection of 2 cars. Tracks I and II, including light signals damaged &amp; windows of several passenger cars &amp; engines shattered. Great traffic interruption."</t>
  </si>
  <si>
    <t>Raid from 1405 - 1443.  BRITISH SURVEY says 4 injured.</t>
  </si>
  <si>
    <t>BRITISH SURVEY says 5 killed, 7 injured.  55 Sqn history quotes BRITISH SURVEY as saying Saarbruck attacked at 2:25 PM; about 11 bombs dropped; house &amp; drugstore seriously damaged. 2 bombs fell near repair shop in Saarbruck stn, damaging telegraph &amp; phone wires.</t>
  </si>
  <si>
    <t>438, 55 Sqn Hx, p.96</t>
  </si>
  <si>
    <t>"…mills were obliged to stop work for several hours during the night alarms of 4/5 and 5/6 [December]".  MICROFILM: AA fire 1920-2000</t>
  </si>
  <si>
    <t>RAIDS AND/OR ALERT @ 1925-2300 (LITES OUT @ 1935) &amp; 0140-0400.  "At Wekingen locomotive 0146 was damaged by bombs. Complete standstill in stn. Locomotive movements interrupted. Also coal loading interrupted. At 1:00 15 locomotives were waiting for coal. From 1:15 to 5 no locomotives left."</t>
  </si>
  <si>
    <t>2 raids this date; 4 bombs followed by 16 bombs.</t>
  </si>
  <si>
    <t>Metz, Purieux (Photo Recon)</t>
  </si>
  <si>
    <t>NOT A BOMBING MISSION.  (THERE WERE MANY OTHER 55 SQN PHOTO-ONLY MISSIONS THAT WERE FLOWN BUT ARE NOT IN THIS DATABASE.</t>
  </si>
  <si>
    <t>GB4/S.123 &amp; S.131</t>
  </si>
  <si>
    <t>6 Sopwith 2-seaters</t>
  </si>
  <si>
    <t>CERTAINLY THIS RECORD OVERLAPS WITH THE TWO ABOVE IT. Combined record of raids in Alsace on 7 days ordered by VII Armée - 9 sorties, 336 bombs; 4857 kg total</t>
  </si>
  <si>
    <t>AA fire 0130-0300 [ORIGINAL RECORD CALLED THIS A RAID - ALMOST CERTAINLY AN ALERT. -SCS]</t>
  </si>
  <si>
    <t>"…attack…particularly violent...generator of a gas machine was very seriously damaged.  Gas mains, compressed air mains, water mains and steam mains were broken.  This caused a complete stoppage of work.  All the tueirons of the blast furnaces which were working were completely destroyed."  Took 30 hours to re-start blast furnaces. MICROFILM (REPORT FROM RR STN): Attack &amp; AA fire 1310-1350. TELEGRAM: "Today at 1:30PM...8 bombs dropped on gas central in Steel Works destroying the main gas pipe. Work is stopped; will probably reopen during the night with 1 smelting furnace &amp; by tomorrow all smelting furnaces will begin to function. No personal injury. Stn not damaged."</t>
  </si>
  <si>
    <t>BRITISH SURVEY says 1 killed, 3 injured; houses damaged.</t>
  </si>
  <si>
    <t>Uckange</t>
  </si>
  <si>
    <t>Date is approximate.  Bombs fell on tracks and railroad property; little damage.</t>
  </si>
  <si>
    <t>Record contains inconsistencies in # of Sopwiths involved</t>
  </si>
  <si>
    <t>Kilduff, C&amp;C V.15,#1, p.15</t>
  </si>
  <si>
    <t>THIS RECORD MAY OVERLAP WITH THE ONE ABOVE IT. Combined record of raids in Alsace on 7 days ordered by VII Armée - 9 sorties, 336 bombs; 4857 kg total</t>
  </si>
  <si>
    <t>Aerodrome; Depot</t>
  </si>
  <si>
    <t>Just after sunrise - 3 Sopwith single-seaters &amp; 2 2-seaters</t>
  </si>
  <si>
    <t>THIS RECORD CERTAINLY OVERLAPS WITH THE ONE ABOVE IT. Combined record of raids in Alsace on 7 days ordered by VII Armée - 9 sorties, 336 bombs; 4857 kg total</t>
  </si>
  <si>
    <t>GB1/Br111</t>
  </si>
  <si>
    <t>East of the Meuse</t>
  </si>
  <si>
    <t>Total WX abort. Breguets.</t>
  </si>
  <si>
    <t>GB1 War Diary Image 0172</t>
  </si>
  <si>
    <t>GB1/Br66,108</t>
  </si>
  <si>
    <t>Amagne-Lucguy</t>
  </si>
  <si>
    <t>Afternoon raid. 5 EA attacked over target - G.A.N. Summary of Ops says 120 bombs weighing 2080kg; I'm using that figure because the War Diary (which says 2145 kg) bomb weights don't make sense. Assuming that 4 RTB because of WX since another GB1 raid WX-aborted this day.  RR stn hit.</t>
  </si>
  <si>
    <t>GB1 War Diary Image 0172 &amp; SHAA - G.A.N. Summary of Operations for 1-15 December 1917</t>
  </si>
  <si>
    <t>Amagne-Lucquy, Machault, Chatelet s/ Retourne, Bazancourt, Warmeriville</t>
  </si>
  <si>
    <t>Voisin bombers. 1st mention of 155mm M.M.N. bomb. Also fired 1 Michelin flare &amp; 300 rounds.</t>
  </si>
  <si>
    <t>Voisin10</t>
  </si>
  <si>
    <t>Pirmasens (3 NM NE of)</t>
  </si>
  <si>
    <t>Schlettstadt; Rumbach</t>
  </si>
  <si>
    <t>2 single-seater &amp; 5 2-seater Sopwiths. Also conducted photorecce as part of mission</t>
  </si>
  <si>
    <t>THIS RECORD MAY OVERLAP WITH THE ONE ABOVE. Combined record of raids in Alsace on 7 days ordered by VII Armée - 9 sorties, 336 bombs; 4857 kg total</t>
  </si>
  <si>
    <t>Amagne-Lucquy, Conflans-Jarny</t>
  </si>
  <si>
    <t>Raids by Breguets. Claimed in summaries by GAN &amp; GAE. Summaries agree on bombwgt but disagree with War Diary.  I am using the latter numbers since it provides more detail &amp; is closer to the sources of the information. GAE report said Conflans raid was part of blockade of iron-producing basin.  CONFLANS IS 135 KM FROM VILLENEUVE-LES-VERTUS; AMAGNE-LUCQUY IS 70 KM.</t>
  </si>
  <si>
    <t>GB1 War Diary Image 0172 &amp; SHAA - G.A.N. &amp; G.A.E. Summaries of Operations for 1-15 December 1917</t>
  </si>
  <si>
    <t>Chambley-Thiaucourt (region)</t>
  </si>
  <si>
    <t>Troop targets (?)</t>
  </si>
  <si>
    <t>Work stopped in factories, businesses, &amp; shops during alerts. 2 alerts - 1350-1435, 1518-1528.</t>
  </si>
  <si>
    <t>Juniville, Warmierville, Pont Faverger; Epoye St-Clement (region)</t>
  </si>
  <si>
    <t>Rail Stns; Bivouacs</t>
  </si>
  <si>
    <t>GB1 War Diary and GAN summary disagree on # sorties and bomb weight - am using the War Diary numbers since they are closer to the source. Numbers of bombs come from GAN report - 5, 12, 7, 21 respectively on the targets listed. 1 Voisin of V.114 got disoriented and crashed in French lines with crew ok.</t>
  </si>
  <si>
    <t>Sop.129: 3 single-seaters; Sop.123: 2 2-seaters</t>
  </si>
  <si>
    <t>St-Mihiel (region)</t>
  </si>
  <si>
    <t>Chaillon</t>
  </si>
  <si>
    <t>Machault, Juniville, Amagne-Lucquy</t>
  </si>
  <si>
    <t>GB1 War Diary 0172 &amp; SHAA - G.A.N. Summary of Operations for 16-31 December 1917</t>
  </si>
  <si>
    <t>Voisin-Renault bombers. Numbers are close but not exact between War Diary &amp; GAN summary</t>
  </si>
  <si>
    <t>Juniville</t>
  </si>
  <si>
    <t>Amagne-Lucquy</t>
  </si>
  <si>
    <t>Work stopped in factories, businesses, &amp; shops during alerts. 2 alerts - 1354-1413, 1413-1532.</t>
  </si>
  <si>
    <t>Afternoon Breguet raid. 64x115mm long &amp; 42x115mm short bombs dropped</t>
  </si>
  <si>
    <t>GB1 War Diary Image 0172 &amp; SHAA - G.A.N. Summary of Operations for 16-31 December 1917</t>
  </si>
  <si>
    <t>Montcornet, Warmierville, Amagne-Lucquy, Pont Faverger, Chatelet sur Retourne</t>
  </si>
  <si>
    <t>Voisin10 &amp; Breguet14</t>
  </si>
  <si>
    <t>GB1 War Diary Images 0172-3 &amp; SHAA - G.A.N. Summary of Operations for 16-31 December 1917</t>
  </si>
  <si>
    <t>13 Voisin-Renaults (of which 4 made 2 sorties) &amp; 1 Breguet. Last target in list mentioned only in War Diary. WD says all targets hit.</t>
  </si>
  <si>
    <t>Montcornet</t>
  </si>
  <si>
    <t>Warmierville</t>
  </si>
  <si>
    <t>Caproni #30. Raid was part of the blockade of the iron-producing basin</t>
  </si>
  <si>
    <t>CAP115 Log Image 0097 &amp; SHAA - G.A.E. Summary of Operations for 16-31 December 1917</t>
  </si>
  <si>
    <t>Capronis 37,52,56.  Raid was part of the blockade of the iron-producing basin</t>
  </si>
  <si>
    <t>CAP115 of GB2 hit Longeville this night.  Am assuming that this record included that raid and other non-CAP115 a/c from GB2.  Have reduced # of bombs and weight accordingly.  (It is possible, though, that this record simply has the wrong # and wgt of bombs.)  Raid was part of the blockade of the iron-producing basin</t>
  </si>
  <si>
    <t>SHAA - G.A.E. Summary of Operations for 16-31 December 1917</t>
  </si>
  <si>
    <t>Montcornet, Asfield, Bussy-les-Pierpont</t>
  </si>
  <si>
    <t>GB1 War Diary Image 0173 &amp; SHAA - G.A.N. Summary of Operations for 16-31 December 1917</t>
  </si>
  <si>
    <t>25 Breguets - included Esc.66 &amp; 108. GAN summary says Bucy was airfield but I'm using the War Diary account that says it was a RR stn.</t>
  </si>
  <si>
    <t>Bucy-les-Pierrepont</t>
  </si>
  <si>
    <t>Asfeld</t>
  </si>
  <si>
    <t>?morcourt</t>
  </si>
  <si>
    <t>SHAA - G.A.N. Summary of Operations for 16-31 December 1917</t>
  </si>
  <si>
    <t>M(?)ontbrehain</t>
  </si>
  <si>
    <t>?ouvion</t>
  </si>
  <si>
    <t>??almaison</t>
  </si>
  <si>
    <t>RECORD NOT IN GB1 WAR DIARY</t>
  </si>
  <si>
    <t>??mes</t>
  </si>
  <si>
    <t>GB1/Br108</t>
  </si>
  <si>
    <t>48x115mm long bombs. Target bracketed.</t>
  </si>
  <si>
    <t>Amagne-Lucquy, Rethel, Attigny, Vouziers, Semide, Chatelet, St-Remy le Petit</t>
  </si>
  <si>
    <t>Voisin &amp; Breguet bombers. War Diary disagrees with summary reports in some details; I'm using the War Diary account. Several bombs hit A-L and Attigny railways.</t>
  </si>
  <si>
    <t>GB1 War Diary Image 0173; IGNORING SHAA - G.A.N. Summary of Operations for 16-31 December 1917</t>
  </si>
  <si>
    <t>Longwy</t>
  </si>
  <si>
    <t>Mannheim</t>
  </si>
  <si>
    <t>Lanz Co, Rail Jtn, BASF</t>
  </si>
  <si>
    <t>Lahr-Dillingen</t>
  </si>
  <si>
    <t>4 Sopwith single-seaters</t>
  </si>
  <si>
    <t>THIS RECORD MAY OVERLAP WITH THE ONE ABOVE. Combined record of raids in Alsace on 5 days ordered by VII Armée - 64 bombs; 1570 kg total</t>
  </si>
  <si>
    <t>Gremecey (sp?) Forest</t>
  </si>
  <si>
    <t xml:space="preserve">Raid 0050-0120.  More bombs in Mannheim.  Direct damages to BASF in 22 raids was 519,310M; 14 killed.  Each raid or alert caused production losses in another 24 hour plant and in many city businesses. </t>
  </si>
  <si>
    <t>Work stopped in factories, businesses, &amp; shops during alerts. Clerk recording this was not consistent on AM/PM. Alert may have been 12 hours earlier. 2 alerts: 1228-?, 1338-1435. [AM ESTIMATING TOTAL TIME AT 1.5 HOURS -SCS]</t>
  </si>
  <si>
    <t>THIS RECORD FROM BRITISH SURVEY - Workshops damaged; 2 killed, 12 injured, 34,000 marks damage.  --WIA, Appx. XIII</t>
  </si>
  <si>
    <t>WIA, APPX. XIII</t>
  </si>
  <si>
    <t>Carlshutte Works</t>
  </si>
  <si>
    <t>Lumes, Chatelet sur Retourne, Juniville, Tagnon, Bazancourt; Malmaison</t>
  </si>
  <si>
    <t>13 Breguet 14's flying 16 sorties. 132x115mm long bombs.</t>
  </si>
  <si>
    <t>GB1 War Diary Image 0173</t>
  </si>
  <si>
    <t>Rail Siding or Road Jtn</t>
  </si>
  <si>
    <t>l'Hopital wood</t>
  </si>
  <si>
    <t>Caproni 57 bombed Arnaville, presumably the rail stn since they mention bombing that stn 4 days later. #37 attempted to reach Thionville (presumably had WX problems); #56 took off and turned back at lines due to bad WX.</t>
  </si>
  <si>
    <t>CAP115 Log Image 0098</t>
  </si>
  <si>
    <t>AA fire 2335-2345 [CHANGED ORIGINAL RECORD FROM RAID TO ALERT. -SCS]</t>
  </si>
  <si>
    <t>2 ALERTS - 2235-2255 &amp; 2345-0010 - LIGHTS OUT FROM 2235-0010. "Delay in engine movements."</t>
  </si>
  <si>
    <t>Bomb damage to phone lines (33M); AA damage (9495M)</t>
  </si>
  <si>
    <t>Combined record of raids in Alsace on 5 days ordered by VII Armée - 64 bombs; 1570 kg total</t>
  </si>
  <si>
    <t>Bombs dropped on track #1 between Maizieres &amp; Hagendingen</t>
  </si>
  <si>
    <t>Warmierville, Chatelet, Juniville, Montcornet</t>
  </si>
  <si>
    <t>GB1 War Diary 0173 &amp; SHAA - G.A.N. Summary of Operations for 16-31 December 1917</t>
  </si>
  <si>
    <t>11 Breguets dropped 54x115mm long &amp; 56x115mm short. 1 missing.</t>
  </si>
  <si>
    <t>Stn hit.</t>
  </si>
  <si>
    <t>Chatelet-sur-Retourne</t>
  </si>
  <si>
    <t>Stn &amp; environs hit.</t>
  </si>
  <si>
    <t>Liocourt</t>
  </si>
  <si>
    <t>Longeville-les-Metz, Arnaville</t>
  </si>
  <si>
    <t>Caproni #59, destination unknown, aborted for an unknown reason.  Since French aviation was so active this night, I'm assuming it was not weather.</t>
  </si>
  <si>
    <t>Capronis 37,30,52 bombed Longeville-les-Metz. Raid was part of the blockade of the iron-producing basin.</t>
  </si>
  <si>
    <t>Caproni 56 bombed Arnaville RR Stn lines</t>
  </si>
  <si>
    <t>??eulaine</t>
  </si>
  <si>
    <t>??fonsommes</t>
  </si>
  <si>
    <t>??ncourt</t>
  </si>
  <si>
    <t>Montbrehain</t>
  </si>
  <si>
    <t>Croix-Fonsomme</t>
  </si>
  <si>
    <t>??rcourt</t>
  </si>
  <si>
    <t>Crecy sur Serre</t>
  </si>
  <si>
    <t>Souilly s/Serre to Laon</t>
  </si>
  <si>
    <t>??ntigny s/Crecy</t>
  </si>
  <si>
    <t>??sis s/ Serre</t>
  </si>
  <si>
    <t>Port-Sec</t>
  </si>
  <si>
    <t>Ferté-Chevresis</t>
  </si>
  <si>
    <t>Mont d'Origuy</t>
  </si>
  <si>
    <t>Ribémont</t>
  </si>
  <si>
    <t>1 Sopwith monoplace &amp; two 2-seaters</t>
  </si>
  <si>
    <t>AA fire 2040-2240 [CHANGED ORIGINAL RECORD FROM RAID TO ALERT. -SCS]</t>
  </si>
  <si>
    <t>3 ALERTS - 2040-2120, 2140-2150, 0100-0250. LIGHTS OUT FROM 2050-0250. - "Delay in engine movements."</t>
  </si>
  <si>
    <t>5 two-seater Sopwiths</t>
  </si>
  <si>
    <t>21 two-seater Sopwiths</t>
  </si>
  <si>
    <t>TWO RECORDS ABOVE PROBABLY OVERLAP WITH THIS ONE. Combined record of raids in Alsace on 5 days ordered by VII Armée - 64 bombs; 1570 kg total</t>
  </si>
  <si>
    <t>GB1/Br66</t>
  </si>
  <si>
    <t>War Diary says 2 Breguets dropped 8x115 long &amp; 15x115 short. GAN summary agrees with my calculations that this is 310 kg. War Diary says 300 (scratched out) &amp; replaced by 320 kg. Bomb strikes seen on railway.</t>
  </si>
  <si>
    <t>AA fire 0130-0200. [CHANGED ORIGINAL RECORD FROM RAID TO ALERT. -SCS]</t>
  </si>
  <si>
    <t>2 Sopwith single-seaters</t>
  </si>
  <si>
    <t>THIS RECORD CERTAINLY OVERLAPS WITH THE ONE ABOVE. Combined record of raids in Alsace on 5 days ordered by VII Armée - 64 bombs; 1570 kg total</t>
  </si>
  <si>
    <t>Bourgbruch</t>
  </si>
  <si>
    <t>Munitions depot</t>
  </si>
  <si>
    <t>Launched from Luxeuil</t>
  </si>
  <si>
    <t>Martel, p.310</t>
  </si>
  <si>
    <t>Combined record of raids in Alsace on 4 days ordered by VII Armée - 90 bombs; 1180 kg total</t>
  </si>
  <si>
    <t>SHAA - G.A.E. Summary of Operations for 1-15 January 1918</t>
  </si>
  <si>
    <t>Metz,Mazieres,Woippy</t>
  </si>
  <si>
    <t>Furnaces &amp; Railroads</t>
  </si>
  <si>
    <t>Woippy (?)</t>
  </si>
  <si>
    <t>S of Metz (St Privat?)</t>
  </si>
  <si>
    <t>Distance from Base: St.Privat-la-Montagne is NW of Metz &amp; 65km from Ochey.  Given the uncertainties, am calling this 60km distance. --SCS</t>
  </si>
  <si>
    <t>St-Juvin</t>
  </si>
  <si>
    <t>Rethel, Juniville-Neuflize; Aussonce, Juniville, Neuville</t>
  </si>
  <si>
    <t>GB1 War Diary 0175</t>
  </si>
  <si>
    <t>10 planes flying 18 sorties. # bombs add to numbers in GAN summary, but weight does not. Rethel, Juniville, Neuflize stns hit. Neuville village hit.</t>
  </si>
  <si>
    <t>Rethel-Juniville</t>
  </si>
  <si>
    <t>SHAA - G.A.N. Summary of Operations for 1-15 January 1918</t>
  </si>
  <si>
    <t>Neuflize - La Neuville</t>
  </si>
  <si>
    <t>Troop Billets (&amp; Rail Stn?)</t>
  </si>
  <si>
    <t>Aunonce - Juniville</t>
  </si>
  <si>
    <t>Guise &amp; Vadencourt</t>
  </si>
  <si>
    <t>Last mission of "Les Schmitt" bombers</t>
  </si>
  <si>
    <t>Martel 301</t>
  </si>
  <si>
    <t>Vadencourt, Guise &amp; Vassigny</t>
  </si>
  <si>
    <t>Rail Stations</t>
  </si>
  <si>
    <t>Fribourg</t>
  </si>
  <si>
    <t>Martel 311 says 3 Sopwith single-seaters and 2 two-seaters bombed Freiburg rail stn this night. 1 is shot down.</t>
  </si>
  <si>
    <t>SHAA - G.A.E. Summary of Operations for 1-15 January 1918 &amp; Martel 311</t>
  </si>
  <si>
    <t>Chemical Plant</t>
  </si>
  <si>
    <t>Martel 311 provides info that 6 single-seat Sopwiths hit chemical plant in night raid</t>
  </si>
  <si>
    <t>SHAA - G.A.E. Summary of Operations for 1-15 January 1918 &amp; Martel, p.311</t>
  </si>
  <si>
    <t>Knutange</t>
  </si>
  <si>
    <t>Work stopped in factories, businesses, &amp; shops during alerts. 2 alerts - 1330-1405, 1430-1445.</t>
  </si>
  <si>
    <t>AA fire 2010-2140 [CHANGED ORIGINAL RECORD FROM RAID TO ALERT. -SCS]</t>
  </si>
  <si>
    <t>ALARMS AT 2010-0235 ON 3JAN &amp; 0600-0700 ON 4JAN. "4 aerial attacks because of darkness. Interruption in train movements, delay of repairs."</t>
  </si>
  <si>
    <t>Damage to Camp of Furnace-construction Dept.; phone &amp; light lines</t>
  </si>
  <si>
    <t>1 locomotive &amp; 4 passenger cars damaged.  No traffic delays.</t>
  </si>
  <si>
    <t>GB4/Sop123,129</t>
  </si>
  <si>
    <t>GB4/Sop29,131</t>
  </si>
  <si>
    <t>Martel 310 says 6 Sopwith two-seaters from S.29 &amp; S.131 raided Colmar air base.</t>
  </si>
  <si>
    <t>SHAA - G.A.E. Summary of Operations for 1-15 January 1918 &amp; Martel 310</t>
  </si>
  <si>
    <t>5 Sites w/i 20 nm of Metz</t>
  </si>
  <si>
    <t>Mixed-Rail,Fact.,Furnace</t>
  </si>
  <si>
    <t>Mailly (5nm So. of Metz)</t>
  </si>
  <si>
    <t>Maizieres (8nm N of Metz)</t>
  </si>
  <si>
    <t>Fac.,Furn.,Rail Bridges</t>
  </si>
  <si>
    <t>Woippy - Levant-des-Ponts</t>
  </si>
  <si>
    <t>Train, Rail Station</t>
  </si>
  <si>
    <t>Bavon???e (NW of Arnaville)</t>
  </si>
  <si>
    <t>Petange</t>
  </si>
  <si>
    <t>Rail Station &amp; Works</t>
  </si>
  <si>
    <t>AA fire 1810-1900 [CHANGED RECORD FROM RAID TO ALERT -SCS]</t>
  </si>
  <si>
    <t>3 ALERTS - 2010-2125, 2335-0050, 0250-0310. LIGHTS OUT FROM 2010-0310. - "Delay in engine movements."</t>
  </si>
  <si>
    <t>AA fire 2030-2120 [CHANGED RECORD FROM RAID TO ALERT -SCS]</t>
  </si>
  <si>
    <t>1 RAID &amp; 1 ALERT ON THIS NIGHT (4/5 JAN 1918). CASUALTIES &amp; DIRECT DAMAGE UNKNOWN. LOSS IN PRODUCTION OF IRON @ 498M PER TON.</t>
  </si>
  <si>
    <t>Conflans &amp; Mars</t>
  </si>
  <si>
    <t>Rail Jtn. &amp; Station</t>
  </si>
  <si>
    <t>Rail Jtn.</t>
  </si>
  <si>
    <t>Mars</t>
  </si>
  <si>
    <t>Audun-le-Roman</t>
  </si>
  <si>
    <t>Rail yard</t>
  </si>
  <si>
    <t>Raid was part of the blockade of the iron-producing basin - Martel 306 says one crew shot down</t>
  </si>
  <si>
    <t>SHAA - G.A.E. Summary of Operations for 1-15 January 1918 &amp; Martel p.306</t>
  </si>
  <si>
    <t>Martel 311 says 1 Sopwith single-seater and 2 two-seaters bombed Freiburg rail stn this night.</t>
  </si>
  <si>
    <t>Martel 311 provides info that 2 single-seat Sopwiths hit chemical plant</t>
  </si>
  <si>
    <t>GB4/S.123</t>
  </si>
  <si>
    <t>Neufbrisach</t>
  </si>
  <si>
    <t>Martel 311 says 1 Sopwith single-seater of S.123 took off to bomb Neufbrisach aerodrome with 4 bombs totaling 120 kg - it did not return &amp; we don't know if it dropped bombs.</t>
  </si>
  <si>
    <t>Rumelange</t>
  </si>
  <si>
    <t>AA fire 2120-2320 [CHANGED RECORD FROM RAID TO ALERT -SCS]</t>
  </si>
  <si>
    <t>AA fire 0315-0430 [CHANGED RECORD FROM RAID TO ALERT -SCS]</t>
  </si>
  <si>
    <t>1 main line track damaged &amp; unusable for 6 hours; traffic not delayed.</t>
  </si>
  <si>
    <t>Alarm only; time lost in 24 hour plant &amp; many businesses. Raid on Mannheim.</t>
  </si>
  <si>
    <t>Munition Works, Railways</t>
  </si>
  <si>
    <t>3 planes were Sopwith single-seaters (Martel, p.310) - This is in Alsace and may be part of record below.</t>
  </si>
  <si>
    <t>SHAA - G.A.E. Summary of Operations for 1-15 January 1918 &amp; Martel, p.310</t>
  </si>
  <si>
    <t>Rimbach</t>
  </si>
  <si>
    <t>2-seater Sopwiths - Six that were not dropping bombs were flying a barrage patrol between the Rhone - Rhine canal and Munster. Fight with 4 Albatros fighters over objective.  1 bomber down in flames (Sergents Silbermann &amp; Liauzu); 1 returning crewman seriously wounded in air combat; 1 German plane down confirmed.</t>
  </si>
  <si>
    <t>Br132 Journal des Marches et Operations (Image 0002) &amp; Les escadrilles… p.304 &amp; Martel (?)</t>
  </si>
  <si>
    <t>Thionville,etc.</t>
  </si>
  <si>
    <t>Steel Works, Rail Jtns.</t>
  </si>
  <si>
    <t>Didenhofen (Thionville)</t>
  </si>
  <si>
    <t>vic.Ft.vonGoeben (s.Metz)</t>
  </si>
  <si>
    <t>Current name is Fort de Queuleu, 57070 Metz --SCS</t>
  </si>
  <si>
    <t>Ebingen</t>
  </si>
  <si>
    <t>Bombs fell on steel works [during 1850-2200 raid]. Later raid 2235-0045. AA fire [reported from RR stn] 1850-1950, 2120-2340, 0025-0040. # bombs from BRITISH SURVEY.</t>
  </si>
  <si>
    <t>383, NARA 990, AM Results… before p.13</t>
  </si>
  <si>
    <t>RAID(S)/ALERT 1858-2240, 2246-0117. LIGHTS OUT FROM 1858. - "Bombs fell on east wing. Delay in engine movements."</t>
  </si>
  <si>
    <t>Work stopped in factories, businesses, &amp; shops during alerts. 2 alerts - 1858-1925, 1935-1945.</t>
  </si>
  <si>
    <t>FROM BRITISH BOMBING SURVEY - Air Ministry "Results of Air Raids on Germany", p.37.  [Not clear whether info saying it was a night raid on 14/15 JAN from German officials or from British.--SCS]  1 track out of action for 9 hours - damage estimated at 500M.  [Doesn't specify whether damage was at RR station or steel works.]</t>
  </si>
  <si>
    <t>AM 37</t>
  </si>
  <si>
    <t>All info from BRITISH SURVEY. Damage 100,000 M. 2 bombs on shunting stn, setting fire to a truck laden with coke. 2 bombs on railway, burning 3 trucks carrying straw &amp; 1 carrying tobacco. 3 bombs in Central Railway workshops, destroying part of the roof and some material. Private property also damaged.</t>
  </si>
  <si>
    <t>WIA, Appx.XIII; AM p.15</t>
  </si>
  <si>
    <t>Orny</t>
  </si>
  <si>
    <t>Rail Sidings &amp; Searchlite</t>
  </si>
  <si>
    <t>Orny (vic. Vigny)</t>
  </si>
  <si>
    <t>Raid from 10-11pm.  5 bombs in city; 1 house destroyed &amp; glass damage.  (Total damage in all 9 raids: 20,000 marks in town; 10,920 to factory; 15,000 marks cost for protection.)</t>
  </si>
  <si>
    <t>Rembercourt-Waville</t>
  </si>
  <si>
    <t>SHAA - G.A.E. Summary of Operations for 16-31 January 1918</t>
  </si>
  <si>
    <t>Rail Stn - Hagondange</t>
  </si>
  <si>
    <t>ALERT ONLY - "Great interruptions of train movements. Workers in dug-outs."</t>
  </si>
  <si>
    <t>Raid described as a "massive bombardment" - no details</t>
  </si>
  <si>
    <t>Combined record of raids on 5 days ordered by VII Armée - 180 bombs; 2480 kg total. Martel 310 says these are raids in Alsace by Sopwith day bombers.</t>
  </si>
  <si>
    <t>SHAA - G.A.E. Summary of Operations for 16-31 January 1918 &amp; Martel 310</t>
  </si>
  <si>
    <t>Work stopped in factories, businesses, &amp; shops during alerts. 2 alerts: 1320-1345, 1404-1445.</t>
  </si>
  <si>
    <t>GB3,5</t>
  </si>
  <si>
    <t>Raid by 3 Breguets from 1200m. Lt. Dagnaux (Br.120) wounded by shell burst.</t>
  </si>
  <si>
    <t>Thionville,Bernsdorf,Falk</t>
  </si>
  <si>
    <t>Factories &amp; Rail Targets</t>
  </si>
  <si>
    <t>Rail Station &amp; Sidings</t>
  </si>
  <si>
    <t>Arnaville (S. of Metz)</t>
  </si>
  <si>
    <t>Martel 307-8 says this was a day raid of 3 Breguets dropping 821 kg from 1200 meters. Lt. Dagnaux (Br.120) wounded by AAA.</t>
  </si>
  <si>
    <t>SHAA - G.A.E. Summary of Operations for 16-31 January 1918 &amp; Martel 307</t>
  </si>
  <si>
    <t>Rail (?) Depots</t>
  </si>
  <si>
    <t>Bombs inside/outside foundry grounds: 1/0.  Glass and phone wire damage to house on foundry street.</t>
  </si>
  <si>
    <t>Sopwith bombers - no air combat</t>
  </si>
  <si>
    <t>Treves,Thionville,etc.</t>
  </si>
  <si>
    <t>Towns,Steel Works</t>
  </si>
  <si>
    <t>Treves/Trier</t>
  </si>
  <si>
    <t>Didenhofen/Thionville</t>
  </si>
  <si>
    <t>Oberbilig-6nm SSW Treves</t>
  </si>
  <si>
    <t>Saarburg-10nm S. Treves</t>
  </si>
  <si>
    <t>Mannheim &amp; Thionville</t>
  </si>
  <si>
    <t>B.A.S.F. &amp; ?</t>
  </si>
  <si>
    <t>B.A.S.F.</t>
  </si>
  <si>
    <t>Bouligny</t>
  </si>
  <si>
    <t>Bellefontaine-Noyers</t>
  </si>
  <si>
    <t>Gondrecourt</t>
  </si>
  <si>
    <t>Raid was part of the blockade of the iron-producing basin.  Some other source (Martel?) says that they blew up an entire munitions train.</t>
  </si>
  <si>
    <t>9 single-seat &amp; 4 2-seat Sopwiths - raid started huge fire in the stn</t>
  </si>
  <si>
    <t>Martel 311</t>
  </si>
  <si>
    <t>Audincourt</t>
  </si>
  <si>
    <t>No other information</t>
  </si>
  <si>
    <t>Martel 311 says this was a night raid by 1 Sopwith single-seater.</t>
  </si>
  <si>
    <t>SHAA - G.A.E. Summary of Operations for 16-31 January 1918 &amp; Martel 311</t>
  </si>
  <si>
    <t>Uckange - Thionville</t>
  </si>
  <si>
    <t>Train on Rail Line</t>
  </si>
  <si>
    <t>Conflans (East of)</t>
  </si>
  <si>
    <t>Noveant - Waville - Thiaucort (region of)</t>
  </si>
  <si>
    <t>Work stopped in factories, businesses, &amp; shops during alerts.  [THIONVILLE WAS RAIDED AT 7:20PM, SO THIS RECORD PROBABLY SHOULD BE FOR 1920 INSTEAD OF 0720 HOURS. -SCS]</t>
  </si>
  <si>
    <t>Work stopped in factories, businesses, &amp; shops during alerts. 2 alerts: 0930-1025, 1045-1125.  [RAIDS IN EVENING MAKE IT LIKELY THESE TIMES SHOULD BE PM, NOT AM. -SCS]</t>
  </si>
  <si>
    <t>AA fire 1908-2040, 2230-2305.  [CHANGED RECORD FROM RAID TO ALERT -SCS]</t>
  </si>
  <si>
    <t>"Bombs fell in vicinity of new engine house, whereby Engineer August was injured."</t>
  </si>
  <si>
    <t>Raid lasted 1 hour.  2 bombs in Seyen village, just outside Trier, 14 buildings &amp; houses damaged.  1 man didn't report damage.</t>
  </si>
  <si>
    <t xml:space="preserve">Raid 2100 - 2145.  Direct damages to BASF in 22 raids was 519,310M; 14 killed.  Each raid or alert caused production losses in another 24 hour plant and in many city businesses. </t>
  </si>
  <si>
    <t>Bomb between Ludw'n and Mannheim, damaging telephone line.</t>
  </si>
  <si>
    <t>RAID FROM 10:15 TO 11:15; AM/PM NOT GIVEN</t>
  </si>
  <si>
    <t>2 raids this date; 16 bombs followed by 10 bombs.</t>
  </si>
  <si>
    <t>Ammo Dumps at Farm</t>
  </si>
  <si>
    <t>GAE summary doesn't mention ammo dumps. Middleton, V.3, p.141 says French attacked ammo dumps at Longeau farm on 6 January 1917.</t>
  </si>
  <si>
    <t>Jeandelize</t>
  </si>
  <si>
    <t>Lummes</t>
  </si>
  <si>
    <t>Pétange, Lux.</t>
  </si>
  <si>
    <t>Raid was part of the blockade of the iron-producing basin - CORRECT LOCATION IS APPARENTLY Pétange, Lux.</t>
  </si>
  <si>
    <t>Athus</t>
  </si>
  <si>
    <t>Athus, Petange, Longuyon, Dommary-Baroncourt</t>
  </si>
  <si>
    <t>Rumont (near Bar le Duc)</t>
  </si>
  <si>
    <t>GB1 War Diary 0176</t>
  </si>
  <si>
    <t>Voisin bombers - every rail stn hit - fire at D-B</t>
  </si>
  <si>
    <t>Moineville</t>
  </si>
  <si>
    <t>AA fire 2155-2315. [CHANGED ORIGINAL RECORD FROM RAID TO ALERT. -SCS]</t>
  </si>
  <si>
    <t>ALERT ONLY. RAID &amp; ALERTS THAT NIGHT LISTED IN SEPARATE RECORD. LOSS IN PRODUCTION OF IRON @ 498M PER TON.</t>
  </si>
  <si>
    <t>1 RAID &amp; 2 ALERTS ON THIS NIGHT (25/26 JAN 1918).  SEPARATE RECORD COVERS 1 ALERT DURING THE DAY OF 25 JAN. CASUALTIES &amp; DIRECT DAMAGE UNKNOWN. LOSS IN PRODUCTION OF IRON @ 498M PER TON.</t>
  </si>
  <si>
    <t>RAID NOT IN WAR DIARY BUT LATER RECORDS INDICATE WAR DIARY MISSED SOME TARGETS. Raid was part of the blockade of the iron-producing basin</t>
  </si>
  <si>
    <t>Raid was part of the blockade of the iron-producing basin. War Diary says raid hit "region" of D-B. Cites terrible weather so maybe RR stn was original target but was hard to find.</t>
  </si>
  <si>
    <t>GB1 War Diary 0176 &amp; SHAA - G.A.E. Summary of Operations for 16-31 January 1918</t>
  </si>
  <si>
    <t>?nzelingue-Buzendorf</t>
  </si>
  <si>
    <t>1 RAID ON THIS NIGHT (26/27 JAN 1918).  CASUALTIES &amp; DIRECT DAMAGE UNKNOWN. LOSS IN PRODUCTION OF IRON @ 498M PER TON.</t>
  </si>
  <si>
    <t>Barracks &amp; Station</t>
  </si>
  <si>
    <t>Amagne-Lucquy, Montcornet, Bussy-les-Pierpont</t>
  </si>
  <si>
    <t>Martel 304 &amp; GB1 War Diary 0176</t>
  </si>
  <si>
    <t>Includes Breguet bombers of Br66, Br108, Br111. Took 46 recon photos. Dropped 156x115mm long bombs.</t>
  </si>
  <si>
    <t>SHAA - G.A.N. Summary of Operations for 16-31 January 1918</t>
  </si>
  <si>
    <t>Not in War Diary but apparently hit by a few bombs. Possibly spelled Bussy-les-Pierpont</t>
  </si>
  <si>
    <t>Lislet</t>
  </si>
  <si>
    <t>Not in War Diary but apparently hit by a few bombs.</t>
  </si>
  <si>
    <t>Pierrepont</t>
  </si>
  <si>
    <t>Etain; Longuyon - Longwy</t>
  </si>
  <si>
    <t>"Region"; Train on Rail Line</t>
  </si>
  <si>
    <t>Raid was part of the blockade of the iron-producing basin. 2 Voisins hit Etain region and 1 hit rail line. Dropped 3x155 MMN and 14x155 Gros-Andreau</t>
  </si>
  <si>
    <t>St-Privat</t>
  </si>
  <si>
    <t>Amanvillers</t>
  </si>
  <si>
    <t>Alvens-Leben</t>
  </si>
  <si>
    <t>??rt</t>
  </si>
  <si>
    <t>AA fire 0040-0420.  [CHANGED RECORD FROM RAID TO ALERT. -SCS]</t>
  </si>
  <si>
    <t>Work stopped in factories, businesses, &amp; shops during alerts. Clerk recording this was not consistent on AM/PM. Alert may have been 12 hours earlier. 2 alerts: 1247-1309, 1319-1337.</t>
  </si>
  <si>
    <t>2 ALERTS: 1255-1300, 1400-1410. "Delay in engine movements".</t>
  </si>
  <si>
    <t>DURING ALERTS, RR TRAFFIC &amp; FACTORY &amp; FOUNDRY WORK STOPPED. 2 alerts: 1253-1328, 1335-1425.</t>
  </si>
  <si>
    <t>1 bomb near Russian POW camp; no damage.</t>
  </si>
  <si>
    <t>NO RAID ON TRIER.  AA fire damaged property of 46 people.  [TIME OF ALERT IS INFERRED FROM TIME OF RAID ON NEARBY EHRANG. --SCS]</t>
  </si>
  <si>
    <t>ALERT ONLY. ALL RAIL TRAFFIC STOPPED.</t>
  </si>
  <si>
    <t>3 ALERTS (DAY &amp; NIGHT): 1630-1650, 2025-2105, 2305-2325. LIGHTS OUT @ 2030 &amp; 2305. "Delay in engine movements".</t>
  </si>
  <si>
    <t>2 DAYTIME ALERTS. SEPARATE RECORDS COVER RAIDS THE PREVIOUS NIGHT (26/27 JAN) AND THAT NIGHT (27/28 JAN). LOSS IN PRODUCTION OF IRON @ 498M PER TON.</t>
  </si>
  <si>
    <t>1 RAID &amp; 1 ALERT ON THIS NIGHT (27/28 JAN 1918).  SEPARATE RECORD COVERS 1 ALERT DURING THE DAY OF 27 JAN. CASUALTIES &amp; DIRECT DAMAGE UNKNOWN. LOSS IN PRODUCTION OF IRON @ 498M PER TON.</t>
  </si>
  <si>
    <t>Grand-Pre</t>
  </si>
  <si>
    <t>Differdange, Esch sur Alzette; Athus, Longuyon, Conflans; Spincourt - Etain</t>
  </si>
  <si>
    <t>Factories; RR stns; Lighted Areas</t>
  </si>
  <si>
    <t>GB1 War Diary 0177</t>
  </si>
  <si>
    <t>15 Voisin bombers (18 sorties) - barrage balloons over Differdange &amp; Villerupt - War Diary bomb wgt doesn't match GAE summary. Bombing 1800-0245.</t>
  </si>
  <si>
    <t>3 ALERTS 1925-1950, 2135-2300, 0200-0238. "Delay in engine movements."</t>
  </si>
  <si>
    <t>1 RAID &amp; 2 ALERTS ON THIS NIGHT (28/29 JAN 1918).  CASUALTIES &amp; DIRECT DAMAGE UNKNOWN. LOSS IN PRODUCTION OF IRON @ 498M PER TON.</t>
  </si>
  <si>
    <t>Martel 308 says this was a day raid by 1 Breguet which bombed the station and a train.  Piloted by leader of GB5. Stn set on fire in 2 separate bombing runs.</t>
  </si>
  <si>
    <t>SHAA - G.A.E. Summary of Operations for 16-31 January 1918 &amp; Martel 308</t>
  </si>
  <si>
    <t>XVIII Gruppo</t>
  </si>
  <si>
    <t>Italian raid - At least 4 Caproni 450's needed to deliver 800kg of bombs - apparently night - flew 600km over enemy territory - 5 hour mission. Base info from "Les Escadrilles…" though Martel's map says it was Ferme des Grèves.</t>
  </si>
  <si>
    <t>Épiez-lès-Vaucouleurs</t>
  </si>
  <si>
    <t>Total WX abort</t>
  </si>
  <si>
    <t>Caproni bomber</t>
  </si>
  <si>
    <t>Épiez-lès-Vaucoulers</t>
  </si>
  <si>
    <t>Friedrichshafen (Ludwigshafen?)</t>
  </si>
  <si>
    <t>Date &amp; place may be wrong. Martel, p.311, says a GB3 Caproni dropped 300kg on LUDWIGSHAFEN the night of 29/30 January -- that raid was not listed in the GAE raids.</t>
  </si>
  <si>
    <t>GB8</t>
  </si>
  <si>
    <t>Crecy-sur-Serre</t>
  </si>
  <si>
    <t>C(?)halandrey</t>
  </si>
  <si>
    <t>Marle</t>
  </si>
  <si>
    <t>Combined record of raids on 4 days ordered by VII Armée - 266 bombs; 3360 kg total. Martel 310 says these are raids in Alsace by Sopwith day bombers.</t>
  </si>
  <si>
    <t>SHAA - G.A.E. Summary of Operations for 1-15 February 1918 &amp; Martel 310</t>
  </si>
  <si>
    <t>GB2/CAP115,CAP130</t>
  </si>
  <si>
    <t>Describing same event as 29JAN raid?</t>
  </si>
  <si>
    <t>Courcelles-les-Metz</t>
  </si>
  <si>
    <t>Mont Donon</t>
  </si>
  <si>
    <t>22 2-seater Sopwiths &amp; unspecified # of single-seaters</t>
  </si>
  <si>
    <t>Mont-Donon</t>
  </si>
  <si>
    <t>Artillery Gun Platform</t>
  </si>
  <si>
    <t>Undoubtedly part of mission above.  In addition to bomb raid, 3 (other?) SOP132 planes flew a barrage patrol over the lines.  One of the bombers had some hits from flak.</t>
  </si>
  <si>
    <t>Bucy-les-Pierrepont, Clermont-les-Fermes; Others</t>
  </si>
  <si>
    <t>Airfields; Troop Billets</t>
  </si>
  <si>
    <t>Afternoon raid by Esc.66, 108, 111. 4 hit alternate targets (War Diary does not list these but GAN summaries did. # bombs incorrect in W.D. 36 photos taken. Attacked at 1250 by 2 Germans near Sissonne.</t>
  </si>
  <si>
    <t>SHAA - G.A.N. Summary of Operations for 1-15 February 1918</t>
  </si>
  <si>
    <t>Clermont-les-Fermes</t>
  </si>
  <si>
    <t>Vitry-les-Reims</t>
  </si>
  <si>
    <t>Plane did not hit assigned target - location is actually spelled Witry-lès-Reims</t>
  </si>
  <si>
    <t>Fesdieux</t>
  </si>
  <si>
    <t>Plane did not hit assigned target</t>
  </si>
  <si>
    <t>Asfeld-la-Ville</t>
  </si>
  <si>
    <t>Etain (SE of)</t>
  </si>
  <si>
    <t>Voisin bomber. Attacks by detached planes in breaks in the clouds. GAE summary says target was troop billets.</t>
  </si>
  <si>
    <t>GB1 War Diary &amp; SHAA - G.A.E. Summary of Operations for 1-15 February 1918</t>
  </si>
  <si>
    <t>Marles and Mortiers</t>
  </si>
  <si>
    <t>Weight estimated based on # bombs</t>
  </si>
  <si>
    <t>Airfield (?)</t>
  </si>
  <si>
    <t>Remich</t>
  </si>
  <si>
    <t>SHAA - G.A.E. Summary of Operations for 1-15 February 1918</t>
  </si>
  <si>
    <t>Keuchingen</t>
  </si>
  <si>
    <t>Konigsmacher</t>
  </si>
  <si>
    <t>GB6</t>
  </si>
  <si>
    <t>Bucy les Pierreponts, Clermont les Fermes</t>
  </si>
  <si>
    <t>Airfields</t>
  </si>
  <si>
    <t>GB6 was formerly GB1 - Breguets - 2 EA attacked over Sissone</t>
  </si>
  <si>
    <t>Cernon</t>
  </si>
  <si>
    <t>Martel 304 supplied part of this info</t>
  </si>
  <si>
    <t>Dillingen Blst Fur.</t>
  </si>
  <si>
    <t>[CHANGED RAID TO ALERT -SCS]</t>
  </si>
  <si>
    <t>In addition to the 17 2-seater Sopwiths, an unspecified number of single-seaters went, 1 of which was shot down</t>
  </si>
  <si>
    <t>Presumably Artillery Gun Platform</t>
  </si>
  <si>
    <t>Undoubtedly part of both records listed above.  Six 2-seater Sopwiths &amp; 1 single-seater.  One of the bombers had some hits from flak.</t>
  </si>
  <si>
    <t>Nite Recce Unit</t>
  </si>
  <si>
    <t>Bombs dropped by 1 night recce flight - unit unknown but was based at Cernon airfield</t>
  </si>
  <si>
    <t>Parroy (east of)</t>
  </si>
  <si>
    <t>Troop Billets "de le Garde"</t>
  </si>
  <si>
    <t>Attacks by detached planes in breaks in the clouds</t>
  </si>
  <si>
    <t>Attacks by detached planes in breaks in the clouds - Voisin</t>
  </si>
  <si>
    <t>GB1 War Diary 0177 &amp; SHAA - G.A.E. Summary of Operations for 1-15 February 1918</t>
  </si>
  <si>
    <t>Alert only</t>
  </si>
  <si>
    <t>NO RAID ON TRIER.  AA fire damaged property of 18 people.</t>
  </si>
  <si>
    <t>Sarrebruck (Saarbrucken)</t>
  </si>
  <si>
    <t>City (Reprisal Raid)</t>
  </si>
  <si>
    <t>Destroyed about 100 rail cars. Shot down 1 enemy fighter in flames. - Stephen W. Thompson, USAS, shot down Albatros fighter of "Combat Squadron #3". T.O. at 1230; Raid at 1515; All Clear at 1610. 32 planes in 4 groups. 1927 news article said damage 250,000 marks; 134 bombs found, incl. 25 duds; 1 RR official killed &amp; 17 wounded - dropped leaflets saying reprisal for Paris raid on 30 January. The number of Breguet 14s is in doubt - SW Thompson said about 30 but the SHAA said 21.</t>
  </si>
  <si>
    <t>C&amp;C,V.9, No.2, Summer 1968, pp.103-113</t>
  </si>
  <si>
    <t>Sarrebruck</t>
  </si>
  <si>
    <t>Martel 308: raid by 21 Breguets; no casualties.  Destroyed 100 rail cars &amp; shot down 1 German defender. Raid was part of the blockade of the iron-producing basin - THIS IS ONE OF TWO RECORDS FOR THIS RAID</t>
  </si>
  <si>
    <t>SHAA - G.A.E. Summary of Operations for 1-15 February 1918 &amp; Martel 308</t>
  </si>
  <si>
    <t>Work stopped in factories, businesses, &amp; shops during alerts. 2 alerts - 1510-1600, 1700-1740.</t>
  </si>
  <si>
    <t>All bombs but 4 on foundry property; others hit the gardens.  Most hits on smelting furnace grounds, slight damage.</t>
  </si>
  <si>
    <t>[This date may be wrong since the dates in Maurer Maurer &amp; microfilm were out of order.  Might be 28FEB.  Damage figure in database is understated - bombing survey says 4-raid total represents 791 claims but doesn't include an almost equal number of claims paid by insurance.--SCS]</t>
  </si>
  <si>
    <t>Sidings &amp; Station</t>
  </si>
  <si>
    <t>Attacks of opportunity against non-prescribed targets</t>
  </si>
  <si>
    <t>Thiaucourt-Arnaville</t>
  </si>
  <si>
    <t>Arnaville - Ars-sur-Moselle</t>
  </si>
  <si>
    <t>AA fire 2000-2200. [CHANGED RAID TO ALERT -SCS]</t>
  </si>
  <si>
    <t>ALERTS 1930-2210, 0000-0053. "Because of darkness, delay in engine movements and coal loading."</t>
  </si>
  <si>
    <t>ALERT ONLY.</t>
  </si>
  <si>
    <t>Breguet bombers</t>
  </si>
  <si>
    <t>GB1 War Diary 0177-8 &amp; SHAA - G.A.N. Summary of Operations for 1-15 February 1918</t>
  </si>
  <si>
    <t>Mission 1425-1500. Esc. 66, 108, 111 dropped 64, 48, 78 115mm long bombs respectively (20kg each).</t>
  </si>
  <si>
    <t>Presumably Barracks</t>
  </si>
  <si>
    <t>This record clearly overlaps with the record above.  Two 2-seater Sopwiths.</t>
  </si>
  <si>
    <t>Br132 Journal des Marches et Operations (Images 0002-3) &amp; Les escadrilles… p.304 &amp; Martel (?)</t>
  </si>
  <si>
    <t>Voisin-Renault bombers - # bombs from GAE summary - Raid was part of the blockade of the iron-producing basin</t>
  </si>
  <si>
    <t>GB1 War Diary 0178 &amp; SHAA - G.A.E. Summary of Operations for 1-15 February 1918</t>
  </si>
  <si>
    <t>Tilly</t>
  </si>
  <si>
    <t>Cuvry</t>
  </si>
  <si>
    <t>ALERT 2155-0040. "Because of darkness, delay in engine movements and coal loading."</t>
  </si>
  <si>
    <t xml:space="preserve">Attacks 2159-2315, 2344-0045. AA fire 0000-0015.  [SUSPECT THESE "ATTACKS" WERE PROBABLY ONLY ALERTS. -SCS] </t>
  </si>
  <si>
    <t>Caurel</t>
  </si>
  <si>
    <t>Troop Billets (?)</t>
  </si>
  <si>
    <t>Unit is GB1 (Day) "par isolé" - also says plane did not hit assigned target. This is not in War Diary.  # bombs dropped based on similar day raids by a single plane.</t>
  </si>
  <si>
    <t>Heurtregiville (Forest N &amp; NE of)</t>
  </si>
  <si>
    <t>Mission 1400-1600. Also dropped 4000 tracts of Pres. Wilson's proclamation. # Breguets &amp; # bombs from War Diary.</t>
  </si>
  <si>
    <t>GB1 War Diary 0178 &amp; SHAA - G.A.N. Summary of Operations for 1-15 February 1918</t>
  </si>
  <si>
    <t>Wittelsheim</t>
  </si>
  <si>
    <t>Clearly part of record above.  Three Sopwith 2-seaters and 1 single-seater, flown by Brigadier Birot, who was attacked by 5 planes but returned.</t>
  </si>
  <si>
    <t>Br132 Journal des Marches et Operations (Image 0003) &amp; Les escadrilles… p.304</t>
  </si>
  <si>
    <t>Caproni #56. Raid was part of the blockade of the iron-producing basin</t>
  </si>
  <si>
    <t>CAP115 Log Image 0101 &amp; SHAA - G.A.E. Summary of Operations for 1-15 February 1918</t>
  </si>
  <si>
    <t>Caproni #104 (first raid).  This is likely a new version of Caproni.  Carried 8x200mm instead of the usual 6x200mm.  Raid was part of the blockade of the iron-producing basin</t>
  </si>
  <si>
    <t>Caproni #37; #30 aborted after 20 minutes - presumably engine trouble.</t>
  </si>
  <si>
    <t>CAP115 Log Image 0101</t>
  </si>
  <si>
    <t>Large number and weight of bombs in GB2 report makes it likely that this was a non-CAP115 raid.  (Can't rule out possibility that this record was grossly erroneous.)  Attacks of opportunity against non-prescribed targets</t>
  </si>
  <si>
    <t>Buxieres</t>
  </si>
  <si>
    <t>Homecourt (region)</t>
  </si>
  <si>
    <t>Pagny - Arnaville</t>
  </si>
  <si>
    <t>6 duds</t>
  </si>
  <si>
    <t>ALERT 1920-2340. "Because of darkness, delay in engine movements and coal loading."</t>
  </si>
  <si>
    <t>AA fire 2015-2030 [CHANGED RAID TO ALERT -SCS]</t>
  </si>
  <si>
    <t>Kilduff, C&amp;C V.15,#1, p.15-16</t>
  </si>
  <si>
    <t>Voisin Renault bombers - Raid was part of the blockade of the iron-producing basin</t>
  </si>
  <si>
    <t>GB1 War Diary Image 0178 &amp; SHAA - G.A.E. Summary of Operations for 1-15 February 1918</t>
  </si>
  <si>
    <t>ALERT 2025-2145. "Because of darkness, delay in engine movements and coal loading."</t>
  </si>
  <si>
    <t>AA fire 2030-2100.  [CHANGED RAID TO ALERT -SCS]</t>
  </si>
  <si>
    <t>5 bombs fell on aviation park S of station</t>
  </si>
  <si>
    <t>Rail (aborted raid)</t>
  </si>
  <si>
    <t>Athus, Pentange, Longuyon, Dommary-Baroncourt</t>
  </si>
  <si>
    <t>7 Voisin Renault bombers - Raid was part of the blockade of the iron-producing basin</t>
  </si>
  <si>
    <t>GB1 War Diary 0179 &amp; SHAA - G.A.E. Summary of Operations for 16-28 February 1918</t>
  </si>
  <si>
    <t>Martel 304</t>
  </si>
  <si>
    <t>ALERTS 1935-2015, 2125-2320, 0047-0105. "Because of darkness, engines Nos. 9217 &amp; 5229 collided on track No. 143."</t>
  </si>
  <si>
    <t>Bombs fell at same place [aviation park S of stn] but damage small</t>
  </si>
  <si>
    <t>RR stn &amp; steel works</t>
  </si>
  <si>
    <t>Formerly GB1 - Breguet bombers T.O. 1050 - took 36 recon photos - hits on rail lines seen - 3 columns of smoke - don't know why 5 crews aborted but it was extremely cold with multiple cases of frostbite reported</t>
  </si>
  <si>
    <t>Martel 304 &amp; GB1 War Diary 0178 &amp; SHAA - G.A.N. Summary of Operations for 15-28 February 1918</t>
  </si>
  <si>
    <t>BASF (aborted raid)</t>
  </si>
  <si>
    <t>GB3/Br107</t>
  </si>
  <si>
    <t>Rail Station &amp; Depot</t>
  </si>
  <si>
    <t>Mesnil-St-Georges</t>
  </si>
  <si>
    <t>SHAA - G.A.N. Summary of Operations for 15-28 February 1918</t>
  </si>
  <si>
    <t>Probably Alsace</t>
  </si>
  <si>
    <t>Raids ordered by VII Armée probably in Alsace - Martel 310 says these are day raids through 24 February, primarily by Sopwiths.  Bomb wgt adjusted later for GB4/Sop132 totals this day.</t>
  </si>
  <si>
    <t>SHAA - G.A.E. Summary of Operations for 16-28 February 1918 &amp; Martel 310</t>
  </si>
  <si>
    <t>Presumably Depots (munitions)</t>
  </si>
  <si>
    <t>1st raid of the day.  Two single-seater Sopwiths flown by Lt. Gros &amp; Brig. Birot. This record is certainly a part of the GB4 record for this date. That record was adjusted for bombwgt (but not # of bombs) for this escadrille's raids.</t>
  </si>
  <si>
    <t>Bourg-Bruch</t>
  </si>
  <si>
    <t>Three two-seater Sopwiths.  Also MGed Provencheres. This record is certainly a part of the GB4 record for this date. That record was adjusted for bombwgt (but not # of bombs) for this escadrille's raids. CORRECT SPELLING IS BOURG-BRUCHE.</t>
  </si>
  <si>
    <t>Unknown (aborted raid)</t>
  </si>
  <si>
    <t>Pentange, Longuyon, Athus</t>
  </si>
  <si>
    <t>GB1 War Diary 0179</t>
  </si>
  <si>
    <t>10 Voisin-Renault bombers; 12 sorties - bombweights from individual targets don't add up - big explosion at Petange; fire at Athus</t>
  </si>
  <si>
    <t>SHAA - G.A.E. Summary of Operations for 16-28 February 1918</t>
  </si>
  <si>
    <t>Caproni #59. Raid was part of the blockade of the iron-producing basin</t>
  </si>
  <si>
    <t>CAP115 Log Images 0101-2 &amp; SHAA - G.A.E. Summary of Operations for 16-28 February 1918</t>
  </si>
  <si>
    <t>Capronis 37 &amp; 30.  Latter landed at St. Chèrin.  Bombload of #30 not specified but has consistently been 30x120mm.  GB2 report: "Attacks of opportunity against non-prescribed targets"</t>
  </si>
  <si>
    <t>GB8/V.116</t>
  </si>
  <si>
    <t>Munitions Depot (?)</t>
  </si>
  <si>
    <t>Jaulny to Waville</t>
  </si>
  <si>
    <t>Work stopped in factories, businesses, &amp; shops during alerts. Clerk recording this was not consistent on AM/PM. Alert may have been 12 hours later.</t>
  </si>
  <si>
    <t>Damage to houses.  [Time of 12pm may have been midnight vice noon but this doesn't seem likely in the context of the other records.]  (Total damage in 8 raids: to town 19,000 francs; to Athus-Grevegne Works 400,000 francs.)</t>
  </si>
  <si>
    <t>ALERT ONLY - "Because of darkness, car derailed. Complete traffic interruption, workmen under shelter."</t>
  </si>
  <si>
    <t>AA fire 2035-0110.  [CHANGED RAID TO ALERT -SCS]</t>
  </si>
  <si>
    <t>Thionville &amp; Treves</t>
  </si>
  <si>
    <t>Rail Sidings, Gas Works</t>
  </si>
  <si>
    <t>Rail</t>
  </si>
  <si>
    <t>Sidings,Gas Wrks,Barracks</t>
  </si>
  <si>
    <t>Raids ordered by VII Armée probably in Alsace - Martel 310 says these are day raids through 24 February, primarily by Sopwiths</t>
  </si>
  <si>
    <t>Weim-im-Thal</t>
  </si>
  <si>
    <t>Four crews in 2-seater Sopwiths.  This record is a subset of the GB4 record for this date.  Adjusted GB4 record for bomb wgt in this record but not # of bombs.</t>
  </si>
  <si>
    <t>Treves &amp; Thionville</t>
  </si>
  <si>
    <t>Rail,Steel Wrks,Barracks</t>
  </si>
  <si>
    <t>Rail Stn, Steel Works</t>
  </si>
  <si>
    <t>Rail Station, Barracks</t>
  </si>
  <si>
    <t>Pentange, Longuyon, Dommary-Baroncourt</t>
  </si>
  <si>
    <t>Voisin Renault bombers - I'm using the list of bombs by type from the War Diary for every entry rather than the totals given in the War Diary or the summaries. All 3 rail stns and nearby rail lines hit.</t>
  </si>
  <si>
    <t>Italian source says raid authorized this date; unknown number of Capronis &amp; Voisins. Martel p.311 says only this was a "massive" raid by GB5.</t>
  </si>
  <si>
    <t>Marc-St-Juvin</t>
  </si>
  <si>
    <t>Raids &amp; reconnaissances ordered by II &amp; VIII Armées</t>
  </si>
  <si>
    <t>Martel 310 says these are Sopwith night raids</t>
  </si>
  <si>
    <t>Forbach</t>
  </si>
  <si>
    <t>Puxieux; Briey; Algringen</t>
  </si>
  <si>
    <t>Airfield;  ?;  Blast Furnaces?</t>
  </si>
  <si>
    <t>CAP115 Log Image 0102 &amp; SHAA - G.A.E. Summary of Operations for 16-28 February 1918</t>
  </si>
  <si>
    <t>Caproni #58 departed, engines failed, both pilots hurt on landing</t>
  </si>
  <si>
    <t>Algringen</t>
  </si>
  <si>
    <t>Blast Furnace?</t>
  </si>
  <si>
    <t xml:space="preserve">CAP115 Log Image 0102 </t>
  </si>
  <si>
    <t>Caproni #107 - FIRST MISSION - am estimating bomb # and wgt using other missions by new 10x Capronis. Target type not specified - Algringen (W of Thionville) was bombed in late 1916 and the Capronis hit a blast furnace there.</t>
  </si>
  <si>
    <t>Caproni #37 - name of target from GB2 summary - hard to read in CAP115 log</t>
  </si>
  <si>
    <t>Depots (Train? Ammo?)</t>
  </si>
  <si>
    <t>Caproni #59 - type of target u/k</t>
  </si>
  <si>
    <t>Trier (City &amp; E. Trier RR)</t>
  </si>
  <si>
    <t>2 raids this day.  1st raid from 12.01PM to 12.30PM. [MICROFILM LISTED TIMES AS AM, NOT PM, BUT 55 SQN TAKEOFF TIME MATCHES RAID AT NOON.] 12 bombs dropped in east end of city along west side of railroad.  This entry is the combination of records for the city and the E.Trier RR.  Apparently no damage in city; all damage is to RR.</t>
  </si>
  <si>
    <t>422, 426, NARA Roll 58</t>
  </si>
  <si>
    <t>AA fire 2015-2135.  [CHANGED RAID TO ALERT. -SCS]</t>
  </si>
  <si>
    <t>ALERTS 2000-2230, 2330-0105; LIGHTS OUT APPARENTLY 2000-0105. "Delay in traffic."</t>
  </si>
  <si>
    <t>2nd of 2 raids this day; from 2020 - 2140.  9 bombs in the middle of town damaged 248 buildings &amp; houses.  Apparently all damage mentioned was from 2nd raid.  158 insured people didn't report their damage.</t>
  </si>
  <si>
    <t>422, NARA Roll 58</t>
  </si>
  <si>
    <t>3 attacks.</t>
  </si>
  <si>
    <t>Work stopped in factories, businesses, &amp; shops during alerts. 2 alerts - 2030-2057, 2110-2130.</t>
  </si>
  <si>
    <t xml:space="preserve">Raid 2325 - 2350.  2 bombs on wood storage of chemical factory.  Direct damages to BASF in 22 raids was 519,310M; 14 killed.  Each raid or alert caused production losses in another 24 hour plant and in many city businesses. </t>
  </si>
  <si>
    <t>6 bombs fell on storehouse; grain destroyed</t>
  </si>
  <si>
    <t>Time unknown.  1 bomb in city; only glass damage.  (Total damage in all 9 raids: 20,000 marks in town; 10,920 to factory; 15,000 marks cost for protection.)</t>
  </si>
  <si>
    <t>Trier (Olewig)</t>
  </si>
  <si>
    <t>Olewig is a town in Trier District.  1 bomb damaged property of 4 people; 1 woman killed.  [THERE IS NO COMPARABLE RECORD OF THIS IN THE MICROFILM SUMMARY FOR TRIER &amp; SUBURBS.]</t>
  </si>
  <si>
    <t>Barracks &amp; Rail Stn</t>
  </si>
  <si>
    <t>Logelbach &amp; Ensisheim</t>
  </si>
  <si>
    <t>? &amp; Airfield</t>
  </si>
  <si>
    <t>3 Single-seaters. Combat against 5 enemy planes. This record is undoubtedly part of 2 GB4 records above.  Bomb wgt of one of them (but not # bombs) is adjusted for this record.</t>
  </si>
  <si>
    <t>U/K (Barracks?)</t>
  </si>
  <si>
    <t>Two 2-seaters. This record is undoubtedly part of 2 GB4 records above.  Bomb wgt of one of them (but not # bombs) is adjusted for this record.</t>
  </si>
  <si>
    <t>GB3/Br128</t>
  </si>
  <si>
    <t>Parpeville</t>
  </si>
  <si>
    <t>Dépôt (Prob. Munitions)</t>
  </si>
  <si>
    <t>GB3/Br126</t>
  </si>
  <si>
    <t>Ribemont &amp; Guise</t>
  </si>
  <si>
    <t>Rail Stn &amp; Steel Works</t>
  </si>
  <si>
    <t>Romagne</t>
  </si>
  <si>
    <t>Caproni #59. Attacks of opportunity against non-prescribed targets</t>
  </si>
  <si>
    <t>Caproni #30.  GB2 summary didn't match CAP115 log - bomb load was too heavy (990 lb) &amp; paradoxically there were not enough of them (18).  Raid was part of the blockade of the iron-producing basin</t>
  </si>
  <si>
    <t>GB1 War Diary 0179-0180</t>
  </si>
  <si>
    <t>Voisin bombers - also dropped propaganda leaflets - ALL BREGUET SQNS LEFT GB1 ON 20 FEB TO FORM GB6 - MF25 JOINED GB1 AND RE-EQUIPPED WITH VOISIN 10'S - GB1 ALL NIGHT-BOMBING GROUPE FOR REST OF WAR. Bomb wgts and #s don't add up.  Am using total weight and bomb numbers from War Diary because they list bombs by type but am using individual target weights from summaries because I don't know the individual weights for one type of bomb mentioned.</t>
  </si>
  <si>
    <t>Raid from 1005 - 1100.  All bombs fell on hills outside town.</t>
  </si>
  <si>
    <t>Trier (City &amp; Wool Factory)</t>
  </si>
  <si>
    <t>Raid from "12.10PM to 1.00PM".  2 records combined; city and H. Laeser &amp; Co, manufacturers of artificial wool for German uniforms.  17 bombs in south and SW parts of city; 231 homes &amp; buildings damaged.  1 soldier &amp; 1 civilian killed.  2 bombs hit office building for wool factory, setting it on fire &amp; destroying it completely.  Rebuilt in 9 months at a cost of 25,300M.  Didn't delay factory work.</t>
  </si>
  <si>
    <t>10 bombs dropped in steel works - 10-12,000 marks damage.  Canteen Schmitt very badly damaged. STEEL MILL REPORT: main gate damaged by bomb; alert began @ 2140. RR STN REPORT IN MICROFILM: Attack 1950-0030; AA fire 2015-2135.  RR TELEGRAM: …at 8:10PM, enemy planes were seen from the direction of Metz...At 9:45PM, 10 bombs were dropped...RR traffic interfered with only during the AA fire."</t>
  </si>
  <si>
    <t>Hagondange (Forges, Steel Mills, Rail Stn)</t>
  </si>
  <si>
    <t>383, 390, NARA 990</t>
  </si>
  <si>
    <t>ALERTS 2040-2246, 2302-0001; LIGHTS OUT 2050-0001. "Audin [?] railroad blocked. Engines Nos. F 38335, 67751 &amp; 67696 stood on Wekingen track 8 hours."</t>
  </si>
  <si>
    <t>1 RAID &amp; 1 ALERT ON THIS NIGHT (19/20 FEB 1918).  CASUALTIES &amp; DIRECT DAMAGE UNKNOWN. LOSS IN PRODUCTION OF IRON @ 498M PER TON.</t>
  </si>
  <si>
    <t>3 bombs fell in woods</t>
  </si>
  <si>
    <t>Rail Stn &amp; Factories</t>
  </si>
  <si>
    <t>Brig. Birot in Sopwith single-seater.</t>
  </si>
  <si>
    <t>AA fire 0010-0230.  [CHANGED RAID TO ALERT -SCS]</t>
  </si>
  <si>
    <t>[This date may be wrong since the dates in Maurer Maurer &amp; microfilm were out of order.  Might be 2FEB.  Damage figure in database is understated - bombing survey says 4-raid total represents 791 claims but doesn't include an almost equal number of claims paid by insurance.--SCS]</t>
  </si>
  <si>
    <t>Raid 11:00 - 11:30pm.  7 bombs near RR station; destroyed phone wires &amp; windows.  (Total damage in all 9 raids: 20,000 marks in town; 10,920 to factory; 15,000 marks cost for protection.)</t>
  </si>
  <si>
    <t>AA fire 2000-2100. [CHANGED RAID TO ALERT -SCS]</t>
  </si>
  <si>
    <t>ALERTS 2005-2050, 2320-2340, 0120-0145, 0225-0330; LIGHTS OUT 2005-0330. "General traffic interruption on all tracks."</t>
  </si>
  <si>
    <t>AA fire 2330-0230. [CHANGED FROM RAID TO ALERT -SCS]</t>
  </si>
  <si>
    <t>Bussy-les-Pierpont, Clermont-les-Fermeson</t>
  </si>
  <si>
    <t>Base info from "Les Escadrilles…" though Martel's map says it was Ferme des Grèves.</t>
  </si>
  <si>
    <t>Gentillo &amp; Varriale 48</t>
  </si>
  <si>
    <t>RECORD MESSED UP - MAY HAVE BEEN 12 HRS LATER</t>
  </si>
  <si>
    <t>Escadre 11</t>
  </si>
  <si>
    <t>Kilduff, C&amp;C V.15,#1, p.16</t>
  </si>
  <si>
    <t>Laon - La Fere</t>
  </si>
  <si>
    <t>Rail way</t>
  </si>
  <si>
    <t>Mairy-sur-Marne</t>
  </si>
  <si>
    <t>Monthois</t>
  </si>
  <si>
    <t>Rail Station ?</t>
  </si>
  <si>
    <t>Le Chauffour</t>
  </si>
  <si>
    <t>Laon-La Fere &amp; Laon-Pouilly</t>
  </si>
  <si>
    <t>Rail Bifurcation</t>
  </si>
  <si>
    <t>Raids ordered by VII Armée probably in Alsace</t>
  </si>
  <si>
    <t>Longuyon, Dommary-Baroncourt</t>
  </si>
  <si>
    <t>GB1 War Diary 0180 &amp; SHAA - G.A.E. Summary of Operations for 16-28 February 1918 &amp; Martel 265</t>
  </si>
  <si>
    <t>Voisin bombers T.O. 2000-2340. At Longuyon, bombs hit goods stn. At D-B, hit south part of stn.</t>
  </si>
  <si>
    <t>SHAA - G.A.E. Summary of Operations for 16-28 February 1918 &amp; Martel 265</t>
  </si>
  <si>
    <t>Raid was part of the blockade of the iron-producing basin. Martel 265 says all GB1 raids on and after 24 February are night raids.</t>
  </si>
  <si>
    <t>Thiaucourt Station</t>
  </si>
  <si>
    <t>Capronis 59 &amp; 104.  Bomb wgt &amp; # estimated using numbers from other raids by these planes. Attacks of opportunity against non-prescribed targets</t>
  </si>
  <si>
    <t>CAP115 Log Image 0102-3 &amp; SHAA - G.A.E. Summary of Operations for 16-28 February 1918</t>
  </si>
  <si>
    <t>This GB2 summary record was broken into 2 parts based on detail in CAP115 Log.  Attacks of opportunity against non-prescribed targets</t>
  </si>
  <si>
    <t>Neuf-Brisach</t>
  </si>
  <si>
    <t>Rare night bombardment with 2 Sopwith single-seaters, piloted by Lt. Gros &amp; Sergent Rochard.  Bomb wgt estimated based on recent raids by escadrille's single-seaters.  During the day, 5 Sopwiths did a barrage patrol over the lines, but this is not counted here.</t>
  </si>
  <si>
    <t>ALERTS 1930-2115, 2225-2315; LIGHTS OUT 1930-2315. "Delay in engine movements."</t>
  </si>
  <si>
    <t>2 raids, 2055-2115, 2135-2215.</t>
  </si>
  <si>
    <t>Work stopped in factories, businesses, &amp; shops during alerts. 2 alerts - 2055-2115, 2130-2230.</t>
  </si>
  <si>
    <t>3 barracks destroyed near RR tracks; some men killed</t>
  </si>
  <si>
    <t>Windows in residence district.</t>
  </si>
  <si>
    <t>AA fire 0010-0050. [CHANGED RAID TO ALERT -SCS]</t>
  </si>
  <si>
    <t>E.M. &amp; E.M.12</t>
  </si>
  <si>
    <t>??ulin d'Alger</t>
  </si>
  <si>
    <t>SHAA - G.A.N. (?) Summary of Operations for 1-15 March 1918</t>
  </si>
  <si>
    <t>43 negatives shot</t>
  </si>
  <si>
    <t>??lly-aux-Oies (Oise?)</t>
  </si>
  <si>
    <t>??acy-Thierret</t>
  </si>
  <si>
    <t>St. Morel</t>
  </si>
  <si>
    <t>104 negatives shot</t>
  </si>
  <si>
    <t>La Ferté-Chevresis</t>
  </si>
  <si>
    <t>Longuyon; Spincourt</t>
  </si>
  <si>
    <t>GB1 War Diary 0180</t>
  </si>
  <si>
    <t>One Voisin Renault got stuck in the mud on takeoff.</t>
  </si>
  <si>
    <t>Escadre 11/GB1</t>
  </si>
  <si>
    <t>Spincourt (Forest)</t>
  </si>
  <si>
    <t>Rumont</t>
  </si>
  <si>
    <t>GB1 War Diary 0180 &amp; SHAA - G.A.E. Summary of Operations for 1-15 March 1918 &amp; Martel 243</t>
  </si>
  <si>
    <t>Attacks of opportunity against non-prescribed targets. Martel 243 says Escadre 11 were night bombers. Used War Diary to correct GAE summary for bombload.</t>
  </si>
  <si>
    <t>Raid was part of the blockade of the iron-producing basin. Martel 243 says Escadre 11 was all night-bombing escadrilles.</t>
  </si>
  <si>
    <t>ALERT 2231-2331. "Delay in engine movements."</t>
  </si>
  <si>
    <t>Bombs fell on tracks, damage small</t>
  </si>
  <si>
    <t>Parts of record combined - 21 sorties flown against Cambrai &amp; Laon this day - 36 negatives shot</t>
  </si>
  <si>
    <t>CAP115 (Escadre11/GB2)</t>
  </si>
  <si>
    <t>Conflans-Jarnissy</t>
  </si>
  <si>
    <t xml:space="preserve">1st mission of Caproni #118; dropped 8x200mm Gros bombs. CAP115 joined Escadre 11 on 20FEB1918. Escadre 11 report: Raid was part of the blockade of the iron-producing basin. </t>
  </si>
  <si>
    <t>CAP115 Log Image 0103</t>
  </si>
  <si>
    <t>Attacks of opportunity against non-prescribed targets. Martel 243 says Escadre 11 were night bombers.</t>
  </si>
  <si>
    <t>SHAA - G.A.E. Summary of Operations for 1-15 March 1918 &amp; Martel 243</t>
  </si>
  <si>
    <t>Record modified using more complete info from CAP115 log.  Raid was part of the blockade of the iron-producing basin. Martel 243 says Escadre 11 was all night-bombing escadrilles.</t>
  </si>
  <si>
    <t>SHAA - G.A.E. Summary of Operations for 1-15 March 1918 &amp; Martel 243 &amp; CAP115 Log Image 0103</t>
  </si>
  <si>
    <t>La Ville-aux-Bois</t>
  </si>
  <si>
    <t>Laon (strayed to Cambrai)</t>
  </si>
  <si>
    <t>4 Breguets got lost; 3 shot down; remainder brought back valuable intel on direction of impending German offensive</t>
  </si>
  <si>
    <t>ALERT 2220-2345.</t>
  </si>
  <si>
    <t>AA fire 2220-0000. [CHANGED RAID TO ALERT -SCS]</t>
  </si>
  <si>
    <t>Mainz</t>
  </si>
  <si>
    <t>Factories,Station,Bks</t>
  </si>
  <si>
    <t>??ine</t>
  </si>
  <si>
    <t>St. Acquaire</t>
  </si>
  <si>
    <t>48 negatives shot</t>
  </si>
  <si>
    <t>44 negatives shot</t>
  </si>
  <si>
    <t>33 negatives shot</t>
  </si>
  <si>
    <t>Longuyon, Dommary-Baroncourt, Athus; Etain, Damvillers, Vigneulles; Differdange</t>
  </si>
  <si>
    <t>RR stns; camps; factories</t>
  </si>
  <si>
    <t>GB1 War Diary 0181 &amp; SHAA - G.A.E. Summary of Operations for 1-15 March 1918 &amp; Martel 243</t>
  </si>
  <si>
    <t>Voisin-Renaults bombed 2115-0035 - also dropped 1000 propaganda leaflets - "several" a/c got stuck in mud on return to field</t>
  </si>
  <si>
    <t>Damvillers</t>
  </si>
  <si>
    <t>Attacks of opportunity against non-prescribed targets. Martel 243 says Escadre 11 were night bombers.  Technically, this is Vigneulles-lès-Hattonchâtel.</t>
  </si>
  <si>
    <t>There was a question mark next to Dommary-Baroncourt in the War Diary, but the summary listed it along with data on bombs dropped, so it probably was actually hit this night.  Raid was part of the blockade of the iron-producing basin. Martel 243 says Escadre 11 was all night-bombing escadrilles.</t>
  </si>
  <si>
    <t>Page torn - no bomb data. Raid was part of the blockade of the iron-producing basin. Martel 243 says Escadre 11 was all night-bombing escadrilles. Since War Diary &amp; summary bomb data match so well, am using that data to estimate missing bomb weight.</t>
  </si>
  <si>
    <t>Record adjusted using more detailed CAP115 log (Image 0104). Attacks of opportunity against non-prescribed targets. Martel 243 says Escadre 11 were night bombers.</t>
  </si>
  <si>
    <t xml:space="preserve">1st mission of Caproni #4428 and 1st use of M.M.N. 155mm (50kg) bombs.  [Is it really a Caproni or is it a Voisin? Log doesn't specify.]  Escadre 11 report: Attacks of opportunity against non-prescribed targets. </t>
  </si>
  <si>
    <t>CAP115 Log Image 0104 &amp; SHAA - G.A.E. Summary of Operations for 1-15 March 1918</t>
  </si>
  <si>
    <t>Dudelange</t>
  </si>
  <si>
    <t xml:space="preserve">1st mission of Caproni #119.  Raid was part of the blockade of the iron-producing basin. </t>
  </si>
  <si>
    <t>CAP115 Log Image 0103 &amp; SHAA - G.A.E. Summary of Operations for 1-15 March 1918</t>
  </si>
  <si>
    <t>Work stopped in factories, businesses, &amp; shops during alerts. 2 alerts - 1213-1320, 1415-1438</t>
  </si>
  <si>
    <t>AA fire 2220-0100. "With intervals" [of no attacks].  [CHANGED RAID TO ALERT. -SCS]</t>
  </si>
  <si>
    <t>11 killed and "many" wounded. # BOMBS FROM BRITISH SURVEY.</t>
  </si>
  <si>
    <t>Mayence</t>
  </si>
  <si>
    <t>469; AM Results… before p.19</t>
  </si>
  <si>
    <t>1 RAID &amp; 1 ALERT ON THIS NIGHT (9/10 MAR 1918).  CASUALTIES &amp; DIRECT DAMAGE UNKNOWN. LOSS IN PRODUCTION OF IRON @ 498M PER TON.</t>
  </si>
  <si>
    <t>5 bombs fell in Bois des Sergeants and granary destroyed</t>
  </si>
  <si>
    <t>Factories,Railways,Bks</t>
  </si>
  <si>
    <t>14 negatives shot</t>
  </si>
  <si>
    <t>50 negatives shot</t>
  </si>
  <si>
    <t>US survey didn’t reach Stuttgart; all info from BRITISH sources. WIA says 5 injured, damage estimated at 80,000M. Curiously, Air Ministry "Results of Air Raids…" doesn't mention this, only saying their survey team didn't reach there either and that Germans denied bombs fell on Daimler Works, bridges, or any target of military value. [Which doesn't necessarily contradict WIA. -SCS]  MARTEL p.311 says 9 (not 10) March English raid on Stuttgart badly damaged Daimler works - 10 dead, 42 wounded. More damage &amp; casualties at Sindelingen.</t>
  </si>
  <si>
    <t>WIA Appx XIII; AM p.36; Martel 312</t>
  </si>
  <si>
    <t>Neuflize</t>
  </si>
  <si>
    <t>Athus, Longuyon, Spincourt, Dommary-Baroncourt; Spincourt (Forest)</t>
  </si>
  <si>
    <t>GB1 War Diary 0181</t>
  </si>
  <si>
    <t xml:space="preserve">Error in War Diary; may have been 12 sorties vice 13. (1 a/c flew two missions.) </t>
  </si>
  <si>
    <t>Page torn - no bomb data. Raid was part of the blockade of the iron-producing basin. Martel 243 says Escadre 11 was all night-bombing escadrilles.  Bomb wgt estimated by subtraction.</t>
  </si>
  <si>
    <t>AA fire 2000-2100.  [CHANGED RAID TO ALERT -SCS]</t>
  </si>
  <si>
    <t>Heavy bomber bases</t>
  </si>
  <si>
    <t xml:space="preserve">1st mission of Caproni #105. Dropped 6x200mm Gros bombs. Raid was part of the blockade of the iron-producing basin. </t>
  </si>
  <si>
    <t>Capronis #118 &amp; 119.  Raid was part of the blockade of the iron-producing basin.</t>
  </si>
  <si>
    <t>CAP115 Log Images 0104-5 &amp; SHAA - G.A.E. Summary of Operations for 1-15 March 1918</t>
  </si>
  <si>
    <t>Athus, Petange, Dommary-Baroncourt, Longuyon, Spincourt; Differdange</t>
  </si>
  <si>
    <t>RR stns; Industry</t>
  </si>
  <si>
    <t>10 Voisin Renault planes; 11 sorties. T.O. 2000. Bomb wgts do not add up. Using War Diary for total and summaries for individual entries.</t>
  </si>
  <si>
    <t>Page torn - no bomb data. Raid was part of the blockade of the iron-producing basin. Martel 243 says Escadre 11 was all night-bombing escadrilles.</t>
  </si>
  <si>
    <t>DURING ALERTS, RR TRAFFIC &amp; FACTORY &amp; FOUNDRY WORK STOPPED. 2 alerts: 1055-1140, 1148-1252.</t>
  </si>
  <si>
    <t>Raid from 1140 - 1250 (all rail traffic stops).  23 bombs on middle &amp; W part of city, including RR station (5153M) &amp; post office (625M).  Damage to property of 122 people (54,167M); 12 killed, 7 badly wounded, 7 slightly wounded. Damage in suburbs of 3014M.  "Other" costs payment to a widow &amp; 3 injured postal workers.  Bombs also hit Pioneer Infantry barracks &amp; wagon sheds - 4 killed, 1 wounded, 610M damage. BRITISH SURVEY REPORTED 9 KILLED (4 SOLDIERS) &amp; 61 WOUNDED (12 SOLDIERS).</t>
  </si>
  <si>
    <t>478, 480, 481, NARA 990</t>
  </si>
  <si>
    <t>Troisdorf - Rheinish Westfalische Sprengstoff Act-Ges.</t>
  </si>
  <si>
    <t>"Other Cost" is estimated lost production &amp; labor costs - losses for 19.25 hours of alerts totaled 261,300M for labor costs and 974,800M for lost production.</t>
  </si>
  <si>
    <t>ALERTS 1955-2038, 2210-2315. "Because of darkness, Engineer Gunster fell into turning platform, injured left knee. Engineer Humber fell from engine No. 4040, injuries in left foot.  Delay in engine movements."</t>
  </si>
  <si>
    <t>Bombs damaged tunnel, women's rest room, canal system.  Caused a stoppage of the canal system "blooming" (?) until 0700 on 15 March.  Damage 30,000 - 50,000 marks.  RAIL STN REPORT ON MICROFILM: Attack 1940-2353; AA fire 2000-2330.  RR TELEGRAM: "At 8:30pm...and 11:50PM March 12, 1918, enemy air raids took place...At 11:50 bombs were dropped on Steel Works Thyssen...damages...presumed to be considerable. No persons injured. Work not affected. T.V. Becker" BRITISH SURVEY plotted 5 bombs.</t>
  </si>
  <si>
    <t>390, NARA 990, AM Results… opposite p.13</t>
  </si>
  <si>
    <t>1 RAID ON THIS NIGHT (12/13 MAR 1918).  CASUALTIES &amp; DIRECT DAMAGE UNKNOWN. LOSS IN PRODUCTION OF IRON @ 498M PER TON.</t>
  </si>
  <si>
    <t>Trier (City &amp; Fohren town)</t>
  </si>
  <si>
    <t>[COMBINED RECORD - CORRECTED MAUER MAUER DATE WITH MICROFILM RECORD] 1 bomb dropped on Fohren in Trier district, damaging property of 5 people costing 385M.  AA fire damaged property of 11 people in Trier itself even though no bombs fell there (305M); 7 people did not report claims.</t>
  </si>
  <si>
    <t>Fohren</t>
  </si>
  <si>
    <t>422, 432, NARA Roll 58</t>
  </si>
  <si>
    <t>Munit.Dump,Station,Bks</t>
  </si>
  <si>
    <t>Sundhofen</t>
  </si>
  <si>
    <t>Target designated by VII Armée</t>
  </si>
  <si>
    <t>SHAA - G.A.E. Summary of Operations for 1-15 March 1918</t>
  </si>
  <si>
    <t>Petange, Longwy, Longuyon; Differdange, Rodange; Vigneulles</t>
  </si>
  <si>
    <t>RR Stns; "Regions"; Camps</t>
  </si>
  <si>
    <t>GB1 War Diary 0181 &amp; Nilsson, OTF 1/4, p.314</t>
  </si>
  <si>
    <t>Fire at Longwy rail stn. Experimented w/ target indicator bombs &amp; master-bomber crew. Also dropped 10,000 tracts.</t>
  </si>
  <si>
    <t>Page torn - no bomb data. Weight estimated by subtraction. Raid was part of the blockade of the iron-producing basin. Martel 243 says Escadre 11 was all night-bombing escadrilles.</t>
  </si>
  <si>
    <t>Rodange (region of)</t>
  </si>
  <si>
    <t>"Region" (troops)</t>
  </si>
  <si>
    <t>Caproni #118.  Bomb wgt not in CAP115 log, but was in GB2 summary.  Raid was part of the blockade of the iron-producing basin. Martel 243 says Escadre 11 was all night-bombing escadrilles.</t>
  </si>
  <si>
    <t>CAP115 Log Image 0105 &amp; SHAA - G.A.E. Summary of Operations for 1-15 March 1918 &amp; Martel 243</t>
  </si>
  <si>
    <t>ALERT 2008-0010.</t>
  </si>
  <si>
    <t>Raid 11:00 - 11:30pm.  3 bombs in city; only broken windows.  (Total damage in all 9 raids: 20,000 marks in town; 10,920 to factory; 15,000 marks cost for protection.)</t>
  </si>
  <si>
    <t>[Corrected date in Maurer Maurer based on microfilm]. RAIL STN REPORT: Attack "with intervals" 2000-0020; AA fire 2009-0010. "At 11:50PM, some bombs were dropped on steel works."</t>
  </si>
  <si>
    <t>1 RAID ON THIS NIGHT (13/14 MAR 1918).  CASUALTIES &amp; DIRECT DAMAGE UNKNOWN. LOSS IN PRODUCTION OF IRON @ 498M PER TON.</t>
  </si>
  <si>
    <t>38 negatives shot</t>
  </si>
  <si>
    <t>Petange, Longuyon; Differdange, Rodange, Esch sur Alzette</t>
  </si>
  <si>
    <t>RR stns; Factories</t>
  </si>
  <si>
    <t>GB1 War Diary 0181-2</t>
  </si>
  <si>
    <t>Voisin-Renault bombers. Longuyon &amp; Petange rail stns seen hit.  One crew shot up a train with tracer bullets from 200 meters altitude.</t>
  </si>
  <si>
    <t>Rodange</t>
  </si>
  <si>
    <t>Esc. 11 includes GB1,2,7,18 - all 3 raids on this target totaled 1235 kg</t>
  </si>
  <si>
    <t>SHAA - G.A.R. Escadre 11 Summary of Operations for 15-31 March 1918</t>
  </si>
  <si>
    <t>Esc. 11 includes GB1,2,7,18 - all 5 raids on this target totaled 2730 kg</t>
  </si>
  <si>
    <t>Esc. 11 includes GB1,2,7,18 - all 2 raids on this target totaled 750 kg</t>
  </si>
  <si>
    <t>Esch sur Alzette</t>
  </si>
  <si>
    <t>Esc. 11 includes GB1,2,7,18 - all 3 raids on this target totaled 900 kg</t>
  </si>
  <si>
    <t>Esc. 11 includes GB1,2,7,18 - all 2 raids on this target totaled 490 kg</t>
  </si>
  <si>
    <t>Esc. 11 includes GB1,2,7,18 - all 6 raids on this target totaled 11969 kg. Raids were part of the blockade of the iron-producing basin.</t>
  </si>
  <si>
    <t>Raid from 10:30 - 11:00am.  1 of the 5 bombs fell between RR tracks.  Only glass damage.  (Total damage in all 9 raids: 20,000 marks in town; 10,920 to factory; 15,000 marks cost for protection.)</t>
  </si>
  <si>
    <t>No AA fire. [CHANGED RAID TO ALERT -SCS]</t>
  </si>
  <si>
    <t>ALERT 2255-0020.</t>
  </si>
  <si>
    <t>1 RAID &amp; 1 ALERT ON THIS NIGHT (14/15 MAR 1918).  CASUALTIES &amp; DIRECT DAMAGE UNKNOWN. LOSS IN PRODUCTION OF IRON @ 498M PER TON.</t>
  </si>
  <si>
    <t>9 bombs fell near bridge on route to Longwy</t>
  </si>
  <si>
    <t>Rumbach</t>
  </si>
  <si>
    <t>30 negatives shot</t>
  </si>
  <si>
    <t>Alincourt</t>
  </si>
  <si>
    <t>SHAA - G.A.N. Summary of Operations for 16-31 March 1918</t>
  </si>
  <si>
    <t>Raid from 10:30 - 11:00pm. 3 bombs in field &amp; 2 in city.  2 houses damaged; 2 children wounded.  (Total damage in all 9 raids: 20,000 marks in town; 10,920 to factory; 15,000 marks cost for protection.)</t>
  </si>
  <si>
    <t>Railways &amp; Barracks</t>
  </si>
  <si>
    <t>Probably Troops, etc.</t>
  </si>
  <si>
    <t>SHAA - G.A.E. Summary of Operations for 16-31 March 1918</t>
  </si>
  <si>
    <t>Ville-s-Retourne, Bétheniville, Juniville</t>
  </si>
  <si>
    <t>54 negatives shot.</t>
  </si>
  <si>
    <t>Work stopped in factories, businesses, &amp; shops during alerts. 2 alerts - 1121-1130, 1345-1415.</t>
  </si>
  <si>
    <t>[Corrected time in Maurer Maurer with microfilm.--SCS]  BRITISH REPORT DURING THE WAR "from a very reliable source" said 30 killed and many wounded.</t>
  </si>
  <si>
    <t>Kaiserslauten</t>
  </si>
  <si>
    <t>Factories,Stn,Sidings</t>
  </si>
  <si>
    <t>?nnelles, Juniville, Machault</t>
  </si>
  <si>
    <t>79 negatives shot.</t>
  </si>
  <si>
    <t>Possibly 2 Capronis from 15th Sqn bombed Metz; at least 1 crash landed. Base info from "Les Escadrilles…" though Martel's map says it was Ferme des Grèves.</t>
  </si>
  <si>
    <t>Gentilli &amp; Varriale 136</t>
  </si>
  <si>
    <t>Petange, Athus, Aubange, Longuyon, Spincourt, Dommary-Baroncourt</t>
  </si>
  <si>
    <t>GB1 War Diary 0182</t>
  </si>
  <si>
    <t>Voisin bombers - hits seen at Petange, Aubange, Longuyon</t>
  </si>
  <si>
    <t>Aubange</t>
  </si>
  <si>
    <t>Esc. 11 includes GB1,2,7,18</t>
  </si>
  <si>
    <t>Esc. 11 includes GB1,2,7,18 - all 6 raids on this target totaled 11969 kg</t>
  </si>
  <si>
    <t>Esc. 11 includes GB1,2,7,18 - all 3 raids on this target totaled 1115 kg</t>
  </si>
  <si>
    <t>Esc. 11 includes GB1,2,7,18 - all 4 raids on this target totaled 1375 kg</t>
  </si>
  <si>
    <t>Esc. 11 includes GB1,2,7,18 - all 3 raids on this target totaled 800 kg</t>
  </si>
  <si>
    <t>Braquis</t>
  </si>
  <si>
    <t>Attacks of opportunity against non-prescribed targets. Martel 243 says Escadre 11 were night bombers. These strikes might have been by GB1 because the 550lb of bombs would complete the total mentioned in the War Diary.</t>
  </si>
  <si>
    <t>Mill/Factory &amp; Rail Stn</t>
  </si>
  <si>
    <t>Esc. 11 includes GB1,2,7,18 - both raids on this target totaled 2875 kg</t>
  </si>
  <si>
    <t>Esc. 11 includes GB1,2,7,18 - both raids on this target totaled 2595 kg</t>
  </si>
  <si>
    <t>Region of Braquis - Longwy - Marville - Romagne</t>
  </si>
  <si>
    <t>Barracks &amp; bivouacs</t>
  </si>
  <si>
    <t>Esc. 11 includes GB1,2,7,18 - both raids on this group of targets totaled 1090 kg</t>
  </si>
  <si>
    <t>Raid from 1215 - 1320.  Most city businesses closed during air raids. BRITISH SURVEY PLOTS 22 BOMBS.</t>
  </si>
  <si>
    <t>456; AM Results… p.15</t>
  </si>
  <si>
    <t>Alarm only; time lost in 24 hour plant &amp; many businesses. Raid on Kaisersl'n.</t>
  </si>
  <si>
    <t>AA fire 2020-2150.  [CHANGED RAID TO ALERT -SCS]</t>
  </si>
  <si>
    <t>ALERTS 2015-2120, 2240-2320.</t>
  </si>
  <si>
    <t>Chateau de Marchais (E of Laon)</t>
  </si>
  <si>
    <t>Chateau de Marchais</t>
  </si>
  <si>
    <t>24 negatives shot.</t>
  </si>
  <si>
    <t>St. Morel, Challerange</t>
  </si>
  <si>
    <t>Athus, Petange, Spincourt, Dommary-Baroncourt; Rodange</t>
  </si>
  <si>
    <t>Voisin-Renault bombers. Small fire seen at Petange.</t>
  </si>
  <si>
    <t>Raid was part of the blockade of the iron-producing basin. Martel 243 says Escadre 11 was all night-bombing escadrilles. This raid may have been conducted by GB1 since it would make the War Diary total bomb weight come out right.</t>
  </si>
  <si>
    <t>V.25 (Esc.11/GB1)</t>
  </si>
  <si>
    <t>Formerly F.25 - Destroyed a 101-car munitions train, a convoy of aviation material, and all stn buildings. GB1 crew saw numerous violent explosions at Longuyon from 2300-0000 (GB1 War Diary 0182).</t>
  </si>
  <si>
    <t>Bellefontaine - Noyers</t>
  </si>
  <si>
    <t>Work stopped in factories, businesses, &amp; shops during alerts. 2 alerts - 1153-1350, 1407-1416.</t>
  </si>
  <si>
    <t xml:space="preserve">Raid 12:20pm - 2:00pm.  Direct damages to BASF in 22 raids was 519,310M; 14 killed.  Each raid or alert caused production losses in another 24 hour plant and in many city businesses. </t>
  </si>
  <si>
    <t>Damage to main line, passenger cars, telegraph lines.  Main line unusable 1 hour but no traffic delays.</t>
  </si>
  <si>
    <t>Raid from 10:30 - 11pm.  2 bombs near RR station, 1 on tracks, 2 in field.  About 200 windows broken; tracks repaired in 1.5 hours.  (Total damage in all 9 raids: 20,000 marks in town; 10,920 to factory; 15,000 marks cost for protection.)</t>
  </si>
  <si>
    <t>ALERTS 2236-2305, 2316-2350.</t>
  </si>
  <si>
    <t>Munition train hit by bombs, doing large damage…impossible for trains to run for 2 or 3 days, and it took about 3 weeks to put entire line in good condition</t>
  </si>
  <si>
    <t>FROM BRITISH BOMBING SURVEY - Air Ministry "Results of Air Raids on Germany", p.20.  Damage of 13,800M to Badische factory: 1 bomb on one of machine works, causing slight damage; 1 bomb penetrated roof &amp; set ablaze cotton waste dump, which burned for hours; 3 others fell in works w/o damage.</t>
  </si>
  <si>
    <t>AM 20</t>
  </si>
  <si>
    <t>FROM BRITISH BOMBING SURVEY - Air Ministry "Results of Air Raids on Germany", p.20. 4 bombs fell in Mannheim, causing slight damage.</t>
  </si>
  <si>
    <t>AA fire 0603-0612. [CHANGED RAID TO ALERT -SCS]</t>
  </si>
  <si>
    <t>Athus, Langlaville, Longuyon; Differdange, Rekange (prob. Rodange); Foret de Spincourt</t>
  </si>
  <si>
    <t>RR stns; Factories; Camps</t>
  </si>
  <si>
    <t>Longlaville</t>
  </si>
  <si>
    <t>Monten?re</t>
  </si>
  <si>
    <t>Algrange</t>
  </si>
  <si>
    <t>Capronis 118 &amp; 112 (1st mission).  #104 had to abort takeoff.  Raid was part of the blockade of the iron-producing basin. Martel 243 says Escadre 11 was all night-bombing escadrilles.</t>
  </si>
  <si>
    <t>CAP115 Log Image 0105 &amp; SHAA - G.A.E. Summary of Operations for 16-31 March 1918</t>
  </si>
  <si>
    <t>Esc. 11 includes GB1,2,7,18 - both raids on this target totaled 800 kg</t>
  </si>
  <si>
    <t>ALERTS 2150-2247, 2310-0055, 0150-0222.</t>
  </si>
  <si>
    <t>AA fire 2343-0030. [CHANGED RAID TO ALERT -SCS]</t>
  </si>
  <si>
    <t>1 RAID ON THIS NIGHT (21/22 MAR 1918).  CASUALTIES &amp; DIRECT DAMAGE UNKNOWN. LOSS IN PRODUCTION EITHER 0 OR NOT RECORDED.</t>
  </si>
  <si>
    <t>Montfendu (Laon region)</t>
  </si>
  <si>
    <t>Whole stockpile destroyed - set fire to an area 250x300 meters - apparently British hit same target the day before, but their report didn't reach the French until later</t>
  </si>
  <si>
    <t>La Fere region; St. Quentin</t>
  </si>
  <si>
    <t>Bivouacs; RR stn</t>
  </si>
  <si>
    <t>D-B, Longuyon, Longlaville--Longwy; Esch-sur-Alzette; Marville, Romange sous le Cotes, Spincourt; Vaudoncourt</t>
  </si>
  <si>
    <t>GB1 War Diary 0182-3</t>
  </si>
  <si>
    <t>1 Voisin-Renault made 3 sorties. Dommary-Baroncourt stn and rail line NE of Longwy hit.</t>
  </si>
  <si>
    <t>Romagne-sous les Cotes</t>
  </si>
  <si>
    <t>Vaudaincourt</t>
  </si>
  <si>
    <t>Longlaville - Longwy</t>
  </si>
  <si>
    <t>Alert only. AM/PM NOT GIVEN SO SMALL CHANCE THIS WAS 12 HOURS LATER. RECORD ESTIMATES TIME LOST @ 20 MIN</t>
  </si>
  <si>
    <t>Battlefield</t>
  </si>
  <si>
    <t>Regression estimate - sorties vs bomb wgt (R-sq = 0.951)</t>
  </si>
  <si>
    <t>Maisonneuve</t>
  </si>
  <si>
    <t>Conz (Karthaus)</t>
  </si>
  <si>
    <t>Sidings,Stns,Bridges</t>
  </si>
  <si>
    <t>Conz(Karthaus)? Saare R.</t>
  </si>
  <si>
    <t>Bridge</t>
  </si>
  <si>
    <t>Raid on Metz by 3 Capronis of 3rd Sqn of Italian XVIII Gruppo - [possible this raid was on 22/23 vice 23/24 March]. Base info from "Les Escadrilles…" though Martel's map says it was Ferme des Grèves.</t>
  </si>
  <si>
    <t>Gentilli &amp; Varriale 93</t>
  </si>
  <si>
    <t>Fort Prenz-Friedrich Charles à Metz</t>
  </si>
  <si>
    <t>Fort</t>
  </si>
  <si>
    <t>Deux-Ponts (Zweibrucken)</t>
  </si>
  <si>
    <t>I adjusted this record by subtracting the bomb # &amp; wgt from that of CAP115. This adjustment shows that the non-CAP115 part of Escadre 11 dropped EXACTLY the same bomb weight as CAP115, which I don't believe.  I think it's more likely that this record double-counts the bombwgt dropped by CAP115.   --SCS."Objective prescribed by telegram 3456 on 11 Feb." (Martel 264 says High Command decided to make a special effort against chemical plants on 11FEB1918.)</t>
  </si>
  <si>
    <t>SHAA - G.A.E. Summary of Operations for 16-31 March 1918 &amp; Martel 264</t>
  </si>
  <si>
    <t>Capronis 112,118,105,104. Am assuming all four planes carried bombload listed for 104: 8x200mm.  Caproni #114, on 1st mission, aborted mission, presumably for mechanical reasons. "Objective prescribed by telegram 3456 on 11 Feb." (Martel 264 says High Command decided to make a special effort against chemical plants on 11FEB1918.)</t>
  </si>
  <si>
    <t>CAP115 Log Image 0105 &amp; SHAA - G.A.E. Summary of Operations for 16-31 March 1918 &amp; Martel 264</t>
  </si>
  <si>
    <t>Work stopped in factories, businesses, &amp; shops during alerts. 2 alerts - 1630-1700, 1710-1755.</t>
  </si>
  <si>
    <t>AA fire 2150-2220. [CHANGED RAID TO ALERT -SCS]</t>
  </si>
  <si>
    <t>ALERTS 2145-2230, 0100-0245.</t>
  </si>
  <si>
    <t>Thionville-Rail Stn</t>
  </si>
  <si>
    <t>"From 10:00 to 2:00, air raid upon the railroad station.  No damage."  [Alert lasted 4 hours? Or the raid itself?  AM/PM not specified.]</t>
  </si>
  <si>
    <t>Diedenhofen</t>
  </si>
  <si>
    <t>GB3,7,8</t>
  </si>
  <si>
    <t>St. Quentin, La Fere, Ham</t>
  </si>
  <si>
    <t>Convoys, troops</t>
  </si>
  <si>
    <t>Same record for 3 days (24-6 March) - not certain about numbers - missions included strafing as well as bombing - 1 missing a/c was SPAD escorting Breguet bombers.</t>
  </si>
  <si>
    <t>Metz &amp; Thionville</t>
  </si>
  <si>
    <t>Metz-Luxembourg Railway</t>
  </si>
  <si>
    <t>Cologne,Lux.,Courcelles</t>
  </si>
  <si>
    <t>Factory, Railway, Station</t>
  </si>
  <si>
    <t>Factory?</t>
  </si>
  <si>
    <t>Hayange</t>
  </si>
  <si>
    <t>Caproni #114; 1st completed mission. Raid was part of the blockade of the iron-producing basin. Martel 243 says Escadre 11 was all night-bombing escadrilles.</t>
  </si>
  <si>
    <t>CAP115 Log Image 0106 &amp; SHAA - G.A.E. Summary of Operations for 16-31 March 1918</t>
  </si>
  <si>
    <t>Vouziers, Juniville, Challerange</t>
  </si>
  <si>
    <t>Capronis 112,105,118,110.  Last mission from Epiez airfield; 1st mission for #110.  Raid was part of the blockade of the iron-producing basin. Martel 243 says Escadre 11 was all night-bombing escadrilles.</t>
  </si>
  <si>
    <t>This record was adjusted by subtracting CAP115's bomb wgt &amp; #.  Raid was part of the blockade of the iron-producing basin. Martel 243 says Escadre 11 was all night-bombing escadrilles.</t>
  </si>
  <si>
    <t>AA fire 0115-0200. [CHANGED RAID TO ALERT -SCS]</t>
  </si>
  <si>
    <t xml:space="preserve">Raid 0020 - 0225.  210,000M is est. value of gasoline lost when 13 full military gasoline tank cars were punctured.  [Doesn't include other damage to city.]  Direct damages to BASF in 22 raids was 519,310M; 14 killed.  Each raid or alert caused production losses in another 24 hour plant and in many city businesses. </t>
  </si>
  <si>
    <t>ALERTS 0050-0152, 0215-0226. NO BOMBS IN CITY LIMITS. FACTORY STOPPED DURING 40% OF ALERTS</t>
  </si>
  <si>
    <t xml:space="preserve">Raid from 1245 - 1340. Direct damages to BASF in 22 raids was 519,310M; 14 killed.  Each raid or alert caused production losses in another 24 hour plant and in many city businesses. </t>
  </si>
  <si>
    <t>4 bombs on main line between Ludw'n and Mannheim.  Traffic delayed 3 hours; work hindered at the RR Rhine harbor for several days.  Damage to tracks, 13 gasoline tank cars &amp; 10 freight cars.</t>
  </si>
  <si>
    <t>Attacks 2020-0205, "with intervals" of calm. AA fire 2130-0205. "4 bombs dropped on E side of station.  Road bed damaged."</t>
  </si>
  <si>
    <t>1 dud.  (BRITISH SURVEY reported 6 killed &amp; 2 wounded vice 2 killed &amp; 6 wounded.)  Additional details from BRITISH SURVEY: Several bombs hit goods train on main track No. 6 in the stn. 15 trucks caught fire and 7 munition wagons exploded; whole train then exploded &amp; burned out. This resulted in extensive damage to a gasometer, surrounding houses and buildings, and RR tracks. A repatriated Italian who left Metz on 25 March said damage exceeded 2,000,000M.</t>
  </si>
  <si>
    <t>NARA 990 Roll 58; AM "Results…" p.25</t>
  </si>
  <si>
    <t>ALERT 2107-0245. [CURIOUSLY, NO ALERTS LISTED FOR MORE THAN A MONTH AFTER THIS ONE.]</t>
  </si>
  <si>
    <t>2 raids: 2110-2135, 2345-2355</t>
  </si>
  <si>
    <t>DURING ALERTS, RR TRAFFIC &amp; FACTORY &amp; FOUNDRY WORK STOPPED. 2 alerts: 2211-2250, 2253-0016.</t>
  </si>
  <si>
    <t>ALERTS ONLY FROM 2325-0105, 0140-0200. ALL RAIL TRAFFIC STOPPED.</t>
  </si>
  <si>
    <t>DAYTIME ALERT - THESE WERE RARE PREVIOUSLY BUT MORE FREQUENT FROM THIS POINT ON.  3 ALARMS THAT NIGHT (24/25 MAR 1918) LISTED IN SEPARATE RECORD. LOSS IN PRODUCTION OF IRON @ 498M PER TON.</t>
  </si>
  <si>
    <t>3 ALERTS THAT NIGHT.  SINGLE ALERT THAT DAY (24MAR) LISTED IN SEPARATE RECORD. LOSS IN PRODUCTION OF IRON @ 498M PER TON.</t>
  </si>
  <si>
    <t>Raid [or alert?] from 10:00 to 2:00 [AM/PM not specified].  No damage.</t>
  </si>
  <si>
    <t>Telegraph connections destroyed.</t>
  </si>
  <si>
    <t>From British report and microfilm.</t>
  </si>
  <si>
    <t>423, NARA Roll 58</t>
  </si>
  <si>
    <t>Groupement Fequant</t>
  </si>
  <si>
    <t>Montdidier</t>
  </si>
  <si>
    <t>Airfields &amp; troops</t>
  </si>
  <si>
    <t>Martel, p.319 - 2 expeditions of 8 Breguets - escorted by Spads - fired 20,000 rounds at troops - THIS ENTRY CLEARLY RELATED TO OTHER GRPMT FEQUANT ENTRY</t>
  </si>
  <si>
    <t>Noyon, Roye, Montdidier</t>
  </si>
  <si>
    <t>20 Breguets, 60 fighters - "numerous" bombs dropped on Noyon, starting 2 fires. 1 EA shot down near Lagny.</t>
  </si>
  <si>
    <t>Ville-s-Retourne, Warmierville</t>
  </si>
  <si>
    <t>Troisdorf-RWSAG</t>
  </si>
  <si>
    <t>"Other Cost" is estimated lost production &amp; labor costs.</t>
  </si>
  <si>
    <t>10 bombs fell in Deutz, on east bank of river - lumber pile burned. Time of 0052-0155 came from NARA microfilm.  [Report says this was a 24/25 MAR night raid by an IF Handley Page.]</t>
  </si>
  <si>
    <t>485 &amp; NARA 990</t>
  </si>
  <si>
    <t>Bonn</t>
  </si>
  <si>
    <t>ALERT ONLY. BUSINESSES &amp; STREETCARS STOPPED.</t>
  </si>
  <si>
    <t>Work stopped in factories, businesses, &amp; shops during alerts. 2 alerts - 1355-1430, 1630-1645.</t>
  </si>
  <si>
    <t>Ham, Peronne, Tergnier, Roye, Avre Valley</t>
  </si>
  <si>
    <t>Cities &amp; RR stns</t>
  </si>
  <si>
    <t>Martel, p.322 - this attack hit same areas as daylight raids the same day - used flares - raids demoralized enemy troops</t>
  </si>
  <si>
    <t>Martel 322</t>
  </si>
  <si>
    <t>Rail Jtn &amp; Sidings</t>
  </si>
  <si>
    <t>Ham, Guiscard, Peronne</t>
  </si>
  <si>
    <t>GB1 moved to Somme front for German offensive - Voisin bombers T.O. after midnight once the skies cleared - Esc.116 with GB1 on this raid for the first time</t>
  </si>
  <si>
    <t>Passy en Vallois</t>
  </si>
  <si>
    <t>GB1 War Diary 0183</t>
  </si>
  <si>
    <t>2 Capronis of 15th Sqn dropped 18 x 162mm bombs. Base info from "Les Escadrilles…" though Martel's map says it was Ferme des Grèves.</t>
  </si>
  <si>
    <t>Nesles, Guiscard, Roye, St. Quentin</t>
  </si>
  <si>
    <t>RR targets, camps, convoys</t>
  </si>
  <si>
    <t>St. Quentin, Nesles, Guiscard, Roye</t>
  </si>
  <si>
    <t>RR stns &amp; camps</t>
  </si>
  <si>
    <t>Mission 2300-0400. Voisin-Renaults. Main mission was described as RR stns but more bombs dropped on camps; also fired 700 rounds at convoys. Fire seen at Nesles, train in St.Quentin stn hit by bombs, explosion in convoy conveying munitions.</t>
  </si>
  <si>
    <t>Esc. 11 now includes GB1 &amp; 7</t>
  </si>
  <si>
    <t>Barracks &amp; convoys</t>
  </si>
  <si>
    <t>Nesles; St. Mard les Triot; Avre valley</t>
  </si>
  <si>
    <t>RR stn; RR jtn; camps</t>
  </si>
  <si>
    <t>Voisin bombers - AA has appeared in this sector and hit 2 - fired 200 rounds at camps</t>
  </si>
  <si>
    <t>Esc. 11 includes GB1,7,8 - the 31 March &amp; 12 April raids totaled 2005 kg</t>
  </si>
  <si>
    <t>SHAA - G.A.R. Escadre 11 Summary of Operations for 1-15 April 1918</t>
  </si>
  <si>
    <t>Esc. 11 includes GB1,7,8 - the 31 March, 1 April &amp; 12 April raids totaled 3575 kg</t>
  </si>
  <si>
    <t>Chaulnes-Roye-Noyon Region</t>
  </si>
  <si>
    <t>Esc. 11 includes GB1,7,8 - the 31 March, 1, 2 &amp; 12 April raids totaled 9750 kg</t>
  </si>
  <si>
    <t>Nesles, Guiscard, Roye, Chaulnes, Ham</t>
  </si>
  <si>
    <t>RR stns, bivouacs, airfields</t>
  </si>
  <si>
    <t>Mission 2300-0230. 17 Voisin-Renaults T.O. but two were on a recce mission rather than bombing. 380 MG rounds fired. Escadre 11 record this night implies that 150kg were dropped on Guiscard as part of this raid.</t>
  </si>
  <si>
    <t>GB1 War Diary 0184</t>
  </si>
  <si>
    <t>Esc. 11 includes GB1,7,8 - target info from Martel, p.326</t>
  </si>
  <si>
    <t>SHAA - G.A.R. Escadre 11 Summary of Operations for 1-15 April 1918 (Target info from Martel, p.326)</t>
  </si>
  <si>
    <t>Rosières</t>
  </si>
  <si>
    <t>Esc. 11 includes GB1,7,8</t>
  </si>
  <si>
    <t>Campien</t>
  </si>
  <si>
    <t>(Probably German troops)</t>
  </si>
  <si>
    <t>Esc. 11 includes GB1,7,8 - the 1 &amp; 12 April raids totaled 3765 kg</t>
  </si>
  <si>
    <t>Chaulnes</t>
  </si>
  <si>
    <t>Esc. 11 includes GB1,7,8 - the 1 &amp; 12 April raids totaled 3765 kg - target being rail stn from Martel, p.326</t>
  </si>
  <si>
    <t>Craonne (north of)</t>
  </si>
  <si>
    <t>22 sorties total against 4 GB2 targets this night</t>
  </si>
  <si>
    <t>Villeneuve-lès-Vertus</t>
  </si>
  <si>
    <t>SHAA - G.A.N. Summary of Operations for 1-15 April 1918</t>
  </si>
  <si>
    <t>Laon, Saint-Quentin</t>
  </si>
  <si>
    <t>CAP115 Log Image 0107 &amp; SHAA - G.A.N. Summary of Operations for 1-15 April 1918</t>
  </si>
  <si>
    <t>Caproni #110 WX-aborted due to clouds.  T.O. and R.T.B. times appear inconsistent with raid duration. For multiple planes, T.O. time is earliest time; RTB is latest time; duration is the longest single duration of those planes. Bomb wgts &amp; #s have been estimated from earlier raids - these have been very consistent and should be very good estimates.</t>
  </si>
  <si>
    <t>Capronis #105 &amp; 112.  T.O. and R.T.B. times appear inconsistent with raid duration. For multiple planes, T.O. time is earliest time; RTB is latest time; duration is the longest single duration of those planes. Bomb wgts &amp; #s have been estimated from earlier raids - these have been very consistent and should be very good estimates.</t>
  </si>
  <si>
    <t>Capronis #118 &amp; 111 (first mission).  T.O. and R.T.B. times appear inconsistent with raid duration. For multiple planes, T.O. time is earliest time; RTB is latest time; duration is the longest single duration of those planes. Bomb wgts &amp; #s have been estimated from earlier raids - these have been very consistent and should be very good estimates.</t>
  </si>
  <si>
    <t>CAP115 bomb weight was subtracted from the GB2 total in this record.  22 sorties total against 4 GB2 targets this night</t>
  </si>
  <si>
    <t>Railways &amp; Station</t>
  </si>
  <si>
    <t>Groupement Fequant &amp; GB3</t>
  </si>
  <si>
    <t>Champien; Nesle &amp; Roye</t>
  </si>
  <si>
    <t>Airfield; Convoys</t>
  </si>
  <si>
    <t>Martel 324</t>
  </si>
  <si>
    <t>Escadre 12</t>
  </si>
  <si>
    <t>Nesle &amp; Roye</t>
  </si>
  <si>
    <t>Convoys</t>
  </si>
  <si>
    <t>DURING ALERTS, RR TRAFFIC &amp; FACTORY &amp; FOUNDRY WORK STOPPED. RECORD IS OUT OF SEQUENCE IN ORIGINAL AND MAY BE INCORRECT. 2 alerts: 1557-1610, 1620-1636.</t>
  </si>
  <si>
    <t>Roye, Jussy, Ham; Champien</t>
  </si>
  <si>
    <t>RR stns; Aerodrome &amp; Troops</t>
  </si>
  <si>
    <t>GB5,6,9</t>
  </si>
  <si>
    <t>Jussy, Mezieres-sur-Oise, St. Quentin</t>
  </si>
  <si>
    <t>Martel p.325 says GB6 &amp; 9 hit the St. Quentin rail station, starting a fire followed by explosions, and that GB5 hit the other 2 junctions</t>
  </si>
  <si>
    <t>Kilduff, C&amp;C V.15,#1, p.18 &amp; Martel 325</t>
  </si>
  <si>
    <t>Railway Sidings &amp; Station</t>
  </si>
  <si>
    <t>Jussy, Roye, Rozieres-en-Santerre</t>
  </si>
  <si>
    <t>113 a/c in 6 flights - shot down 2 EA, had 2 crews wounded &amp; 1 observer killed</t>
  </si>
  <si>
    <t>St. Quentin, Noyon, Happlincourt</t>
  </si>
  <si>
    <t>Set fire to munitions train and shot down 1 EA</t>
  </si>
  <si>
    <t>Martel 325</t>
  </si>
  <si>
    <t>Villesneux</t>
  </si>
  <si>
    <t>Amagne-Lucquy, Juniville</t>
  </si>
  <si>
    <t>Jtn, Sidings, Station</t>
  </si>
  <si>
    <t>Villeseneux</t>
  </si>
  <si>
    <t>Railway Junction</t>
  </si>
  <si>
    <t>Junction, Stn, Sidings</t>
  </si>
  <si>
    <t>Roye, Nesles, Haplincourt; Chaulnes; Roye - Chaulnes</t>
  </si>
  <si>
    <t>?; RR stn; Rail Line</t>
  </si>
  <si>
    <t>Voisin bombers - 1 hit barrage balloons &amp; crashed, exploding bombs.</t>
  </si>
  <si>
    <t>GB1 War Diary 0184-5</t>
  </si>
  <si>
    <t>Rail Stn, barracks, bivouacs</t>
  </si>
  <si>
    <t>Capronis #112,118,104. #105 aborted with insufficient revs in left engine.  Bomb #s and wgts estimated based on previous numbers for these planes.  TO &amp; RTB times appear to be inconsistent with duration because there are multiple planes.  T.O. is earliest takeoff time; RTB is latest Return to Base time; Duration is longest single mission.</t>
  </si>
  <si>
    <t>CAP115 Log Images 0109-0110 &amp; SHAA - G.A.N. Summary of Operations for 1-15 April 1918</t>
  </si>
  <si>
    <t>Caponi #112 on 2nd mission of the night.  Bomb numbers and wgts estimated based on previous values for these planes.</t>
  </si>
  <si>
    <t>Hirson, Laon, Marles, Montcornet; Clermont-les-Fermes</t>
  </si>
  <si>
    <t>RR stns; Aerodrome</t>
  </si>
  <si>
    <t>The 5 Voisins and 10 Capronis started a fire at Montcornet.</t>
  </si>
  <si>
    <t>Caproni &amp; Voisin</t>
  </si>
  <si>
    <t>This GB2 record was adjusted by subtracting the CAP115 bomb weight from the original record.  16 sorties total against 5 GB2 targets this night</t>
  </si>
  <si>
    <t>16 sorties total against 5 GB2 targets this night</t>
  </si>
  <si>
    <t>GB18 (It)</t>
  </si>
  <si>
    <t>Villeselve</t>
  </si>
  <si>
    <t>Brouchy</t>
  </si>
  <si>
    <t>Rail Stn &amp; probably other targets</t>
  </si>
  <si>
    <t>Martel (p.326): started fire in rail station - Esc. 11 includes GB1,7,8 - the 31 March, 1 April &amp; 12 April raids totaled 3575 kg</t>
  </si>
  <si>
    <t>ALERT ONLY - 3 FACTORIES STOPPED WORK DURING ALERTS. "OTHER COSTS" ARE HOURLY LOSS OF PRODUCTION OF 1 FACTORY @ 3125 MARKS (24 HOURS) PLUS HOURLY LOSS OF 2 OTHER FACTORIES @ 3691 MARKS (0700-1800 ONLY).  ALERT LENGTH NOT KNOWN FOR MANY RECORDS</t>
  </si>
  <si>
    <t>Montdidier, Moreuil, Andechy, le Quesnel, Roye</t>
  </si>
  <si>
    <t>Support of 1st Army</t>
  </si>
  <si>
    <t>This record may be for the same raid as the XVIII Gruppo raid on 12/13 April - only info is that 3rd Squadron Caproni crashed this date after returning from night raid on Montcornet stn</t>
  </si>
  <si>
    <t>Date is really "some time in April".  Small amount of damage to rail stn roof.</t>
  </si>
  <si>
    <t>???-Guiscard-Noyon Region</t>
  </si>
  <si>
    <t>SHAA - G.A.R. Summary of Operations for 16-30 April 1918</t>
  </si>
  <si>
    <t>Various locations</t>
  </si>
  <si>
    <t>Martel describes vaguely describes this as a repeat of the 12 &amp; 13 April missions</t>
  </si>
  <si>
    <t>Beaucourt</t>
  </si>
  <si>
    <t>le Plessier Rozainvillers</t>
  </si>
  <si>
    <t>Moreuil (North of)</t>
  </si>
  <si>
    <t>Roye (South of)</t>
  </si>
  <si>
    <t>Mezieres</t>
  </si>
  <si>
    <t>le Quesnel</t>
  </si>
  <si>
    <t>Junction, Station</t>
  </si>
  <si>
    <t>Juniville &amp; Bethenville</t>
  </si>
  <si>
    <t>Station &amp; Sidings</t>
  </si>
  <si>
    <t>Bethenville</t>
  </si>
  <si>
    <t>Junction &amp; Sidings</t>
  </si>
  <si>
    <t>Caix, le Quesnel, Hangest-en-Santerre, Roye, Candor; Bouchoir; Chaulnes, St-Quentin, Jussy</t>
  </si>
  <si>
    <t>Camps; Airfield; RR stns</t>
  </si>
  <si>
    <t>GB1 War Diary 0185</t>
  </si>
  <si>
    <t>T.O.2345.</t>
  </si>
  <si>
    <t>Caix</t>
  </si>
  <si>
    <t>Bomb wgt estimated by subtracting all other wgts from total.</t>
  </si>
  <si>
    <t>Hangest-en-Santerre</t>
  </si>
  <si>
    <t>Candor</t>
  </si>
  <si>
    <t>Bouchoire</t>
  </si>
  <si>
    <t>Jussy</t>
  </si>
  <si>
    <t>Roiglise</t>
  </si>
  <si>
    <t>6 sorties total against 4 GB2 targets this night</t>
  </si>
  <si>
    <t>SHAA - G.A.N. Summary of Operations for 16-30 April 1918</t>
  </si>
  <si>
    <t>GB7</t>
  </si>
  <si>
    <t>St.Gobain Region</t>
  </si>
  <si>
    <t>Cramaille</t>
  </si>
  <si>
    <t>Beaulieu</t>
  </si>
  <si>
    <t>Rail Stn &amp; Town</t>
  </si>
  <si>
    <t>Boutavent</t>
  </si>
  <si>
    <t>Groupement Menard</t>
  </si>
  <si>
    <t>Le Quesnel, Caix, Rozieres, Ham, Roye</t>
  </si>
  <si>
    <t>St. Quentin, Ham, Guiscard, Chaulnes</t>
  </si>
  <si>
    <t>Chaulnes,Roye,Ham</t>
  </si>
  <si>
    <t>Rail Stations &amp; Junctions</t>
  </si>
  <si>
    <t>Chaulnes (Stn. south of)</t>
  </si>
  <si>
    <t>Roye, le Quesnel, Hangest-en-Santerre, Fretoy-le-Chateau, Noyon, Rosiere</t>
  </si>
  <si>
    <t>The War Diary gives the bombs' calibers but not the type (G.A. or M.M.N.)  I'm assuming G.A. Also the War Diary says the targets were rail stations; the summaries mostly call them barracks. Voisin Renault bombers.</t>
  </si>
  <si>
    <t>Fretoy-le-Chateau</t>
  </si>
  <si>
    <t>I BELIEVE THIS IS Rosières-en-Santerre rather than Rosières because it appears the latter is behind French lines and in a different direction than the other targets.</t>
  </si>
  <si>
    <t>Hirson, Montcornet, Asfeld</t>
  </si>
  <si>
    <t>CAP115 Log Image 0110</t>
  </si>
  <si>
    <t>Capronis 104 &amp; 111 aborted due to "sea of clouds".  111 was hit by Voisin upon landing (with its bombs) and damaged. Bomb #s &amp; wgts estimated based on earlier raids carrying 8x200mm bombs.</t>
  </si>
  <si>
    <t>Caproni #118</t>
  </si>
  <si>
    <t>Caproni #105</t>
  </si>
  <si>
    <t>Caproni #112</t>
  </si>
  <si>
    <t>Voisins &amp; Capronis - number unspecified.  Bomb wgt and # a/c modified by subtracting numbers from CAP115 raid.</t>
  </si>
  <si>
    <t>Most likely Beaulieu-les-Fontaines since that is in the general direction of the other GB7 targets</t>
  </si>
  <si>
    <t>Tergnier to La Fere</t>
  </si>
  <si>
    <t>Ham-Jussy-Chauny Region</t>
  </si>
  <si>
    <t>Chaulnes, Roye, St.Quentin, Ham, Jussy; Daucourt, Caix, De Laboissiere</t>
  </si>
  <si>
    <t>Flak very active; German night fighter seen.  33 Voisin-Renaults; 1 made 2 sorties.  Apparently using G.A. bombs.</t>
  </si>
  <si>
    <t>Bomb wgt estimated by subtracting all other wgts from total and apportioning it based on # bombing.</t>
  </si>
  <si>
    <t>Daucourt-Laboissiere</t>
  </si>
  <si>
    <t>Capronis #112 &amp; 118. Bomb # &amp; wgt estimated based on consistent past performance.  #114 aborted mission and crash-landed in a field due to thick fog.  IT APPEARS THAT THE CAP115 RECORD-KEEPER NOW PUTS RAIDS STARTED AFTER MIDNIGHT UNDER THAT DAY'S DATE.</t>
  </si>
  <si>
    <t>CAP115 Log Image 0111</t>
  </si>
  <si>
    <t>Voisins &amp; Capronis - number unspecified.  This GB2 record modified by subtracting bomb weight and # a/c from CAP115 record.  "Serious damage" done. (Martel)</t>
  </si>
  <si>
    <t>?uménancourt</t>
  </si>
  <si>
    <t>Chauny-Jussy-Guiscard Region</t>
  </si>
  <si>
    <t>Nesles, Chaulnes; Champien</t>
  </si>
  <si>
    <t>GB1 War Diary 0186</t>
  </si>
  <si>
    <t>1 Voisin attacked twice by night fighter. Discrepancy in bomb wgt totals &amp; numbers and between War Diary and GAR summaries - I'm using the numbers that seem to make the most sense.</t>
  </si>
  <si>
    <t>Nesle</t>
  </si>
  <si>
    <t>Harbonnieres (South of)</t>
  </si>
  <si>
    <t>Beaufort</t>
  </si>
  <si>
    <t>GB4/BR131</t>
  </si>
  <si>
    <t>Le Quesnel &amp; Hangest en Santerre</t>
  </si>
  <si>
    <t>Total abort due to clouds. Mission 1600-1830.  Villeneuve-le-Roi HAS BEEN CALLED Villeneuve-les-Sablons SINCE 1930.</t>
  </si>
  <si>
    <t>La Villeneuve-le-roi</t>
  </si>
  <si>
    <t>GB4 War Diary Image 0010</t>
  </si>
  <si>
    <t>Le Quesnel, Caix, Beaufort</t>
  </si>
  <si>
    <t>Damage to windows in residence district and to 2 tracks in Montigny district.  Tracks out 30 hours.</t>
  </si>
  <si>
    <t>Rosières en Santerre</t>
  </si>
  <si>
    <t>Fourneuil</t>
  </si>
  <si>
    <t>SHAA - G.A.R. Summary of Operations for 1-15 May 1918</t>
  </si>
  <si>
    <t>Caix &amp; Le Quesnel</t>
  </si>
  <si>
    <t>WX-divert from Ham rail stn. T.O. 1100; bombed 1230. Bombs: 48xMichelin 115 long; 16x75mm; 4x90mm.  Villeneuve-le-Roi HAS BEEN CALLED Villeneuve-les-Sablons SINCE 1930.</t>
  </si>
  <si>
    <t>GB4 War Diary Image 0015 &amp; SHAA - G.A.R. Summary of Operations for 1-15 May 1918</t>
  </si>
  <si>
    <t>Chaulnes (Region)</t>
  </si>
  <si>
    <t>Fouilloy</t>
  </si>
  <si>
    <t>Courtemanche</t>
  </si>
  <si>
    <t>?remerville</t>
  </si>
  <si>
    <t>Gratibus</t>
  </si>
  <si>
    <t>Amag.-Luc.,Juni.,Warnevil</t>
  </si>
  <si>
    <t>Warneville</t>
  </si>
  <si>
    <t>Railway Line</t>
  </si>
  <si>
    <t>Peronne, Chaulnes, St.Quentin, Jussy, la Fere, Ham, Nesles, Roye; Villers Carbonnel, L'Hopital forest; Campien</t>
  </si>
  <si>
    <t>RR stns; Camps; Airfield</t>
  </si>
  <si>
    <t>37 Voisin-Renaults of which 29 completed mission; 3 made 2 sorties. Numbers of a/c don't add up because it is not known what happened to missing crew. 2 a/c aborted due to bogging down in the mud on takeoff.</t>
  </si>
  <si>
    <t>La Fere</t>
  </si>
  <si>
    <t>Bois (?) d'Autrecourt to de l'Hopital</t>
  </si>
  <si>
    <t>Maison Bleue</t>
  </si>
  <si>
    <t>Number of sorties easily inferred from bomb weight.</t>
  </si>
  <si>
    <t>SHAA - G.A.N. Summary of Operations for 1-15 May 1918</t>
  </si>
  <si>
    <t>Hirson, Chatelet Retourne</t>
  </si>
  <si>
    <t>CAP115 Log Image 0112 &amp; SHAA - G.A.N. Summary of Operations for 1-15 May 1918</t>
  </si>
  <si>
    <t>Caproni 104 came back due to poor visibility.  105,110,117 came back with mechanical trouble.  118 apparently diverted from Hirson to Chatelet Retourne due to fog.  Bomb wgts &amp; #s estimated but don't agree completely with GB2 summary, giving me less confidence in estimates.</t>
  </si>
  <si>
    <t>Hirson was the original target. #112 was the only Caproni to reach it but got lost on return and landed with damage in a field.  Bomb wgts &amp; #s estimated but don't agree completely with GB2 summary, giving me less confidence in estimates.</t>
  </si>
  <si>
    <t>Chatelet Retourne</t>
  </si>
  <si>
    <t>Caproni 118 apparently diverted from Hirson to Chatelet Retourne due to fog. In log book, Rethel was originally written down but crossed out.  Consequently it is possible GB2 didn't really hit Rethel this night.  Bomb wgts &amp; #s estimated but don't agree completely with GB2 summary, giving me less confidence in estimates.</t>
  </si>
  <si>
    <t>Neufchatel</t>
  </si>
  <si>
    <t>GB2 flew a total of 36 sorties against 4 rail stations this night.</t>
  </si>
  <si>
    <t>Rethel</t>
  </si>
  <si>
    <t>GB2 flew a total of 36 sorties against 4 rail stations this night.  It is possible that GB2 hit Chatelet Retourne instead of Rethel this night - see comments for 5/2/1918, CAP115, target Chatelet Retourne.</t>
  </si>
  <si>
    <t>GB2 flew a total of 36 sorties against 4 rail stations this night. The bomb weight for this GB2 record has been adjusted by subtracting 880 lbs since one GB2/CAP115  record for this target was added later.</t>
  </si>
  <si>
    <t>Cattigny</t>
  </si>
  <si>
    <t>Les(?) Usages</t>
  </si>
  <si>
    <t>ALERT ONLY. SEE KAISERSLAUTERN, 12APR1918 FOR DETAILS</t>
  </si>
  <si>
    <t>Raid 1:00 - AM/PM not specified.  About 10 hostile planes. 1 bomb damaged fence, latrine, barracks.  7 killed in city of Thionville.</t>
  </si>
  <si>
    <t>Carlshutte Wrks,Rail,Brdg</t>
  </si>
  <si>
    <t>Br.111 lost 1 crew; downed 2 EA.</t>
  </si>
  <si>
    <t>Kilduff, C&amp;C V.15,#1, p.18 &amp; Martel 332</t>
  </si>
  <si>
    <t>Marest-Dampcourt</t>
  </si>
  <si>
    <t>Sebastopol</t>
  </si>
  <si>
    <t>D(?)istillerie</t>
  </si>
  <si>
    <t>Ham (East of)</t>
  </si>
  <si>
    <t>Bombed 1420-1430. 8 Breguets each of BR131 &amp; 132. Bombs: 94 Michelin 115 long; 16x75mm; 12x90mm. Took photos en route with an American Brock camera.  Villeneuve-le-Roi HAS BEEN CALLED Villeneuve-les-Sablons SINCE 1930.</t>
  </si>
  <si>
    <t>GB4 War Diary Images 0017-8 &amp; SHAA - G.A.R. Summary of Operations for 1-15 May 1918</t>
  </si>
  <si>
    <t>Fontaine-lès-Cappy</t>
  </si>
  <si>
    <t>Bombwgt's last digit is illegible - somewhere between 200-209</t>
  </si>
  <si>
    <t>Foucaucourt</t>
  </si>
  <si>
    <t>GB9</t>
  </si>
  <si>
    <t>Marcelcave</t>
  </si>
  <si>
    <t>Juniville,Asfeld,Amag.-L.</t>
  </si>
  <si>
    <t>Rail Lines &amp; Sidings</t>
  </si>
  <si>
    <t>Amagne - Lucquy (vic. of)</t>
  </si>
  <si>
    <t>Peronne, Chaulnes, Nesles, Guiscard, Happlincourt; Laboissiere, Fresnoy-les-Roye</t>
  </si>
  <si>
    <t>RR stns, camps</t>
  </si>
  <si>
    <t>GB1 War Diary 0186-7</t>
  </si>
  <si>
    <t>Voisin Renaults bombed 2220-2400. Locations in War Diary don't completely match locations in G.A.R. summary. Explosion on rail line near Peronne stn.</t>
  </si>
  <si>
    <t>Happlincourt</t>
  </si>
  <si>
    <t>AFTER CHECKING THE MAP, I changed the target from d'Happlincourt to Happlincourt, a suburb of Noyon.</t>
  </si>
  <si>
    <t>Manicourt</t>
  </si>
  <si>
    <t>Bombwgt's last 2 digits illegible - between 900-999 kg - I added 10kg to the 950kg estimate to make it equal the total in the War Diary</t>
  </si>
  <si>
    <t>Asfeld, Neufchâtel</t>
  </si>
  <si>
    <t>Caproni 117 aborted with a gasoline pressure failure for the 2nd night in a row.</t>
  </si>
  <si>
    <t>Capronis 118 &amp; 119</t>
  </si>
  <si>
    <t>Neufchâtel</t>
  </si>
  <si>
    <t>Caproni 104.  Deleted the GB2 summary record for this target after adding this more detailed record.   Bomb weights matched exactly.</t>
  </si>
  <si>
    <t>GB2 flew a total of 16 sorties against 3 rail targets this night.</t>
  </si>
  <si>
    <t>GB2 flew a total of 16 sorties against 3 rail targets (including Neufchâtel) this night.  Subtracted 1760 lbs from this record since I'd added detailed record for GB2/CAP115 later.</t>
  </si>
  <si>
    <t>AA fire 1110-1120. [CHANGED RAID TO ALERT -SCS]</t>
  </si>
  <si>
    <t>Raid 11:15 - AM/PM not specified.  1 building destroyed, 1 badly damaged.  Train appreciably damaged.  Track 82 badly damaged.  1 Conductor killed; 2 soldiers killed in Elmingen.  [NARA Microfilm 990 mentions mentions injuries due to darkness this date; raid time presumably 11:15 PM.] [SINCE THERE WAS A DAY RAID THIS DATE, NO LONGER CERTAIN TIME WAS PM. -SCS]</t>
  </si>
  <si>
    <t>RAID MUST HAVE BEEN A SURPRISE - NO ENTRY FOR "LIGHTS EXTINGUISHED". "Coal stations destroyed in all engine houses through bombardment. 2 bombs were dropped on north wing. Both engineers Schiller &amp; Huck fell into smelting pot because of darkness, receiving injuries in the knee." [NO LONGER CERTAIN RAID WAS 11:15 PM SINCE THERE WAS A DAY RAID THAT DAY - MAY HAVE BEEN DARK INSIDE BUILDING. -SCS]</t>
  </si>
  <si>
    <t>Bombs inside/outside foundry grounds: 2/1.  Damage to locksmith's workshop and locomotive shed.</t>
  </si>
  <si>
    <t>ALERT ONLY. ALARM THAT NIGHT IN SEPARATE RECORD. LOSS IN PRODUCTION OF IRON @ 498M PER TON.</t>
  </si>
  <si>
    <t>ALERT ONLY. ALARM THAT DAY IN SEPARATE RECORD. LOSS IN PRODUCTION OF IRON @ 498M PER TON.</t>
  </si>
  <si>
    <t>1 crew lost and 1 observer KIA.</t>
  </si>
  <si>
    <t>Martel 332</t>
  </si>
  <si>
    <t>GB4/BR132</t>
  </si>
  <si>
    <t>Flavy le Martel</t>
  </si>
  <si>
    <t>Depot</t>
  </si>
  <si>
    <t>Bombed 1715. 42xMichelin 115 long bombs. Dropped 700 leaflets on Flavey-le-Martel and Jussy.  Villeneuve-le-Roi HAS BEEN CALLED Villeneuve-les-Sablons SINCE 1930.</t>
  </si>
  <si>
    <t>GB4 War Diary Images 0019-20; Martel 332; SHAA - G.A.R. Summary of Operations for 1-15 May 1918</t>
  </si>
  <si>
    <t>Jussy; Jussy to St. Quentin</t>
  </si>
  <si>
    <t>Depot; Rail Line</t>
  </si>
  <si>
    <t>T.O.1600; bombed 1725. WX-divert from St.Quentin. Bombs: 54xMich.115 long; 32x75mm; 4x90mm. 1 plane shot down over German lines just before bombing. 300 leaflets dropped, 1000 bullets fired, 20 photos taken with BROCK camera.  Attacked by 12 Albatros.  Villeneuve-le-Roi HAS BEEN CALLED Villeneuve-les-Sablons SINCE 1930.</t>
  </si>
  <si>
    <t>GB4 War Diary Image 0020; Martel 332; SHAA - G.A.R. Summary of Operations for 1-15 May 1918</t>
  </si>
  <si>
    <t>Accomplished mission w/o losses.</t>
  </si>
  <si>
    <t>Mennessis</t>
  </si>
  <si>
    <t>Vermand (NE of…)</t>
  </si>
  <si>
    <t>Vermand</t>
  </si>
  <si>
    <t>Ham (Probably)</t>
  </si>
  <si>
    <t>Depot and Rail Stn</t>
  </si>
  <si>
    <t>8 bombers lose 2 planes plus 1 KIA &amp; 1 WIA when attacked by 8 triplanes. (War Diary: 1 missing; 1 force-landed shot up and with dead observer.) Escort from GC17 mistakenly linked up with GB3 instead. Bombs: 42x115 long; 8x90; 8x75. Impossible to see results.  Villeneuve-le-Roi HAS BEEN CALLED Villeneuve-les-Sablons SINCE 1930.</t>
  </si>
  <si>
    <t>GB4 War Diary Image 0023 &amp; Martel 331,332</t>
  </si>
  <si>
    <t>Entire Groupement STRAFES Montdidier cooperating with English bombing of Rosieres-en-Santerre. -Martel</t>
  </si>
  <si>
    <t>Lose 1 crew from Br.107 (GB3) over Roye</t>
  </si>
  <si>
    <t>Davenescourt</t>
  </si>
  <si>
    <t>TARGET IS ASSUMED TO BE BEAUFORT-EN-SANTERRE, WHICH IS NEAR THE OTHER TARGETS</t>
  </si>
  <si>
    <t>Cayeux-en-Santerre (probably)</t>
  </si>
  <si>
    <t>???</t>
  </si>
  <si>
    <t>Left margin of page cut off - probably completely missing though it might be Ham, the shortest common location</t>
  </si>
  <si>
    <t>Br.111 lost 1 crew over Chaulnes.</t>
  </si>
  <si>
    <t>Vauvillers (probably)</t>
  </si>
  <si>
    <t>1st 2 letters of place name cut off - Vauvillers is near Roye</t>
  </si>
  <si>
    <t>Harbonnieres</t>
  </si>
  <si>
    <t>Hallu, Chaulnes, Nesles, Ham, Roye, Lagny</t>
  </si>
  <si>
    <t>GB1 War Diary 0187</t>
  </si>
  <si>
    <t>Voisin Renaults. Bad WX.  Couldn't see results. 1 sick pilot RTB.  War Diary says planes attacked "regions"; summaries say rail stns, though that may be optimistic. Bomb wgts from summaries don't add to War Diary total.</t>
  </si>
  <si>
    <t>Rail Stn and town</t>
  </si>
  <si>
    <t>Bombwgt may be 810 or 860</t>
  </si>
  <si>
    <t>Lislet - Montcornet</t>
  </si>
  <si>
    <t>Wasserlieach</t>
  </si>
  <si>
    <t>Damage to 1 man's property.</t>
  </si>
  <si>
    <t>(near Karthaus)</t>
  </si>
  <si>
    <t>St-Quentin, Flavy-le-Martel, Jussy, la Fere, Tergnier, Nesles; Mesnil-ste-Nicaises, Manicourt; Roye</t>
  </si>
  <si>
    <t>RR stns; Airfields; Camps</t>
  </si>
  <si>
    <t>GB1 War Diary 0187-8</t>
  </si>
  <si>
    <t>8 Voisin-Renaults flew 2 sorties. Bomb wgt &amp; bomb &amp; a/c numbers don't add exactly.  Caused ammo dump explosion N. of Nesles. Fired 200 rounds at train at Nesles.  Fire at Mesnil-ste-Nicaise airfield.</t>
  </si>
  <si>
    <t>Mesnil-St-Nicaise</t>
  </si>
  <si>
    <t>Lagny</t>
  </si>
  <si>
    <t>This record possibly should be for 10 May 1918.</t>
  </si>
  <si>
    <t>Locations missing from GB7 records</t>
  </si>
  <si>
    <t>Berlancourt</t>
  </si>
  <si>
    <t>Châtelet-sur-Retourne</t>
  </si>
  <si>
    <t>Capronis 110 &amp; 114(twice). Bomb #s &amp; wgt estimated based on past history. Am assuming target was rail stn - it had been in the past and presumably there would be nothing else to hit in a village of 400 people.  GB2 RECORDS NOT AVAILABLE STARTING WITH THIS RAID SO NOW IMPOSSIBLE TO CROSS-CHECK WITH THEM.</t>
  </si>
  <si>
    <t>CAP115 Log Image 0113</t>
  </si>
  <si>
    <t>Junction &amp; Rlwy Triangle</t>
  </si>
  <si>
    <t>Nesles and Davenescourt</t>
  </si>
  <si>
    <t>1 crew missing, 1 observer KIA, 2 observers WIA. 2 EA shot down.</t>
  </si>
  <si>
    <t>??urges</t>
  </si>
  <si>
    <t>The location might be Hourges, which was the scene of air fights in July</t>
  </si>
  <si>
    <t>This record is typed oddly and GB5 may have had a different target</t>
  </si>
  <si>
    <t>Mesnil-Ste-Nicaise, L'Hopital wood, Nesles (SE of); Nesles, St-Quentin, Flavey-le-Martel, La Fere, Jussy; Chaulnes-Rosieres; Roye</t>
  </si>
  <si>
    <t>Airfields; RR stns; RR line; Camps</t>
  </si>
  <si>
    <t>Apparently largest GB1 raid so far. Five a/c flew 2 sorties. V.R.114 &amp; 116 mentioned. Dropped 248x155mm G.A.; 22x155mm M.M.N.; 65x200mm; 6 incendiaries; 8 Michelin bombs.</t>
  </si>
  <si>
    <t>GB1 War Diary 0188</t>
  </si>
  <si>
    <t>GB8/V113</t>
  </si>
  <si>
    <t>RECORD SAYS 1 VOISIN 10 DROPPED 5544 LBS OF BOMBS, WHICH CANNOT BE TRUE - AM MAKING # BOMBING UNKNOWN</t>
  </si>
  <si>
    <t>SHAA - G.A.R. Summary of Operations for 16-31 May 1918</t>
  </si>
  <si>
    <t>GB8/V109</t>
  </si>
  <si>
    <t>RECORD SAYS 1 VOISIN 10 DROPPED 6050 LBS OF BOMBS, WHICH CANNOT BE TRUE - AM MAKING # BOMBING UNKNOWN</t>
  </si>
  <si>
    <t>GB8/V125</t>
  </si>
  <si>
    <t>RECORD SAYS 1 VOISIN 8 OR 10 DROPPED 7887 LBS OF BOMBS, WHICH CANNOT BE TRUE - AM MAKING # BOMBING UNKNOWN</t>
  </si>
  <si>
    <t>Ferme des Grèves</t>
  </si>
  <si>
    <t>Châtelet-sur-Retourne; Ville-au-Bois</t>
  </si>
  <si>
    <t>Rail Stn; Airfields</t>
  </si>
  <si>
    <t>CAP115 Log Image 0114</t>
  </si>
  <si>
    <t>Original target was Amagne-Lucquy; the plane that dropped bombs was probably WX-diverted from there. Bomb #s &amp; wgt estimated from usual load.  Capronis 110 &amp; 119 aborted due to weather; latter landed at Chateau-Thierry.  117 aborted with pressure problems.</t>
  </si>
  <si>
    <t>Caproni 105</t>
  </si>
  <si>
    <t>Ville-au-Bois</t>
  </si>
  <si>
    <t>Caproni # not recorded; neither was altitude. Log says "ville de Bois", but Martel says German bombers used airfield at Ville-au-Bois.</t>
  </si>
  <si>
    <t>Bombs dropped on station of Ebingen. AA fire 2245-2320</t>
  </si>
  <si>
    <t>Bombs inside/outside foundry grounds: 5/4.  Scalemaster and Russian POW killed, "many" others wounded.  [Using 10 for this record - this makes total of 50 wounded in all raids, "about 50" was mentioned in the summary.--SCS]  Locomotive's cabin completely destroyed; boiler intact.  Roof destroyed, water main damaged.  Work of crushing slag was interrupted one day.</t>
  </si>
  <si>
    <t>Cappy</t>
  </si>
  <si>
    <t>JG I airfield</t>
  </si>
  <si>
    <t>23 a/c from GB9 dropped 2312 kg - 56 Spad escorts from GC11 &amp; GC18, all from Groupement Menard - 1 bomber shot down, 1 gunner WIA</t>
  </si>
  <si>
    <t>Groupement Fequant raid - 23 a/c of GB3 + 75 Spads of 2 GC's raid Roye at 4500 meters - huge fire in center of Roye, EA's don't intervene</t>
  </si>
  <si>
    <t>Martel 333</t>
  </si>
  <si>
    <t>St-Quentin, Flavy-le-Martel, Jussy, Tergnier, la Fere, Chaulnes, Roye, Nesles, Rosieres-en-Santerre; Vauvillers, Caix, Mesnil-ste-Nicaises; Roye (E &amp; NE of), Meharicourt</t>
  </si>
  <si>
    <t>RR Stns, Airfields, Camps</t>
  </si>
  <si>
    <t>47 Voisin Renaults; 14 flew 2 missions. Bombs: 216x155mm GA, 106x155mm MMN, 61x200mm, 8 incendiaries, 6 fusées Michelin. Fires seen at Rosieres-en-Santerre RR stn (at 0250), Roye, Vauvillers, Caix town, Margny-aux-Cerises. Esc. 110, 116, 25 participated (perhaps others).</t>
  </si>
  <si>
    <t>GB1 War Diary 0188-9</t>
  </si>
  <si>
    <t>Caproni 105. Log says ville de Bois, but Martel says German bombers used airfields at Ville-au-Bois.</t>
  </si>
  <si>
    <t>Caproni 118 (1st mission of night). Encountered rain clouds on return</t>
  </si>
  <si>
    <t>Capronis 104 (twice) and 118 (2nd mission of night). Log says 118 dropped 440 kg which is different from the usual 400. Bomb loads for 104 estimated at the usual 400 kg.</t>
  </si>
  <si>
    <t>ALERTS 1007-1050, 1142-1201. NO BOMBS IN CITY LIMITS. FACTORY STOPPED DURING 40% OF ALERTS</t>
  </si>
  <si>
    <t>Work stopped in factories, businesses, &amp; shops during alerts. [BASED ON TIMING &amp; PROXIMITY TO SAARBRUCKEN, BELIEVE THAT TIME WAS 9:41AM VICE PM. -SCS]</t>
  </si>
  <si>
    <t>BRITISH SURVEY said rail traffic suspended 8 hours (Air Ministry, p.34); used their plot of bombstrikes for # bombs. -SCS</t>
  </si>
  <si>
    <t>438; AM Results… pp.34ff</t>
  </si>
  <si>
    <t>Presumably JG1 airfield</t>
  </si>
  <si>
    <t>19 bombers of Groupement Menard, Escadre 12 plus 15 Spads of GC15 - 2 bombers lost &amp; 1 observer KIA - causes Aeronautical Command to renounce policy on using escorts</t>
  </si>
  <si>
    <t>Kilduff, C&amp;C V.15,#1, p.18 &amp; Martel 333</t>
  </si>
  <si>
    <t>Metz,Metz-Sablon,Thionvil</t>
  </si>
  <si>
    <t>Rail Stations &amp; Works</t>
  </si>
  <si>
    <t>Metz and Metz - Sablon</t>
  </si>
  <si>
    <t>Chaulnes, Nesles, Roye; Vauvillers, Caix; La Fere, Tergnier, Jussy; Nesles, Guiscard, Roiglise, Margny-aux-Cherises, Catigny</t>
  </si>
  <si>
    <t>RR Stns; Airfields; Bivouacs; Cantonnements</t>
  </si>
  <si>
    <t>Voisin Renaults. Force included Esc.25.</t>
  </si>
  <si>
    <t>GB1 War Diary 0189</t>
  </si>
  <si>
    <t>Amagne-Lucquy, Retel; Clermont-les-Fermes &amp; Ville-au-Bois</t>
  </si>
  <si>
    <t xml:space="preserve">RR Stns; Airfields; </t>
  </si>
  <si>
    <t>CAP115 Log Image 0115</t>
  </si>
  <si>
    <t>Bomb #s &amp; wgts estimated - am assuming 8x50kg bombs unless log states otherwise. Retel apparently a secondary target (MECH DIVERSION) since log mentions loss of revs on back engine.</t>
  </si>
  <si>
    <t>Amagne - Lucquy</t>
  </si>
  <si>
    <t>Capronis 118, 101 (1st mission), &amp; 105.  118 mentioned seeing good results and dropping 440 kg.</t>
  </si>
  <si>
    <t>Retel</t>
  </si>
  <si>
    <t>Caproni 117. Apparently MECH DIVERSION - loss of revs on back engine.</t>
  </si>
  <si>
    <t>Clermont-les-Fermes &amp; Ville-au-Bois</t>
  </si>
  <si>
    <t>Caproni #129 - 1st mission.</t>
  </si>
  <si>
    <t>~18 locations around the Rivers Somme &amp; Oise</t>
  </si>
  <si>
    <t># sorties is suspect because it is too consistent - like the clerk typing it was lazy</t>
  </si>
  <si>
    <t>~15 locations around the Rivers Somme &amp; Oise</t>
  </si>
  <si>
    <t>THE BOMB WGT PER PLANE IS OUTRAGEOUSLY LARGE &amp; WGT OR SORTIES IS SUSPECT</t>
  </si>
  <si>
    <t>ALERTS 0005-0012, 0050-0115, 0145-0200. DATE/TIME CONFUSION - EVENT(S) MAY HAVE OCCURRED 24 HOURS LATER.</t>
  </si>
  <si>
    <t>According to BRITISH SURVEY, many were killed awaiting arrival of the Kaiser.  It reported 18 military + 3 civilians killed; 48 military +  54 civilians wounded.</t>
  </si>
  <si>
    <t>Attack "with intervals" of calm 2020-2045, 2225-0230. AA fire 2230-0230. [MAY HAVE BEEN ONLY AN ALERT -SCS]</t>
  </si>
  <si>
    <t>FROM BRITISH BOMBING SURVEY - Air Ministry "Results of Air Raids on Germany", p.37.  [Not clear whether info saying it was a night raid on 17/18 May from German officials or from British.  Also, this may describe same events as in 18MAY1918 record from American survey.  But facts are very different and usually they match for Thionville.--SCS]  2 bombs on station, damaging track, phone &amp; telegraph lines, plus truck laden with iron ore seriously damaged.  Remainder of bombs fell in town's main square, causing 35 deaths, of which 25 were military.</t>
  </si>
  <si>
    <t>20 a/c set fire to Nesle RR stn - shot down 3 EA in flames - 1 pilot &amp; bombardier KIA</t>
  </si>
  <si>
    <t>Chaulnes, Nesles; Nesles, Roye (near); Ennery, Hallon, Carrepuis, Liaucourt, Fosse, Ercheu, Roiglise, Moyencourt; Tergnier (near), La Fere</t>
  </si>
  <si>
    <t>RR stns; Airfields, Cantonnements; Bivouacs</t>
  </si>
  <si>
    <t>Voisins Renault</t>
  </si>
  <si>
    <t>Châtelet-sur-Retourne, Warméreville</t>
  </si>
  <si>
    <t>Caproni 104 could not complete mission due to fog; 101 aborted with malfuntioning left engine.</t>
  </si>
  <si>
    <t>Caproni 108 left before midnight but otherwise times unknown. Started at fire at objective.</t>
  </si>
  <si>
    <t>Warméreville</t>
  </si>
  <si>
    <t>Warmierville was probably a mech diversion for Caproni 117 - left engine failed.</t>
  </si>
  <si>
    <t>ALERTS 0020-0140, 0200-0305.</t>
  </si>
  <si>
    <t>DURING ALERTS, RR TRAFFIC &amp; FACTORY &amp; FOUNDRY WORK STOPPED.  3 alerts: 0850-0910, 1008-1024, 1053-1135.</t>
  </si>
  <si>
    <t>38 buildings damaged. Raid from 1000-1025.  [Report says raid by IF DH4's]  Cologne had no warning &amp; commandant of defenses was dismissed for not being prepared.  City given home defense flight after this raid. USED # BOMBS FROM BRITISH SURVEY SINCE THERE WERE MORE &amp; THEY WERE PLOTTED ON MAP.</t>
  </si>
  <si>
    <t>485 &amp; NARA 990 &amp; AM Results… p.13</t>
  </si>
  <si>
    <t>Raid 1:30 to 2:30 - AM/PM not specified.  3 tracks damaged.</t>
  </si>
  <si>
    <t>Troisdorf - Fagoneisen - Walzwerk L. Mannstaed &amp; Cie. AKT-GES.</t>
  </si>
  <si>
    <t>Work stopped during alerts. Time and "Other Cost" due to production loss are averages over 11 alerts.</t>
  </si>
  <si>
    <t>Rosieres-en-Santerre</t>
  </si>
  <si>
    <t>Burns 1/4 of rail stn</t>
  </si>
  <si>
    <t>Rozieres-en-Santerre, Roye, Ham, La Fere, Jussy, Flavy-le-Martel, Proyart, Nesles; Vauvillers-Caix, Campien ; Roye; Fourdrain</t>
  </si>
  <si>
    <t>44 Voisins Renault; 10 flew 2 sorties; another had broken bomb dropping gear and couldn't complete 2nd sortie.  Esc. 110 &amp; 116 participated (possilbly others). 2 crews attacked w/o result by an enemy plane. Fire &amp; explosions caused at Rozieres-en-Santerre RR stn. 1 crew hurt badly in crash shortly after T.O. 220 rounds fired at airfields.</t>
  </si>
  <si>
    <t>GB1 War Diary 0189-0190</t>
  </si>
  <si>
    <t>SHAA - G.A.E. Summary of Operations for 16-30 May 1918</t>
  </si>
  <si>
    <t>Capronis 104 &amp; 118. #114 aborted with low revs. 118 reported satisfactory shooting with one large explosion.  Bomb wgts &amp; #s estimated.</t>
  </si>
  <si>
    <t>CAP115 Log Image 0116</t>
  </si>
  <si>
    <t>Landau</t>
  </si>
  <si>
    <t>Rail Station &amp; Barracks</t>
  </si>
  <si>
    <t>St-Quentin,Tergnier-Fargnier</t>
  </si>
  <si>
    <t>Former RR stns</t>
  </si>
  <si>
    <t>Thionville,Metz-Sablon</t>
  </si>
  <si>
    <t>Thion.,Metz-Sabl.,Coblenz</t>
  </si>
  <si>
    <t>Rail Stations &amp; Barracks</t>
  </si>
  <si>
    <t>Rozieres(-en-Santerre?), Chaulnes, Peronne, Guise; Caix, Mons-en-Chaussee; Guiscard, Noyon, Flavy-le-Martel, Rozieres, Vauvillers, Ercheu, Roye (region), Guerbigny; Senlis (wood); Ercheu (near)</t>
  </si>
  <si>
    <t>RR stns; Airfields, Cantonnements; Bivouacs; Train</t>
  </si>
  <si>
    <t>Voisins Renault. 1 crew shot up a train at Grevillers at 600m altitude. 2 fires at Roziere RR stn and 1 explosion at Flavy-le-Martel.</t>
  </si>
  <si>
    <t>GB1 War Diary 0190</t>
  </si>
  <si>
    <t>St.Quentin</t>
  </si>
  <si>
    <t>Capronis 105&amp;104 - latter reported fire started. Am assuming target was rail stn since other attacks here were on that.  Am assuming standard bomb wgt of 440kg.</t>
  </si>
  <si>
    <t>Aulnoye</t>
  </si>
  <si>
    <t>Caproni 118- bomb raid was part of reconnaissance of 5 other towns. Fire started at Aulnoye after bombardment.  Standard bomb #s &amp; wgt assumed. Assume target was rail stn since Aulnoye is just a tiny town but does have a rail station.</t>
  </si>
  <si>
    <t>All that is known is that 14th Sqn Caproni #4232 crashed at Ochey returning from night mission to Montcornet stn</t>
  </si>
  <si>
    <t>Gentilli &amp; Varriale 134</t>
  </si>
  <si>
    <t>E.M.(?)  (GB8?)</t>
  </si>
  <si>
    <t>ALERT 0242-0340.</t>
  </si>
  <si>
    <t>ALERTS 1025-1049, 1222-1312. NO BOMBS IN CITY LIMITS. FACTORY STOPPED DURING 40% OF ALERTS</t>
  </si>
  <si>
    <t>Raid from 1130 - 1230.  Total damage in all 3 raids was 310,810M.  No breakout available by raid, nor was # of wounded listed.</t>
  </si>
  <si>
    <t>459, NARA 990</t>
  </si>
  <si>
    <t>ALERT 2330-0132.</t>
  </si>
  <si>
    <t>AA fire 2340-0125. [CHANGED RAID TO ALERT -SCS]</t>
  </si>
  <si>
    <t>Raid 11:10 to 4:00 - AM/PM not specified.  No damage to station buildings; several bombs dropped in coal dumps and Moselle River.</t>
  </si>
  <si>
    <t>Charleroi,Namur,Metz-Sab.</t>
  </si>
  <si>
    <t>Charleroi &amp; Namur</t>
  </si>
  <si>
    <t>DH9</t>
  </si>
  <si>
    <t>Saarbrucken,Thionville</t>
  </si>
  <si>
    <t>Thionville,Karthaus,BASF</t>
  </si>
  <si>
    <t>Rail Stations/Chemical</t>
  </si>
  <si>
    <t>Karthaus (Conz)</t>
  </si>
  <si>
    <t>Shunting Station</t>
  </si>
  <si>
    <t>Mesnil-ste-Nicaise, Ercheu, Manicourt, Curchy, Etalon, Norlemeont, Nesles; Nesles, Montescourt</t>
  </si>
  <si>
    <t>Airfields, RR stns</t>
  </si>
  <si>
    <t>Voisins Renault. German AAA very active - 3 planes hit. 1 crew sickened by leaking 155mm bomb. 200 rounds shot at searchlights &amp; camps. Several objectives, especially Nesles RR stn, hit.</t>
  </si>
  <si>
    <t>GB1 War Diary 0190-1</t>
  </si>
  <si>
    <t>Aulnoye, Châtelet-sur-Retourne; Clermont-les-Fermes</t>
  </si>
  <si>
    <t>RR Stns; Airfield</t>
  </si>
  <si>
    <t>CAP115 Log Images 0116-7</t>
  </si>
  <si>
    <t>Caproni 105 dropped out due to loss of pressure; 118 aborted when left engine quit</t>
  </si>
  <si>
    <t>Caproni 104 bombed Aulnoye &amp; started a fire during reconnaissance of Montcornet, Aulnoye, Maubourg, Fourmies</t>
  </si>
  <si>
    <t>Rail Stn (presumably)</t>
  </si>
  <si>
    <t>Caproni 119. Ran into fog and back engine stopped during return.</t>
  </si>
  <si>
    <t>Caproni 118 (after initial attempt).  Saw explosion on ramp.</t>
  </si>
  <si>
    <t>DURING ALERTS, RR TRAFFIC &amp; FACTORY &amp; FOUNDRY WORK STOPPED. 2 alerts: 0005-0100, 0207-0307.</t>
  </si>
  <si>
    <t>Raid from 0038 - 0215 (all rail traffic stops).  5 of 26 bombs were duds.  Property of 51 people damaged (33,629M).  Damage on line to Trier at Moselweiss (4 hours, 100M).  AA fire damage to RR buildings (1629M).  Also damage to military buildings - repaired for 3819M w/ about 1400M worth yet to complete. Damage in suburbs of 9540M.</t>
  </si>
  <si>
    <t>AA fire 2345-0115. [CHANGED RAID TO ALERT -SCS]</t>
  </si>
  <si>
    <t>ALERTS 2315-2320, 0255-0258.</t>
  </si>
  <si>
    <t>RAIDS 2350-0110, 0140-0200, 0240-0340, 0350-0415 NIGHT OF 21/22 MAY 1918. # BOMBS FROM BRITISH SURVEY.</t>
  </si>
  <si>
    <t>NARA 990, AM p.11</t>
  </si>
  <si>
    <t>BRITISH SURVEY said rail traffic suspended 10 hours (Air Ministry, p.34).  Also says this was night raid according to Official German Report - 21/22 May.</t>
  </si>
  <si>
    <t>BRITISH SURVEY REPORTS: "Several engines &amp; wagons were slightly damaged. The sheds of an oil reservoir  and the engine sheds at Sablon were hit but only slight damage was caused. 1 rail of track 6 was cut through."</t>
  </si>
  <si>
    <t>"Results of Air Raids on Germany", Air Ministry, p.26</t>
  </si>
  <si>
    <t>BASF - Oppau</t>
  </si>
  <si>
    <t>FROM BRITISH BOMBING SURVEY - Air Ministry "Results of Air Raids on Germany", p.20.  Photo between pp.20-21.  [Not clear whether info saying it was a night raid on 21/22 May and count of at least 10 bombs in plant from plant officials or from British.--SCS]  Bombs fell near small gasometers at plant's center, near large gasometer at W extremity of works, on railway, and on wharf.  Chief Engineer says work delayed 2 days.</t>
  </si>
  <si>
    <t>N of Lud-wigshafen</t>
  </si>
  <si>
    <t>5 ALERTS THAT NIGHT. LOSS IN PRODUCTION OF IRON @ 498M PER TON.</t>
  </si>
  <si>
    <t>BRITISH SURVEY GOT A REPORT FROM (APPARENTLY) RAILWAY MANAGER THIS DATE BUT COULD GET INFO FOR NO OTHER DATES: "The manager stated that 5 bombs fell on the railway workshops, where 2 engines were damaged."</t>
  </si>
  <si>
    <t>Konz, Conz</t>
  </si>
  <si>
    <t>"Results of Air Raids on Germany", Air Ministry, p.17</t>
  </si>
  <si>
    <t>Raid 11:00 to 3:40 - AM/PM not specified.  No damage to station buildings; Catholic church and houses damaged.</t>
  </si>
  <si>
    <t>NO RAID ON TRIER.  AA fire damaged property of 21 people.</t>
  </si>
  <si>
    <t>Kinkempolis (S. of Liege)</t>
  </si>
  <si>
    <t>Railway Triangle</t>
  </si>
  <si>
    <t>St.Quentin, Noyon</t>
  </si>
  <si>
    <t>Fight with 6 triplanes - 1 wounded</t>
  </si>
  <si>
    <t>Kreuzwald, Spittel</t>
  </si>
  <si>
    <t>Electrical Station, Rail</t>
  </si>
  <si>
    <t>Kreuzwald</t>
  </si>
  <si>
    <t>Electrical Power Station</t>
  </si>
  <si>
    <t>Spittel</t>
  </si>
  <si>
    <t>Kruezwald,Mannheim</t>
  </si>
  <si>
    <t>Elect. Stn, BASF</t>
  </si>
  <si>
    <t>Kruezwald</t>
  </si>
  <si>
    <t>Curchy, Morlemont, Etalon, Manicourt, Mesnil-ste-Nicaise, Ercheau, Mons-en-Chaussee; Nesles, Montescourt; Sept-Fours, Dreslincourt, St-Simon, la Fere, Flavy-le-Martel, Ercheau, Noyon</t>
  </si>
  <si>
    <t>Airfields; RR stns; Camps</t>
  </si>
  <si>
    <t>Voisin Renault bombers of Esc. 25, 110, 114, 116. Nine planes flew two missions. Two planes hit by German night fighters.  AAA very active. Fires started at Mons-en-Chaussee &amp; Montescourt RR stn.</t>
  </si>
  <si>
    <t>GB1 War Diary 0191</t>
  </si>
  <si>
    <t>Caproni 117 aborted raid on Hirson due to fire in back engine</t>
  </si>
  <si>
    <t>CAP115 Log Image 0117</t>
  </si>
  <si>
    <t>Caproni 119</t>
  </si>
  <si>
    <t>Attigny</t>
  </si>
  <si>
    <t>Caproni 129 bombed Attigny rail stn while doing recon on Mezières, Attigny, &amp; Reshel</t>
  </si>
  <si>
    <t>Caproni 130 bombed unspecified airfield after recon of it</t>
  </si>
  <si>
    <t>DURING ALERTS, RR TRAFFIC &amp; FACTORY &amp; FOUNDRY WORK STOPPED. 2 alerts: 0055-0120, 0157-0250</t>
  </si>
  <si>
    <t xml:space="preserve">Raid from 0100 - 0130. Damage to RR property. Direct damages to BASF in 22 raids was 519,310M; 14 killed.  Each raid or alert caused production losses in another 24 hour plant and in many city businesses. </t>
  </si>
  <si>
    <t>ALERTS 0115-0215 (1315-1415?) AND 0502-0538. NO BOMBS IN CITY LIMITS. FACTORY STOPPED DURING 40% OF ALERTS</t>
  </si>
  <si>
    <t>Troisdorf (RR)</t>
  </si>
  <si>
    <t>DURING ALERTS, BUSINESS &amp; STREETCARS STOPPED. RR TRAFFIC STOPPED FOR THIS PARTICULAR ALERT.</t>
  </si>
  <si>
    <t>Work stopped in factories, businesses, &amp; shops during alerts. 3 alerts - 1228-1244, 1305-1418, 1634-1705.</t>
  </si>
  <si>
    <t>AA fire 2330-0100. [CHANGED RAID TO ALERT -SCS]</t>
  </si>
  <si>
    <t>BRITISH SURVEY: "At Sablon, the main line, 5 branch lines, 10 engines and several goods trucks were slightly damaged. Traffic was interrupted for 2 hours. 1 bomb hit an engine shed. 1 bomb fell in the yard of a commissariat depot, causing slight damage."</t>
  </si>
  <si>
    <t>"Results of Air Raids on Germany", A.M., p.26</t>
  </si>
  <si>
    <t>FROM BRITISH BOMBING SURVEY - Air Ministry "Results of Air Raids on Germany", p.21.  [Not clear whether info saying it was a night raid on 22/23 May and count of 11 bombs in plant from plant officials or from British.--SCS]  Bombs fell near gasometers again, ruining temporary repairs.  Some gas and hydrogen pipes destroyed &amp; set afire.  Gasometer and pipes badly damaged in saltpetre rooms.</t>
  </si>
  <si>
    <t>AM 21</t>
  </si>
  <si>
    <t>Coal cleansers [hit? destroyed?]</t>
  </si>
  <si>
    <t>ALERT - FACTORIES, BUSINESSES, STREETCARS STOPPED - AM/PM UNK: TIME 12.58-1.41</t>
  </si>
  <si>
    <t>Mayence (on Rhine)</t>
  </si>
  <si>
    <t>NARA 990, Roll 58, p.001180</t>
  </si>
  <si>
    <t>Rail Stn &amp; Triangle</t>
  </si>
  <si>
    <t>Strasbourg (Photo recon)</t>
  </si>
  <si>
    <t>Airfield (presumably JG1)</t>
  </si>
  <si>
    <t>GB1/V.R.114</t>
  </si>
  <si>
    <t>Roisel</t>
  </si>
  <si>
    <t>1 Voisin Renault dropped 5x155 G.A. bombs during the course of a long range reconnaissance.</t>
  </si>
  <si>
    <t>Passy-en-Valois</t>
  </si>
  <si>
    <t>GB1 War Diary 0192</t>
  </si>
  <si>
    <t xml:space="preserve">Raid from 0000 - 0045.  20 bombs on &amp; around chemical factory. Damage to RR property. Direct damages to BASF in 22 raids was 519,310M; 14 killed.  Each raid or alert caused production losses in another 24 hour plant and in many city businesses. </t>
  </si>
  <si>
    <t>WIA APPENDIX XIII RECORD. SAYS CASUALTIES REPORTED "IN THIS AREA" 4 KILLED, 15 WOUNDED. "RESULTS OF AIR RAIDS ON GERMANY" SAYS "3 bombs fell on a railway line at Sablon and traffic on the Peltre and Augny-Metz line was suspended for 2 hours".</t>
  </si>
  <si>
    <t>WIA, APP 13; Results… p.26</t>
  </si>
  <si>
    <t>Thyssen Blast Furnaces</t>
  </si>
  <si>
    <t>Duren</t>
  </si>
  <si>
    <t>ALERT ONLY-FACTORIES &amp; STREETCARS STOPPED; RR DIDN'T</t>
  </si>
  <si>
    <t>STEEL MILL RECORDS: Foreman of electrical stn killed &amp; 1 man wounded. MICROFILM RR STN RECORDS: AA fire 0825-0835. "12 bombs dropped S of RR stn. 1 RR watchman slightly wounded; 1 peasant killed. Several telegraph lines broken." TELEGRAM: "Today, at 8:15AM, between 10 and 12 bombs were dropped at kil. 1,170 by 10 enemy planes, coming from the West. 1 bomb of small calibre fell between tracks #2 &amp; 3. Damages slight. Tracks empty. Other bombs fell west and east of tracks. RR watchman...[same info as above]".</t>
  </si>
  <si>
    <t>Hagondange (Forges &amp; Steel Mills; RR Stn)</t>
  </si>
  <si>
    <t>383, 391, NARA 990</t>
  </si>
  <si>
    <t>Roye, Chaulnes, Nesles, Roziere-en-Santerre; Manicourt, Curchy, Dury, Biare, Nesles; Liaucourt, Fosse, Etalon, Auricourt, Campien</t>
  </si>
  <si>
    <t>Now Bénestroff  --SCS</t>
  </si>
  <si>
    <t>Kreuzwald, Metz-Sablon</t>
  </si>
  <si>
    <t>Elec. Pwr Stn; Rail</t>
  </si>
  <si>
    <t>Elec. Pwr Stn</t>
  </si>
  <si>
    <t>Station &amp; Rail Triangle</t>
  </si>
  <si>
    <t>Mann.,Kreuz.,Landau,Cour.</t>
  </si>
  <si>
    <t>BASF,Pwr Stn, Rail</t>
  </si>
  <si>
    <t>Elect. Pwr Stn</t>
  </si>
  <si>
    <t>Rail Stn &amp; Sidings</t>
  </si>
  <si>
    <t>Boury, Connin, Vendresse, Cerny, Chavignon, Vailly (NE of), Vauclerc, Craonne, Neuvil, Lierval, Cuissy, Pargny, Filain, Chevrigny, Chamouille, Braye-en-Laonnois, Ailles, Cerny-en-Laonnois, Bellicourt, Cherminy; Vendresse to Troyonne</t>
  </si>
  <si>
    <t>Bivouacs; Convoys</t>
  </si>
  <si>
    <t>Last raid on Somme Front. 40 V.R.s from Escadrilles 110, 114, 116 participated. Very heavy AAA on clear moonlit night. Germans bombed Mosloy airfield during raid, keeping 11 Voisins from making a second sortie, wounding 2, and damaging 4 planes. 9 Voisins flew 2 sorties, two flew 3 sorties, and a 3rd attempted 3 sorties but had engine trouble on 3rd one.</t>
  </si>
  <si>
    <t>GB1 War Diary 0192-3</t>
  </si>
  <si>
    <t>Sissome, Maison bleu, Chatelet sur Retourne</t>
  </si>
  <si>
    <t>Capronis hit these targets - 129 bombed Sissome; 120, Maison bleu &amp; Chatelet s/Retourne; 126 (1st raid), Sissome &amp; la Maison bleu (dropped 8x200mm or which 4 were incendiaries; 126, 2nd raid, Chatelet s/Retourne; 117, Sissome.</t>
  </si>
  <si>
    <t>CAP115 Log Image 0119</t>
  </si>
  <si>
    <t>Caproni 129 (2nd raid)</t>
  </si>
  <si>
    <t>Caproni 130 bombed Marle during recce of Rethel, Ligny, Maubert, Fontaine, la Chapelle. 130 was hit by 4 MG rounds. Altitude given as between 1700 &amp; 900 meters.</t>
  </si>
  <si>
    <t>Bettencourt</t>
  </si>
  <si>
    <t>DATE/TIME CONFUSION - RAID MAY HAVE OCCURRED 24 HOURS LATER.</t>
  </si>
  <si>
    <t>ALERT 2325-0155.</t>
  </si>
  <si>
    <t>Capronis 117 (left engine failed over objective), 119 (problems with left engine), 120 (hit target from 700 meters!), 129, 118.</t>
  </si>
  <si>
    <t>CAP115 Log Images 0119-0120</t>
  </si>
  <si>
    <t>Fismes</t>
  </si>
  <si>
    <t>Capronis 101 (twice, 129 and 130. One crew flew two of these missions in two different airplanes and a third mission against Maison Bleue in a 3rd airplane.</t>
  </si>
  <si>
    <t>Caproni 126. On the same mission, they also flew a recon of St.Quentin, La Ferè, and Ham.</t>
  </si>
  <si>
    <t xml:space="preserve">Raids 0055 - 0145 &amp; 0225 - 0240.  6 bombs in open field. Also damage to RR property. Direct damages to BASF in 22 raids was 519,310M; 14 killed.  Each raid or alert caused production losses in another 24 hour plant and in many city businesses. </t>
  </si>
  <si>
    <t>AA fire 0145-0148. [CHANGED RAID TO ALERT -SCS]</t>
  </si>
  <si>
    <t>St.Gilles</t>
  </si>
  <si>
    <t>Munitions Depots &amp; Camps of Huts</t>
  </si>
  <si>
    <t>Capronis 126 (twice),130 (twice), 101. 13 sorties in one night for CAP115 and NO engine problems!  Also this is the 1st or 2nd night they attacked tactical targets.</t>
  </si>
  <si>
    <t>CAP115 Log Images 0120-0121</t>
  </si>
  <si>
    <t>Coucy-les-Eppes</t>
  </si>
  <si>
    <t>Capronis 120,129</t>
  </si>
  <si>
    <t>Fismes (and S of it)</t>
  </si>
  <si>
    <t>Capronis 104, 129 (2nd sortie)</t>
  </si>
  <si>
    <t>Caproni 119 - 2 shell fragments &amp; 1 bullet hit plane</t>
  </si>
  <si>
    <t>Montagne &amp; Maison Bleue</t>
  </si>
  <si>
    <t>Caproni 117</t>
  </si>
  <si>
    <t>St.Etienne-sur-Suippe</t>
  </si>
  <si>
    <t>Caproni 120 (2nd mission) - was hitting tactical targets if not railway</t>
  </si>
  <si>
    <t>Jonchery-sur-Vesle</t>
  </si>
  <si>
    <t>Caproni 104 (2nd mission) - was hitting tactical targets if not railway</t>
  </si>
  <si>
    <t>THE BOMB WGT IS SO LARGE FOR 1 VOISIN 10 THAT IT PROBABLY WAS TWO PLANES.</t>
  </si>
  <si>
    <t>AA fire 0115-0130. [CHANGED RAID TO ALERT -SCS]</t>
  </si>
  <si>
    <t>ALERT 0120-0150.</t>
  </si>
  <si>
    <t>AA fire 0835-0845. [CHANGED RAID TO ALERT -SCS]</t>
  </si>
  <si>
    <t>ALERT 2242-2310.</t>
  </si>
  <si>
    <t>Bombs inside/outside foundry grounds: 8/1.  Small amount of damage.  Italian civilian laborer died of wounds.</t>
  </si>
  <si>
    <t>Raid 9:00 - AM/PM not specified.  Bombs fell about 100 meters from Upper Moselle bridge.  Station buildings, telephone and telegraph lines damaged.  2 killed in the castle garden.</t>
  </si>
  <si>
    <t>Fere-en-Tardenois</t>
  </si>
  <si>
    <t>German VI Armee</t>
  </si>
  <si>
    <t>Kilduff, C&amp;C V.15,#1, p.19</t>
  </si>
  <si>
    <t>See Notes (5 Locations)</t>
  </si>
  <si>
    <t>Rail Stations &amp; Sidings</t>
  </si>
  <si>
    <t>Karthaus (Konz)</t>
  </si>
  <si>
    <t>Esch (SW of Esch)</t>
  </si>
  <si>
    <t>Rosney, Bonleuse, La Cense, Bonne Maison; Bazoches; Jonchery, Cramaille, Hermanville, Berry au Bac, Blanzy, Muizon, Fismes</t>
  </si>
  <si>
    <t>Airfields; RR stn; camps</t>
  </si>
  <si>
    <t>1st raid on Marne-Aisne front. Also fired 1200 rounds at German camps. Esc. 110, 114, 116 participated.  Started fires at Berry-au-Bac, Rosney, Jonchery.</t>
  </si>
  <si>
    <t>GB1 War Diary 0193</t>
  </si>
  <si>
    <t>Laon; Notre Dame de Liège</t>
  </si>
  <si>
    <t>RR Stn; unspecified</t>
  </si>
  <si>
    <t>Capronis 129,101,126</t>
  </si>
  <si>
    <t>CAP115 Log Images 0121-0122</t>
  </si>
  <si>
    <t>Montigny-sur-Vesle, Montigny Jonchery (battlefield at its entrance) &amp; Unspecified Battlefields</t>
  </si>
  <si>
    <t>Battlefields</t>
  </si>
  <si>
    <t>Caproni 120 bombed cantonnements of unspecified battlefield; #119 bombed unspecified battlefield and Montigny-sur-Vesle; #130 bombed battlefield at entrance to Montigny Jonchery</t>
  </si>
  <si>
    <t>Lagery</t>
  </si>
  <si>
    <t>RR Stn (presumably)</t>
  </si>
  <si>
    <t>AA fire 0805-0810. [CHANGED RAID TO ALERT -SCS]</t>
  </si>
  <si>
    <t>ALERTS 0815-0830, 0955-1000.</t>
  </si>
  <si>
    <t>ALERT 2225-0310; LIGHTS EXTINGUISHED 10 MIN AFTER ALERT.</t>
  </si>
  <si>
    <t>AA fire 2235-2250. [CHANGED RAID TO ALERT -SCS]</t>
  </si>
  <si>
    <t>BRITISH SURVEY: "Several railway lines, 2 engines and several trucks were damaged, but traffic was not interrupted."</t>
  </si>
  <si>
    <t>Results of Air Raids on Germany, A.M., p.26</t>
  </si>
  <si>
    <t>BRITISH SURVEY: "At Sablon, several lines and two trucks loaded with wood and cement were severely damaged. At Montigny, 4 engines were hurled from the rails."</t>
  </si>
  <si>
    <t>3 ALERTS THAT NIGHT. LOSS IN PRODUCTION OF IRON @ 498M PER TON.</t>
  </si>
  <si>
    <t>Raid 8:10 - AM/PM not specified.  10 killed &amp; 5 injured.  Buildings &amp; 3 tracks damaged  (4000M).  2 bombs on airfield.  No interruption of rail traffic.  BRITISH SURVEY says damage was 9000M; mentions bomb falling on St. Hubert hotel occupied by German officers - 4 killed, 6 wounded in addition to 10 &amp; 5 mentioned at RR.  [Am using British numbers because they apparently both include RR and hotel info--SCS.]</t>
  </si>
  <si>
    <t>Rail Station &amp; Workshops</t>
  </si>
  <si>
    <t>Sqn History (p.10) says target was Thionville and only 10 planes reached it.</t>
  </si>
  <si>
    <t>Aisne Front</t>
  </si>
  <si>
    <t>Fère-en-Tardenois</t>
  </si>
  <si>
    <t>Troop Concentrations</t>
  </si>
  <si>
    <t>Largest bombing raid of WWI?  Shot down 5 German planes, probably 3 others &amp; slowed the German advance. Fired 12,000 rounds at German troops.</t>
  </si>
  <si>
    <t>Martel 342</t>
  </si>
  <si>
    <t>Thionville &amp; Metz</t>
  </si>
  <si>
    <t>Rail Station &amp; Junction</t>
  </si>
  <si>
    <t>Karthaus &amp; Metz-Sablon</t>
  </si>
  <si>
    <t>Rail Station &amp; Triangle</t>
  </si>
  <si>
    <t>Shunting Stn &amp; Bridge</t>
  </si>
  <si>
    <t>Faverolles, Vandeuil, Fere en Tardenois, Breuil sur Vesle, Dole, Loupeigne, Jonchery; St-Gilles, Crugny, Fismes; Bonnemaison; routes Reims to Fismes &amp; Nesles to Fere-en-Tardenois</t>
  </si>
  <si>
    <t>Camps; Bivouacs; Airfield; Convoys</t>
  </si>
  <si>
    <t>Voisin Renault bombers - 17 crews out of 21 accomplished mission; 6 flew 2 missions</t>
  </si>
  <si>
    <t>GB1 War Diary 0193-4</t>
  </si>
  <si>
    <t>Capronis 126,117,118,129</t>
  </si>
  <si>
    <t>CAP115 Log Image 0122</t>
  </si>
  <si>
    <t>Unspecified</t>
  </si>
  <si>
    <t>Capronis 130 twice &amp; 129. Latter forcelanded at Nogent(?)-sur-Seine</t>
  </si>
  <si>
    <t>Neslès, Conjevés (?), Jrugny (?)</t>
  </si>
  <si>
    <t>Caproni 119 twice</t>
  </si>
  <si>
    <t>Caproni 101</t>
  </si>
  <si>
    <t>Oulchy-le-Chateau</t>
  </si>
  <si>
    <t>Caproni 101 - 2nd trip for this plane and 3rd for this crew.</t>
  </si>
  <si>
    <t>AA fire 0150-0225. [CHANGED ALERT TO RAID -SCS]</t>
  </si>
  <si>
    <t>DATE/TIME CONFUSION - SMALL CHANCE ALERT OCCURRED 24 HOURS EARLIER.</t>
  </si>
  <si>
    <t>ALERT 0355-0410; LIGHTS EXTINGUISHED 10 MIN AFTER EARLIER ALERT (2225-0310).</t>
  </si>
  <si>
    <t>AA fire 2310-2330. [CHANGED RAID TO ALERT -SCS]</t>
  </si>
  <si>
    <t>ALERTS 2300-0120, 0200-0205. LIGHTS NOT EXTINGUISHED FOR 2ND ALERT.</t>
  </si>
  <si>
    <t>Survey team could not go to Karlsruhe; limited info available.  BRITISH SURVEY said 70 wounded; made no mention of deaths.</t>
  </si>
  <si>
    <t>BRITISH SURVEY: "No damage was done to the railway and the damage done to private property was unimportant."</t>
  </si>
  <si>
    <t>BRITISH SURVEY: "1 bomb fell near a signal box at Sablon East station, causing slight damage. The remaining bombs caused damage to private property."</t>
  </si>
  <si>
    <t>Raid 1:00 to 3:30 - AM/PM not specified.  "No bombs dropped" [apparently on the station].</t>
  </si>
  <si>
    <t>FROM WIA, APPX 13: "1 DH4 returned w/ engine trouble. Owing to thick clouds N of Pirmasens…leader… decided to bomb Karlsruhe… Considerable damage to houses and workshops. Factory production stopped for an hour. Casualties reported, 4 killed, 74 injured. Monetary damage, 700,000 marks."</t>
  </si>
  <si>
    <t>WIA APPX 13</t>
  </si>
  <si>
    <t>Railway Stn</t>
  </si>
  <si>
    <t>Ourcq Valley</t>
  </si>
  <si>
    <t>During these missions Escadre 12 had 9 major encounters with German fighters &amp; shot down 4 of them.</t>
  </si>
  <si>
    <t>Martel 342 &amp; Kilduff, C&amp;C V.15,#1, p.19</t>
  </si>
  <si>
    <t>Unchair, Fismes, Grugny, Pontvetard, Prouilly, Revy, Breuil, Romain, Jonchery, Fere-en-Tardenois, Oulchy-le-Chateau, Ventelay, Savigny, St-Gilles; Chery, Bazoches; Bonnemaison</t>
  </si>
  <si>
    <t>Camps; Bivouacs; Airfield</t>
  </si>
  <si>
    <t>28 Voisins Renault - 4 flew 2 sorties; 1 flew 3 sorties.  Fires at Breuil, E of Oulchy-le-Chateau, and at Bonnemaison tent hanger.  At 2220 one V.R. crew MGed a column of soldiers at Jonchery from 400 meters.</t>
  </si>
  <si>
    <t>GB1 War Diary 0194</t>
  </si>
  <si>
    <t>Braine</t>
  </si>
  <si>
    <t>Capronis 130,101,119,118,117.  118 reported seeing (or starting) a fire. 117 had trouble with low engine revs. Am assuming target was rail stn since GB2 hit station at Braine later in month.</t>
  </si>
  <si>
    <t>CAP115 Log Images 0122-3</t>
  </si>
  <si>
    <t xml:space="preserve">Caproni 101 - 2nd trip for this plane </t>
  </si>
  <si>
    <t>Caproni 119 (2nd mission) bombed unspecified target; #118 had aborted departure on 2nd mission with problems with the rear engine.</t>
  </si>
  <si>
    <t>DATE/TIME CONFUSION - RAID MAY HAVE OCCURRED 24 HOURS EARLIER.</t>
  </si>
  <si>
    <t>DURING ALERTS, RR TRAFFIC &amp; FACTORY &amp; FOUNDRY WORK STOPPED. 2 alerts: 0735-0830, 0845-0900.</t>
  </si>
  <si>
    <t>Damage in town along RR to 22 people's property.  1 boy killed.</t>
  </si>
  <si>
    <t>AA fire 2310-2340. [CHANGED RAID TO ALERT -SCS]</t>
  </si>
  <si>
    <t>ALERT 2325-0022.</t>
  </si>
  <si>
    <t>BRITISH SURVEY: "1 bomb fell on a truck, slightly damaging it. Another bomb caused considerable damage to a house."</t>
  </si>
  <si>
    <t>Raid 7:00 to 8:10 - AM/PM not specified.  "No bombs dropped" [apparently on the station].</t>
  </si>
  <si>
    <t>Trier (City &amp; Irsch town)</t>
  </si>
  <si>
    <t>NO RAID ON TRIER CITY.  AA fire damaged property of 23 people.  One bomb fell in Irsch town, causing 1206M damage to property of one man.  Irsch is in Trier district.</t>
  </si>
  <si>
    <t>Irsch</t>
  </si>
  <si>
    <t>Oulechey-le-Chateau</t>
  </si>
  <si>
    <t>Shot down 8 EA.</t>
  </si>
  <si>
    <t>Muizon, Villemoyenne, Sapicourt, Fere en Tardenois, Brauscourt, Fismes, Bruyeres, Jonchery, Coulonges, Pevy, Oulchy-le-Chateau, Epieds, Archis-le-Ponsart, Unchair, Mareuil-en-Dole; Routes Lagerny-Lhery, Villemoyenne-Villeneuve, Fere-en-Tardenois-Coincy, Hourges-Grugny</t>
  </si>
  <si>
    <t>Camps; Convoys</t>
  </si>
  <si>
    <t>V.R. bombers of Esc. 110, 1104, 116. 1 bombardier got sick and plane R.T.B.  34 planes; 10 flew 2 sorties. Fires at Fere-en-T., Sapicourt, Bruyeres.</t>
  </si>
  <si>
    <t>GB1 War Diary 0194-5</t>
  </si>
  <si>
    <t>Laon &amp; Athrès-sur-Laon</t>
  </si>
  <si>
    <t>Capronis 104,117,119 bombed Laon; 118 bombed Athrès-sur-Laon; 101 bombed both</t>
  </si>
  <si>
    <t>CAP115 Log Images 0123-4</t>
  </si>
  <si>
    <t>Capronis 120 &amp; unknown bombed</t>
  </si>
  <si>
    <t>Capronis 130 &amp; 119</t>
  </si>
  <si>
    <t>Amifontaine</t>
  </si>
  <si>
    <t>Sissonne</t>
  </si>
  <si>
    <t>SHAA - G.A.E. Summary of Operations for 1-15 June 1918</t>
  </si>
  <si>
    <t>ALERT 2335-0000.</t>
  </si>
  <si>
    <t>AA fire 2345-2350. [CHANGED RAID TO ALERT -SCS]</t>
  </si>
  <si>
    <t>BRITISH SURVEY: "The walls of No. 13 Artillery Barracks wer damaged. Telephone and telegraph wires were slightly damaged."</t>
  </si>
  <si>
    <t>Shot down 2 EA.</t>
  </si>
  <si>
    <t>Guignicourt; Berry au Bac, Aguilcourt, Jonchery</t>
  </si>
  <si>
    <t>Village &amp; Bridge; Camps</t>
  </si>
  <si>
    <t>All 3 escadrilles (V.R.110, 114, 116) participated. 9 flew 2 sorties. Fired 500 rounds at German camps. Guignicourt RR line hit; bridge may have been.  1 crew hurt by bomb that burned slowly (or melted) inside the fuselage - had to force-land; the plane was destroyed.</t>
  </si>
  <si>
    <t>GB1 War Diary 0195</t>
  </si>
  <si>
    <t>Berry-au-Bac</t>
  </si>
  <si>
    <t>Bridges</t>
  </si>
  <si>
    <t>Capronis 101,119 twice,117 twice,105,126 twice,120,118,116,130. 118 mentioned bomb strikes on bridges.  Martel describes the raids this night as being against rail lines to Laon.  It appears that CAP115 was trying to cut rail bridges across the Aisne.  If that is true, these perhaps should be listed as Rail targets instead of Tactical targets.</t>
  </si>
  <si>
    <t>CAP115 Log Images 0124-5 &amp; Martel 343</t>
  </si>
  <si>
    <t>Rail (presumably)</t>
  </si>
  <si>
    <t>Caproni 130 conducted recon and bomb raid on Asfeld-la-Ville.</t>
  </si>
  <si>
    <t>Treves &amp; Conz (Karthaus)</t>
  </si>
  <si>
    <t>Conz(Karthaus) Gare de Triage</t>
  </si>
  <si>
    <t>Triangle of Railways</t>
  </si>
  <si>
    <t>Villers-Cotteret</t>
  </si>
  <si>
    <t>Savieres River ravine</t>
  </si>
  <si>
    <t>Same as above record?</t>
  </si>
  <si>
    <t>Martel 343</t>
  </si>
  <si>
    <t>Soissons, Braine, Fere en Tardenois, Jonchery, Fresney, Lagery, Savigny-sur-Ardre, Montigny; Dole (wood), Crise (valley)</t>
  </si>
  <si>
    <t>Probably Camps; Bivouacs</t>
  </si>
  <si>
    <t>Farman F50 used for the 1st time by GB1. (Nilsson: received one pre-production model to test.)  22 planes; 24 sorties attempted. Started fire at Fere-en-T. &amp; explosion at Jonchery. Over 550 rounds fired at camps.</t>
  </si>
  <si>
    <t>Voisin10 &amp; Farman F.50</t>
  </si>
  <si>
    <t>GB1 War Diary 0196 &amp; Nilsson, OTF 1/4, p.315.</t>
  </si>
  <si>
    <t>Raid from 0903 - 0948.  Entry is combination of city &amp; E.Trier RR records.  11 bombs in south of city; damage to 121 buildings &amp; houses.  74 [of them] didn't report damage.  7,692M of damage is to rail lines.  3 bombs fell in south end of rail yards, destroying 2 of 4 tracks on main line.  Traffic delayed entirely for 2 hours and hindered for 8 hours until repaired.</t>
  </si>
  <si>
    <t>ALERTS 2047-2102, 2147-2208.</t>
  </si>
  <si>
    <t>Conz</t>
  </si>
  <si>
    <t>Bombs damaged property of 10 people.</t>
  </si>
  <si>
    <t>Alarm only, NO RAID, from 8:00 to 9:00  - AM/PM not specified.</t>
  </si>
  <si>
    <t>Flew only 7 bombardment sorties to give the mechanics a rest. Also this was the day V.R.116 was transferred to GB8. Bomb wgt &amp; # estimated by dividing a similar 14 plane raid's wgt by 2.</t>
  </si>
  <si>
    <t>GB1 War Diary 0196</t>
  </si>
  <si>
    <t>Soissons, Fère-en-Tardenois, Villers-sur-Bruyère, Laon</t>
  </si>
  <si>
    <t>RR Stns (presumably)</t>
  </si>
  <si>
    <t>CAP115 Log Image 0125</t>
  </si>
  <si>
    <t>Note that Caproni 104 bombed Soissons &amp; Fère-en-Tardenois in the same mission, so the numbers of planes bombing the individual targets don't appear to add to the total for the night.</t>
  </si>
  <si>
    <t>Soissons</t>
  </si>
  <si>
    <t>Capronis 105,126,119,130.  #104 bombed Soissons &amp; F-en-T in the same sortie.  Since I'm estimating bomb wgts and #s anyway, I'm assuming 104 dropped half its load (4x200mm) on each target.</t>
  </si>
  <si>
    <t>Capronis 129.  #104 bombed Soissons &amp; F-en-T in the same sortie.  Since I'm estimating bomb wgts and #s anyway, I'm assuming 104 dropped half its load (4x200mm) on each target.</t>
  </si>
  <si>
    <t>Villers-sur-Bruyère</t>
  </si>
  <si>
    <t>Caproni 117.</t>
  </si>
  <si>
    <t>Caproni 120 bombed Laon RR Stn as part of recon of La Fère, Coucy, Soissons, Oulchy, Villeneuve (home airfield).</t>
  </si>
  <si>
    <t>Estrees-an-Chaussee; Roye</t>
  </si>
  <si>
    <t>Airfield; RR stn</t>
  </si>
  <si>
    <t>Set fires at airfield &amp; RR stn. Also attacked on this nite (or 7/8 June - text unclear) a big gun that was firing on Paris. Blew up munitions depot on 1 of those 2 nites at Hangest-en-Santerre. 1 bomber missing from airfield raid.</t>
  </si>
  <si>
    <t>Martel 344</t>
  </si>
  <si>
    <t>AA fire 0100-0123. [CHANGED RAID TO ALERT -SCS]</t>
  </si>
  <si>
    <t>BRITISH SURVEY: "The bombs fell on private property, causing slight damage."</t>
  </si>
  <si>
    <t>Results of Air Raids on Germany, A.M., p.27</t>
  </si>
  <si>
    <t>Factories,Stn,Barracks</t>
  </si>
  <si>
    <t>Azelot</t>
  </si>
  <si>
    <t>G.K. Williams Summary &amp; K. Rennles, Independent Force</t>
  </si>
  <si>
    <t>Thion.,Metz-S.,Maizieres</t>
  </si>
  <si>
    <t>Rail &amp; Blast Furnace</t>
  </si>
  <si>
    <t>Stn and Sidings</t>
  </si>
  <si>
    <t>Thion.,Moulin-les-Metz</t>
  </si>
  <si>
    <t>Rail Triangle</t>
  </si>
  <si>
    <t>Soissons, Jonchery, Magneux, Courmelles, Fismes, Breuil, Grugny, Courmelles, St-Etienne, Suippes (S of); Brueil; Berzy to Chaudon</t>
  </si>
  <si>
    <t>Camps; RR stn; Convoy</t>
  </si>
  <si>
    <t>War Diary mentions 16 Voisins Renault &amp; 1 Farman.  Apparently the latter flew a recce mission so it is not counted. 2 V.R.s flew 2 sorties.  [I'm inferring that most of these locations are cantonnements from the context; it does not say so explicitly.]  Over 300 rounds fired at searchlight and camps.  Started 2 fires at Soissons.</t>
  </si>
  <si>
    <t>St.Quentin &amp; Laon</t>
  </si>
  <si>
    <t>Capronis 119,118,129,104,126,105 bombed St.Quentin.  #117 bombed Laon &amp; St.Quentin.  If it becomes necessary to split out this record between the two targets, it would be reasonable to estimate that Laon received 4x120mm bombs (4x50 kg) and the other half of 117's load was dropped on St.Quentin.  4 Capronis left the ground at the same time and 6 left within 5 minutes of each other.</t>
  </si>
  <si>
    <t>CAP115 Log Images 0125-6</t>
  </si>
  <si>
    <t>RECORD IS PROBABLY INCORRECT. SAYS ALERT BEGAN 0100, LIGHTS OUT AT 1240, DANGER ENDED AT 0200.</t>
  </si>
  <si>
    <t>DURING ALERTS, RR TRAFFIC &amp; FACTORY &amp; FOUNDRY WORK STOPPED. 2 alerts: 0730-0800, 0905-0925.</t>
  </si>
  <si>
    <t>ALERT 0735-0755. "General traffic interruption. During the time of the air raid all workmen under shelter."</t>
  </si>
  <si>
    <t>Raid from 0753 - 0850 (all rail traffic stops).  41 people had property damage (12,452M); also damage to RR office buildings &amp; water tower (2755M).  Damage to Telegraph Battalion barracks and Ehrenbreitstein Fort barracks (5740M).</t>
  </si>
  <si>
    <t>478, 480, 481</t>
  </si>
  <si>
    <t>DURING ALERTS, BUSINESS &amp; STREETCARS STOPPED. RR TRAFFIC "PARTLY" STOPPED FOR THIS PARTICULAR ALERT.</t>
  </si>
  <si>
    <t>Two air raids; at 1600 and 1800.  No bombs fell inside station, but several were killed and wounded in Karlshuette during 1600 raid (9 bombs fell there).</t>
  </si>
  <si>
    <t>ALERT 1600-1615. "General traffic interruption. During the time of the air raid all workmen under shelter."</t>
  </si>
  <si>
    <t>AA fire 2330-0040. [CHANGED RAID TO ALERT -SCS]</t>
  </si>
  <si>
    <t>ALERT 2325-0110. "Engineer Einfall (sp?) fell from machine because of darkness and injured knee. General traffic interruption. During the time of the air raid all workmen under shelter."</t>
  </si>
  <si>
    <t>Bombs inside/outside foundry grounds: 9/1.  Manager &amp; machinist killed; 2 prisoners wounded.  Damage to oil containers, iron carriers, water &amp; gas pipes.  Gas machine operation stopped 2 days.  House badly damaged.  BRITISH SURVEY says 3 killed, 1 injured; 20,000M damage.</t>
  </si>
  <si>
    <t>ALERT ONLY. LOSS IN PRODUCTION OF IRON @ 498M PER TON. RAID THAT NIGHT IN SEPARATE RECORD.</t>
  </si>
  <si>
    <t>Bombs inside/outside foundry grounds: 1/0.  Record unclear; apparently demolition of 3 trains.  Destruction of workshop cast-iron windows, damage to corrogated sheet-iron roof; great glass damage.</t>
  </si>
  <si>
    <t>1 RAID ON THIS NIGHT (6/7 JUN 1918).  CASUALTIES &amp; DIRECT DAMAGE UNKNOWN. LOSS IN PRODUCTION OF IRON @ 498M PER TON. ALARM EARLIER THAT DAY LISTED IN SEPARATE RECORD.</t>
  </si>
  <si>
    <t>BRITISH SURVEY: "Slight damage was caused to private property."</t>
  </si>
  <si>
    <t>Bulk of damage to "Ferrosilizium furnaces"; a little to loose lines &amp; 1 ground cable. AMERICAN SURVEY calls it a night raid.  BRITISH SURVEY plots 3 bombs at Rombach from a 6 June day raid.</t>
  </si>
  <si>
    <t>NARA 990 Roll 58; AM Results…between pp.32-33</t>
  </si>
  <si>
    <t>ALERT - FACTORIES, BUSINESSES, STREETCARS STOPPED - AM/PM UNK: TIME 8.40-8.55</t>
  </si>
  <si>
    <t>Fismes; Jonchery, Vandeuil, Muizon, Montigny-sur-Vesle</t>
  </si>
  <si>
    <t>RR stn; Troops?</t>
  </si>
  <si>
    <t>Apparently 14 V.R. bombers and 2 Farman recce missions, tho this is not explicitly said. It is not clear whether all the targets were rail stns or just Fismes. [I'm assuming the latter.] Explosion at Fismes RR stn; fire at Vandeuil; 350+ rounds fired at convoy from 600 meters.</t>
  </si>
  <si>
    <t>GB1 War Diary 0197</t>
  </si>
  <si>
    <t>Caproni 118 bombed Attigny during recon of Attigny, Mezieres, Rethel. Altitude "2300m to 1500". Caproni 104 aborted mission with failure of forward engine.</t>
  </si>
  <si>
    <t>CAP115 Log Image 0126</t>
  </si>
  <si>
    <t>See GB8 for 5/6 June 1918.</t>
  </si>
  <si>
    <t>AA fire 0053-0102</t>
  </si>
  <si>
    <t>DURING ALERTS, RR TRAFFIC &amp; FACTORY &amp; FOUNDRY WORK STOPPED. 2 alerts: 0755-0830, 1105-1120.</t>
  </si>
  <si>
    <t>Merzlich</t>
  </si>
  <si>
    <t>Combination of 2 records, plus microfilm (# bombs).  Damage to RR main line, RR shops, and property of 35 people in Merzlich.  2 women &amp; 3 children killed in Merzlich.  Railroads at Karthaus &amp; Conz: 2 bombs on main line (2043M &amp; 48 hours of detours); 20,000M damage to round house; 1 man killed.</t>
  </si>
  <si>
    <t>(near Conz and Karthaus)</t>
  </si>
  <si>
    <t>435, NARA 990 (Roll 58)</t>
  </si>
  <si>
    <t>ALERTS 1955-2010, 2310-2350. "General traffic interruption. During the time of the air raid all workmen under shelter."</t>
  </si>
  <si>
    <t>BRITISH RECORD SAYS 1 BOMB FELL.</t>
  </si>
  <si>
    <t>AM, p.11</t>
  </si>
  <si>
    <t>2 DAYTIME ALERTS. LOSS IN PRODUCTION OF IRON @ 498M PER TON.</t>
  </si>
  <si>
    <t>Raids at 11:30 and 1:00 to 2:00  - AM/PM not specified.  Station &amp; tracks undamaged but bombs hit city and lower Yutz.</t>
  </si>
  <si>
    <t>Trier (E. Trier RR)</t>
  </si>
  <si>
    <t>[Curiously, RR record only; no Trier city record or microfilm record.]  1 bomb on telegraph lines.  No delays.</t>
  </si>
  <si>
    <t>Factories &amp; Rail Stn</t>
  </si>
  <si>
    <t>G.K. Williams Summary &amp; Rennles</t>
  </si>
  <si>
    <t>Amagne-Lucquy to Fismes, Fismes to Juniville, Eppes</t>
  </si>
  <si>
    <t>Regions</t>
  </si>
  <si>
    <t>Original target for V.R.s was Amagne-Lucquy RR stn; couldn't reach or find it due to weather and so attacked "regions" (troops, camps, etc.).</t>
  </si>
  <si>
    <t>Caproni 104, which also conducted a recon as far as Nezy-le-Conte. Caproni 129 aborted recon &amp; bombing of Mezieres, presumably due to mech trouble.</t>
  </si>
  <si>
    <t>(MICROFILM) RR STN REPORT: Attack 7:25PM - 10:15PM; AA fire 7:50 PM -10:15. "Bombs dropped on steel works. 1 person severely &amp; 5 slightly wounded." TELEGRAM: "June 8, 1918 …Today at 10:00AM, 9 enemy planes passed over the Railroad station and steel works from the South to the North-West. 4 bombs were dropped on the grade of the cement works and 2 in cement works. 1 person severely wounded and five others received slight injuries. Work not affected. Material damages slight.  Bf STAHL" [SOURCES DISAGREE ON MORNING OR EVENING - TELEGRAM TEXT IS MORE LIKELY TO BE CORRECT THAN ENTRY IN TABLE - SCS]</t>
  </si>
  <si>
    <t>384, 391, NARA 990</t>
  </si>
  <si>
    <t>ALERTS 0750-0815, 1000-1025. "General traffic interruption. During the time of the air raid all workmen under shelter."</t>
  </si>
  <si>
    <t>BRITISH SURVEY: "10 bombs fell near the Artillery barracks, doing slight damage. 1 bomb fell on Sablon East station, causing slight damage."</t>
  </si>
  <si>
    <t>Damage to "Lines along the pig-iron track"</t>
  </si>
  <si>
    <t>Factories &amp; Station</t>
  </si>
  <si>
    <t>Railways &amp; Factories</t>
  </si>
  <si>
    <t>Lassigny Mtns</t>
  </si>
  <si>
    <t>Forward Troop Positions</t>
  </si>
  <si>
    <t>2 bombers collided over target, 2 shot down (doesn't specify EA or AAA).</t>
  </si>
  <si>
    <t>Martel 345</t>
  </si>
  <si>
    <t>MAURER MAURER mentions attack on steel mills on this date (no details).  MICROFILM: AA fire 0815-0820. Bombs dropped near freight stn Kil. 171. Tracks #16,17 torn up.  3 cars derailed. TELEGRAM gives more detail, including: "…2 enemy planes have passed over the RR stn from the N to the SW and dropped 1 bomb at kil.171...Tracks #18 &amp; 23 cannot be used...Work not affected. No persons injured..." BRITISH SURVEY plotted 8 bombs.</t>
  </si>
  <si>
    <t>Hagondange (Rail Stn, Steel Mills)</t>
  </si>
  <si>
    <t>384, 391, NARA 990, AM Results… opposite p.13</t>
  </si>
  <si>
    <t>ALERT 0820-0835. "General traffic interruption. During the time of the air raid all workmen under shelter."</t>
  </si>
  <si>
    <t>DURING ALERTS, RR TRAFFIC &amp; FACTORY &amp; FOUNDRY WORK STOPPED. 2 alerts: 1000-1031, 1155-1215.</t>
  </si>
  <si>
    <t>ALERTS 1000-1020, 1200-1215. "General traffic interruption. During the time of the air raid all workmen under shelter."</t>
  </si>
  <si>
    <t># bombs and property damage from BRITISH SURVEY, which stated that 3 bombs fell on the stn, damaging the RR lines.</t>
  </si>
  <si>
    <t>NARA 990, AM Results… after p.10</t>
  </si>
  <si>
    <t>Ressons-sur-Matz, Orvillers, Elincourt, Marqueglise (area around)</t>
  </si>
  <si>
    <t>Troops and convoys</t>
  </si>
  <si>
    <t>This entry is a combined record of day raids on 10 &amp; 11 June - convoy of 60 artillery vehicles dispersed.  Joined by Brit. 9th Brigade.</t>
  </si>
  <si>
    <t>Soissons, Fismes, Juniville, Cramaille; Routes Fismes-St-Gilles &amp; Fismes-Jonchery</t>
  </si>
  <si>
    <t>Camps &amp; troops (presumably); convoys</t>
  </si>
  <si>
    <t>Cramaille ammo dump blown up by V.R.25 crew; fire at Fismes. [These raids are almost certainly included in the Escadre 11 raids below since GB1 was part of Escadre 11.]</t>
  </si>
  <si>
    <t>GB1 War Diary 0197-8</t>
  </si>
  <si>
    <t>Groupement Laurens</t>
  </si>
  <si>
    <t>Chaulnes (South of…)</t>
  </si>
  <si>
    <t>Blew up depot.</t>
  </si>
  <si>
    <t>Martel 346</t>
  </si>
  <si>
    <t>Caproni 104 - also flew reconnaissance of this target in the same mission</t>
  </si>
  <si>
    <t>36 sorties total against 7 targets this night. Modified this record by subtracting bomb wgt for CAP115 on this target this night.</t>
  </si>
  <si>
    <t>SHAA - G.A.N. Summary of Operations for 9-15 June 1918</t>
  </si>
  <si>
    <t>Machault - Juniville</t>
  </si>
  <si>
    <t>36 sorties total against 7 targets this night.</t>
  </si>
  <si>
    <t>Roye s/ Matz, Lataule</t>
  </si>
  <si>
    <t>Troops, artillery, convoys</t>
  </si>
  <si>
    <t>Bombed &amp; machine-gunned 1050-1115 many targets around those towns. Don't know bombing altitude, but they strafed at 200 - 500 meters. 3000 rounds fired.</t>
  </si>
  <si>
    <t>GB4 War Diary Images 0050-51</t>
  </si>
  <si>
    <t>Ressons s/ Matz, Cuvilly, La Neuville</t>
  </si>
  <si>
    <t>Troops, rail stn, bivouacs, convoys</t>
  </si>
  <si>
    <t>2nd Breguet mission of the day bombed 1745-1810.  4200 rounds fired. Attacked by EA; 1 Breguet shot down in French lines with observer badly wounded.</t>
  </si>
  <si>
    <t>GB4 War Diary Images 0053-54</t>
  </si>
  <si>
    <t>US96</t>
  </si>
  <si>
    <t>Dommary-Baroncourt (WNW of Metz)</t>
  </si>
  <si>
    <t>1st USAS RAID - 3 landed with empty fuel tanks (no damage) - used 115mm short bombs - bursts seen in RR yards &amp; trail of bombs extended to warehouses beyond the tracks - Looking at German records indicates no air defenses alerted (where I have records) in response to this raid.</t>
  </si>
  <si>
    <t>Amanty</t>
  </si>
  <si>
    <t>Gorrell E14 p.7 (fold3.com)</t>
  </si>
  <si>
    <t>d'Orvillers-Sorel; Mortemer; Chateau de Sechelle</t>
  </si>
  <si>
    <t>Troops, villages, trenches, crossroads</t>
  </si>
  <si>
    <t>2 formations of Breguets bombed 1700-1710. Fired 2100 rounds.  Attacked by ~15 triplanes.</t>
  </si>
  <si>
    <t>Orvillers,Sorel,Mortemer, Parc de Sechelles</t>
  </si>
  <si>
    <t>THIS RECORD OVERLAPS WITH THE ONE ABOVE SINCE GB4 WAS PART OF GROUPEMENT FEQUANT.</t>
  </si>
  <si>
    <t>Ressons-sur-Matz</t>
  </si>
  <si>
    <t>Presumably troops</t>
  </si>
  <si>
    <t>Shot down 3 EA.</t>
  </si>
  <si>
    <t>Guignicourt, Neufchatel, Jonchery, Fere-en-Tardenois, Berticourt, Lavannes, Warmeriville, Bazancourt; St-Remy-le-Petit</t>
  </si>
  <si>
    <t>Camps; Bivouacs</t>
  </si>
  <si>
    <t>Mission 2215-0320. 26 V.R. bombers - 2 made 2 sorties.  Strong explosion &amp; fire at Bertricourt. 1 crew attacked a car with 400 rounds from 400m altititude.</t>
  </si>
  <si>
    <t>GB1 War Diary 0198</t>
  </si>
  <si>
    <t>Capronis 121 (1st mission), 120, 105, 117. Am subtracting bomb wgt from Soisson rail stn total even though I know for certain that only Caproni 105 hit the station. None or some or all of the others might have hit bivouacs.</t>
  </si>
  <si>
    <t>CAP115 Log Images 0126-7</t>
  </si>
  <si>
    <t>Mont Notre Dame</t>
  </si>
  <si>
    <t>Caproni 104 (twice). Am subtracting its bomb wgt from Escadre 11 total.</t>
  </si>
  <si>
    <t>Caproni 126.  Bomb wgt confirmed in Escadre 11 summary.</t>
  </si>
  <si>
    <t>CAP115 Images 0126-7 &amp; SHAA - G.A.N. Summary of Operations for 9-15 June 1918</t>
  </si>
  <si>
    <t>64 sorties total against 7 targets this night.</t>
  </si>
  <si>
    <t>Mont-N-Dame</t>
  </si>
  <si>
    <t>64 sorties total against 7 targets this night.  Have modified record by subtracting CAP115 bomb wgt.</t>
  </si>
  <si>
    <t>Jonchery</t>
  </si>
  <si>
    <t>64 sorties total against 7 targets this night. Have modified record by subtracting CAP115 bomb wgt since that is in a separate record.</t>
  </si>
  <si>
    <t>BRITISH SURVEY: "The Metz-Ars and Metz-Moulins rail lines were torn up and displaced for a length of 60 yards. 5 branch lines were damaged. 1 engine and several goods trucks were very badly damaged. Traffic was interrupted for 10 hours. 5 bombs fell in the barracks, doing important damage. Another bomb hit a commissariat depot, doing slight damage."</t>
  </si>
  <si>
    <t>NARA 990 Roll 58; AM "Results…" p.27</t>
  </si>
  <si>
    <t>ALERT ONLY @ 6:45 - AM/PM NOT GIVEN - RECORD ESTIMATES TIME LOST @ 20 MIN</t>
  </si>
  <si>
    <t>Usines Dillenger Hutton W</t>
  </si>
  <si>
    <t>Br.9th Brigade</t>
  </si>
  <si>
    <t>Orvillers,Sorel</t>
  </si>
  <si>
    <t>Guignicourt, Juniville, Bazancourt, Bermericourt, Boutgogne, Aguilcourt, Orainville; Courcy (wood)</t>
  </si>
  <si>
    <t>Villages; bivouacs</t>
  </si>
  <si>
    <t>Mission 2140-0100. V.R. bombers. Probably some overlap with Escadre 11 list of targets.</t>
  </si>
  <si>
    <t>Fismes, Breuil-sur-Vesle, Soissons</t>
  </si>
  <si>
    <t>THIS RECORD DOUBLE-COUNTS BOMB WGT DROPPED ON FISMES &amp; SOISSONS.  Caproni 105 bombed Fismes; 117 bombed Fismes &amp; Breuil-sur-Vesle; 130 bombed Soissons &amp; Fismes.  It was not possible to subtract the bomb wgt totals from these three sorties from the Escadre 11 summary totals.</t>
  </si>
  <si>
    <t>CAP115 Log Image 0127</t>
  </si>
  <si>
    <t>Le Chatelet</t>
  </si>
  <si>
    <t>60 sorties total against 10 targets this night.</t>
  </si>
  <si>
    <t>Mézières</t>
  </si>
  <si>
    <t>Neuchatel</t>
  </si>
  <si>
    <t>Retourne &amp; Aisne Valleys</t>
  </si>
  <si>
    <t>Troop Billets &amp; Bivouacs</t>
  </si>
  <si>
    <t>Trier (City &amp; Edward Laeis &amp; Co)</t>
  </si>
  <si>
    <t>Raid from 0820 - 0902.  Combines reports from city and factory machinery/munitions company.  20 bombs in north of city; damage to 57 buildings &amp; houses.  Greatest damage to a hospital and the gas works.  "26 people have failed to report amount of their damages."  1 person paid 100M as charity (in "Other" costs).  One large bomb fell in Edward Laeis &amp; Co foundry.  Repairs shut down factory for a week and cost 120,000M.  Took 5 months to regain full production; loss of 360,000M (under "Other" costs).</t>
  </si>
  <si>
    <t>ALERT 0835-0855. "General traffic interruption. During the time of the air raid all workmen under shelter."</t>
  </si>
  <si>
    <t>RAIDS 0845-0910, 1105-1155.  # BOMBS &amp; PROPERTY DAMAGE FROM BRITISH SURVEY, WHICH REPORTS AN EMPLOYEE SAID 1 BOMB HIT &amp; DEMOLISHED PRINCIPAL WATER MAIN. ALSO 2 BOMBS BURST NEAR FACTORY.</t>
  </si>
  <si>
    <t>ALERT 0928-0950. "General traffic interruption. During the time of the air raid all workmen under shelter."</t>
  </si>
  <si>
    <t>DURING ALERTS, RR TRAFFIC &amp; FACTORY &amp; FOUNDRY WORK STOPPED. 2 alerts: 1127-1143, 1148-1215.</t>
  </si>
  <si>
    <t>Work stopped in factories, businesses, &amp; shops during alerts. 2 alerts - 1128-1154, 1157-1202.</t>
  </si>
  <si>
    <t>RAIL STN RECORDS ON MICROFILM: AA fire 2130-2135. About midnight, 4 bombs dropped SE of steel works; no damage.  13 JUNE RR TELEGRAM SAYS ATTACK WAS "Today at 12:00, noon," BUT "NOON" WAS TYPED IN LATER; SO IT MAY BE INCORRECT.  BRITISH SURVEY PLOTTED 7 BOMBS FROM A DAY RAID.</t>
  </si>
  <si>
    <t>Hagondange (Steel Mills, Rail Stn)</t>
  </si>
  <si>
    <t>ALERT 1200-1224. "General traffic interruption. During the time of the air raid all workmen under shelter."</t>
  </si>
  <si>
    <t>ALERT ONLY. UNCERTAIN RECORD IS CORRECT - TIME MAY BE 0055 VICE 1255.</t>
  </si>
  <si>
    <t>Raid 7:00 to 8:00 - AM/PM not specified.  No bombs dropped in station.</t>
  </si>
  <si>
    <t xml:space="preserve">T.O. 1750; ATR 1950 </t>
  </si>
  <si>
    <t>Total abort due to bad WX. 3 bad crashes.</t>
  </si>
  <si>
    <t>GB1 War Diary 0198-9</t>
  </si>
  <si>
    <t>AA fire 2345-2400, 0220-0340. [CHANGED RAID TO ALERT -SCS]</t>
  </si>
  <si>
    <t>ALERTS 2350-0020, 0032-0042. "General traffic interruption. During the time of the air raid all workmen under shelter."</t>
  </si>
  <si>
    <t>Raid 12:00 to 2:00 - AM/PM not specified.  No bombs dropped in station.</t>
  </si>
  <si>
    <t>ALERTS 0045-0055, 0125-0135. DATE/TIME CONFUSION - MAY HAVE OCCURRED 24 HOURS EARLIER.</t>
  </si>
  <si>
    <t>ALERT 0430-0500. "General traffic interruption. During the time of the air raid all workmen under shelter."</t>
  </si>
  <si>
    <t>Bombers attacked by 30 EA of Richthofen's group - shot down 1 EA.</t>
  </si>
  <si>
    <t>AA fire 0425-0510. [CHANGED RAID TO ALERT -SCS]</t>
  </si>
  <si>
    <t>Alarm only, NO RAID, about 4:40  - AM/PM not specified.</t>
  </si>
  <si>
    <t>Ricquebourg,Roye,Conchy-les-Pots</t>
  </si>
  <si>
    <t>Same area - unspecified</t>
  </si>
  <si>
    <t>T.O. 1817; ATR 2037 - 4 direct hits on tracks. [Probably caused 2050-2100 Thionville alert. - SCS]</t>
  </si>
  <si>
    <t>Merfy, Brimont, Witry-les-Reims,Nogent-l'Abesse</t>
  </si>
  <si>
    <t>Convoys, Troop Billets, Bivouacs</t>
  </si>
  <si>
    <t>SHAA - G.A.N. Summary of Operations for 16-30 June 1918</t>
  </si>
  <si>
    <t>Valley of the Ardre</t>
  </si>
  <si>
    <t>Jonchery, Faverolles, Crugny, Fismes, Guignicourt, Juniville, Muizon, Hermonville, Fresnes, Rosnay</t>
  </si>
  <si>
    <t>Villages</t>
  </si>
  <si>
    <t>GB1 War Diary 0199</t>
  </si>
  <si>
    <t>Some discrepancies between War Diary and G.A.N. summaries. Also, summaries called these day raids. Caused fire &amp; explosion at Rosnay.</t>
  </si>
  <si>
    <t>Hermonville</t>
  </si>
  <si>
    <t>ALERTS 2050-2100, 0430-0440. "General traffic interruption. During the time of the air raid all workmen under shelter."</t>
  </si>
  <si>
    <t>Locomotive destroyed.</t>
  </si>
  <si>
    <t>2 ALERTS, 7:30 &amp; 9:55, AM/PM NOT GIVEN - RECORD ESTIMATES TIME LOST AT 20 MIN EACH</t>
  </si>
  <si>
    <t>2 raids the same day, started numerous fires.</t>
  </si>
  <si>
    <t>Bouleuse, La Cense, Bonnemaison; Fismes; Grugny, Rosnay, Hourges (wood west of), Jonchery (region); Courville</t>
  </si>
  <si>
    <t>Airfields; RR stn; Bivouacs; Camps</t>
  </si>
  <si>
    <t>Attacked airfields on Aisne-Marne front</t>
  </si>
  <si>
    <t>La Cense</t>
  </si>
  <si>
    <t>Record listed this incorrectly as a day raid</t>
  </si>
  <si>
    <t>Bonne-Maison</t>
  </si>
  <si>
    <t>G.K. Williams Summary &amp; Rennles, p.26</t>
  </si>
  <si>
    <t>Rennles, p.266: EA "did not engage" but observers fired 762 rounds to keep them away.  Am NOT calling this an Air Fight.</t>
  </si>
  <si>
    <t>Escadre 12 (GB5,6,9)</t>
  </si>
  <si>
    <t>Courchamps &amp; Bonnes</t>
  </si>
  <si>
    <t>Bad weather. On Courchamps: 6xIncendiaries D.V. and 14x115 long = 353kg. On Bonnes: 16x90mm = 152kg.</t>
  </si>
  <si>
    <t>1st Brigade Image 0006</t>
  </si>
  <si>
    <t>Senzy, Prin, Crugny; Courville, Pont Faverger, Lavannes; Ardre valley; La Cense, Bonnemaison</t>
  </si>
  <si>
    <t>Camps; Villages; Bivouacs; Airfields</t>
  </si>
  <si>
    <t>GB1 War Diary 0199-0200</t>
  </si>
  <si>
    <t>Started 2 fires at Courville and 1 (a hanger) at Bonne-Maison. Fired 200 rounds at searchlight; 400 rounds at Courville village. 24 planes; 2 flew 2 sorties.</t>
  </si>
  <si>
    <t>Summary said or implied incorrectly this was a day raid.</t>
  </si>
  <si>
    <t>1 dud - TIMES OUT OF ORDER - MAY BE WRONG OR JUST RECORDS OF 2 DIFFERENT STNS</t>
  </si>
  <si>
    <t>TIMES OUT OF ORDER - MAY BE WRONG OR JUST RECORDS OF 2 DIFFERENT STNS</t>
  </si>
  <si>
    <t>BRITISH SURVEY - "At 8:45 pm, 5 bombs dropped at Sablons, track No.86 damaged, several lines rendered unserviceable. Several trucks seriously damaged. No stoppage of traffic. At 1:30 am, 5 bombs dropped on Workshops. Only slight damage to buildings. 500 marks damage."</t>
  </si>
  <si>
    <t>100 Sqn History, p.116</t>
  </si>
  <si>
    <t>ALERTS 2050-2100, 2140-2150. "General traffic interruption. During the time of the air raid all workmen under shelter."</t>
  </si>
  <si>
    <t>Raid about 10:00 - AM/PM not specified.  No bombs in station.</t>
  </si>
  <si>
    <t>Metz-Sablon &amp; Dillingen</t>
  </si>
  <si>
    <t>Railways &amp; Foundaries</t>
  </si>
  <si>
    <t>Foundaries &amp; Station</t>
  </si>
  <si>
    <t>Dillingen &amp; Saarbrucken</t>
  </si>
  <si>
    <t>Factories &amp; Railways</t>
  </si>
  <si>
    <t>Courchamps</t>
  </si>
  <si>
    <t>Numerous strikes seen in the village.</t>
  </si>
  <si>
    <t>1st Brigade Image 0008</t>
  </si>
  <si>
    <t>AA fire 0040-0300. [CHANGED RAID TO ALERT -SCS]</t>
  </si>
  <si>
    <t>DATE/TIME CONFUSION - RAID MAY HAVE OCCURRED 12 HOURS LATER</t>
  </si>
  <si>
    <t>ALERT 1200-1220. "General traffic interruption. During the time of the air raid all workmen under shelter."</t>
  </si>
  <si>
    <t>AA fire 2355-0005. [CHANGED RAID TO ALERT -SCS]</t>
  </si>
  <si>
    <t xml:space="preserve">BRITISH SURVEY said rail traffic suspended 6 hours (Air Ministry, p.34).  Plotted 14 bombstrikes on Saarbrucken map.  Says damage estimated at 40,000M.  (Damage to Malstatt station &amp; other RR property.  6 bombs on Burbach Works, causing little damage.) </t>
  </si>
  <si>
    <t>438; AM Results…pp.34ff</t>
  </si>
  <si>
    <t>Hits in RR yard; damage to tracks, office building and shop.</t>
  </si>
  <si>
    <t>BRITISH SURVEY: "Slight damage to the value of 500M was done to the Montigny railway workshops."</t>
  </si>
  <si>
    <t>Residence damaged.</t>
  </si>
  <si>
    <t>Railway Stn &amp; Barracks</t>
  </si>
  <si>
    <t>Munitions Factories</t>
  </si>
  <si>
    <t>"Probably struck at eastern end of RR yards, visibility very poor."</t>
  </si>
  <si>
    <t>Etrepilly and Bezu</t>
  </si>
  <si>
    <t>Combat with L.V.G. C.V at 3800m west of Chateau Thierry - hit but lost in clouds.</t>
  </si>
  <si>
    <t>1st Brigade Image 0010</t>
  </si>
  <si>
    <t>Boulay; SE of Remilly</t>
  </si>
  <si>
    <t>Aerodrome; Rail Jtn</t>
  </si>
  <si>
    <t>Boulay [Bolchen]</t>
  </si>
  <si>
    <t>SE of Remilly</t>
  </si>
  <si>
    <t>Metz-Sablon &amp; Ars</t>
  </si>
  <si>
    <t>Rail Triangle &amp; Stn</t>
  </si>
  <si>
    <t>Ars</t>
  </si>
  <si>
    <t>Bonne-Maison, Ste-Genevieve Farm, Mont-St-Martin, La Cense; St-Gilles; Brancourt, Courcelles, Jonchery, Rosnay, Traery ?, Bouleuse, Crouilly, Caurel</t>
  </si>
  <si>
    <t>Airfields; Camps; Villages</t>
  </si>
  <si>
    <t>Voisin10 &amp; Breguet16</t>
  </si>
  <si>
    <t>GB1 War Diary 0200 &amp; Nilsson, OTF 1/4, p.316</t>
  </si>
  <si>
    <t>30 bombers - 27 Voisin-Renault &amp; 3? Breguets; Nilsson says GB1 evaluated 2 Breguet 16 Bn2's this night. Fired 600 rounds at B-M airfield &amp; started fires there.</t>
  </si>
  <si>
    <t>Mont-St-Martin</t>
  </si>
  <si>
    <t>Crugny</t>
  </si>
  <si>
    <t>It is possible that this record and the CAP115 Soissons raid are the same - the two are only 30 km apart.</t>
  </si>
  <si>
    <t>Caproni 105. It is possible that this record and the GB2 Crugny raid are the same - the two are only 30 km apart.  This may be the shortest Caproni raid ever conducted.</t>
  </si>
  <si>
    <t>CAP115 Log Image 0128</t>
  </si>
  <si>
    <t>South of Fismes</t>
  </si>
  <si>
    <t>Caproni 117. This raid on an unspecified battlefield (CAP115 Log) must be the same as the GB2 record.</t>
  </si>
  <si>
    <t>CAP115 Image 0128 &amp; SHAA - G.A.N. Summary of Operations for 16-30 June 1918</t>
  </si>
  <si>
    <t>Quatrechamps</t>
  </si>
  <si>
    <t>Caproni 121. Also conducted recon of Vouziers, Sedan, Mezières in same mission.</t>
  </si>
  <si>
    <t>Villers-sur-Fère</t>
  </si>
  <si>
    <t>Caproni 120.</t>
  </si>
  <si>
    <t>ALERTS AT 6:16AM &amp; 7:30[?] - RECORD ESTIMATES TIME LOST AT 20 MIN EACH</t>
  </si>
  <si>
    <t>ALERTS 0735, 0825. SEE KAISERSLAUTERN, 12APR1918 FOR DETAILS</t>
  </si>
  <si>
    <t>BRITISH SURVEY said 4 killed, 8 wounded seriously, 8 wounded slightly. 18 bombstrikes plotted.  (Air Ministry, p.34)</t>
  </si>
  <si>
    <t>BRITISH SURVEY: "According to the official report, the bombs fell on private property, doing considerable damage. 1 bomb fell in the yard of the waterworks but only caused slight damage." WIA says 1 killed; 250,000M damage.</t>
  </si>
  <si>
    <t>Results of Air Raids on Germany, A.M., p.16</t>
  </si>
  <si>
    <t>Railway Workshops</t>
  </si>
  <si>
    <t>Railway Stns &amp; Factories</t>
  </si>
  <si>
    <t>Rennles, p.33: Two reports in the PRO give very different altitudes: 13,500 and 15,500 ft.  Am sticking with the number from George.</t>
  </si>
  <si>
    <t>Epieds to Charteves</t>
  </si>
  <si>
    <t>Convoy</t>
  </si>
  <si>
    <t>Only two planes went out due to violent winds.</t>
  </si>
  <si>
    <t>1st Brigade Image 0014</t>
  </si>
  <si>
    <t>Only two planes went out due to violent winds. Reported a fire in Norroy at time of bombing, apparently the bomber caused it.</t>
  </si>
  <si>
    <t>Montceau-le-Wast</t>
  </si>
  <si>
    <t>Guignicourt &amp; St. Etienne</t>
  </si>
  <si>
    <t>La Maison Bleue</t>
  </si>
  <si>
    <t>Boulay,Mannheim,Saarbrkn</t>
  </si>
  <si>
    <t>Aerodrome,Rail,BASF</t>
  </si>
  <si>
    <t>Factories &amp; Sidings</t>
  </si>
  <si>
    <t>Boulay</t>
  </si>
  <si>
    <t>Excellent visibility - attacked single target. All planes Voisins-Renault. Fired 400 rounds at searchlight. Fire started.</t>
  </si>
  <si>
    <t>GB1 War Diary 0200-1 &amp; SHAA - G.A.N. Summary of Operations for 16-30 June 1918</t>
  </si>
  <si>
    <t>Not in War Diary. Summary said or implied incorrectly that this was a day raid.</t>
  </si>
  <si>
    <t>Mohon</t>
  </si>
  <si>
    <t>Caproni 121.  Also conducted recon of Vouziers, Mézières, Mohon in same mission.</t>
  </si>
  <si>
    <t>Capronis 118, 101,105. Bomb wgt estimated by calculating 0.75 of 3850, total dropped by 3 CAP115 Capronis and 1 GB18 Caproni. Caproni 105 also conducted recon of Ourcq Valley as part of this mission.</t>
  </si>
  <si>
    <t>GB18 (It.)</t>
  </si>
  <si>
    <t>Original GB2 record adjusted. It had 4 Capronis, 3 of GB2/CAP115 and 1 of GB18 dropping a total of 3850 lbs.  This adjustment broke out the two Groupes.</t>
  </si>
  <si>
    <t>AT LEAST 1 RAID &amp; ALERTS @ 0207-0230, 0210-0315, 0328-0343. "Train #7771 was fired upon with machine gun at Endorf, whereby Engineer Paul Miller was wounded in lower thigh. General traffic interruption. During the time of the air raid all workmen under shelter."</t>
  </si>
  <si>
    <t>ANOTHER POSSIBLE INTERPRETATION OF THESE GARBLED RECORDS IS THAT THIS RAID TOOK PLACE 24 HOURS EARLIER.</t>
  </si>
  <si>
    <t>Remilly</t>
  </si>
  <si>
    <t>Bombs dropped by several hostile planes on stretch from Remelach to Metz, 100 m N of stn. No injuries or track damage.</t>
  </si>
  <si>
    <t>Remelach</t>
  </si>
  <si>
    <t>4 duds</t>
  </si>
  <si>
    <t>Work stopped in factories, businesses, &amp; shops during alerts. 3 alerts - 1147-1203, 1213-1239, 1320-1328.</t>
  </si>
  <si>
    <t>ALERTS 1325, 1454. SEE KAISERSLAUTERN, 12APR1918 FOR DETAILS</t>
  </si>
  <si>
    <t>No AA fire - PRESUMABLY ONLY AN ALERT</t>
  </si>
  <si>
    <t>Attack "with intervals" of calm 2325-0215. No AA fire. [CHANGED RAID TO ALERT -SCS]</t>
  </si>
  <si>
    <t>BRITISH SURVEY: "The official report states that 1 bomb fell in the shunting stn, damaging the lines. Several bombs fell in or near the town waterworks, damaging a regulator. Other bombs fell near the Durlach Electricity Works and the factory of Unterburg &amp; Co, but did no damage."</t>
  </si>
  <si>
    <t>BASF &amp; Oppau</t>
  </si>
  <si>
    <t>FROM BRITISH BOMBING SURVEY - Air Ministry "Results of Air Raids on Germany", p.21.  [ORIGINAL INFO FROM GERMAN PLOT OF BOMB STRIKES AND OTHER OFFICIAL REPORT.]  1 bomb fell on shop at N end of BASF; 4 fell on Oppau.  Damage to Oppau southern gasometers; saltpetre acid works partly destroyed.  Combined damage to both plants of 58,300M.  WIA says 1 killed.</t>
  </si>
  <si>
    <t>Ludwig-shafen</t>
  </si>
  <si>
    <t>Thionville (east of...)</t>
  </si>
  <si>
    <t>Railway Workshops &amp; Stn</t>
  </si>
  <si>
    <t>Bois de Barsillon (NE of Chateau Thierry)</t>
  </si>
  <si>
    <t>The Service Aéronautique of the VI Armée reported that this wood was full of German troops and directed them to bomb it. Many bombstrikes inside the woods but could not see results due to smoke and trees.</t>
  </si>
  <si>
    <t>1st Brigade Images 0016-7</t>
  </si>
  <si>
    <t>Marchais</t>
  </si>
  <si>
    <t>Loivre</t>
  </si>
  <si>
    <t>Boulay,Metz-S.,Contillon</t>
  </si>
  <si>
    <t>Aerodrome, Rail, Train</t>
  </si>
  <si>
    <t>Contillon (east of...)</t>
  </si>
  <si>
    <t>Fere en Tardenois, Asfeld, Neufchatel, Crugny; Hermonville</t>
  </si>
  <si>
    <t>Villages; ammo dump</t>
  </si>
  <si>
    <t>GB1 War Diary 0201</t>
  </si>
  <si>
    <t>"Explosion of a munitions depot at Fère-en-T. and at Hermonville." Note that War Diary and Summary bomb wgt totals don't add up.</t>
  </si>
  <si>
    <t>Summary record said day raid.</t>
  </si>
  <si>
    <t>Amencourt</t>
  </si>
  <si>
    <t>St. Gilles</t>
  </si>
  <si>
    <t>Caproni 121. Did recon of Mézières, Sédan, Amagne-Lucquy in same mission.</t>
  </si>
  <si>
    <t>CAP115 Image 0129 &amp; SHAA - G.A.N. Summary of Operations for 16-30 June 1918</t>
  </si>
  <si>
    <t>Capronis 118,101, &amp; 105, which also did recon of the Ourcq Valley. Bomb wgt estimated based on total for GB2 (4 planes) and GB18 (3 planes)</t>
  </si>
  <si>
    <t>Adjusted original GB2 &amp; GB18 record by pulling out GB2's part of it - 4 of the 7 Capronis.  Total bomb wgt known (2974 kg) and assume each of the 7 planes carried the same load.</t>
  </si>
  <si>
    <t>ALERTS 0010-0020, 0145-0155.  ANOTHER POSSIBLE INTERPRETATION OF THESE GARBLED RECORDS IS THAT THESE ALERTS TOOK PLACE 24 HOURS EARLIER.</t>
  </si>
  <si>
    <t xml:space="preserve">Raid 0120 - 0145.  Most bombs fell in chem factory.  "Other" cost from AA guns to RR property. Direct damages to BASF in 22 raids was 519,310M; 14 killed.  Each raid or alert caused production losses in another 24 hour plant and in many city businesses. </t>
  </si>
  <si>
    <t>Bombs inside/outside foundry grounds: 0/2.  No damage.</t>
  </si>
  <si>
    <t>Ravines of Vauxbuin &amp; Saconin Breuil</t>
  </si>
  <si>
    <t>Many bomb strikes and fires seen in Saconin ravine and Vaux &amp; Saconin villages. Note extremely low altitude (1800 meters) for a day raid.</t>
  </si>
  <si>
    <t>1st Brigade Image 0020</t>
  </si>
  <si>
    <t>Roisy, Chatelet-sur-Retourne, Juniville, Epoye, Neuville-en-Tourne à Fuy, Lavannes, Bethienville, Bazencourt, Warmierville, Fismes</t>
  </si>
  <si>
    <t>War Diary &amp; Summary bomb wgts don't add up. Fire at Roisy; many hits at Juniville RR stn.</t>
  </si>
  <si>
    <t>Roisy</t>
  </si>
  <si>
    <t>La Neuville</t>
  </si>
  <si>
    <t>Chatelet-s-Retourne</t>
  </si>
  <si>
    <t>Caproni 121. Did recon of Vouziers, Mézières, Amagne-Lucquy, Lautay(?), Rethel in same mission.</t>
  </si>
  <si>
    <t>Caproni 105,118,120. Total GB2 bomb wgt for Soissons is correct. The CAP115 wgt is estimated using 3/5 of 4136 lbs total.</t>
  </si>
  <si>
    <t>GB2 record modified by subtracting CAP115's contribution. Total bomb wgt for Soissons is correct; non-CAP115 portion estimated as 2/5 of total.</t>
  </si>
  <si>
    <t>GB2 &amp; GB18 (It.)</t>
  </si>
  <si>
    <t>ALERT ONLY - RECORD ESTIMATES TIME LOST @ 20 MIN</t>
  </si>
  <si>
    <t>ALERT 0524-0622. "General traffic interruption. During the time of the air raid all workmen under shelter."</t>
  </si>
  <si>
    <t>Pontavert; Jonchery, Warmierville, Asfeld, Maison Bleue</t>
  </si>
  <si>
    <t>Village; Camps</t>
  </si>
  <si>
    <t>Reconnaissance mission on night of rest that also dropped bombs. War Diary &amp; Summaries disagree on target types.</t>
  </si>
  <si>
    <t>Summary said or implied this was a day raid.</t>
  </si>
  <si>
    <t>Pontavert</t>
  </si>
  <si>
    <t>Frescaty,Boulay,&amp; others</t>
  </si>
  <si>
    <t>Aerodromes,etc.</t>
  </si>
  <si>
    <t>Metz &amp; Bayonville</t>
  </si>
  <si>
    <t>Mezieres (SE of...)</t>
  </si>
  <si>
    <t>Shed</t>
  </si>
  <si>
    <t>Mannheim,Thion.,Metz-Sab.</t>
  </si>
  <si>
    <t>BASF, Rail targets</t>
  </si>
  <si>
    <t>Rail Works &amp; Sidings</t>
  </si>
  <si>
    <t>Liart</t>
  </si>
  <si>
    <t>Caproni 121, which seems to specialize in long-distance recon. Did recon of Sedan, Mézières, Vouziers, Rethel in same mission.</t>
  </si>
  <si>
    <t>Capronis 105, 120, and 118, which reported starting (seeing?) a fire at Soissons.  Total bomb wgt dropped on Soissons is correct from GB2 record.  Have estimated CAP115's contribution as 3/5 of 4488 lb.</t>
  </si>
  <si>
    <t>Original record adjusted by removing 3 CAP115 sorties and 3/5 of the reported bomb wgt dropped.  Can't tell whether the two Capronis were both from GB18 or if there had been one each from GB18 and GB2 (non-CAP115).</t>
  </si>
  <si>
    <t>ALERT 2230-0335. "Complete traffic interruption for 5 hours. General traffic interruption. During the time of the air raid all workmen under shelter."</t>
  </si>
  <si>
    <t>"5 bombs dropped on steel works Thyssen; only windows broken." AA fire 2345-2355, 0025-0045. TELEGRAM: "June 30, 1918…Today at 3:10AM, 4 bombs were dropped...[gives location of each one]…At the village west entrance many window panes broken. No personal injury. Work not affected…" [NOTE TIME AND BOMB TOTAL DISCREPANCIES BETWEEN RR RECORD AND RR TELEGRAM. WILL USE BRITISH SURVEY PLOT OF 12 BOMBS OVER ENTIRE AREA.]</t>
  </si>
  <si>
    <t>FROM BRITISH SURVEY: "The official report states that:- 1 bomb fell on the Palmin factory of Schlink &amp; Co. 1 bomb fell on the Kammer sluice. 3…on 2 ships in Neckar. 1…on the coal Neckar stn. 4…in warehouse yards belonging to various firms. 1…on the old town hall. Considerable damage was caused to buildings and material. The remaining bombs fell on private property." [MAP SHOWS NO BOMBS ON BASF THIS DATE.]  WIA, Appx XIII, says 5 killed, 16 injured, 151,000M damage.</t>
  </si>
  <si>
    <t>Results of Air Raids on Germany, p.21; WIA Appx. XIII</t>
  </si>
  <si>
    <t>FROM BRITISH BOMBING SURVEY - Air Ministry "Results of Air Raids on Germany", p.21.  [Not clear whether info saying it was a night raid on 29/30 June from plant officials or from British.  Ludwigshafen report cites raid at 0130 on 30 June.--SCS]  1 bomb hit BASF head office doing considerable damage to roof, several stories, and dining rooms - this damage not part of 180,000M listed.  That damage was for one house destroyed and 1 damaged in workmen's colony.</t>
  </si>
  <si>
    <t>Alarm only, NO RAID, about 12:00  - AM/PM not specified.</t>
  </si>
  <si>
    <t>Hagenau</t>
  </si>
  <si>
    <t>Rail Stn and Barracks</t>
  </si>
  <si>
    <t>According to Rennles, p.42, 1 plane aborted and a dropped its 230lb bomb just over the German lines (in addition to the bombs that hit Landau).</t>
  </si>
  <si>
    <t>Guignicourt, Fismes, Roisy, Warmierville</t>
  </si>
  <si>
    <t>GB1 War Diary 0201-2</t>
  </si>
  <si>
    <t>Incidental bombing conducted during reconnaissances. Target type &amp; bomb weight disagree between War Diary and Summaries. Fired 100 rounds at a convoy.</t>
  </si>
  <si>
    <t>Record said or implied incorrectly this was a day raid.</t>
  </si>
  <si>
    <t>Roizy</t>
  </si>
  <si>
    <t>Boulay,Thionville,Remilly</t>
  </si>
  <si>
    <t>Aerodrome, Rail, etc.</t>
  </si>
  <si>
    <t>Train,Convoy,AAA,Rail</t>
  </si>
  <si>
    <t>Remilly (SW of...)</t>
  </si>
  <si>
    <t>Searchlights, Rail Jtn</t>
  </si>
  <si>
    <t>Mannheim, etc.</t>
  </si>
  <si>
    <t>BASF, Rail Targets</t>
  </si>
  <si>
    <t>Rail Jtn &amp; Stn</t>
  </si>
  <si>
    <t>Wadgassen</t>
  </si>
  <si>
    <t>Glass Furnaces</t>
  </si>
  <si>
    <t>Thionville (E of...)</t>
  </si>
  <si>
    <t>Rail Workshops</t>
  </si>
  <si>
    <t>Noyant</t>
  </si>
  <si>
    <t>FULL NAME OF TARGET IS APPARENTLY NOYANT-ET-ACONIN</t>
  </si>
  <si>
    <t>Saponay</t>
  </si>
  <si>
    <t>Caproni 121, which seems to specialize in long-distance recon. Did recon of Vouziers, Sédan, Amagne-Lucquy in same mission.</t>
  </si>
  <si>
    <t>CAP115 Images 0129-30 &amp; SHAA - G.A.N. Summary of Operations for 16-30 June 1918</t>
  </si>
  <si>
    <t>Capronis 101, 117, 120.  Total bomb wgt dropped on Soissons is correct from GB2 &amp; GB18 record.  Have estimated CAP115's contribution as 3/4 of 3696 lb.</t>
  </si>
  <si>
    <t>Original record adjusted by removing 3 CAP115 sorties and 3/4 of the reported bomb wgt dropped.  This leaves one Caproni from GB18 and none from GB2.</t>
  </si>
  <si>
    <t>ANOTHER POSSIBLE INTERPRETATION OF THESE GARBLED RECORDS IS THAT THIS ALERT TOOK PLACE 24 HOURS LATER.</t>
  </si>
  <si>
    <t>Raid from 0836 - 0905.  Total damage in all 3 raids was 310,810M.  No breakout available by raid, nor was # of wounded listed.</t>
  </si>
  <si>
    <t xml:space="preserve">Raid 1320 - 1350.  Bombs on city &amp; chem factory. Direct damages to BASF in 22 raids was 519,310M; 14 killed.  Each raid or alert caused production losses in another 24 hour plant and in many city businesses. </t>
  </si>
  <si>
    <t>AA fire 0005-0130. [CHANGED RAID TO ALERT -SCS]</t>
  </si>
  <si>
    <t>Damage to switches and phone lines</t>
  </si>
  <si>
    <t>2 DAYTIME ALERTS. ALERT THAT NIGHT RECORDED SEPARATELY. LOSS IN PRODUCTION OF IRON @ 498M PER TON.</t>
  </si>
  <si>
    <t>FROM BRITISH BOMBING SURVEY - Air Ministry "Results of Air Raids on Germany", p.21.  [Not clear whether info saying it was a night raid on 30 June/1 July from plant officials or from British.--SCS]  4 bombs on workmen's cottages (1 used as a dugout); 1 on Friesenheimer Strasse.  PLOT OF BOMBS OPPOSITE PAGE 22 SHOWS 6 BOMBS THAT NIGHT.</t>
  </si>
  <si>
    <t>AM Results... p.21, p. after 22</t>
  </si>
  <si>
    <t>BRITISH SURVEY: 3 bombs fell near the main stn, causing slight damage. 1 bomb fell outside the post office, killing a postman."</t>
  </si>
  <si>
    <t>Results of Air Raids on Germany, p.28</t>
  </si>
  <si>
    <t>1 ALERT - 2 DAYTIME ALERTS EARLIER THAT DAY RECORDED SEPARATELY. LOSS IN PRODUCTION OF IRON @ 498M PER TON.</t>
  </si>
  <si>
    <t>Bombs fell at road of Thionville and factory</t>
  </si>
  <si>
    <t>Alarm only, NO RAID, about 7:30  - AM/PM not specified.</t>
  </si>
  <si>
    <t>Karthaus, Treves</t>
  </si>
  <si>
    <t>Railway, Workshops, Stn</t>
  </si>
  <si>
    <t>Railway, Workshops</t>
  </si>
  <si>
    <t>Railways &amp; Workships</t>
  </si>
  <si>
    <t>Boulay and Falkenburg</t>
  </si>
  <si>
    <t>Aerodrome &amp; Rail Stn</t>
  </si>
  <si>
    <t>Falkenburg</t>
  </si>
  <si>
    <t>Rail Stn &amp; Searchlights</t>
  </si>
  <si>
    <t>BASF and Rail Works</t>
  </si>
  <si>
    <t>BASF &amp; Oppau Works</t>
  </si>
  <si>
    <t>Rail Works</t>
  </si>
  <si>
    <t>Chatelet-sur-Retourne; Neuville-en-Tourne à Fuy, Fismes, Jonchery</t>
  </si>
  <si>
    <t>Village(s) &amp; Ammo Dump(s)</t>
  </si>
  <si>
    <t>GB1 War Diary 0202</t>
  </si>
  <si>
    <t>Target types not clear from text &amp; disagree with Summary records.  All 3 escadrilles participated: 25, 110, 114.</t>
  </si>
  <si>
    <t>SHAA - G.A.C. Summary of Operations for 1-15 July 1918</t>
  </si>
  <si>
    <t>La Neuville-en-Tourne-à-Fuy</t>
  </si>
  <si>
    <t>Les Annelles</t>
  </si>
  <si>
    <t>Caproni 120 - PROBABLY TARGET SHOULD BE Witry-lès-Reims</t>
  </si>
  <si>
    <t>CAP115 Log Image 0130 &amp; SHAA - G.A.C. Summary of Operations for 1-15 July 1918</t>
  </si>
  <si>
    <t>Caproni 121 - as usual, also did recon of Sedan, Mézières, Charleville</t>
  </si>
  <si>
    <t>Capronis 101,105,117,118,129. GB2/CAP115 and GB2 total bomb wgt for A-L is correct. Estimate CAP115's portion is 5/7 of the 5984lb total.</t>
  </si>
  <si>
    <t>GB2 record adjusted for CAP115 data. Though total GB2 A-L bomb wgt is correct, estimate the non-CAP115 GB2 total to be 2/7 of 5984 lb.</t>
  </si>
  <si>
    <t>La Neuville en-Tourne-à-Fuy</t>
  </si>
  <si>
    <t>Bray-sur-Somme, Peronne, Rosieres-en-Santerre</t>
  </si>
  <si>
    <t>4 raids, 1 per night, totaling 8265 kg &amp; 177 bombs dropped - DON'T BELIEVE # SORTIES IN RECORD</t>
  </si>
  <si>
    <t>SHAA - G.A.R. Summary of Operations for 1-15 July 1918</t>
  </si>
  <si>
    <t>Flavy, Foucaucourt, Estrées-en-Chaussée</t>
  </si>
  <si>
    <t>3 raids, 1 per night, totaling 3475 kg &amp; 70 bombs dropped - DON'T BELIEVE # SORTIES IN RECORD</t>
  </si>
  <si>
    <t>GB10</t>
  </si>
  <si>
    <t>3 raids, 1 per night, totaling 1955 kg &amp; 32 bombs dropped - DON'T TRUST # SORTIES</t>
  </si>
  <si>
    <t>Carrepui</t>
  </si>
  <si>
    <t>3 raids, 1 per night, totaling 3100 kg &amp; 41 bombs dropped - DON’T' TRUST # SORTIES</t>
  </si>
  <si>
    <t>ALERT 0000-0135. "General traffic interruption. During the time of the air raid all workmen under shelter."</t>
  </si>
  <si>
    <t>Raid 00:30 - 02:45 (specifically, night of 30JUN/1JUL1918).  No bombs in station.</t>
  </si>
  <si>
    <t>Raid from 0112 - 0227.  Total damage in all 3 raids was 310,810M.  No breakout available by raid, nor was # of wounded listed. [Date given as 30JUN, 1.12AM and listed after 30JUN, 8.36AM raid, so concluded raid was in early morning hours of 1JUL. The British survey corroborates this judgment. --SCS]</t>
  </si>
  <si>
    <t>459, NARA 990, AM Results… p. 18</t>
  </si>
  <si>
    <t>ALERTS 0730-0750, 0815-0830</t>
  </si>
  <si>
    <t>Raid from 0745 - 0855.  18 bombs in center and eastern part of city; damage to property of 29 persons.  13 [of them] didn't report damage.</t>
  </si>
  <si>
    <t>12 bombs in Moselle River, 1 on switch line track to Ehrang, and 4 in Conz, damaging property of 101 people. [Casualties, damage, and # bombs from microfilm]</t>
  </si>
  <si>
    <t>At 1130 bombs dropped 300 m to right of Remelach-Metz line; at 1215 bombs dropped 250 m left of line.  No tracks damaged, apparently no injuries.</t>
  </si>
  <si>
    <t>AA fire 0224-0239. [CHANGED RAID TO ALERT -SCS]</t>
  </si>
  <si>
    <t>BRITISH SURVEY: "Severe damage, value 15,000 marks, was caused to several lines and traffic was suspended for some time".</t>
  </si>
  <si>
    <t>DAYTIME ALERT. ALERT THAT NIGHT RECORDED SEPARATELY. LOSS IN PRODUCTION OF IRON @ 498M PER TON.</t>
  </si>
  <si>
    <t>1 ALERT - DAYTIME ALERT EARLIER THAT DAY RECORDED SEPARATELY. LOSS IN PRODUCTION OF IRON @ 498M PER TON.</t>
  </si>
  <si>
    <t>Line Sablon-Moselle bridge &amp; supporting wall destroyed.  2 rail lines damaged.  4 tracks out of commission 12, 30, 2, and 3 hours.</t>
  </si>
  <si>
    <t>Railway Sidings</t>
  </si>
  <si>
    <t>St-Morel, Challerange; Semide, Warmierville, Bethienville, St-Etiennes-à-Arnes, Pontavert, La Maison Bleue, Rosnay</t>
  </si>
  <si>
    <t>RR stns; Villages (apparently)</t>
  </si>
  <si>
    <t>Again, the targets at each location not clear from the text. Here I'm assuming Summary target types are correct, but I'm not entirely convinced. 200 rounds shot at targets E of Marvaux; fire started at Ste-Marie.</t>
  </si>
  <si>
    <t>St Morel</t>
  </si>
  <si>
    <t>La Maison-Bleue</t>
  </si>
  <si>
    <t>Bétheniville</t>
  </si>
  <si>
    <t>2 raids, 1 per night, totaling 6860 kg &amp; 148 bombs dropped - DON'T BELIEVE # SORTIES IN RECORD</t>
  </si>
  <si>
    <t>2 raids, 1 per night, totaling 3800 kg &amp; 88 bombs dropped - DON'T BELIEVE # SORTIES IN RECORD</t>
  </si>
  <si>
    <t>RAID &amp; POSSIBLY ALERT 0020-0050, 0227-0247. "Boiler damaged by bombardments."</t>
  </si>
  <si>
    <t>Raid from 0047 - 0157.  Most city businesses closed during air raids.</t>
  </si>
  <si>
    <t>DATE/TIME CONFUSION - MAY HAVE OCCURRED 24 HOURS EARLIER.</t>
  </si>
  <si>
    <t>Trier (City &amp; West Trier RR)</t>
  </si>
  <si>
    <t>Combination of 2 records: city and West Trier railroad.  Raid from 0950 - 1050.  8 bombs in northern part of city; damage of 2421M to property of 45 persons.  10 [of them] didn't report damage.  Railroad damage was coal supply set on fire (500M) and destruction of 2 latrines (4000M).  "Other" costs of 12,000M for AA damage.  This was the only time the railroad was bombed.</t>
  </si>
  <si>
    <t>RAID 1005-1040</t>
  </si>
  <si>
    <t>Raid from 1040 - 1150 (all rail traffic stops).  Bombs in shipyards, in Rhine, and in town.  1 ship damaged (3871M), 1 sunk (28,000M), damage to property of 55 people (13,505M).  1 woman killed.</t>
  </si>
  <si>
    <t>DURING ALERTS, BUSINESS &amp; STREETCARS STOPPED. RR DID NOT.</t>
  </si>
  <si>
    <t>RAID 1210-1220</t>
  </si>
  <si>
    <t>Work stopped in factories, businesses, &amp; shops during alerts. 4 alerts - 1249-1300 (or 0049-0100?), 1348-1403, 1405-1426, 1500-1511.</t>
  </si>
  <si>
    <t>6 bombs fell doing no apparent damage, including 3 duds on RR tracks.</t>
  </si>
  <si>
    <t>At 11:35PM bombs dropped 150 m to right of Remelach-Metz line.  No damage.</t>
  </si>
  <si>
    <t>Raid 12:30 to 3:00 - AM/PM not specified.  No bombs in station.</t>
  </si>
  <si>
    <t>ALERT - FACTORIES, BUSINESSES, STREETCARS STOPPED - AM/PM UNK: TIME 1.43-2.20</t>
  </si>
  <si>
    <t>Mainz RR</t>
  </si>
  <si>
    <t>May not have been a raid, just an alert.  Only info is that "4 trains lost a total of 2 hrs 10 min" this date.</t>
  </si>
  <si>
    <t>2 raids, 1 per night, totaling 410 kg &amp; 20 bombs dropped - DON'T BELIEVE # SORTIES IN RECORD</t>
  </si>
  <si>
    <t>Guerbigny</t>
  </si>
  <si>
    <t>U/K - possibly bivouac</t>
  </si>
  <si>
    <t>2 raids, 1 per night, totaling 1055 kg &amp; 41 bombs dropped - DON'T BELIEVE # SORTIES IN RECORD</t>
  </si>
  <si>
    <t>Total weight for 3 &amp; 6 July is 3260 kg plus 30 x 37mm shells fired - # sorties unknown</t>
  </si>
  <si>
    <t>ALERT 2300-2310.</t>
  </si>
  <si>
    <t>St-Morel, Semide, Machault, Ferme Bagot, Asfeld, Fismes, Bertricourt, St-Hiliere-le-Petit</t>
  </si>
  <si>
    <t>GB1 War Diary 0203</t>
  </si>
  <si>
    <t>Voisin Renault bombers. Fired 200 MG rounds at train in Semide RR stn.</t>
  </si>
  <si>
    <t>Ferme Bagot</t>
  </si>
  <si>
    <t>Bertricourt</t>
  </si>
  <si>
    <t>Capronis 117,129,105,104. #126 aborted with loss of pressure. GB2/CAP115 and GB2 total bomb wgt for A-L is correct. Estimate CAP115's portion is 4/9 of the 6952 lb total.</t>
  </si>
  <si>
    <t>CAP115 Log Images 0130-1 &amp; SHAA - G.A.C. Summary of Operations for 1-15 July 1918</t>
  </si>
  <si>
    <t>GB2 record adjusted for CAP115 data. Though total GB2 A-L bomb wgt is correct, estimate the non-CAP115 GB2 total to be 5/9 of 6952 lb.</t>
  </si>
  <si>
    <t>Flavy, Foucaucourt, Estrees-en-Chauss</t>
  </si>
  <si>
    <t>Stations &amp; Factories</t>
  </si>
  <si>
    <t>Barras (S of Blamont)</t>
  </si>
  <si>
    <t>Village (Barbas?)</t>
  </si>
  <si>
    <t>Rennles, p.49, says this is the village of Barbas.</t>
  </si>
  <si>
    <t>Raid from 0743 - 0850 (all rail traffic stopped).  Bombs on RR ship docks, hospital, ship Moselle (15,000M), and property of 163 people (158,000M).  "Other" damage from AA fire on RR property.  Damage to 3 military barracks; 2400M already paid and 1700M to pay. 7000M damage to property of 25 people in suburb of Metternich.  AIR MINISTRY "Results..." cites German official report claiming 8 wounded; WIA Appx XIII said 4 wounded. [AM USING AM FIGURE; SEEMS CLOSER TO ORIGINAL SOURCE -SCS]</t>
  </si>
  <si>
    <t>479, 480, 481, NARA 990</t>
  </si>
  <si>
    <t># bombs from BRITISH SURVEY.</t>
  </si>
  <si>
    <t>438; AM Results… pp34ff.</t>
  </si>
  <si>
    <t>Alarm only, NO RAID, about 7:45  - AM/PM not specified.</t>
  </si>
  <si>
    <t>Saarburg &amp; Marne Canal</t>
  </si>
  <si>
    <t>Rail Jtn, Convoy, S.lites</t>
  </si>
  <si>
    <t>Marne Canal (vic. of...)</t>
  </si>
  <si>
    <t>Convoy &amp; Searchlights</t>
  </si>
  <si>
    <t>Attigny, Guignicourt, Machault, Ville-sur-Retourne; Warmierville, Vaux-en-Champagne, Leffincourt, Bertricourt, Coulommes; vallee de la Vesle, Arne valley; Alincourt to Perthes &amp; Betheniville</t>
  </si>
  <si>
    <t>RR stns; Camps; Bivouacs; Convoy</t>
  </si>
  <si>
    <t>GB1 War Diary 0203-4</t>
  </si>
  <si>
    <t>Fire at Attigny rail stn. [This is the first War Diary record in a while where I've been positive of the target type at each location.]</t>
  </si>
  <si>
    <t>Vallée de la Vesle</t>
  </si>
  <si>
    <t>Vallée de l'Ardre</t>
  </si>
  <si>
    <t>Bertricourt (region of)</t>
  </si>
  <si>
    <t>Vervins</t>
  </si>
  <si>
    <t>Caproni 121. Did recon of Vouziers, Sedan, Mézières in same mission.</t>
  </si>
  <si>
    <t>CAP115 Log Image0131 &amp; SHAA - G.A.C. Summary of Operations for 1-15 July 1918</t>
  </si>
  <si>
    <t>Marles</t>
  </si>
  <si>
    <t>Caproni 118. Also did recon of Neufchatel as part of same sortie.</t>
  </si>
  <si>
    <t>Bois de Vézilly</t>
  </si>
  <si>
    <t>German Troops, etc.</t>
  </si>
  <si>
    <t>Capronis 120,129 (reported plane poorly adjusted), 126.  Am assuming that this raid was part of the GB2 Arcis-le-Ponsart 11-plane raid, so I'm estimating bomb wgt as 3/11 of that and reducing the GB2 bombwgt accordingly.</t>
  </si>
  <si>
    <t>Arcis-le-Ponsart</t>
  </si>
  <si>
    <t>Adjusted this bomb wgt for CAP115 bombwgt for Bois de Vézilly since it must have been part of this mission. Estimate assumes each of the 11 planes total carried the same bombwgt.</t>
  </si>
  <si>
    <t>Mont-St-Rémy</t>
  </si>
  <si>
    <t>ALERT 1320-2130.</t>
  </si>
  <si>
    <t>BRITISH SURVEY: "Telegraph and telephone wires were cut and damage was done to private property".</t>
  </si>
  <si>
    <t>BRITISH SURVEY: "Traffic was suspended on 11 branch lines and several goods trucks were badly damaged."</t>
  </si>
  <si>
    <t>"Several" bombs dropped.</t>
  </si>
  <si>
    <t>GB6 (Escadre12)</t>
  </si>
  <si>
    <t>Grisolles - Fère-en-Tardenois region</t>
  </si>
  <si>
    <t>Le Plessis-Belleville</t>
  </si>
  <si>
    <t>1st Brigade Image 0035</t>
  </si>
  <si>
    <t>Muizon, Arcis-le-Ponsart, Notre Dame de Miesse</t>
  </si>
  <si>
    <t xml:space="preserve">Camps </t>
  </si>
  <si>
    <t>GB1 War Diary 0204</t>
  </si>
  <si>
    <t>Arcsis-le-Ponsart</t>
  </si>
  <si>
    <t>N-D. de Liesse</t>
  </si>
  <si>
    <t>Hirson (?-west of)</t>
  </si>
  <si>
    <t>Amagne to Le-Chatelet</t>
  </si>
  <si>
    <t>Caproni 121.  From looking at the map, I believe this GB2 raid corresponds to the CAP115 raid that was described as "Recon Sedan, Mézières as far as Chesne. Bombed train on Heights of Fagnon [?]. Fire &amp; explosion on train."</t>
  </si>
  <si>
    <t>CAP115 Log Image 0132 &amp; SHAA - G.A.C. Summary of Operations for 1-15 July 1918</t>
  </si>
  <si>
    <t>Caproni 101 twice.</t>
  </si>
  <si>
    <t>Arcis-le-Ponsart (region of)</t>
  </si>
  <si>
    <t>Caproni 118 (2nd sortie of the night) and maybe 126. (Can't tell from CAP115 log whether 126 bombed A-le-P or Fère-en-T. Since it's utterly impossible to determine 96 years later, I'm putting 126's record here just for my convenience.)</t>
  </si>
  <si>
    <t>Fère-en-Tardenois (forest)</t>
  </si>
  <si>
    <t>Caproni 118 (1st sortie of the night).  Log says bombed bivouacs in woods south of Fère-en-T. and started a fire.  Am estimating 118's bombload as 1/8 of the 7480 lbs dropped by GB2 here.  Total for Fère-en-T. (CAP115 + GB2) is correct but distribution of bombwgt between the two records is estimated.</t>
  </si>
  <si>
    <t>Since adding the CAP115 record above, I've reduced the # of a/c from 8 to 7 and cut the bombwgt by 1/8 in this record.  Total for Fère-en-T. (CAP115 + GB2) is correct but distribution of bombwgt between the two records is estimated.</t>
  </si>
  <si>
    <t>Arcsis-le-Ponsart (wood of southern region)</t>
  </si>
  <si>
    <t>ALERTS ONLY 0230-0244, 0248-0338. ALL RAIL TRAFFIC STOPPED. SOME CHANCE DATE WAS ACTUALLY 8 JULY (I.E., 7/8 JULY).</t>
  </si>
  <si>
    <t>ALERT 0350-0400.</t>
  </si>
  <si>
    <t>Raid from 1613 - 1715.  Most city businesses closed during air raids. USED BRITISH SURVEY TOTAL OF 16 BOMBS PLOTTED.  BRITISH SURVEY said 171,231 marks damage. Considerable damage to streets and houses, especially in Krimm District.  Considerable damage to gas and water mains.</t>
  </si>
  <si>
    <t>456, AM Results… p.15</t>
  </si>
  <si>
    <t>RAID FROM 7:55 TO 8:08; AM/PM NOT GIVEN</t>
  </si>
  <si>
    <t>ALERT - FACTORIES, BUSINESSES, STREETCARS STOPPED - AM/PM UNK: TIME 4.37-4.50</t>
  </si>
  <si>
    <t>Luxembourg (S. of city)</t>
  </si>
  <si>
    <t>Boulay,Vallieres,Falknbrg</t>
  </si>
  <si>
    <t>Aerodrome,Trains,S.Lites</t>
  </si>
  <si>
    <t>Vallieres &amp; Falkenberg</t>
  </si>
  <si>
    <t>Vallieres &amp; Falkenberg(?)</t>
  </si>
  <si>
    <t>Freisdorf &amp; Boulay</t>
  </si>
  <si>
    <t>Freisdorf</t>
  </si>
  <si>
    <t>2 ALERTS: 0200-0240, 0242-0336. DURING ALERTS, BUSINESS &amp; STREETCARS STOPPED. RR DID NOT.</t>
  </si>
  <si>
    <t>"Other Cost" is estimated lost production &amp; labor costs. 2 alerts: 0210-0244, 0246,0337.</t>
  </si>
  <si>
    <t>Buhl Aerodrome</t>
  </si>
  <si>
    <t>40-50 bombs dropped.</t>
  </si>
  <si>
    <t>ALERT 2350-0010; RAID 0030-0135</t>
  </si>
  <si>
    <t>ALERT 0109-0210.</t>
  </si>
  <si>
    <t>Conflans (never reached)</t>
  </si>
  <si>
    <t>T.O. 1805.  Maj. Harry Brown's fateful flight - 6 Breguets lost due to clouds and strong SWerly wind at high altitude - landed near Coblenz.</t>
  </si>
  <si>
    <t>Boulay, vic. St. Avold</t>
  </si>
  <si>
    <t>Aerodromes, Village, etc.</t>
  </si>
  <si>
    <t>vicinity of St. Avold</t>
  </si>
  <si>
    <t>Village, S.Lights, AAA</t>
  </si>
  <si>
    <t>Freisdorf, Boulay</t>
  </si>
  <si>
    <t>AA fire 0007-0134. [CHANGED RAID TO ALERT -SCS]</t>
  </si>
  <si>
    <t>E.of Saarburg</t>
  </si>
  <si>
    <t>At 1310 bombs dropped 150 m N of Remelach-Metz line.  No damage.</t>
  </si>
  <si>
    <t>ALERT 0319-0330.</t>
  </si>
  <si>
    <t>AA fire 0320-0412. [CHANGED RAID TO ALERT -SCS]</t>
  </si>
  <si>
    <t>Reiding</t>
  </si>
  <si>
    <t>About 10 bombs fell 150 and 500m from RR area.</t>
  </si>
  <si>
    <t>Reding</t>
  </si>
  <si>
    <t>Total weather abort. T.O. 0230; RTB 0315.</t>
  </si>
  <si>
    <t>Verneuil</t>
  </si>
  <si>
    <t xml:space="preserve">Dormans-Soilly Rd </t>
  </si>
  <si>
    <t>Bridges, Troops</t>
  </si>
  <si>
    <t>0900 raid - Attacked N bank of Marne near Dormans, Treloup, Reuilly &amp; Passy-sur-Marne - Courcelles Bridge at Courthiezy cut; arch destroyed of bridge between Jaulgonne and Varenne - fought with fighters.  Curiously, these pages are missing from the First Brigade records!</t>
  </si>
  <si>
    <t>Martel, p.366 (English version)</t>
  </si>
  <si>
    <t>Dormans, Treloup, Courcelles</t>
  </si>
  <si>
    <t>Bridges, Convoy</t>
  </si>
  <si>
    <t>1600 raid - convoy straddled by explosions, foot bridge destroyed, 30-vehicle convoy hit.  Curiously, these pages are missing from the First Brigade records!</t>
  </si>
  <si>
    <t>Martel, p.367 (English version)</t>
  </si>
  <si>
    <t>Brigade Fequant</t>
  </si>
  <si>
    <t>Bridges, Troop concentrations</t>
  </si>
  <si>
    <t>Approximate bomb weight</t>
  </si>
  <si>
    <t>Courmont, Orainville, Pontavert, Vitry-les-Reims, Crugny, Guignicourt, Courville</t>
  </si>
  <si>
    <t>GB1 War Diary 0204-5</t>
  </si>
  <si>
    <t>Explosion at Courmont. Describes bombers as "avions V.B." but probably Voisin Renault.</t>
  </si>
  <si>
    <t>Orainville</t>
  </si>
  <si>
    <t>Muizon</t>
  </si>
  <si>
    <t>Witry-les-Reims</t>
  </si>
  <si>
    <t>Courville</t>
  </si>
  <si>
    <t>Courmont</t>
  </si>
  <si>
    <t>"Battlefield"</t>
  </si>
  <si>
    <t>Caproni 101.  Bomb wgt is a rough estimate and could easily be off by 100 lbs.</t>
  </si>
  <si>
    <t>CAP115 Log Image 0133</t>
  </si>
  <si>
    <t>Caproni 121. Didn't specify target type; was the usual RR or was troops, though when the latter were bombed, the log mentioned the woods at F-en-T.  Bomb wgt is a rough estimate and could easily be off by 100 lbs.</t>
  </si>
  <si>
    <t>Capronis 124 (1st mission), 117,118,129.  Bomb wgt is a rough estimate and could easily be off by 100 lbs per plane.</t>
  </si>
  <si>
    <t>Tréloup</t>
  </si>
  <si>
    <t>ALERT ONLY @7:55 (NO AM/PM) - RECORD ESTIMATES TIME LOST @ 20 MIN</t>
  </si>
  <si>
    <t>Treloup to Dormans</t>
  </si>
  <si>
    <t>1630 raid with 70 Breguets - attacked by fighters - cut a bridge W of Dormans and hit troop assembly areas with several bombs.  Curiously, this page is missing from the 1st Brigade Aérienne records!</t>
  </si>
  <si>
    <t>Martel, p.368 (English version)</t>
  </si>
  <si>
    <t>51st Wing (Brit)</t>
  </si>
  <si>
    <t>Marne river crossings</t>
  </si>
  <si>
    <t>French report of Brit raid - 5 tons dropped - shot down 8 planes &amp; 1 drachen - lost 4 fighters, 4 bombers - air combat</t>
  </si>
  <si>
    <t>Hagendingen &amp; Ham</t>
  </si>
  <si>
    <t>Blast Furnaces &amp; Rail Jtn</t>
  </si>
  <si>
    <t>Saarbrucken &amp; Dieuze</t>
  </si>
  <si>
    <t>Burbach Works &amp; Aerodrome</t>
  </si>
  <si>
    <t>Champvoisy, St-Gemme (region of); Jonchery (region of)</t>
  </si>
  <si>
    <t>Troop Billets; Rail Stn</t>
  </si>
  <si>
    <t>GB1 War Diary 0205</t>
  </si>
  <si>
    <t>Esc. 25, 110, 114 took part. Dropped 38x155mm G.A.; 147x155mm MMN; 1x268mm MMN (270mm penetration bomb); 38 incendiaries, 13 Michelin &amp; 14 Bourges fusées.  Started 2 fires, fired 700 rounds at Grman camps.</t>
  </si>
  <si>
    <t>SHAA - G.A.C. Summary of Operations for 16-31 July 1918</t>
  </si>
  <si>
    <t>St Gemme</t>
  </si>
  <si>
    <t>Champvoisy</t>
  </si>
  <si>
    <t>Passy-Grigny</t>
  </si>
  <si>
    <t>Romigny</t>
  </si>
  <si>
    <t>Villers Agron</t>
  </si>
  <si>
    <t>GB10/V116</t>
  </si>
  <si>
    <t>???ennes</t>
  </si>
  <si>
    <t>Montagne-Fayel</t>
  </si>
  <si>
    <t>SHAA - G.A.R. Summary of Operations for 15-31 July 1918</t>
  </si>
  <si>
    <t>Hangest (-en-Santerre?)</t>
  </si>
  <si>
    <t>3 raids, 1 per night, totaling 9100 kg &amp; 165 bombs dropped - DON’T BELIEVE # SORTIES</t>
  </si>
  <si>
    <t>Grpmt Villomé</t>
  </si>
  <si>
    <t>27 sorties on 5 rail stns and bivouacs this night totaled 11202 kg of bombs.  (CAP115 was part of Grpmt Villomé but these records not adjusted for CAP115 sorties &amp; kg.)</t>
  </si>
  <si>
    <t>Caproni 122 aborted with left engine problems.</t>
  </si>
  <si>
    <t>CAP115 Log Image 0134 &amp; SHAA - G.A.C. Summary of Operations for 16-31 July 1918</t>
  </si>
  <si>
    <t>Maison-Bleue &amp; Amifontaine</t>
  </si>
  <si>
    <t>M-B bombed by Capronis 101,117,129.  #101 also bombed Amifontaine in the same mission; #129 bombed M-B as part of a 3.5 hour recon. Bombwgt estimated at 415 kg per plane based on Grpmt Villomé records.</t>
  </si>
  <si>
    <t>Caproni 104.  Crugny RR stn was bombed in the recent past so this attack was presumably on a rail stn.  Bombwgt estimated at 415 kg per plane based on Grpmt Villomé records.</t>
  </si>
  <si>
    <t>Airfield (presumably)</t>
  </si>
  <si>
    <t>Caproni 118.  Sissonne airfield had been attacked in the past, so presumably this sortie was also against the airfield.  Bombwgt estimated at 415 kg per plane based on Grpmt Villomé records.</t>
  </si>
  <si>
    <t>Ville-en-Tardenois</t>
  </si>
  <si>
    <t>Bivouacs (presumably)</t>
  </si>
  <si>
    <t>Caproni 120.  Am guessing that this target is tactical since unnamed target(s) in Grpmt Villomé records were tactical.  Bombwgt estimated at 415 kg per plane based on Grpmt Villomé records.</t>
  </si>
  <si>
    <t>Caproni 121.  Bombwgt estimated at 415 kg per plane based on Grpmt Villomé records.</t>
  </si>
  <si>
    <t>Caproni 121.  Am presuming that this target is tactical since previous attacks there were tactical.  Bombwgt estimated at 415 kg per plane based on Grpmt Villomé records.</t>
  </si>
  <si>
    <t>ALERT 0050-0253; LIGHTS EXTINGUISHED AT 0058.</t>
  </si>
  <si>
    <t>DURING ALERTS, RR TRAFFIC &amp; FACTORY &amp; FOUNDRY WORK STOPPED. 3 alerts: 0757-0838, 0950-1015, 1425-1443.</t>
  </si>
  <si>
    <t>Munitions train hit, part of it blown up.  Buildings, storehouses, 46 coaches destroyed.  13 tracks &amp; 7 sidings badly damaged.  12 killed or seriously wounded.  40 meters of water pipes damaged.  Traffic held up about a week, although this was overcome in part by re-routing trains.  Morale of rail workers lowered considerably after this attack.  BRITISH SURVEY (AM 39) said 83 military killed or wounded and 10 civilians killed.  [Am estimating 30 military killed and 53 wounded--SCS] "Results of Air Raids...", p.38, says "about 20" bombs hit the station. British survey describes damage in great detail in 55 Sqn history, p.101.</t>
  </si>
  <si>
    <t>RR STN REPORT: "One bomb fell in steel works in eastern part of Thyssen-2 soldiers wounded, some tracks damaged; also the switch at blocking place and switch #137 damaged."  AA fire 2358-0040. "Alert only" later at 0205.  RR TELEGRAM DESCRIBES ATTACKS AT 2315-2400 AND 0020-0205: "...At 11:30PM, 4 bombs were dropped...[REPEATS INFO ABOVE]...1 bomb fell west of the Russians' camp in the woods but no damage was done..."  FORGES &amp; STEEL MILLS REPORT (IN MM, P.391): 9 DEAD, 14 SEVERELY WOUNDED (SOME LATER DIED); OTHERS SLIGHTLY WOUNDED. VICTIMS DISOBEYED ORDERS AND WATCHED AIRRAID RATHER THAN GO TO SPECIAL DUGOUTS. WORK STOPPED ONLY A SHORT TIME. [WILL USE UNDERESTIMATES OF 9 DEAD AND 14+2 WOUNDED IN DATABASE, AS WELL AS BRITISH SURVEY PLOT OF 8 BOMBS. -SCS]</t>
  </si>
  <si>
    <t>384, 391, NARA 990 Roll 58, AM Results… opposite p.13</t>
  </si>
  <si>
    <t>RAID 2341-0107; LIGHTS OUT @ 2347. "Because of damage from air raid no train movements. After the air raid there was no water after 1:00. By signal V. opposite the water tower locomotive was sent to Florchengen &amp; Wedegen. When it was dark Engineer Ruff fell in new shed and broke his index finger (left)."</t>
  </si>
  <si>
    <t>BRITISH SURVEY: Several incendiary bombs fell on a commissariat depot, completely destroying one wing and partly destroying another. Several thousand tons of compressed straw and over 100 tons of coal were destroyed.</t>
  </si>
  <si>
    <t>NARA 990 Roll 58; AM "Results…" p.28</t>
  </si>
  <si>
    <t>BRITISH SURVEY: "Several members of the Mayor's staff state that several bombs fell in the southern portion of the town, causing considerable damage to private property."</t>
  </si>
  <si>
    <t>Results of Air Raids on Germany, p.35</t>
  </si>
  <si>
    <t>2 bombs near station, no damage.</t>
  </si>
  <si>
    <t>Work stopped in factories, businesses, &amp; shops during alerts. 2 alerts - 0024-0128, 0128-0137. [YES, 0128 WAS INDEED THE END OF 1 ALERT AND THE START OF ANOTHER.]</t>
  </si>
  <si>
    <t>Raid 3:00 - AM/PM not specified.  Bombs dropped on the Schwarzenweg.  No damage.  Six tracks put back into operation in the afternoon after previous day's raid.</t>
  </si>
  <si>
    <t>Port à Bisson to Mareuil sur Marne; Orquigny to Villers below Chatillon</t>
  </si>
  <si>
    <t>Footbridges; Troop Concentrations</t>
  </si>
  <si>
    <t>GB5 T.O. 1430; bombed 1600. GB6 T.O. 1440; bombed 1615. Both hit footbridges and troop concentrations.  GB9 T.O. 1700; bombed footbridges at 1830. Convoy between Chatillon &amp; Port à Bisson hit. Bridge each of Reuil hit. Two fires started at the NE edge of Port à Bisson.  Bombers protected by 9 Caudron R.XIs.</t>
  </si>
  <si>
    <t>1st Brigade Images 0045-6</t>
  </si>
  <si>
    <t>Boulay,Falkenberg,etc.</t>
  </si>
  <si>
    <t>Village,Aerodrome,Rail</t>
  </si>
  <si>
    <t>Village &amp; Aerodrome</t>
  </si>
  <si>
    <t>Falkenberg &amp; Forbach</t>
  </si>
  <si>
    <t>Remilly and Teterchen</t>
  </si>
  <si>
    <t>Rail Jtns</t>
  </si>
  <si>
    <t>Searchlights &amp; MGs</t>
  </si>
  <si>
    <t>Saarbrucken,Mannheim,etc</t>
  </si>
  <si>
    <t>BASF,Blast Furnaces,Rail</t>
  </si>
  <si>
    <t>Burbach Wrks-Blast Furn.</t>
  </si>
  <si>
    <t>BASF(?) Works</t>
  </si>
  <si>
    <t>Heidelberg</t>
  </si>
  <si>
    <t>Fismes, Pontavert, Jonchery, Muizon, Châlons-s-Vesle, Courville, la Maison Bleue</t>
  </si>
  <si>
    <t>(None)</t>
  </si>
  <si>
    <t>GB1 War Diary 0205-6</t>
  </si>
  <si>
    <t>25 Voisins Renault T.O.; 1 completed 2 missions. Numbers &amp; wgt of bombs from War Diary are lower than total from G.A.C. Summaries. Bombs dropped:  119x155mm MMN, 35x155mm G.A., 25x120mm incendiaries, 13 Michelin, 18 Bourges.</t>
  </si>
  <si>
    <t>Original record says Grignicourt; this is probably an error</t>
  </si>
  <si>
    <t>Chalons-sur-Vesle</t>
  </si>
  <si>
    <t>Villers - Franqueux</t>
  </si>
  <si>
    <t>24 sorties on 5 rail stns and (presumably) troops this night totaled 10170 kg of bombs.  (CAP115 was part of Grpmt Villomé but these records not adjusted for CAP115 sorties &amp; kg.)</t>
  </si>
  <si>
    <t>Craonne (region of)</t>
  </si>
  <si>
    <t>Pontavert (region of)</t>
  </si>
  <si>
    <t>Capronis 129 &amp; 118. #129 reported it was hit by AAA, right prop broke, radiators hit, and had fire at 800 meters.  Bomb wgt estimated from Grpmt Villomé records averaging 424 kg per Caproni.</t>
  </si>
  <si>
    <t>CAP115 Log Images 0134-5 &amp; SHAA - G.A.C. Summary of Operations for 16-31 July 1918</t>
  </si>
  <si>
    <t>Craonne</t>
  </si>
  <si>
    <t>Caproni 104.  Bomb wgt estimated from Grpmt Villomé records averaging 424 kg per Caproni.</t>
  </si>
  <si>
    <t>Caproni 105.  Bomb wgt estimated from Grpmt Villomé records averaging 424 kg per Caproni.</t>
  </si>
  <si>
    <t>Caproni 120.  Bomb wgt estimated from Grpmt Villomé records averaging 424 kg per Caproni.</t>
  </si>
  <si>
    <t>Eppes</t>
  </si>
  <si>
    <t>Troops (presumably)</t>
  </si>
  <si>
    <t>Caproni 121.  Presumably hit troops rather than RR stn since neither Eppes nor Courcy-les-Eppes mentioned among RR stns in Grpmt Villomé records.  Bomb wgt estimated from Grpmt Villomé records averaging 424 kg per Caproni.</t>
  </si>
  <si>
    <t>Caproni 122. Target not listed in log but they did start a fire there.  Bomb wgt estimated from Grpmt Villomé records averaging 424 kg per Caproni.</t>
  </si>
  <si>
    <t>Caproni 129.  AAA shell fragment hit stabilizer(?).  Bomb wgt estimated from Grpmt Villomé records averaging 424 kg per Caproni.</t>
  </si>
  <si>
    <t>SMALL CHANCE THAT THIS RAID TOOK PLACE 24 HOURS LATER</t>
  </si>
  <si>
    <t>Munition Works</t>
  </si>
  <si>
    <t>Oulchy-le-Chateau, Bois de Barbillon, Fère-en-Tardenois, Dormans, Treloup footbridge; Cornoy</t>
  </si>
  <si>
    <t>Troops; Airfield</t>
  </si>
  <si>
    <t>Violent west wind kept planes from reaching all their objectives; those listed here were actually bombed. Escorted by 5 Caudron R.XIs; 2 of them were lost.</t>
  </si>
  <si>
    <t>1st Brigade Images 0048-9</t>
  </si>
  <si>
    <t>Boulay,Freisdorf,Saar,etc</t>
  </si>
  <si>
    <t>Aerodromes,Rail,etc</t>
  </si>
  <si>
    <t>Remilly - Saarbrucken</t>
  </si>
  <si>
    <t>Convoy &amp; AAA</t>
  </si>
  <si>
    <t>Mannheim  &amp; Saarbrucken</t>
  </si>
  <si>
    <t>BASF,Lanz,G.B.,Burbach Wk</t>
  </si>
  <si>
    <t>BASF,Lanz,G.B. chem wks</t>
  </si>
  <si>
    <t>Guignicourt, Bazoches, Fismes; la Maison Bleue, Breuil; vallée de l'Ardre; Jonchery to Fismes</t>
  </si>
  <si>
    <t>U/K; RR stns; Camps; Convoy</t>
  </si>
  <si>
    <t>GB1 War Diary 0206</t>
  </si>
  <si>
    <t>38 Voisins Renault T.O., of which 13 flew 2 missions and 1 flew 3. Escadrilles 25, 110, 114 participated. Bomb numbers &amp; wgt in War Diary are close to but not exact match to G.A.C. summaries. Bombs dropped: 40x155mm G.A., 211x155mm M.M.N., 1x268mm M.M.N., 65x120mm incend., 16 Michelin, 20 Bourges.</t>
  </si>
  <si>
    <t>Curchy</t>
  </si>
  <si>
    <t>SHAA - G.A.R. Summary of Operations for 1-15 August 1918</t>
  </si>
  <si>
    <t>26 sorties on 7 rail stns this night totaled 10722 kg of bombs.  (CAP115 was part of Grpmt Villomé but these records not adjusted for CAP115 sorties &amp; kg.)</t>
  </si>
  <si>
    <t>Le-Chatelet-S-Retourne</t>
  </si>
  <si>
    <t>Capronis 105 (2nd sortie of the night) &amp; 129 (1st sortie) bombed F-en-T.  Also included Caproni 104, which bombed an unspecified RR stn &amp; brought back one bomb that did not release, and Caproni 122, which had an aborted departure.  (I had to put them somewhere.)  Bomb wgt estimated from Grpmt Villomé records averaging 412 kg per Caproni.</t>
  </si>
  <si>
    <t>CAP115 Log Images 0135-6 &amp; SHAA - G.A.C. Summary of Operations for 16-31 July 1918</t>
  </si>
  <si>
    <t>Caproni 105 (1st sortie).  Bomb wgt estimated from Grpmt Villomé records averaging 412 kg per Caproni.</t>
  </si>
  <si>
    <t>Caproni 120.  Bomb wgt estimated from Grpmt Villomé records averaging 412 kg per Caproni.</t>
  </si>
  <si>
    <t>Caproni 121 (2nd sortie).  Bomb wgt estimated from Grpmt Villomé records averaging 412 kg per Caproni.</t>
  </si>
  <si>
    <t>Caproni 121 (1st sortie; it included recon of unspecified airfields).  Bomb wgt estimated from Grpmt Villomé records averaging 412 kg per Caproni.</t>
  </si>
  <si>
    <t>Caproni 129 (2nd sortie).  Bomb wgt estimated from Grpmt Villomé records averaging 412 kg per Caproni.</t>
  </si>
  <si>
    <t>"Battlefields"</t>
  </si>
  <si>
    <t>Caproni 129 (3rd sortie). Was on the ground only 45 minutes each time between each of the 3 sorties!  Bomb wgt estimated from Grpmt Villomé records averaging 412 kg per Caproni.</t>
  </si>
  <si>
    <t>DURING ALERTS, RR TRAFFIC &amp; FACTORY &amp; FOUNDRY WORK STOPPED. 2 alerts: 0827-0834, 1110-1135.</t>
  </si>
  <si>
    <t>ALERTS 1219, 1450. SEE KAISERSLAUTERN, 12APR1918 FOR DETAILS</t>
  </si>
  <si>
    <t>AA fire 2330-0020. [CHANGED RAID TO ALERT -SCS]</t>
  </si>
  <si>
    <t>ALERTS 2345-2355, 0015-0030, 0120-0140</t>
  </si>
  <si>
    <t>BRITISH SURVEY: "The official reports state that 1 bomb hit the S line of the central stn, went through the vault of a bridge and destroyed the lines and sleepers over a distance of 25-30 yards. Traffic on this line was held up for 8 days. Eight…in the grounds of the Guilini factory...slight damage. Eleven...near the Freynschen brick yard, while 1 hit Mannheim Castle. The remaining bombs fell in fields."</t>
  </si>
  <si>
    <t>Results of Air Raids on Germany, p.22</t>
  </si>
  <si>
    <t xml:space="preserve">Two photos of a downed DH4 from this raid on the website, histomil.com/viewtopic.php?t=1233&amp;p=110629 . </t>
  </si>
  <si>
    <t>Woods near Dormans</t>
  </si>
  <si>
    <t>Very strong wind at time of T.O. caused de Goys to abort the mission, but one flight of GB6 had already taken off.  They could not reach their objective after 2½ hours, so they bombed troops in a wood.  Two planes damaged on landing due to strong winds.  Received word of target (convoys) at 10:15, so I am estimating T.O. at 10:30 and bombing time at 13:00 (2½ hours later).</t>
  </si>
  <si>
    <t>1st Brigade Images 0051-2</t>
  </si>
  <si>
    <t xml:space="preserve">Raid 1220 - 1250. 17 bombs on city. Direct damages to BASF in 22 raids was 519,310M; 14 killed.  Each raid or alert caused production losses in another 24 hour plant and in many city businesses. </t>
  </si>
  <si>
    <t>1 line over Rhine not used for 3 weeks because of changing a bomb-damaged girder.  [Strangely], repair cost only 450M.</t>
  </si>
  <si>
    <t>3 bombs damaged 2 tracks for quite a distance; also some signal lines.</t>
  </si>
  <si>
    <t>Romigny, Savigny-sur-Avpe, Vendrieres-sous-Chatillon</t>
  </si>
  <si>
    <t>Fired 1500 rounds in addition to dropping bombs.  Fire in enemy encampment E of Romigny, explosions in villages of Vendières-sur-Châtillon - huge column of smoke covered the whole village. Intel report for that day mentioned Escadre 12 observations at 1600, so that is probably the time of bombing.  Once again, Martel describes pages from 1st Brigade report that is missing from files.</t>
  </si>
  <si>
    <t>Martel p.372 (English edition)</t>
  </si>
  <si>
    <t>Boulay,Freisdorf,etc</t>
  </si>
  <si>
    <t>Brulange(vic.),Remilly F.</t>
  </si>
  <si>
    <t>Trains,Searchlights</t>
  </si>
  <si>
    <t>Mannheim,Lunes,Zweibrkn.</t>
  </si>
  <si>
    <t>BASF,Rail,Factory</t>
  </si>
  <si>
    <t>Lunes (SE of Meizieres)</t>
  </si>
  <si>
    <t>Zweibrucken (SE of...)</t>
  </si>
  <si>
    <t>Speyer</t>
  </si>
  <si>
    <t>Hermonville, Vitry-les-Reims, Pomacle, Aguilcourt, St-Gille, Courlandon; Amifontaine to Guignicourt</t>
  </si>
  <si>
    <t>U/K; RR line</t>
  </si>
  <si>
    <t>War Diary 0206-7</t>
  </si>
  <si>
    <t>War Diary says 42 Voisins Renaults participated; 13 flew 2 missions &amp; two had mech aborts attempting their 2nd missions. Esc.25,110,114 participated. Bomb wgts &amp; #s match almost exactly between sources. 2 trains blown up by one V.R.25 crew on the Amifontaine-Guignicourt rail line at the Bois de Claquedents.</t>
  </si>
  <si>
    <t>Bois Claque Dents</t>
  </si>
  <si>
    <t>Courlandon</t>
  </si>
  <si>
    <t>Fere</t>
  </si>
  <si>
    <t>Ammo dump</t>
  </si>
  <si>
    <t>Italian XVIII Gruppo Capronis destroyed dump</t>
  </si>
  <si>
    <t>Aguilcourt</t>
  </si>
  <si>
    <t>Pomacle</t>
  </si>
  <si>
    <t>25 sorties on 4 rail stns and bivouacs this night totaled 10398 kg of bombs.  (CAP115 was part of Grpmt Villomé but these records not adjusted for CAP115 sorties &amp; kg.)</t>
  </si>
  <si>
    <t>?eine (region of)</t>
  </si>
  <si>
    <t>Brimont (region of)</t>
  </si>
  <si>
    <t>Berry-du-Bac (region of)</t>
  </si>
  <si>
    <t>25 sorties on 4 rail stns and bivouacs this night totaled 10398 kg of bombs.  (CAP115 was part of Grpmt Villomé but these records not adjusted for CAP115 sorties &amp; kg.)  ACTUAL TARGET NAME IS PRESUMABLY BERRY-AU-BAC.</t>
  </si>
  <si>
    <t>Caproni 104. 2 bombs got hung up &amp; exploded after landing, killing 1 mechanic and wounding the crew &amp; several mechanics.  "Les escadrilles…" says Soldats 2 Cl. Dorot and Desmores Died for France on 23July1918.  Bomb wgt dropped for all Capronis this night estimated at 416 kg per plane, based on Grpmt Villomé summary.</t>
  </si>
  <si>
    <t>CAP115 Log Images 0136-7 &amp; SHAA - G.A.C. Summary of Operations for 16-31 July 1918</t>
  </si>
  <si>
    <t>Caproni 105.  Bomb wgt dropped for all Capronis this night estimated at 416 kg per plane, based on Grpmt Villomé summary.</t>
  </si>
  <si>
    <t>Caproni 126 reported bombing Berry-au-Bac; #117 reported bombing SW of it.  Bomb wgt dropped for all Capronis this night estimated at 416 kg per plane, based on Grpmt Villomé summary.  ACTUAL TARGET NAME IS PRESUMABLY BERRY-AU-BAC.</t>
  </si>
  <si>
    <t>Courcy</t>
  </si>
  <si>
    <t>Capronis 118 &amp; 120.  Bomb wgt dropped for all Capronis this night estimated at 416 kg per plane, based on Grpmt Villomé summary.</t>
  </si>
  <si>
    <t>Caproni 121.  Bomb wgt dropped for all Capronis this night estimated at 416 kg per plane, based on Grpmt Villomé summary.</t>
  </si>
  <si>
    <t>Caproni 129.  Bomb wgt dropped for all Capronis this night estimated at 416 kg per plane, based on Grpmt Villomé summary. ACTUAL TARGET NAME IS PRESUMABLY AGUILCOURT.</t>
  </si>
  <si>
    <t>ANOTHER POSSIBLE INTERPRETATION OF THESE GARBLED RECORDS IS THAT THIS RAID TOOK PLACE 24 HOURS LATER.</t>
  </si>
  <si>
    <t>RAID(S)/ALERT 2245-2300, 0038-0100. "Tracks 8 &amp; 9 damaged by bombs, on east wing."</t>
  </si>
  <si>
    <t>Mannheim (Photo recon)</t>
  </si>
  <si>
    <t>NOT A BOMBING MISSION.  (THERE WERE MANY OTHER 55 SQN PHOTO-ONLY MISSIONS THAT WERE FLOWN BUT ARE NOT IN THIS DATABASE.  Flew @ 19,000'; duration 4 hrs 10 min.</t>
  </si>
  <si>
    <t>Germiny to Jonchery-sur-Vesle</t>
  </si>
  <si>
    <t>Troops &amp; Convoys</t>
  </si>
  <si>
    <t>Mission was to bottle up routes going into Vesle Valley. Bombed from 0900 to 0950 generally at 1800 meters but at 4600 meters over Jonchery, which was well-defended by a good AAA battery.  Breguets shot down 3 planes.  Were also defended by Caudron R.XIs.  THIS IS ANOTHER MISSION THAT MARTEL DESCRIBES IN DETAIL BUT THAT IS MISSING FROM THE 1ST BRIGADE RECORDS.</t>
  </si>
  <si>
    <t>Martel pp.373-4 (English version)</t>
  </si>
  <si>
    <t>Ardre Valley</t>
  </si>
  <si>
    <t>Bombing roughly 1700.  Bombers protected by Escadrilles R.239 and R.240.  THIS IS ANOTHER MISSION THAT MARTEL DESCRIBES IN DETAIL BUT THAT IS MISSING FROM THE 1ST BRIGADE RECORDS.</t>
  </si>
  <si>
    <t>Martel pp.373-4 (English version) &amp; 1st Brigade report for 23JUL1918, Image 0058</t>
  </si>
  <si>
    <t>Boulay and Lesse</t>
  </si>
  <si>
    <t>Aerodrome,Village,Rail</t>
  </si>
  <si>
    <t>Aerodrome,Village</t>
  </si>
  <si>
    <t>Lesse</t>
  </si>
  <si>
    <t>Boulay (N. of Aerodrome)</t>
  </si>
  <si>
    <t>Chateau</t>
  </si>
  <si>
    <t>Vahl-Ebersing,Morhange</t>
  </si>
  <si>
    <t>Vahl-Ebersing</t>
  </si>
  <si>
    <t>Fismes, Brancourt; la Maison Bleue, Asfeld; Claquedents bois</t>
  </si>
  <si>
    <t>U/K; RR stns; RR line</t>
  </si>
  <si>
    <t>GB1 War Diary 0207</t>
  </si>
  <si>
    <t>Violent fire started at la Maison Bleue RR stn; fire started at Bazancourt. 1 plane crashed on home airfield; crew ok.</t>
  </si>
  <si>
    <t>Branscourt</t>
  </si>
  <si>
    <t>ALERTS 0000-0015, 0025-0030.  ANOTHER POSSIBLE INTERPRETATION OF THESE GARBLED RECORDS IS THAT THESE ALERTS TOOK PLACE 24 HOURS EARLIER.</t>
  </si>
  <si>
    <t>5 bombs dropped around station damaging property of 42 people, 23,329M.  One bomb destroyed a switch track, 2950M.  No traffic delays but took 6 days to fix.  Building and glass damage cost 3002M.  Bombing survey says raid was by 216 Sqn, IF (original target was Mannheim). BRITISH SURVEY MAP SHOWS 5 BOMBS NEAR STN AND 3 OTHERS FARTHER WEST IN THE COUNTRYSIDE.</t>
  </si>
  <si>
    <t>Speier (20 mi N of Karlsruhe)</t>
  </si>
  <si>
    <t>460, AM Results… opposite p.47</t>
  </si>
  <si>
    <t>AA fire 0300-0330. [CHANGED RAID TO ALERT -SCS]</t>
  </si>
  <si>
    <t>AA fire 0640-0700. [CHANGED RAID TO ALERT -SCS]</t>
  </si>
  <si>
    <t>AA fire 2320-0120. [CHANGED RAID TO ALERT -SCS]</t>
  </si>
  <si>
    <t>RAID(S)/ALERT 2350-0005, 0050-0105. "Damage very serious. Delay in traffic and coal loading."</t>
  </si>
  <si>
    <t>Raid 12:00 to 2:00 - AM/PM not specified.  No bombs in station.</t>
  </si>
  <si>
    <t>Offenburg Rail Stn</t>
  </si>
  <si>
    <t>Wikipedia for Offenburg Rail Stn says this was the most severe raid of the war on the station - 4 direct hits led to the collapse of the entire central part of the station entrance building</t>
  </si>
  <si>
    <t xml:space="preserve">website:  wapedia.mobi/en/Offenburg_station ; also cited Kuntzemüller, Albert (1940,) (in German). Die badischen Eisenbahnen 1840−1940 (The Baden mainline 1840−1940). Freiburg im Breisgau: Selbstverlag der Geographischen Institute der Universitäten Freiburg i. Br. und Heidelberg. p. 129 ff.. </t>
  </si>
  <si>
    <t>Guignicourt to Amifontaine; Claquedent, Le Chatelet, Fismes, Montigny-s-Vesle, Chézy, Vitry-les-Reims</t>
  </si>
  <si>
    <t>RR Line; Unstated</t>
  </si>
  <si>
    <t>All 33 V.R.s completed their missions; 7 flew twice. Two pages (one image) are missing from the War Diary so information on the bomb loads and results of the mission is not available.</t>
  </si>
  <si>
    <t>Sermoises</t>
  </si>
  <si>
    <t>17 sorties on 3? rail stns and bivouacs this night totaled 7038 kg of bombs.  (CAP115 was part of Grpmt Villomé but these records not adjusted for CAP115 sorties &amp; kg.)  TARGET IS ALMOST CERTAINLY SERMOISE, JUST EAST OF SOISSONS.</t>
  </si>
  <si>
    <t>Bazoches</t>
  </si>
  <si>
    <t>17 sorties on 3? rail stns and bivouacs this night totaled 7038 kg of bombs.  (CAP115 was part of Grpmt Villomé but these records not adjusted for CAP115 sorties &amp; kg.) TARGET PRESUMABLY BAZOCHES-SUR-VESLES.</t>
  </si>
  <si>
    <t>Cour???on</t>
  </si>
  <si>
    <t>17 sorties on 3? rail stns and bivouacs this night totaled 7038 kg of bombs.  (CAP115 was part of Grpmt Villomé but these records not adjusted for CAP115 sorties &amp; kg.)  TARGET IS PROBABLY COURLANDON.</t>
  </si>
  <si>
    <t>17 sorties on 3? rail stns and bivouacs this night totaled 7038 kg of bombs.  (CAP115 was part of Grpmt Villomé but these records not adjusted for CAP115 sorties &amp; kg.)</t>
  </si>
  <si>
    <t>Sermoises (?) (Ehampesoizie?)</t>
  </si>
  <si>
    <t>Caproni 126. "Sermoises" from Grpmt Villomé summary; the weird-looking "Ehampesoizie" is from the log.  Bomb wgt dropped for all Capronis this night estimated at 414 kg per plane, based on Grpmt Villomé summary.</t>
  </si>
  <si>
    <t>CAP115 Log Image 0137 &amp; SHAA - G.A.C. Summary of Operations for 16-31 July 1918</t>
  </si>
  <si>
    <t>Caproni 121.  Bomb wgt dropped for all Capronis this night estimated at 414 kg per plane, based on Grpmt Villomé summary.</t>
  </si>
  <si>
    <t>Segilles</t>
  </si>
  <si>
    <t>Bivouacs (?)</t>
  </si>
  <si>
    <t>Caproni 129.  Bomb wgt dropped for all Capronis this night estimated at 414 kg per plane, based on Grpmt Villomé summary.  PROBABLY TARGET IS ST. GILLES.</t>
  </si>
  <si>
    <t>Caproni 105.  Bomb wgt dropped for all Capronis this night estimated at 414 kg per plane, based on Grpmt Villomé summary.</t>
  </si>
  <si>
    <t>9th Brigade (Brit)</t>
  </si>
  <si>
    <t>Fismes &amp; Bazoches</t>
  </si>
  <si>
    <t>French report of Brit raid - dropped "nearly 4 tons" - shot down 9 German planes</t>
  </si>
  <si>
    <t>Nesle &amp; its wood, Fère-en-Tardenois, Coulonges</t>
  </si>
  <si>
    <t>Escadre 12 has moved since last entry. 2 large fires and explosion in F-en-T &amp; its RR stn. Protected by R.240.</t>
  </si>
  <si>
    <t>Linthelles</t>
  </si>
  <si>
    <t>1st Brigade Image 0063</t>
  </si>
  <si>
    <t>Boulay,Freidorf,Morhange</t>
  </si>
  <si>
    <t>Aerodromes &amp; 3 Trains</t>
  </si>
  <si>
    <t>AAA Battery</t>
  </si>
  <si>
    <t>3 Trains</t>
  </si>
  <si>
    <t>Offnbrg,Pforzhm,Boul.,etc</t>
  </si>
  <si>
    <t>Rail and Aerodrome</t>
  </si>
  <si>
    <t>Pforzheim</t>
  </si>
  <si>
    <t>Rail Stn &amp; Factory</t>
  </si>
  <si>
    <t>Baalon Juvigny</t>
  </si>
  <si>
    <t>War diary record for this day was not scanned.</t>
  </si>
  <si>
    <t>Condé s/ Suippe</t>
  </si>
  <si>
    <t>Courlandon - Coulonges</t>
  </si>
  <si>
    <t>13 sorties on 2 rail stns, 1 aerodrome, and troop billets this night totaled 5466 kg of bombs.  (CAP115 was part of Grpmt Villomé but these records not adjusted for CAP115 sorties &amp; kg.)</t>
  </si>
  <si>
    <t>??gery</t>
  </si>
  <si>
    <t>Caproni 105.  Am assuming target was troops, bivouacs, etc. because Grpmt Villomé went there next to bomb those targets.  Bomb wgt dropped for all Capronis this night estimated at 420 kg per plane, based on Grpmt Villomé summary.</t>
  </si>
  <si>
    <t>Caproni 117. Aborted departure due to engine failure.</t>
  </si>
  <si>
    <t>Caproni 120.  Bomb wgt dropped for all Capronis this night estimated at 420 kg per plane, based on Grpmt Villomé summary.</t>
  </si>
  <si>
    <t>Caproni 121.  Bomb wgt dropped for all Capronis this night estimated at 420 kg per plane, based on Grpmt Villomé summary.</t>
  </si>
  <si>
    <t>Brouillet</t>
  </si>
  <si>
    <t>Caproni 129.  Am assuming target was troops, bivouacs, etc., since Brouillet was not among the rail stns or airfields mentioned in the Grpmt Villomé summary.  Bomb wgt dropped for all Capronis this night estimated at 420 kg per plane, based on Grpmt Villomé summary.</t>
  </si>
  <si>
    <t>"Attacks" 2102-2120, 2255-2350, 0220-0340. "AA fire at intervals" within those times. [PROBABLY ONLY ALERTS - CHANGED RECORD TO SAY THAT -SCS]</t>
  </si>
  <si>
    <t>APPARENTLY ALERT ONLY.</t>
  </si>
  <si>
    <t>Savigny sur Ardre, Muison, Jonchery sur Vesle, Fismes</t>
  </si>
  <si>
    <t>Troops, etc.</t>
  </si>
  <si>
    <t>WX aborts due to heavy clouds. S. sur A. bombed at 1150 (good hits seen); Muison at 1240 (RR stn hit); J sur V at 1230; Fismes at 1315.  Bomb wgt slightly estimated based on total for day and 48 of 53 Breguets dropped bombs in the morning.</t>
  </si>
  <si>
    <t>1st Brigade Images 0069-73</t>
  </si>
  <si>
    <t>Rosnay &amp; Lhery</t>
  </si>
  <si>
    <t>Units returned in the afternoon to hit targets they couldn't reach in the morning.  Total bomb wgt for the day known; estimate based on # of Breguets bombing (5 of 53).  Good hits seen.</t>
  </si>
  <si>
    <t>Fismes &amp; Jonchery-sur-Vesle</t>
  </si>
  <si>
    <t>Transportation Jtns</t>
  </si>
  <si>
    <t>Info from Martel - 29 July report missing. Bombers protected by G.C.19 and R.XI sqns.</t>
  </si>
  <si>
    <t>Martel pp.374-5 (English version)</t>
  </si>
  <si>
    <t>Boulay,Morhange,Remilly</t>
  </si>
  <si>
    <t>Herlingen</t>
  </si>
  <si>
    <t>Courcelles - Remilly</t>
  </si>
  <si>
    <t>Stuttgart, etc.</t>
  </si>
  <si>
    <t>Fac'y,Rail,Aerodrome,etc</t>
  </si>
  <si>
    <t>Malmy</t>
  </si>
  <si>
    <t>Rastatt</t>
  </si>
  <si>
    <t>Sollingen</t>
  </si>
  <si>
    <t>Wharves</t>
  </si>
  <si>
    <t>Lumes Stn</t>
  </si>
  <si>
    <t>Bois Claquedents, etc.</t>
  </si>
  <si>
    <t>Rail Stns; Troops</t>
  </si>
  <si>
    <t>GB1 War Diary 0208</t>
  </si>
  <si>
    <t>PART OF WAR DIARY RECORD MISSING (never scanned).  3 planes that force-landed with damage crashed on their own airfield (1 landed on another)</t>
  </si>
  <si>
    <t>Bourgogne</t>
  </si>
  <si>
    <t>19 sorties on 3 rail stns and troops this night totaled 7888 kg of bombs.  (CAP115 was part of Grpmt Villomé but these records not adjusted for CAP115 sorties &amp; kg.)</t>
  </si>
  <si>
    <t>Braine (region of)</t>
  </si>
  <si>
    <t>Saint-Gilles</t>
  </si>
  <si>
    <t>Caproni 122. Aborted departure due to carburator of back engine.</t>
  </si>
  <si>
    <t>Caproni 120.  Target is presumably troops because location not mentioned in list of rail stns bombed by Grpmt Villomé.  Bomb wgt dropped for all Capronis this night estimated at 415 kg per plane, based on Grpmt Villomé summary.</t>
  </si>
  <si>
    <t>Caproni 117.   AAA shell in lower right wing.  Bomb wgt dropped for all Capronis this night estimated at 415 kg per plane, based on Grpmt Villomé summary.</t>
  </si>
  <si>
    <t>Caproni 121.  Bomb wgt dropped for all Capronis this night estimated at 415 kg per plane, based on Grpmt Villomé summary.</t>
  </si>
  <si>
    <t>Caproni 122.  Bomb wgt dropped for all Capronis this night estimated at 415 kg per plane, based on Grpmt Villomé summary.</t>
  </si>
  <si>
    <t>Caproni 105.  Target is presumably troops because location not mentioned in list of rail stns bombed by Grpmt Villomé.  Bomb wgt dropped for all Capronis this night estimated at 415 kg per plane, based on Grpmt Villomé summary.</t>
  </si>
  <si>
    <t>AA fire 2300-2400. [CHANGED RAID TO ALERT -SCS]</t>
  </si>
  <si>
    <t>At 1130 one a/c dropped 4 bombs 150 m to the right of Remelach-Metz line (aimed at stn).  No damage.</t>
  </si>
  <si>
    <t>Stuttgart &amp; Hagenau</t>
  </si>
  <si>
    <t>Magneto Wrks,Town,Rail</t>
  </si>
  <si>
    <t>Bosche Magneto Wrks,R.Stn</t>
  </si>
  <si>
    <t>Town of...</t>
  </si>
  <si>
    <t>Daimler Works</t>
  </si>
  <si>
    <t>ALERTS 1100-1110, 1115-1125.</t>
  </si>
  <si>
    <t>AA fire 2310-2355. [CHANGED RAID TO ALERT -SCS]</t>
  </si>
  <si>
    <t>CASUALTY INFO FROM BRITISH SURVEY (AM "RESULTS…" &amp; WIA: 5 KILLED &amp; 5 WOUNDED. FORMER SAYS 3 BOMBS ON AERODROME &amp; REST ON BURBACH WORKS; OFFICES DAMAGED.</t>
  </si>
  <si>
    <t>438; AM "Results…" p.35; WIA Appx XIII</t>
  </si>
  <si>
    <t>Factories &amp; Barracks</t>
  </si>
  <si>
    <t>Rail Sidings &amp; Factories</t>
  </si>
  <si>
    <t>Vauxéré, Blanzy-les-Fismes, Bonne-Maison, Mont-St-Martin; Vesle valley (Fismes, St-Gilles, Crugny, Courville, Bazoches) &amp; Ardre valley</t>
  </si>
  <si>
    <t>Airfields; Cantonnements</t>
  </si>
  <si>
    <t>3 planes from Esc.25 aborted due to poor condition of airfield.</t>
  </si>
  <si>
    <t>Vauxéré &amp; Blanzy-les-Fismes</t>
  </si>
  <si>
    <t>Brenelle</t>
  </si>
  <si>
    <t>24 sorties on 2 rail stns, 1 airfield, and bivouacs this night totaled 9816 kg of bombs. These summary records were originally for 30 July, but I changed the date to 31 July so they would match up with the CAP115 log.  Also, among the records I have, there was no other French groupe that went out on 30 July and several going on the 31st, including to the same targets.  (CAP115 was part of Grpmt Villomé but these records not adjusted for CAP115 sorties &amp; kg.)</t>
  </si>
  <si>
    <t>Caproni 105.  Bomb wgt dropped for all Capronis this night estimated at 409 kg per plane, based on Grpmt Villomé summary.</t>
  </si>
  <si>
    <t>CAP115 Log Image 0139 &amp; SHAA - G.A.C. Summary of Operations for 16-31 July 1918</t>
  </si>
  <si>
    <t>Capronis 120 &amp; 129.  Bomb wgt dropped for all Capronis this night estimated at 409 kg per plane, based on Grpmt Villomé summary.</t>
  </si>
  <si>
    <t>Crugny &amp; (or to?) St. Gilles</t>
  </si>
  <si>
    <t>Capronis 120 (2nd mission), 122, &amp; 129 (twice - 2nd &amp; 3rd missions).  #120 bombed "Crugny _ St. Gilles", which could mean both places or bivouacs between the two.  Bomb wgt dropped for all Capronis this night estimated at 409 kg per plane, based on Grpmt Villomé summary.</t>
  </si>
  <si>
    <t>Athies-sur-Laon</t>
  </si>
  <si>
    <t>Caproni 121; also did recon from Reims to Laon.  Bomb wgt dropped for all Capronis this night estimated at 409 kg per plane, based on Grpmt Villomé summary.  TARGET SHOULD BE ATHIES-SOUS-LAON.</t>
  </si>
  <si>
    <t>ALERTS 0904-0944, 0956-1009. NO BOMBS IN CITY LIMITS. FACTORY STOPPED DURING 40% OF ALERTS</t>
  </si>
  <si>
    <t>ALERT - FACTORIES, BUSINESSES, STREETCARS STOPPED - AM/PM UNK: TIME 8.46-10.18</t>
  </si>
  <si>
    <t>Railways, Shops, Sidings</t>
  </si>
  <si>
    <t>T.O. 1606 - over a dozen bursts on tracks and among machine shops and warehouses - secondary explosions and fires</t>
  </si>
  <si>
    <t>Amagne-Lucquy; le Chatelet, Juniville, Neuflize, Bazancourt, Baslieux-les-Fismes, Bonne Maison, Neuilly, Orainville</t>
  </si>
  <si>
    <t>GB1 War Diary 0209</t>
  </si>
  <si>
    <t>1 plane flew 2 missions. Time of recce missions (&amp; presumably time of bombing ops): 2125-2410.</t>
  </si>
  <si>
    <t>SHAA - G.A.C. Summary of Operations for 1-15 August 1918</t>
  </si>
  <si>
    <t>Neuilly - Orainville</t>
  </si>
  <si>
    <t>Bivouacs, Billets, Convoys</t>
  </si>
  <si>
    <t>La Bonne Maison</t>
  </si>
  <si>
    <t>Athies sous-Laon, Hirson, Fismes</t>
  </si>
  <si>
    <t># a/c and bomb wgt dropped adjusted from original GB2 record for CAP115 totals.</t>
  </si>
  <si>
    <t>Loire (?)</t>
  </si>
  <si>
    <t>Caproni 120. Not certain of target due to handwriting but am pretty sure it was not Laon.  Bomb wgt of 880 lbs/plane estimated from GB2 numbers.</t>
  </si>
  <si>
    <t>CAP115 Log Images 0139-0140 &amp; SHAA - G.A.C. Summary of Operations for 1-15 August 1918</t>
  </si>
  <si>
    <t>Capronis 121,122,105.  Caproni 124 aborted shortly after takeoff.  Bomb wgt of 880 lbs/plane estimated from GB2 numbers.</t>
  </si>
  <si>
    <t>Caproni 129.  Bomb wgt of 880 lbs/plane estimated from GB2 numbers.</t>
  </si>
  <si>
    <t>Raid from 0830 - 0930.  14 bombs in center of city; damage to church and several fine residences, as well as many smaller places.  69 [of them] didn't report damage.  [WIA reported 1 killed, 4 injured.]</t>
  </si>
  <si>
    <t>ALERT ONLY @ 0845-1003. ALL RAIL TRAFFIC STOPPED.</t>
  </si>
  <si>
    <t>ALERT @ 0904-1011. DURING ALERTS, BUSINESS &amp; STREETCARS STOPPED. RR DID NOT.</t>
  </si>
  <si>
    <t>ALERT ONLY 0916-0958. ALL FACTORIES STOPPED WORK. NO RR DELAYS.</t>
  </si>
  <si>
    <t>"Other Cost" is estimated lost production &amp; labor costs. 2 alerts: 0919-0957, 1315-1414.</t>
  </si>
  <si>
    <t>DURING ALERTS, RR TRAFFIC &amp; FACTORY &amp; FOUNDRY WORK STOPPED. 2 alerts: 1010-1020, 1205-1237.</t>
  </si>
  <si>
    <t>ALERT ONLY @ 1235-1415. ALL RAIL TRAFFIC STOPPED.</t>
  </si>
  <si>
    <t>"Attacks" at 1250-1300, 1325-1355, 1745-1750. AA fire only 1340-1350. [PROBABLY ONLY AN ALERT - CHANGED RECORD TO SAY THAT -SCS]</t>
  </si>
  <si>
    <t>ALERT 1256-1405. DURING ALERTS, BUSINESS &amp; STREETCARS STOPPED. RR DID NOT.</t>
  </si>
  <si>
    <t>ALERT ONLY 1304-1400. ALL FACTORIES STOPPED WORK. NO RR DELAYS.</t>
  </si>
  <si>
    <t>COMBINED RECORD FROM MAURER MAURER AND MICROFILM - THE ONLY RAID ON DUREN.  OCCURRED DURING 1 OF THE 2 ALERTS: 0920-1051 OR 1235-1434. [Report says raid was a day raid by IF DH4's diverted from Cologne because of thick clouds.]  BRITISH SURVEY GAVE NUMBER OF MARKS PROPERTY DAMAGE.</t>
  </si>
  <si>
    <t>(20 mi WSW of Cologne)</t>
  </si>
  <si>
    <t>486 &amp; NARA 990 &amp; "Results of Air Raids…", p.10</t>
  </si>
  <si>
    <t>3 DAYTIME ALERTS. LOSS IN PRODUCTION OF IRON @ 498M PER TON.</t>
  </si>
  <si>
    <t>Terrible weather.</t>
  </si>
  <si>
    <t>GB1 War Diary 0209 &amp; SHAA - G.A.C. Summary of Operations for 1-15 August 1918</t>
  </si>
  <si>
    <t>2 raids, 1 per night, totaling 3537 kg &amp; 123 bombs dropped - DON'T BELIEVE # SORTIES IN RECORD</t>
  </si>
  <si>
    <t>1 hanger hit &amp; 2 planes damaged; 1 concrete hanger hit &amp; 2 planes destroyed.  Planes replaced next day.</t>
  </si>
  <si>
    <t>Wallingen (NE of Rombach)</t>
  </si>
  <si>
    <t>Wallingen Factory</t>
  </si>
  <si>
    <t>Roye, Fresnoy les Roye, Fronsart</t>
  </si>
  <si>
    <t>THESE WERE THE ASSIGNED TARGETS AND THE REPORT DOES NOT SAY WHETHER THE MISSION WAS EXECUTED. Raids were supposed to take place between 1030 and sunset.</t>
  </si>
  <si>
    <t>Corbeil-Cerf</t>
  </si>
  <si>
    <t>1st Brigade Image 0096</t>
  </si>
  <si>
    <t>Hombleux</t>
  </si>
  <si>
    <t>Report claims 1 Voisin dropped 1659 kg of bombs - DON'T BELIEVE IT</t>
  </si>
  <si>
    <t>2 raids, 1 per night, totaling 5696 kg &amp; 175 bombs dropped - DON'T BELIEVE # SORTIES IN RECORD</t>
  </si>
  <si>
    <t>Region Nesle-Ham-St. Quentin</t>
  </si>
  <si>
    <t>Bivouacs, Crossroads</t>
  </si>
  <si>
    <t>Combined 7 night record - 278 bombs totaling 12710 kg</t>
  </si>
  <si>
    <t>Campeaux</t>
  </si>
  <si>
    <t>ODD RECORD - APPARENTLY ALERT 1325-1328.</t>
  </si>
  <si>
    <t>Extensive damage, most to Street IV &amp; V, Street VIIa, Street Ia, Smelting Furnace III, Street I. Mentions damage in the Russians' camp. BRITISH SURVEY: damage estimated at 40,470 marks; works shut down for 8 hours; 23 bombs plotted.</t>
  </si>
  <si>
    <t>NARA 990 Roll 58, AM Results… pp.32-33</t>
  </si>
  <si>
    <t>Raid 1:30 to 2:00 - AM/PM not specified.  No bombs in station.</t>
  </si>
  <si>
    <t>Avre Ravine, from Berguigny to Guerbigny, and Warsy and Breguigny Woods</t>
  </si>
  <si>
    <t>Troops &amp; Formations</t>
  </si>
  <si>
    <t>Raid 1500 to 1530 at altitudes 1100 to 1400 meters.  3 combats.  1 American observer in Br.129, 2/Lt Borter, wounded. Bombs started large fire in Berguigny. [PROBABLY TOWN NAME IS BECQUIGNY].  6500 rounds fired at German troops.  10 R.XIs provided protection.</t>
  </si>
  <si>
    <t>1st Brigade Image 0099-0100</t>
  </si>
  <si>
    <t>Bazancourt, Guignicourt, le Chatelet, Pontavert, Loivre, Epoye, Berméricourt</t>
  </si>
  <si>
    <t>GB1 War Diary 0210</t>
  </si>
  <si>
    <t>A/C totals might have been 13 at T.O. with 2 WX-aborting.  Concurrent (?) recce missions ran from 2245 to 0135.</t>
  </si>
  <si>
    <t>L(?)oivre - Pontavert</t>
  </si>
  <si>
    <t>Region of Roye, Lassigny, Noyon, Guiscard</t>
  </si>
  <si>
    <t>6 raids, 1 per night, totaling 18910 kg &amp; 632 bombs dropped - DON'T BELIEVE # SORTIES</t>
  </si>
  <si>
    <t>Voisin raids on 6 nights totaling 15892 kg and 464 bombs</t>
  </si>
  <si>
    <t>Record indicates a day raid tho it seems unlikely</t>
  </si>
  <si>
    <t>Voisin raids over 2 (?) nights; 54 bombs totaling 3450 kg - dates may be incorrect</t>
  </si>
  <si>
    <t>Chauny, Avricourt wood; Ham</t>
  </si>
  <si>
    <t>Troops, etc.; RR Stn</t>
  </si>
  <si>
    <t>Protected by 4 R.XI</t>
  </si>
  <si>
    <t>1st Brigade Images 0104-0106</t>
  </si>
  <si>
    <t>Lassigny; Lassigny to Noyon</t>
  </si>
  <si>
    <t>Troops, etc.; Convoys</t>
  </si>
  <si>
    <t>Fired 4000 rounds at ground targets. Protected by 9 R.Xis, which also attacked troops &amp; convoys. Many bomb strikes in Lassigny. Secondary explosions &amp; fire (where?) after bombardment.  Bombed from 1630 to 1700 at altitudes of 1200 to 1800 meters.</t>
  </si>
  <si>
    <t>1st Brigade Image 0104</t>
  </si>
  <si>
    <t>Chatelet-sur-Retourne, Bazancourt, Guignicourt, Pontavert, Bouvancourt, Cormisy</t>
  </si>
  <si>
    <t>4 a/c flew 2 sorties.  Recce missions out 2115 to 0200; presumably bombing took place in this period.  An "F.13" of Esc.110 flew its first mission. (Nilssen says this was a designation given to the Farman F.50)  Small fire started at Guignicourt; train set afire S. of Bazancourt.</t>
  </si>
  <si>
    <t>Pontavert (?) - Villers - Franqueux</t>
  </si>
  <si>
    <t>Seraincourt</t>
  </si>
  <si>
    <t>Voisin raids on 5 nights totaling 31091 kg and 1045 bombs</t>
  </si>
  <si>
    <t>Ognolles</t>
  </si>
  <si>
    <t>Combined 3 night record - 151 bombs totaling 8675 kg</t>
  </si>
  <si>
    <t>Date uncertain - may be a "ditto" mark indicating raids on 10, 12, 14 August - 6 sorties dropping 341 bombs of 17200 kg</t>
  </si>
  <si>
    <t>AA fire 2235-2315. [CHANGED RAID TO ALERT -SCS]</t>
  </si>
  <si>
    <t>ALERT 2330-0121.</t>
  </si>
  <si>
    <t>Extensive damage, most to Blocking street, Rolling-mill revolving apparatus, and steel foundry</t>
  </si>
  <si>
    <t>Afternoon</t>
  </si>
  <si>
    <t>GB4 &amp; maybe others</t>
  </si>
  <si>
    <t>168 Breguets and R.11s (C.46) attacked Noyon in the afternoon - at least one bomber lost due to AAA</t>
  </si>
  <si>
    <t>OTF,V.23,#1, p.32</t>
  </si>
  <si>
    <t>Buhl and Metz-Sablon</t>
  </si>
  <si>
    <t>Aerodrome &amp; Rail Triangle</t>
  </si>
  <si>
    <t>Protected by 9 R.XIs.  Bombed 1115 to 1130. Took 15 photos. 4 enemy planes probably shot down; 2 R.XIs lost; 2 other R.XI crewmen wounded.</t>
  </si>
  <si>
    <t>1st Brigade Images 0107-9</t>
  </si>
  <si>
    <t>Porquéricourt, Beaurains to Genvry</t>
  </si>
  <si>
    <t>Protected by G.C.18. Large explosion seen after bombing south of Beurains. 6 enemy planes shot down. 1 Breguet of 108 shot down by shell.  American Lt. Keith, observer in GB6, grieveously wounded by a bullet in the stomach.</t>
  </si>
  <si>
    <t>Longuyon (N of…)</t>
  </si>
  <si>
    <t>T.O. 1030, RTB 13:40 - original target Dommary-Baroncourt - diverted due to poor visibility - 4 hits on tracks</t>
  </si>
  <si>
    <t>Gorrell C2 p.57</t>
  </si>
  <si>
    <t>Morning</t>
  </si>
  <si>
    <t>French Breguet bombers accompanied by C.46 R11s - R11s strafed streets in Noyon and bombers attacked from a low height</t>
  </si>
  <si>
    <t>Xaffévillers</t>
  </si>
  <si>
    <t>Ham, Guiscard, Tergnier</t>
  </si>
  <si>
    <t>U/K - probably tactical, commo, and transportation</t>
  </si>
  <si>
    <t>Maison Bleue, Bazancourt, regions of Guignicourt &amp; Warmeriville &amp; Brimont, Pontavert</t>
  </si>
  <si>
    <t>GB1 War Diary 0210-1</t>
  </si>
  <si>
    <t>5 recce missions - 2115-0035.  Am presuming bombing missions flew at about the same time. It seems likely that these missions also dropped some bombs, but I can't confirm this.  Terrible weather.</t>
  </si>
  <si>
    <t>Guignicourt - Warmeriville -B(?)rimont</t>
  </si>
  <si>
    <t>Survey team could not go to Karlsruhe; limited info available.  [This date was wrong in Maurer Maurer - corrected it with NARA 990 microfilm. --SCS] BRITISH SURVEY: 11 bombs hit Central Station, causing "considerable" damage to a tunnel, E wing of stn, Maxan stn; damage to platform 4, a train, various rail lines.  Monetary damage from WIA, Appx. XIII.</t>
  </si>
  <si>
    <t>460, NARA 990, "Results…" p.16</t>
  </si>
  <si>
    <t>ALERT - FACTORIES, BUSINESSES, STREETCARS STOPPED - AM/PM UNK: TIME 10.38-10.55</t>
  </si>
  <si>
    <t>ALERT - FACTORIES, BUSINESSES, STREETCARS STOPPED - AM/PM UNK: TIME 11.02-11.35</t>
  </si>
  <si>
    <t>Rail; A/C &amp; Chem. Fact.</t>
  </si>
  <si>
    <t>Planes crossed lines at 0530.  30 bombs on east neck of railyard; 10 on tracks and 10 near roundhouse &amp; warehouse.</t>
  </si>
  <si>
    <t>Gorrell C2 page 64 - fold3.com</t>
  </si>
  <si>
    <t>Dieuze,Morhange,Falkenbrg</t>
  </si>
  <si>
    <t>AAA,Rail,Aerodrome</t>
  </si>
  <si>
    <t>AAA,Railway</t>
  </si>
  <si>
    <t>Bourgogne, Guignicourt RR stn, Beine, Bazancourt, Courmicy region, Hermonville, Orainville</t>
  </si>
  <si>
    <t>Unspecified in War Diary</t>
  </si>
  <si>
    <t>GB1 War Diary 0211</t>
  </si>
  <si>
    <t>13 V.R.s and 2 F.13s [F.50s] T.O.</t>
  </si>
  <si>
    <t>Cormicy - Hermonville</t>
  </si>
  <si>
    <t>???bemont &amp; rail (?) lines around Ham, Jussy, St. Quentin</t>
  </si>
  <si>
    <t>ALERTS 0802-0859, 0935-0959. SEE KAISERSLAUTERN, 12APR1918 FOR DETAILS</t>
  </si>
  <si>
    <t>ALERT MAY HAVE BEEN AT 0839. NO BOMBS IN CITY LIMITS. FACTORY STOPPED DURING 40% OF ALERTS</t>
  </si>
  <si>
    <t>COSTS PARTIALLY ESTIMATED BECAUSE 1 INSURANCE CO DIDN'T REPORT EACH RAID'S DAMAGE SEPARATELY. POST-1918 AIRRAID CLAIMS DIVIDED PROPORTIONATELY BETWEEN THE LAST 2 RAIDS (16 &amp; 25 SEP). BRITISH SURVEY: # BOMBS AND "DAY" RAID.</t>
  </si>
  <si>
    <t>NARA 990, Roll 58, p. 001100; AM Results, p.14</t>
  </si>
  <si>
    <t>ALERT - FACTORIES, BUSINESSES, STREETCARS STOPPED - AM/PM UNK: TIME 8.26-9.48</t>
  </si>
  <si>
    <t>Buhl,Morh'e,Saar.,Freim.</t>
  </si>
  <si>
    <t>Aerodromes,Rail,Furnace</t>
  </si>
  <si>
    <t>Saarburg (vic. of)</t>
  </si>
  <si>
    <t>Freimenges (west of)</t>
  </si>
  <si>
    <t>Maison Bleue, Guignicourt, Pontavert, Amifontaine, Bazancourt, Menneville</t>
  </si>
  <si>
    <t>GB1 War Diary 0211-2</t>
  </si>
  <si>
    <t>12 planes T.O. ("11 V.B. et 1 F.13").  Bomb totals and wgts don't match G.A.C. summaries. Fires at Maison Bleue &amp; Bazancourt rail stns. 1 plane overturned and burned on landing, burning both crew to death. Since it was at their airfield, I didn't count it as force-landed.</t>
  </si>
  <si>
    <t>ALERTS 1300-1336, 1625-1658.</t>
  </si>
  <si>
    <t>[At the steel mill] 1 workman mortally wounded. FROM THE RAIL STN REPORT: AA fire 1620-1650</t>
  </si>
  <si>
    <t>391, NARA 990</t>
  </si>
  <si>
    <t>Double track destroyed; 17 hours to repair [5000M DAMAGE WAS HAND-WRITTEN IN ON MICROFILM ENTRY]</t>
  </si>
  <si>
    <t>449, NARA 990</t>
  </si>
  <si>
    <t>Alarm only, NO RAID, 1:30 to 2:00  - AM/PM not specified.  Also air raid about 5:00 - in Knuzig, bombs were dropped near the station.</t>
  </si>
  <si>
    <t>T.O. 0830 - 2 extra a/c turned back when the rest crossed the lines; later 2 turned back because they couldn't keep up - 3 direct hits observed</t>
  </si>
  <si>
    <t>T.O. 1630 - 2 extra a/c turned back when the rest crossed the lines - all bombs fell short of target</t>
  </si>
  <si>
    <t>Buhl,Voelk'n,Saarbg,St.Av</t>
  </si>
  <si>
    <t>Aerodromes,Furnace,Rail</t>
  </si>
  <si>
    <t>St. Avold (E. of...)</t>
  </si>
  <si>
    <t>Bazancourt, Semide, Neuilly, Chatelet-s-Retourne, Pontavert, Guignicourt</t>
  </si>
  <si>
    <t>GB1 War Diary 0212</t>
  </si>
  <si>
    <t>12 V.R. planes T.O. 4 recce missions for G.A.C. took place 2130-0035; presumably bombing took place around the same time. Small fire at Bazancourt rail stn.  Bombs dropped: 10x90mm, 30x155mm G.A., 21x155mm MMN, 19x200mm G.A., 3x268mm MMN, 2 Michelin, 8 Bourges, 11 incendiaries = 3230 kg.</t>
  </si>
  <si>
    <t>Semide</t>
  </si>
  <si>
    <t>GB2/GB18 record adjusted for CAP115 bomb wgt.</t>
  </si>
  <si>
    <t>SHAA - G.A.E. Summary of Operations for 1-15 August 1918</t>
  </si>
  <si>
    <t>Capronis 105,118,126 bombed Thionville. #120 bombed Thionville-Terville (the latter is a suburb SW of Thionville). Caproni 122 "Machine &amp; Crew Disappeared"; MdL Pélichet (P) &amp; Ltt Puig (O) Died for France. I wrote this record to indicate that 122 did drop bombs but the truth is simply unknown.  Bomb wgt per plane estimated at 400 kg, the amt known to have been dropped by #124 on Hayange.</t>
  </si>
  <si>
    <t>CAP115 Log Images 0142-3 &amp; SHAA - G.A.E. Summary of Operations for 1-15 August 1918 &amp; website albindenis.free.fr</t>
  </si>
  <si>
    <t>Capronis 120 &amp; 121.  Bomb wgt per plane estimated at 400 kg, the amt known to have been dropped by #124 on Hayange.</t>
  </si>
  <si>
    <t>CAP115 Log Images 0142-3 &amp; SHAA - G.A.E. Summary of Operations for 1-15 August 1918</t>
  </si>
  <si>
    <t>Caproni 124.  Bomb wgt known exactly from GB2 record indicating only 1 Caproni attacked this target.</t>
  </si>
  <si>
    <t>ALERT 1000-1020. OTHER RECORD FOR THIS DATE HAS NIGHTTIME ALERT. "General interruption in train movements. Damage all around.  All trains late."</t>
  </si>
  <si>
    <t>AA fire 1840-1900. [CHANGED RAID TO ALERT -SCS]</t>
  </si>
  <si>
    <t>Large hanger slightly damaged.</t>
  </si>
  <si>
    <t>AA fire 2255-0130. [CHANGED RAID TO ALERT -SCS]</t>
  </si>
  <si>
    <t>ALERT 2255-0026. LIGHTS OUT @2250. OTHER RECORD FOR THIS DATE HAS DAYTIME ALERT. "General interruption in train movements. Damage all around.  All trains late."</t>
  </si>
  <si>
    <t>ALERT 2300-2320, RAIDS 2340-0030, 0045-0055. MONETARY DAMAGES AND # BOMBS FROM BRITISH RECORDS.</t>
  </si>
  <si>
    <t>15 bombs dropped near baraquements, one partly demolished. Also near station.  USAS CLAIMS 5 96TH AERO SQN A/C BOMBED HERE MID-MORNING - "3 BURSTS WERE OBSERVED ON THE TRACKS IN FRONT OF THE STATION, BALANCE ABOUT STN AND AMONG WAREHOUSES"</t>
  </si>
  <si>
    <t>Extensive damage, most to Blocking machine II and Foundry fence. AMERICAN SURVEY says is a night raid; BRITISH SURVEY says day raid and plots 8 bombstrikes.</t>
  </si>
  <si>
    <t>NARA 990 Roll 58; AM Results… after p.32</t>
  </si>
  <si>
    <t>Alarm only, NO RAID, 10:00 to 10:40  - AM/PM not specified.  Also air raid from 11:30 - 1:30; no bombs were dropped in the station.</t>
  </si>
  <si>
    <t>T.O. 1025 - 2 extra a/c turned back when the rest crossed the lines; later 1 turned back because it couldn't reach altitude</t>
  </si>
  <si>
    <t>T.O. 1630 - apparently 2 extra a/c turned back when the rest crossed the lines; another forcelanded - all bombs hit rail yards; 2 direct hits on roundhouse</t>
  </si>
  <si>
    <t>Boulay,Freisdf,Buhl,Mail.</t>
  </si>
  <si>
    <t>Aerodromes, Train</t>
  </si>
  <si>
    <t>Mailveiler (E. of...)</t>
  </si>
  <si>
    <t>Boul.,Mann.,Saarb'n,Buhl</t>
  </si>
  <si>
    <t>Aerodromes,Fact.,Furn.</t>
  </si>
  <si>
    <t>BASF,etc. - See comments</t>
  </si>
  <si>
    <t>St-Masmes, Vitry-les-Reims, Pontavert, Bazancourt, Berry-au-Bac, Guignicourt, Warmeriville</t>
  </si>
  <si>
    <t>8 V.R. &amp; 3 F.13s (F.50s) T.O.  1 F.13 had mech abort. Concurrent recce missions from 2120-2330.  I crew started fire on railway N of Bazancourt.</t>
  </si>
  <si>
    <t>SHAA - G.A.C. Summary of Operations for 16-31 August 1918</t>
  </si>
  <si>
    <t xml:space="preserve">POSSIBLY INCORRECT RECORD. NOT IN WAR DIARY &amp; GB1 HAS NOT ATTACKED A-L IN A LONG TIME, THOUGH THEY DEFINITELY DID ON THE 18TH AND LATER.  If this entry is excluded, summaries match war diary exactly in # a/c, # bombs &amp; bomb wgt.  </t>
  </si>
  <si>
    <t>Original GB2 record adjusted by subtracting estimated CAP115 bomb # &amp; wgt.</t>
  </si>
  <si>
    <t>Capronis 118,120,121,124,126. Using known 880 lbs bomb wgt from yesterday as an estimate for today.</t>
  </si>
  <si>
    <t>CAP115 Log Image 0143 &amp; SHAA - G.A.E. Summary of Operations for 1-15 August 1918</t>
  </si>
  <si>
    <t>Mézières - Mohon</t>
  </si>
  <si>
    <t>Forest</t>
  </si>
  <si>
    <t>Work stopped in factories, businesses, &amp; shops during alerts. 2 alerts - 1102-1110, 1202-1311.</t>
  </si>
  <si>
    <t>ALERTS 1206, 1334. SEE KAISERSLAUTERN, 12APR1918 FOR DETAILS</t>
  </si>
  <si>
    <t>STEEL MILL REPORT:"…station of the air line leading from the Jacobus mine to the blast furnaces was very severely damaged."  2 workmen killed.  RR STN REPORT: "7 bombs dropped on steel works Thyssen on and near an electric railway. 2 Russians were killed. Traffic delayed a short time." [AM CALLING THIS 1 HOUR -SCS] AA fire 2240-0010. RR STN TELEGRAM: "...About 11:45PM, 7 bombs were dropped...3 bombs fell at the west end of the corner stn. 1 bomb 20m E of corner stn on the rails. 3 bombs 200m E of corner stn. 2 bombs on the track, and 1 bomb near the track on the railings. Windowpanes at corner stn broken..."</t>
  </si>
  <si>
    <t># BOMBS FROM BRITISH SURVEY</t>
  </si>
  <si>
    <t>ALERT 2257-0024.  "General interruption in train movements. Damage all around.  All trains late."</t>
  </si>
  <si>
    <t>Raids 2315 - 2330 &amp; 0045 - 0100.  10 bombs on Mundenheim. Direct damages to BASF in 22 raids was 519,310M; 14 killed.  Each raid or alert caused production losses in another 24 hour plant and in many city businesses. Monetary damage figure from BRITISH SURVEY (WIA, Appx XIII).</t>
  </si>
  <si>
    <t>Damage to tracks, foundry fence, weigh-house, vitrification between Furnaces III &amp; IV</t>
  </si>
  <si>
    <t>BRITISH SURVEY plots 9 bombstrikes.</t>
  </si>
  <si>
    <t>AM Results… after p.32</t>
  </si>
  <si>
    <t>2 bombs fell in Rhine.  Bomb survey says British raided here &amp; real target was probably Ludwig'n or Mannheim.</t>
  </si>
  <si>
    <t>Darmstadt</t>
  </si>
  <si>
    <t>T.O. 1655 - Pilot's diary: "Miss target a mile".</t>
  </si>
  <si>
    <t>Buhl,Boul.,Morh,Remilly</t>
  </si>
  <si>
    <t>Aerodromes, Rail Jtn.</t>
  </si>
  <si>
    <t>Remilly (S. of...)</t>
  </si>
  <si>
    <t>Boulay, Saarburg</t>
  </si>
  <si>
    <t>Aerodrome, Rail Jtn.</t>
  </si>
  <si>
    <t>Regions of Selles, Pontavert, &amp; St-Masmes; Bazancourt, Guignicourt, Isles-s-Suippes</t>
  </si>
  <si>
    <t>GB1 War Diary 0212-3</t>
  </si>
  <si>
    <t xml:space="preserve">Mix of Voisins &amp; Farmans. Started small fire on railway S of Bazancourt. </t>
  </si>
  <si>
    <t>Isles-sur-Suippes</t>
  </si>
  <si>
    <t>Escadre 14 (GB8&amp;10)</t>
  </si>
  <si>
    <t>???-eu</t>
  </si>
  <si>
    <t>SHAA - G.A.R. Summary of Operations for 16-30 August 1918</t>
  </si>
  <si>
    <t>Ognolles, Campien, Autrecourt</t>
  </si>
  <si>
    <t>Combined record - raids 16, 20 August - totaling 507 bombs &amp; 17564 kg</t>
  </si>
  <si>
    <t>Ognolles ?</t>
  </si>
  <si>
    <t>Combined record - raids 16, 22 August - totaling 43 bombs &amp; 1970 kg</t>
  </si>
  <si>
    <t>???-onvillers (Bayonvillers?)</t>
  </si>
  <si>
    <t>2 raids, 1 per night, totaling 2170 kg &amp; 60 bombs dropped - DON'T BELIEVE # SORTIES IN RECORD</t>
  </si>
  <si>
    <t>Combined record - raids 16, 21, 22, 24 August - totaling 308 bombs &amp; 12950 kg</t>
  </si>
  <si>
    <t>ALERTS GIVEN AS: 1110-1235, 0900-0919, 0940-1019, SO THERE IS SOME CHANCE TIMES OR DATE ARE WRONG. NO BOMBS IN CITY LIMITS. FACTORY STOPPED DURING 40% OF ALERTS</t>
  </si>
  <si>
    <t>AA fire "with intervals". # of bombs from BRITISH SURVEY.</t>
  </si>
  <si>
    <t>NARA 990, Roll 58; AM Results… opposite p.13</t>
  </si>
  <si>
    <t>ALERT 2250-2301.  "General interruption in train movements. Damage all around.  All trains late."</t>
  </si>
  <si>
    <t>All info from BRITISH SURVEY. WIA reports 4 killed, 4 injured, 88,000M damage.  AM "Results…" says 4 killed, "many" injured, damage estimated at 50,000M.  2 bombs fell on coal stocks and others did considerable damage to private property.  Raid was a surprise to the populace.</t>
  </si>
  <si>
    <t>WIA Appx XIII; AM "Results…" p.9</t>
  </si>
  <si>
    <t>ALERT - FACTORIES, BUSINESSES, STREETCARS STOPPED - AM/PM UNK: TIME 12.24-12.28</t>
  </si>
  <si>
    <t>ALERT - FACTORIES, BUSINESSES, STREETCARS STOPPED - AM/PM UNK: TIME 8.53-9.25</t>
  </si>
  <si>
    <t>Busch.,Frei.,Morh.,Boulay</t>
  </si>
  <si>
    <t>Buschdorf</t>
  </si>
  <si>
    <t>Landing Ground</t>
  </si>
  <si>
    <t>Gengen.,Saar.,Forbach,etc</t>
  </si>
  <si>
    <t>Blk For,.Furn.,Aero.,etc</t>
  </si>
  <si>
    <t>Gengenbach (W. of...)</t>
  </si>
  <si>
    <t>Searchlights and AAA</t>
  </si>
  <si>
    <t>True name of objective is apparently Witry-lès-Reims  --SCS</t>
  </si>
  <si>
    <t>AA fire "with intervals". [CHANGED RAID TO ALERT -SCS]</t>
  </si>
  <si>
    <t>Rieding</t>
  </si>
  <si>
    <t>30 meters of double track destroyed.  2 bombs were blinds [duds].  No interruption of traffic. [4500M DAMAGE WAS HAND-WRITTEN IN ON MICROFILM RECORD]</t>
  </si>
  <si>
    <t>At 1105 five bombs fell 5 m to the right of switch #5 (aimed at stn).  No damage.</t>
  </si>
  <si>
    <t>Either 1015am or 1015pm.  No damage.</t>
  </si>
  <si>
    <t>Boulay,Morh.,Nied.,etc.</t>
  </si>
  <si>
    <t>Aerodromes,Villages,Rail</t>
  </si>
  <si>
    <t>Niedrum</t>
  </si>
  <si>
    <t>Many</t>
  </si>
  <si>
    <t>Hampont</t>
  </si>
  <si>
    <t>Saarbrucken,Buhl,Boulay</t>
  </si>
  <si>
    <t>Rail,Burbach Wks,Aerod.</t>
  </si>
  <si>
    <t>Pontavert, Amagne, Warmeriville, Chatelet-s-Retourne, Guignicourt, Bazancourt, Berry-au-Bac</t>
  </si>
  <si>
    <t>GB1 War Diary 0213</t>
  </si>
  <si>
    <t>8 V.R.s take off.  Concurrent recce missions for G.A.C. 2135-2355. 1 crew started a fire at Chatelet-s-Retourne.</t>
  </si>
  <si>
    <t>Rechicourt</t>
  </si>
  <si>
    <t>Boulay,Morh.,Avricourt</t>
  </si>
  <si>
    <t>Avricourt (NE of...)</t>
  </si>
  <si>
    <t>Morhange, Boulay</t>
  </si>
  <si>
    <t>ALERT 2339-0124.  "General interruption in train movements. Damage all around.  All trains late."</t>
  </si>
  <si>
    <t>"Attacks" 2340-0005, 0035-0134; AA fire 2340-0000, 0040-0105. [CHANGED RAID TO ALERT -SCS]</t>
  </si>
  <si>
    <t>Dillengen</t>
  </si>
  <si>
    <t>Blast Furnaces &amp; Sidings</t>
  </si>
  <si>
    <t>Longuyon (NW of…)</t>
  </si>
  <si>
    <t>5 bursts on target</t>
  </si>
  <si>
    <t>St.Paul-aux-Bois to Pont-St.-Mard to Guny (region), Ailette Valley from Crécy-au-Mont  [CHANGED FROM "CRECY TO MONTS"] &amp; Guny</t>
  </si>
  <si>
    <t>Late morning raid against 1st region; late afternoon raid in Ailette Valley. Very low ceiling (400m) kept Breguets near ground level. 12 R.XI sorties for protection; 1 did not return.  Had 11 combats and fired 6600 rounds at German troops. 2 German planes claimed.  1 artillery convoy near Cuny was scattered by Breguet attack.  Report gives 136 Breguets dropping 268800 kg of bombs - based on comparison with Martel, it should be 1/10th of that. Not certain if 136 sorties is # leaving the ground and/or the number dropping bombs.  LOCATION LISTED AS CUNY IN ORIGINAL RECORD - CHANGED TO GUNY AFTER RESEARCH WITH MAP.</t>
  </si>
  <si>
    <t>1st Brigade Image 0129</t>
  </si>
  <si>
    <t>Metz-Sablon, Buhl</t>
  </si>
  <si>
    <t>Rail Triangle, Aerodrome</t>
  </si>
  <si>
    <t>Buhl</t>
  </si>
  <si>
    <t>Boulay,Morhange</t>
  </si>
  <si>
    <t>Chatelet-s-Retourne, Pontavert, Bazancourt, Amagne-Lucquy, Auménancourt (region), Beine, Cormicy &amp; Rhil, Neuilly, Cerny, Bourg &amp; Conin, Bouvancourt, Wameriville</t>
  </si>
  <si>
    <t>5 planes flew 2 missions. Hand-written addition to war diary says they dropped 13,835 kg of bombs [30,437 lb], but this is way too high for the number of planes. War diary does not know what happened to missing plane but says it did not accomplish mission. So here Abort Other = Abort Unknown Reason. 4 recce missions for G.A.C., presumably concurrent with bombing sorties, were at 2120-0315. Started fire S of Bazancourt; started fire &amp; explosions on rail line E of Pontavert.</t>
  </si>
  <si>
    <t>Wameriville</t>
  </si>
  <si>
    <t>SHAA - G.A.E. Summary of Operations for 16-31 August 1918</t>
  </si>
  <si>
    <t>Capronis 118 (twice),120,121, &amp; 126. Using known 880 lbs bomb wgt per plane from the Amanvillers raid as an estimate for this target.</t>
  </si>
  <si>
    <t>CAP115 Log Images 0143-4 &amp; SHAA - G.A.E. Summary of Operations for 16-31 August 1918</t>
  </si>
  <si>
    <t>Conflans-Jarnisy</t>
  </si>
  <si>
    <t xml:space="preserve">Capronis 120 &amp; 124.  No time given in log for either of these, but #120 was conducting it 2nd raid of the night and must have left sometime after midnight.  #124 reported receiving an AAA shell fragment in a radiator.  </t>
  </si>
  <si>
    <r>
      <t xml:space="preserve">Caproni 121.  Reported receiving AAA shell fragment in left </t>
    </r>
    <r>
      <rPr>
        <i/>
        <sz val="10"/>
        <rFont val="Arial"/>
        <family val="2"/>
      </rPr>
      <t>fuselage</t>
    </r>
    <r>
      <rPr>
        <sz val="10"/>
        <rFont val="Arial"/>
      </rPr>
      <t xml:space="preserve"> (nacelle).</t>
    </r>
  </si>
  <si>
    <t># BOMBS &amp; PROPERTY DAMAGE FROM BRITISH SURVEY, WHICH SAID 1 BOMB HIT THE RAILWAY.</t>
  </si>
  <si>
    <t>NARA 990, AM Results…, p.11</t>
  </si>
  <si>
    <t>RR STN REPORT: Bombs fell S of stn, Kil. 169.900. Track torn up. 12 telephone wires broken. AA fire 2310-2400.  STEEL MILL REPORT: 4 bombs fell inside the mills. Little material damage.  RR TELEGRAM: "…At 11:45, 1 bomb dropped at Kil. 169,9.  2 rails and some sleepers damaged. 14 telegraph wires broken. Also the lines to Signal Stn 'A' and 'B' were broken. 6 bombs fell on RR stn of Thyssen...Traffic fully maintained. Bf STAHL"</t>
  </si>
  <si>
    <t>384, 392, NARA 990</t>
  </si>
  <si>
    <t>RAID(S)/ALERT 2310-0045, 0240-0355. "Locomotives 3865, 7135, 4016 &amp; 1919 damaged by air raid; also tracks 3, 5, &amp; 24,"  "General interruption in train movements. Damage all around.  All trains late."</t>
  </si>
  <si>
    <t>Bombs fell on tracks near Vezin; trains held up about 45 min.</t>
  </si>
  <si>
    <t xml:space="preserve">Bombs fell at garden of the smithy of Woirgard Nicolas and railroad. </t>
  </si>
  <si>
    <t>near Hagendingen</t>
  </si>
  <si>
    <t>Raid 11:00 to 4:00 - AM/PM not specified.  6 tracks hit by bombs.  "Traffic was not disturbed."  [Text is not clear - probably was two raids, one at 11:00 and one at 4:00.]</t>
  </si>
  <si>
    <t>May not have been a raid, just an alert.  Only info is that "5 trains lost a total of 3 hrs 19 min" this date.</t>
  </si>
  <si>
    <t>Morning raid</t>
  </si>
  <si>
    <t>Audan-le-Roman</t>
  </si>
  <si>
    <t>Afternoon raid - CORRECT SPELLING IS AUDUN-LE-ROMAN</t>
  </si>
  <si>
    <t>Champs to Guny to Crécy-au-Mont to Terny-Sorny</t>
  </si>
  <si>
    <t>Cantonments &amp; Troops</t>
  </si>
  <si>
    <t>2 munitions depots exploded near Cuny. Total number of sorties this day is correct; division between AM &amp; PM raids is approximate based on bomb wgts dropped.  Can't tell if sorties are those that took off and/or those dropping bombs.   LOCATION LISTED AS CUNY IN ORIGINAL RECORD - CHANGED TO GUNY AFTER RESEARCH WITH MAP.  ALSO CHANGED "CRECY TO MONT" TO CRÉCY-AU-MONT AND VERNY - SORY TO TERNY-SORNY AND CHAMP TO CHAMPS.</t>
  </si>
  <si>
    <t>1st Brigade Image 0132</t>
  </si>
  <si>
    <t>Anizy le Chateau to Vauxaillon &amp; Margival</t>
  </si>
  <si>
    <t>Total number of sorties this day is correct; division between AM &amp; PM raids is approximate based on bomb wgts dropped.  Can't tell if # sorties are those taking off or those dropping bombs.</t>
  </si>
  <si>
    <t>Buhl,Morhange,Lorquin</t>
  </si>
  <si>
    <t>Lorquin</t>
  </si>
  <si>
    <t>Morhange,Buhl</t>
  </si>
  <si>
    <t>Colg.,Frank.,Boul.,Treves</t>
  </si>
  <si>
    <t>Rail Targets &amp; Aerodrome</t>
  </si>
  <si>
    <t>Amagne-Lucquy, Chatelet-sur-Retourne, Loivre, Aguilcourt, Pont Givart, Warmeriville, Aussonce, Pontavert, Neuilly</t>
  </si>
  <si>
    <t>GB1 War Diary 0214</t>
  </si>
  <si>
    <t>The plane that aborted on takeoff did not land at the field, so I count it as force-landed (no damage). Recce missions for G.A.C. 2115-0330 - presumably bombing missions took place around the same time. Small fires started by 1 crew in 3 places: Pont Givart (0010), Aguilcourt (0015), Pontavert (0030).</t>
  </si>
  <si>
    <t>CAP115 estimated bomb wgt &amp; # subtracted from GB2 &amp; 18 total.</t>
  </si>
  <si>
    <t>Capronis 120 (twice), 118, 105. Am assuming 880 lb of bombs dropped per plane &amp; deducting it from GB2 &amp; GB18 total.  The bomb wgt and number are estimated in this record but the total for this target of this record and the GB2 &amp; GB18 records is correct.</t>
  </si>
  <si>
    <t>CAP115 Log Image 0144</t>
  </si>
  <si>
    <t>Caproni 121. Am assuming 880 lb of bombs dropped per plane &amp; deducting it from GB2 &amp; GB18 total.  The bomb wgt and number are estimated in this record but the total for this target of this record and the GB2 &amp; GB18 records is correct.</t>
  </si>
  <si>
    <t>Capronis 118, 105. Am assuming 880 lb of bombs dropped per plane &amp; deducting it from GB2 &amp; GB18 total.  The bomb wgt and number are estimated in this record but the total for this target of this record and the GB2 &amp; GB18 records is correct.</t>
  </si>
  <si>
    <t>Caproni 124.  Also conducted recon of Longuyon to Conflans.  Bomb wgt taken from GB2 summary report.</t>
  </si>
  <si>
    <t>CAP115 Log Image 0144 &amp; SHAA - G.A.E. Summary of Operations for 16-31 August 1918</t>
  </si>
  <si>
    <t>???-y sur Serre</t>
  </si>
  <si>
    <t>???-e</t>
  </si>
  <si>
    <t>Combined unreadable record - dropped 460 kg (19 bombs) on the same target on nights of 21,22,24 August</t>
  </si>
  <si>
    <t>Combined unreadable record - dropped 4619 kg (131 bombs) on the same target on nights of 22,24,26 August</t>
  </si>
  <si>
    <t>l'Ai????</t>
  </si>
  <si>
    <t>Combined record - raids 21, 24, 26 August - totaling 76 bombs &amp; 3785 kg</t>
  </si>
  <si>
    <t>Combined record - raids 21, 22, 28 August - totaling 106 bombs &amp; 3897 kg</t>
  </si>
  <si>
    <t>Combined record - raids 21, 22, 24 August - totaling 50 bombs &amp; 1998 kg</t>
  </si>
  <si>
    <t>2 raids, 1 per night, totaling 1050 kg &amp; 26 bombs dropped - DON'T BELIEVE # SORTIES IN RECORD</t>
  </si>
  <si>
    <t>Bombs fell on Uckingen main tracks, derailing train #3918 &amp; wounding 2 men.  AA fire 0235-0400</t>
  </si>
  <si>
    <t>384, NARA 990</t>
  </si>
  <si>
    <t>ALERTS 1145-1150, 1700-1705</t>
  </si>
  <si>
    <t>3 alarms during the day; at noon bombs fell near water tank, destroying [it]…all trains held up many hours.  [I'm calling "many" 6 hours--SCS]  USAS CLAIMS SIX 96TH AERO SQN A/C BOMBED IN LATE MORNING: "ALL BURSTS WELL BUNCHED, ON YARDS BETWEEN STN AND LOCOMOTIVE REPAIR SHOP"</t>
  </si>
  <si>
    <t>Attack 1226-1253. No AA fire. [PROBABLY ALERT VICE RAID -SCS]</t>
  </si>
  <si>
    <t>near Bonn</t>
  </si>
  <si>
    <t>Attack 1630-1744. No AA fire. [PROBABLY ALERT VICE RAID -SCS]</t>
  </si>
  <si>
    <t>"Attacks" 2245-0040, 0250-0310, 0325-0400. AA fire 2250-0040, 0250-0310, 0325-0400. [CHANGED RAID TO ALERT -SCS]</t>
  </si>
  <si>
    <t>RAID(S)/ALERT 2250-2348, 0115-0124, 0235-0310, 0332-0350. "At 3:00 a bomb fell on the exit of new shed. Gas car was damaged and began to burn. Same was extinguished. Roof in old shed was damaged. Locomotive 3868 damaged by splinters."  "General interruption in train movements. Damage all around.  All trains late."</t>
  </si>
  <si>
    <t>RAIDS 2300-2340, 0040-0110, 0245-0305</t>
  </si>
  <si>
    <t>Bombs inside/outside foundry grounds: 17/6.  Damage to high tension conduit and to house where guards for Russians were lodged.  No injuries.  BRITISH SURVEY (AM 39) says this was night of 20/21 AUG and that damage was 5000M.</t>
  </si>
  <si>
    <t>1 RAID &amp; 2 ALERTS ON THIS NIGHT (21/22 AUG 1918).  CASUALTIES &amp; DIRECT DAMAGE UNKNOWN. LOSS IN PRODUCTION OF IRON @ 498M PER TON.</t>
  </si>
  <si>
    <t>BRITISH SURVEY plots 10 bombstrikes north of (Oppau?) chemical plant this night.</t>
  </si>
  <si>
    <t>AM Results… after p.22</t>
  </si>
  <si>
    <t>COSTS PARTIALLY ESTIMATED BECAUSE 1 INSURANCE CO DIDN'T REPORT EACH RAID'S DAMAGE SEPARATELY. POST-1918 AIRRAID CLAIMS DIVIDED PROPORTIONATELY BETWEEN THE LAST 2 RAIDS (16 &amp; 25 SEP). BRITISH SURVEY SAYS IT WAS A NIGHT RAID &amp; PLOTS 10 BOMBS.</t>
  </si>
  <si>
    <t>BRITISH SURVEY plots 6 bombstrikes in western part of the city this night. NO COMPARABLE  AMERICAN RECORD.</t>
  </si>
  <si>
    <t>Raid 11:00 to 3:50 - AM/PM not specified.  About 10 bombs on buildings &amp; sidings.  2 tracks, several coaches, new locomotive shed damaged.  Hotel caught fire.  No interruption of traffic.  "In the city, a large conflagration ensued which was finally overcome."</t>
  </si>
  <si>
    <t>2 raids this date; 3 followed by 23 bombs.</t>
  </si>
  <si>
    <t>ALERT - FACTORIES, BUSINESSES, STREETCARS STOPPED - AM/PM UNK: TIME 11.43-1.10</t>
  </si>
  <si>
    <t>Coblenz, Whitlick</t>
  </si>
  <si>
    <t>Railways,Factory,Village</t>
  </si>
  <si>
    <t>Railways,Factory</t>
  </si>
  <si>
    <t>Whitlick</t>
  </si>
  <si>
    <t>Anizy-le-Chateau, Vauxaillon; Margival</t>
  </si>
  <si>
    <t>Villages; Ravine &amp; RR Stn</t>
  </si>
  <si>
    <t>GB5 bombed Anizy-le-Chateau &amp; GB9 hit Vauxaillon, both from 4500m. GB6 bombed the ravine &amp; RR stn of Margival from 1700m. Violent explosion at A-le-C and numerous bomb strikes in Vaux'n and its chateau.  Marg'l RR stn seriously damaged.  Table says two combats but text says no serious enemy attacks.  1300 rounds fired at troops; 6 R.XIs accompanied bombers.</t>
  </si>
  <si>
    <t>1st Brigade Image 0136</t>
  </si>
  <si>
    <t>10 direct hits on yards.  Heavy &amp; accurate AA fire.</t>
  </si>
  <si>
    <t>Gorrell Papers (fold3.com), C2, p.127</t>
  </si>
  <si>
    <t>Folpersweiler,Herzing</t>
  </si>
  <si>
    <t>Aerodrome &amp; Railway</t>
  </si>
  <si>
    <t>Folpersweiler(vic.Srbrkn)</t>
  </si>
  <si>
    <t>Herzing (near Ehrang)</t>
  </si>
  <si>
    <t>Folper.,Avrict.,Saaralben</t>
  </si>
  <si>
    <t>Aerod.,Rail,Chem Factory</t>
  </si>
  <si>
    <t>Folpersweiler</t>
  </si>
  <si>
    <t>Saaralben</t>
  </si>
  <si>
    <t>Chemical Factory</t>
  </si>
  <si>
    <t>Ham, Laon, Anizy-le-Chateau, Chauny, Guiscard, Mezieres, Maison Bleue, Machault, Pontabert</t>
  </si>
  <si>
    <t>Somettes Eaucourt</t>
  </si>
  <si>
    <t>Blown up</t>
  </si>
  <si>
    <t>Maison-Bleue, Chatelet-sur-Retourne, Neuflize, Machault, Guignicourt, Pontavert, Almenancourt-le-Grand, Bourgogne, Berry-au-Bac, Guyencourt</t>
  </si>
  <si>
    <t>2 planes force-landed w/o damage; 1 accomplished its mission first and the other aborted with mech trouble. The former was attacked by an enemy plane as it attempted to land at Tours-sur-Marne.  Recce missions, presumably concurrent with bombing missions, were at 2115-0145. The F.13 plane "did a night pursuit" over the mountain of Reims and Reims. (??)</t>
  </si>
  <si>
    <t>Mars-la-Tour</t>
  </si>
  <si>
    <t>Fires started by Caproni bombers.  This record adjusted by subtracting estimated CAP bomb wgt &amp; numbers.  Based on numbers from CAP115 records, this raid was probably conducted by four Capronis.</t>
  </si>
  <si>
    <t>Martel, p.369 &amp; SHAA - G.A.E. Summary of Operations for 16-31 August 1918 &amp; CAP115 Log Images 0144-5</t>
  </si>
  <si>
    <t>Capronis 124,105,120,121,118. Assuming 880 lbs per plane dropped.  GB2/18 record adjusted for CAP115 bomb wgt &amp; #.</t>
  </si>
  <si>
    <t>CAP115 Log Images 0144-5</t>
  </si>
  <si>
    <t>???-ere</t>
  </si>
  <si>
    <t>Anizy-le-Chateau</t>
  </si>
  <si>
    <t>Combined record - dropped 5857 kg (151 bombs) on this target on nights of 22,24,26 August</t>
  </si>
  <si>
    <t>22 buildings damaged. Under alert 0040-0150.</t>
  </si>
  <si>
    <t>Work stopped in factories, businesses, &amp; shops during alerts. 2 alerts - 0112-0132, 0203-0216.</t>
  </si>
  <si>
    <t>ALERTS 0800-0840, 0955-1000, 1100-1110</t>
  </si>
  <si>
    <t>DURING ALERTS, RR TRAFFIC &amp; FACTORY &amp; FOUNDRY WORK STOPPED. 5 alerts this day: 0803-0830, 0850-0910, 0932-0953, 1004-1013, 1325-1337.</t>
  </si>
  <si>
    <t>2 ALERTS: 0844-0930, 0940-0955. DURING ALERTS, BUSINESS &amp; STREETCARS STOPPED. RR DID NOT.</t>
  </si>
  <si>
    <t>Alarm only; time lost in 24 hour plant &amp; many businesses.  Alerts 1120 - 1200, 1235 - 1310.</t>
  </si>
  <si>
    <t>Alarm only; time lost in 24 hour plant &amp; many businesses.  Alert 2100 - 2120.</t>
  </si>
  <si>
    <t>AA fire 2150-2240. [CHANGED RAID TO ALERT -SCS]</t>
  </si>
  <si>
    <t>ALERTS 2235-2310, 2330-0057. SEE KAISERSLAUTERN, 12APR1918 FOR DETAILS</t>
  </si>
  <si>
    <t>NO BOMBS IN CITY LIMITS. FACTORY STOPPED DURING 40% OF ALERTS. 1 MORE NIGHT ALERT (2236-0104) OCCURRED AFTER THIS DATE AND BEFORE 1SEPT1918.</t>
  </si>
  <si>
    <t>1 dud; AA did 400 marks damage</t>
  </si>
  <si>
    <t>ALERT 2348-2358.  "General interruption in train movements. Damage all around.  All trains late."</t>
  </si>
  <si>
    <t>Raids from 2349 - 0051, 0059-0211, 0841-0922 (8/23) - all rail traffic stopped.  Bombs in city damaged ladies seminary, fest hall, and property of 114 people (23,368M).  2 killed &amp; 4 injured in city; one officer wounded.  1 bomb in RR round house at Moselweiss (1763M) and bombs on barracks &amp; old train depot at Ehrenbreitstein (507M).  BRITISH RECORDS SAY 6 BOMBS FELL NIGHT OF 21/22 AUG 1918 AND 10 MORE FELL 22 AUG. GIVEN THE BRITISH DAY RAID ON 22 AUG, THE DATE ON THE AMERICAN RECORD IS PROBABLY WRONG. FRENCH RAID THE NIGHT OF 21/22 AUG?  -SCS</t>
  </si>
  <si>
    <t>479, 480, 481</t>
  </si>
  <si>
    <t>Sarralbe</t>
  </si>
  <si>
    <t>Only damage of the war - bomb fell on office building of Solvay Chemical Co.  Photo on page 450.  (Sarralbe is halfway between Saarburg &amp; Saarbrucken.) BRITISH SURVEY plots 10 bombstrikes in town - and more way outside of it.</t>
  </si>
  <si>
    <t>451; AM Results… after p.32</t>
  </si>
  <si>
    <t>In raid by French night bombers, all Jasta 64w airplanes and sheds destroyed</t>
  </si>
  <si>
    <t>OTF, V.22,#4, pp.348-9</t>
  </si>
  <si>
    <t>Alarm only, NO RAID, 11:30 to 12:00  - AM/PM not specified.</t>
  </si>
  <si>
    <t>ALERT - FACTORIES, BUSINESSES, STREETCARS STOPPED - AM/PM UNK: TIME 9.02-9.43</t>
  </si>
  <si>
    <t>In or near Bonn</t>
  </si>
  <si>
    <t>Treves (E. of...)</t>
  </si>
  <si>
    <t>2 raids on Conflans; 8 a/c reached it in the morning and 6 in the afternoon - 6 good hits in the morning</t>
  </si>
  <si>
    <t>Protected by 15 Spads of G.C.15.</t>
  </si>
  <si>
    <t>1st Brigade Image 0139</t>
  </si>
  <si>
    <t>FE2 &amp; HP</t>
  </si>
  <si>
    <t>Boulay,Ehrang</t>
  </si>
  <si>
    <t>Aerodrome,Rail Jtn</t>
  </si>
  <si>
    <t>RAID 0045-0110, ALERT 0150-0200</t>
  </si>
  <si>
    <t>14 planes participated; no damage.</t>
  </si>
  <si>
    <t>ALERT 1220-1240.  "General interruption in train movements. Damage all around.  All trains late."</t>
  </si>
  <si>
    <t>ALERTS 1250-1310, 1330-1340, 1350-1405</t>
  </si>
  <si>
    <t>ALERT 1356-1416.  "General interruption in train movements. Damage all around.  All trains late."</t>
  </si>
  <si>
    <t>Ehrang's worst raid.  5 alarms during night.  Damage to ovens at United Tile &amp; Mantle Works (1328M), to main rail line to Coblenz (40,000M &amp; 24 hours delay), and property damage in city (10,000M).  "3 people died of fright on this raid and a great number were sick due to being in the cellars so long..."  [Damage &amp; # bombs from table in microfilm but not in Maurer Maurer.  RR damage matches 9/2 record, p.434, so closely that one of these records may be wrong.  It's also possible that every time there was severe damage to the RR, they'd claim it cost 40,000M and 1 day's delay. --SCS]</t>
  </si>
  <si>
    <t>Raids 2:00 to 2:30 and 11:30 to 1:00 - AM/PM not specified.  No bombs in station.</t>
  </si>
  <si>
    <t>Trier (City, Kurenz, &amp; E. Trier RR)</t>
  </si>
  <si>
    <t>Combination of 3 records; city, Kurenz (across tracks from Trier), and E.Trier RR.  No damage in city.  "Other" cost from AA fire damaging property of 25 people, of which 21 didn't report the amount of their damages.  313M damage from bomb breaking water main 120 ft from turntable at E. Trier RR.  Damage in Kurenz from 17 bombs of 6508M.</t>
  </si>
  <si>
    <t>423, 426, 431</t>
  </si>
  <si>
    <t>Frankfurt,Boulay</t>
  </si>
  <si>
    <t>Rail Stn, Aerodrome</t>
  </si>
  <si>
    <t>Pontavert-Guignicourt; Claquedents; Beine, St-Masmes</t>
  </si>
  <si>
    <t>Rail Line?; Forest; Region</t>
  </si>
  <si>
    <t>GB1 War Diary 0214-5</t>
  </si>
  <si>
    <t>War Diary said one of the 9 a/c was an F.13 (= F.50). The numbers don't add up or I don't understand what is happening - says 9 a/c but 5 accomplished their mission and 3 aborted.  Mentions two night recce missions that also aborted -- can't tell whether they carried bombs of if they were part of the 9.  Started a fire at Guignicourt.</t>
  </si>
  <si>
    <t>Beine</t>
  </si>
  <si>
    <t>Somme-Py</t>
  </si>
  <si>
    <t>???-n (Noyon?)</t>
  </si>
  <si>
    <t>ALERT 0025-0040. LIGHTS EXTINGUISHED @0020.  "General interruption in train movements. Damage all around.  All trains late."</t>
  </si>
  <si>
    <t>THIS DAYTIME ALERT MAY HAVE BEEN ON 23 AUG 1918 - RECORD SAYS 23AUG, BUT IT IS OUT OF ORDER WITH NIGHT OF 23/24 BEFORE IT. LOSS IN PRODUCTION OF IRON @ 498M PER TON.</t>
  </si>
  <si>
    <t>Morhange,Luxembourg</t>
  </si>
  <si>
    <t>Aerodrome,Rail &amp; Triangle</t>
  </si>
  <si>
    <t>Railways &amp; Triangle</t>
  </si>
  <si>
    <t>Bettembourg (Arlon)</t>
  </si>
  <si>
    <t>Rennles, p.101: 99 Sqn hit Arlon railway, just east of Bettembourg, due to clouds obscuring the original target.</t>
  </si>
  <si>
    <t>Morning flight - good hits on yards, incl. an ammo railcar</t>
  </si>
  <si>
    <t>Afternoon - leader turned back early w/ AA damage - bombs fell short of objective</t>
  </si>
  <si>
    <t>Mannheim, Boulay</t>
  </si>
  <si>
    <t>B.A.S.F., Aerodrome</t>
  </si>
  <si>
    <t>Bazancourt, Warmeriville</t>
  </si>
  <si>
    <t>GB1 War Diary 0215</t>
  </si>
  <si>
    <t>War diary bomb weight disagrees with GAC summary.  Using the latter because the 400 kg in the Diary sounds like a sloppy estimate.</t>
  </si>
  <si>
    <t>ALERT 1142-1540.  "General interruption in train movements. Damage all around.  All trains late."</t>
  </si>
  <si>
    <t>"Attacks" 1235-1255, 1430-1500, 1525-1540. AA fire 1435-1500, 1525-1540. [CHANGED RAID TO ALERT -SCS]</t>
  </si>
  <si>
    <t>DURING ALERTS, RR TRAFFIC &amp; FACTORY &amp; FOUNDRY WORK STOPPED. 2 alerts: 1435-1457, 1548-1604.</t>
  </si>
  <si>
    <t>AA fire 2210-2330 "with intervals" of calm. [CHANGED RAID TO ALERT -SCS]</t>
  </si>
  <si>
    <t>"All day long several hostile planes over the station but dropped no bombs."</t>
  </si>
  <si>
    <t>FROM BRITISH BOMBING SURVEY - Air Ministry "Results of Air Raids on Germany", p.22.  [Not clear whether info saying it was a night raid on 25/26 AUG from plant officials or from British.--SCS]  22 of the 35 bombs plotted hit the Badische and Oppau works.  4 of the bombs damaged a freezing plant used in dye process; machinery down 12 days.  Whole roof blown off.  Some bombs at Oppau works but no serious damage.</t>
  </si>
  <si>
    <t>AM 22</t>
  </si>
  <si>
    <t>COSTS PARTIALLY ESTIMATED BECAUSE 1 INSURANCE CO DIDN'T REPORT EACH RAID'S DAMAGE SEPARATELY. POST-1918 AIRRAID CLAIMS DIVIDED PROPORTIONATELY BETWEEN THE LAST 2 RAIDS (16 &amp; 25 SEP). BRITISH SURVEY SAYS IT WAS A NIGHT RAID ON 25/26 AUG &amp; PLOTS 5 BOMBS.</t>
  </si>
  <si>
    <t>NARA 990, Roll 58, p. 001100; AM Results… p.14</t>
  </si>
  <si>
    <t>Bombs dropped by about 12 planes but no results. USAS CLAIMS RAIDED BY 7 A/C OF 96TH AERO SQN IN AFTERNOON.  "BOMBS HIT SHORT OF OBJECTIVE AND STRUCK NE OF RR YARDS".</t>
  </si>
  <si>
    <t>ALERT - FACTORIES, BUSINESSES, STREETCARS STOPPED - AM/PM UNK: TIME 11.14-12.17</t>
  </si>
  <si>
    <t>Maison Bleue, Guignicourt, Pontavert, Bazancourt, Berry-au-Bac, Beine, Aumenancourt-le-Petit</t>
  </si>
  <si>
    <t>Planes described as 7 V.B. &amp; 2 F.13.  Both F.13s overturned on landing.  Caused an explosion &amp; fire at Guignicourt.</t>
  </si>
  <si>
    <t>Saint-Morel</t>
  </si>
  <si>
    <t xml:space="preserve">Raid 2250 - 2350. 18 bombs on city &amp; chem factory. Direct damages to BASF in 22 raids was 519,310M; 14 killed.  Each raid or alert caused production losses in another 24 hour plant and in many city businesses. </t>
  </si>
  <si>
    <t>Anizy-le-Chateau &amp; Brancourt</t>
  </si>
  <si>
    <t>GB5 &amp; GB9 bombed Anizy at 1200m; GB6 bombed Brancourt at 1500m. Protected by 11 R.XIs. MGed troops on way back over axis Anizy - Brancourt - Laffaux. 1 crew missing. 1 crewman killed, 4 wounded, 1 plane riddled with bullets, 13 aerial combats. 8 EA shot down; 1 probably shot down.</t>
  </si>
  <si>
    <t>1st Brigade Image 0144</t>
  </si>
  <si>
    <t>RR Stn, Bridge S of A-le-C over canal, Troops</t>
  </si>
  <si>
    <t>All 3 GBs participated. Excellent shooting on Anizy RR stn. Many trails of bombstrikes (traînées) on rail lines.2 footbridges destroyed SW of Anizy and the bridge S of it was hit by a trail of bombstrikes. 2 compagnies of troops MGed going from Brancourt to Pinon. Protected by 8 R.XIs. 2 aerial combats; 2 wounded.</t>
  </si>
  <si>
    <t>Conflans, Thionville</t>
  </si>
  <si>
    <t>Conflans,Doncourt</t>
  </si>
  <si>
    <t>Railways,Aerodrome</t>
  </si>
  <si>
    <t>Doncourt</t>
  </si>
  <si>
    <t>T.O. 0515; ATR 0800. Bombs fell short of RR yard</t>
  </si>
  <si>
    <t>T.O. 1135; ATR 1345. Tracks cut and cars and warehouses hit. WX divert from Longuyons. Reason not given for 2 a/c aborting.</t>
  </si>
  <si>
    <t>ATR 1920 - all bombs on target</t>
  </si>
  <si>
    <t xml:space="preserve">GB2 record says raid was 31 August, but GB2/CAP115 records and German records place this on the night of 30/31 August 1918.  </t>
  </si>
  <si>
    <t>Carlshute - Thionville</t>
  </si>
  <si>
    <t>Caproni 118.  This record double-counts GB2/18 record of bombs on either Thionville or Hagondange but I don't know which.  Bomb wgt &amp; # estimated.</t>
  </si>
  <si>
    <t>CAP115 Log Images 0145-6</t>
  </si>
  <si>
    <t>Caproni 124.  Bomb wgt &amp; # estimated.  This record double-count bomb wgt and number from GB2/18 record above.</t>
  </si>
  <si>
    <t>Conflans - Jarny</t>
  </si>
  <si>
    <t>Caproni 121.  Bomb wgt &amp; # estimated and deducted from GB2/18 record above.</t>
  </si>
  <si>
    <t>AA fire 2250-2320. [CHANGED RAID TO ALERT -SCS]</t>
  </si>
  <si>
    <t>DURING ALERTS, RR TRAFFIC &amp; FACTORY &amp; FOUNDRY WORK STOPPED. 2 alerts: 2300-2312, 2325-2345.</t>
  </si>
  <si>
    <t>7 of the bombs fell near tracks between stn and line 117.  Damage unknown; no traffic interruption. 11 heavy bombs fell 50m to the right of R-M line - made hole 5m deep and 10m in diameter.</t>
  </si>
  <si>
    <t>Alarms only, NO RAIDS, at 09:30, 11:30, 13:00, and 22:30.</t>
  </si>
  <si>
    <t>Neuville-sous-Margival, Vauxaillon, Manteuil-la-Fosse</t>
  </si>
  <si>
    <t>68 a/c sent out; not all bombers.  1st Brigade Aérienne report missing; intel report mentions activity from 1700 to 1735 hours.  Later addition to missing report says 3 Breguets of Br.123 brought down a D.7 (one of the pilots was Caporal de Peyerimoff) and one R.XI brought down a 2nd D.7.</t>
  </si>
  <si>
    <t>Kilduff, C&amp;C V.15,#1, p.21 &amp; 1st Brigade Image 0156</t>
  </si>
  <si>
    <t>"AA fire with intervals". [CHANGED RAID TO ALERT -SCS]</t>
  </si>
  <si>
    <t>Damage to 17000 volt cable supplying power to Metz Electric Works</t>
  </si>
  <si>
    <t>Athis-s/Laon; Guignicourt &amp; Loivre</t>
  </si>
  <si>
    <t>RR stn; RR stn &amp; region</t>
  </si>
  <si>
    <t>GB1 War Diary Image 0216</t>
  </si>
  <si>
    <t>Not 100% positive regarding # a/c involved. War diary mentions 14 V.R. bombers taking off and 11 completing their mission.  It later mentions another that could not take off and force-landed, killing 1 soldat. I'm pretty certain it was not part of the 14. Bombs dropped: 13x25 GA, 47x50 GA, 9x50 GA(kg?), 1x10 D.V. (?), 1 Bourges.</t>
  </si>
  <si>
    <t>SHAA - G.A.C. Summary of Operations for 1-15 September 1918</t>
  </si>
  <si>
    <t>Villers - Franqueux (region)</t>
  </si>
  <si>
    <t>Bivouacs &amp;Troop Billets</t>
  </si>
  <si>
    <t>Athies-s-Laon</t>
  </si>
  <si>
    <t>SHAA - G.A.R. Summary of Operations for 1-15 September 1918</t>
  </si>
  <si>
    <t>Laniscourt, Mons, Laonnois, Chivy les Etouvellus, Chaillevois</t>
  </si>
  <si>
    <t>2 raids, 1 per night, totaling 7260 kg &amp; 221 bombs dropped - DON'T BELIEVE # SORTIES IN RECORD</t>
  </si>
  <si>
    <t>Buhl (0930 &amp; 1520)</t>
  </si>
  <si>
    <t>Buhl (0930)</t>
  </si>
  <si>
    <t>Buhl (1520)</t>
  </si>
  <si>
    <t>Buhl (0900 &amp; 1530)</t>
  </si>
  <si>
    <t>Buhl (0900)</t>
  </si>
  <si>
    <t>Buhl (1530)</t>
  </si>
  <si>
    <t>Buhl (0925 &amp; 1540)</t>
  </si>
  <si>
    <t>Buhl (0925)</t>
  </si>
  <si>
    <t>Rennles, p.110 - not calling this an air fight since EA did not engage once warned off with MG fire.</t>
  </si>
  <si>
    <t>Buhl (1540)</t>
  </si>
  <si>
    <t>Rennles, p.113 - not calling this an air fight since EA did not engage once warned off with MG fire.</t>
  </si>
  <si>
    <t># a/c not known.  Total bomb wgt for the day is correct, but exact wgt dropped on each raid is unknown.</t>
  </si>
  <si>
    <t>Gorrell C4 pp.155-6</t>
  </si>
  <si>
    <t>Chavignon</t>
  </si>
  <si>
    <t>Support for the Xeme Armée.   All 3 GBs bombed 1730-1800 hours.  2 Germans probably shot down. Protected by 11 R.XIs. 21 negatives shot.</t>
  </si>
  <si>
    <t>1st Brigade Image 0155</t>
  </si>
  <si>
    <t>Buhl, Ehrange</t>
  </si>
  <si>
    <t>Aerodrome, Rail Jtn</t>
  </si>
  <si>
    <t>Ehrange</t>
  </si>
  <si>
    <t>Saarb'n,Boulay</t>
  </si>
  <si>
    <t>Burbach Wks,Rail Stn,Aer.</t>
  </si>
  <si>
    <t>Flavy-le-Martel, Maison Bleue, Guignicourt</t>
  </si>
  <si>
    <t>Chauny to Jussy route</t>
  </si>
  <si>
    <t>Guignicourt; Claquedents Forest</t>
  </si>
  <si>
    <t>Rail Stn; Troops</t>
  </si>
  <si>
    <t>GB1 War Diary 0216</t>
  </si>
  <si>
    <t>4 V.R. &amp; 2 F.13 T.O.; 1 V.R. did not accomplish mission. Bombs dropped: 18x10 D.V., 2x25 G.A., 14x50 G.A., 3x50 G.A.(?), 4x50 MMN, 2x140 MMN, 2 Bourges.</t>
  </si>
  <si>
    <t>Laon region</t>
  </si>
  <si>
    <t>Tergnier &amp; Mennessis</t>
  </si>
  <si>
    <t>Genlis</t>
  </si>
  <si>
    <t>32 planes participated; no damage.</t>
  </si>
  <si>
    <t>3 hangers completely destroyed.</t>
  </si>
  <si>
    <t>RAIDS 2210-2240, 2250-2325</t>
  </si>
  <si>
    <t>Uninterrupted attacks from 10:50pm - 3:15am on station &amp; AA batteries.  Incendiary damage to shed, house, and wagon.  "Coal loader Muper slightly injured by bomb splinters."</t>
  </si>
  <si>
    <t>ALERT 2250-2320.  "General interruption in train movements. Damage all around.  All trains late."</t>
  </si>
  <si>
    <t>Combination of 2 records.  9 bombs fell 1500 ft east of RR; no damage. "For some reason the lights were out for 48 hours after this raid."  RR records say 4 bombs hit tracks to Coblenz, disabling them for 24 hours and costing 40,000M to repair.  8 bombs also fell in yards, disabling 12 switch tracks &amp; 3 coal cars - repair cost 20,000M.  [This may not have happened this date - see 8/23 record. --SCS]</t>
  </si>
  <si>
    <t>THIS RECORD ENTIRELY FROM BRITISH SURVEY AND INCLUDES 6 BOMBS IN SOUTH PART OF SAARBRUCKEN SEPARATE FROM BOMBS WHICH HIT BURBACH WORKS.  THESE BOMBS CAUSED UNSPECIFIED DAMAGE TO PRIVATE PROPERTY.</t>
  </si>
  <si>
    <t>AM Results… p35 &amp; opposite page</t>
  </si>
  <si>
    <t xml:space="preserve">NO RAID ON TRIER.  AA fire damaged property of 10 people, none of whom reported the amount of their damages. </t>
  </si>
  <si>
    <t>20 bombs fell near farm; small damage.  USAS SAYS 96TH AERO SQN BOMBS "FELL SHORT OF OBJECTIVE AND LANDED E OF RR YARDS".</t>
  </si>
  <si>
    <t>Bombs fell in the rolling mill, in main shop, in locomotive shop and on Saar River docks.  Main workshop roof &amp; ceilings destroyed by fire; damage to machinery.  Several models burned.  Difficult to appraise damage since account books burned.  BRITISH SURVEY adds that carpenter's shop out of action 14 days; it is also source for the casualty figures (WIA, Appx. XIII).</t>
  </si>
  <si>
    <t>3 ALERTS - AM/PM UNKNOWN. TIMES GIVEN AS 2.01, 6.58, 10.11. SEE KAISERSLAUTERN, 12APR1918 FOR DETAILS</t>
  </si>
  <si>
    <t>Rennles, p.114-5 - not calling this an air fight since EA did not engage once warned off with MG fire.</t>
  </si>
  <si>
    <t>Longuyon &amp; Dommary-Baroncourt</t>
  </si>
  <si>
    <t>Morning raid - 7 planes hit Longuyon, one diverted to D-B. Total bomb wgt for day is correct, individual raid amts estimated based on # a/c.  Longuyon: 1½ tons dropped. 7 bursts on E end of railyard &amp; tracks leading to D-B.  Dommary-Baroncourt: 4 bursts along S end of the yards and 2 along the tracks.</t>
  </si>
  <si>
    <t>Gorrell C4 pp.157-8</t>
  </si>
  <si>
    <t>Afternoon raid. 6 a/c.  "More than a ton of bombs" on Conflans. (Total wgt &amp; # of bombs for entire day is correct; each raid estimated.)  Bursts observed at jtns of Conflans-Briey and Conflans-Metz lines; bridge on Conflans-Briey line destroyed. 1 explosion &amp; 1 fire seen in building N of the tracks.</t>
  </si>
  <si>
    <t>Morhange,Boulay,Esch</t>
  </si>
  <si>
    <t>Aerodromes,Blast Furnaces</t>
  </si>
  <si>
    <t>Esch</t>
  </si>
  <si>
    <t>Guignicourt; Bazancourt; Maison Bleue</t>
  </si>
  <si>
    <t>Town &amp; RR stn; Region; Rail Stn</t>
  </si>
  <si>
    <t>Small fire caused at Maison Bleue. Bombs dropped: 6x10 D.V., 37x50 [G]A., 12x50 G.A. (?), 4 Bourges.</t>
  </si>
  <si>
    <t>Morhange Aerodrome</t>
  </si>
  <si>
    <t>Raids at 1030 &amp; 1830.  "Several" bombs on &amp; near house of Seebach am Pfulgplatz, across railway from aerodrome, badly damaging it and house behind it.  Maurer Maurer contradicts itself on whether damage is in francs or marks.</t>
  </si>
  <si>
    <t>Attacks 1918-1930, 2010-2020. "AA fire with intervals". [CHANGED RAID TO ALERT -SCS]</t>
  </si>
  <si>
    <t>Attacks 2124-2210, 2250-2320, 2335-2400. "AA fire with intervals". [CHANGED RAID TO ALERT -SCS]</t>
  </si>
  <si>
    <t>Morhange City</t>
  </si>
  <si>
    <t>4 bombs on Rue de la Gare; direct hit on house.  Maurer Maurer contradicts itself on whether damage is in francs or marks.</t>
  </si>
  <si>
    <t>Rombach Works</t>
  </si>
  <si>
    <t>BRITISH SURVEY plots 11 bombs.</t>
  </si>
  <si>
    <t>1 RAID - DATE AND DAY/NITE DESIGNATION UNCERTAIN BECAUSE OF ILLEGIBLITY.  CASUALTIES &amp; DIRECT DAMAGE UNKNOWN. LOSS IN PRODUCTION OF IRON @ 498M PER TON.</t>
  </si>
  <si>
    <t>15-20 bombs dropped, some destroyed main line in depot. 3 locomotives destroyed near repair shop…trains held up 3 or 4 hours. USAS SAYS SIX 96TH AERO A/C RAIDED AND "7 BURSTS ON EASTERN END OF TRACKS TO DOMMARY-BARONCOURT; 2 BURSTS ON LOCOMOTIVE REPAIR SHOP, AND 2 BURSTS OBSERVED ON BUILDINGS NE OF REPAIR SHOP."</t>
  </si>
  <si>
    <t>Alarm only, NO RAID, about 11:00  - AM/PM not specified.</t>
  </si>
  <si>
    <t>&gt;1 raid?</t>
  </si>
  <si>
    <t>12 planes participated; bombs dropped in field.</t>
  </si>
  <si>
    <t>Lellingen</t>
  </si>
  <si>
    <t>Couvron &amp; Aumencourt</t>
  </si>
  <si>
    <t>Bucy les Cerny</t>
  </si>
  <si>
    <t>Heming</t>
  </si>
  <si>
    <t>Raid from 0030 - 0230.  "13 cars ammunition destroyed, 50,000 rounds 77[mm?].  200m of double track torn up.  Lothringen Cement Factory stopped work 2 days.  Loss of production: 19,000 francs worth of cement."  [Note that 19,000fr in database only covers part of damage.]  MICROFILM says 15 cars and 19,200 francs worth of cement.</t>
  </si>
  <si>
    <t>(5mi SW Saarburg)</t>
  </si>
  <si>
    <t>Erang</t>
  </si>
  <si>
    <t>Dillingen (Photo Recon)</t>
  </si>
  <si>
    <t>None</t>
  </si>
  <si>
    <t>NOT A BOMBING MISSION.  (THERE WERE MANY OTHER 55 SQN PHOTO-ONLY MISSIONS THAT WERE FLOWN BUT ARE NOT IN THIS DATABASE.  Flew @ 19,000'.</t>
  </si>
  <si>
    <t xml:space="preserve">Raid 0150 - 0235. Direct damages to BASF in 22 raids was 519,310M; 14 killed.  Each raid or alert caused production losses in another 24 hour plant and in many city businesses. </t>
  </si>
  <si>
    <t>1 bomb fell near RR track and damaged property.</t>
  </si>
  <si>
    <t>ALERTS 1505-1510, 1600-1610</t>
  </si>
  <si>
    <t>BRITISH SURVEY plots 1 bomb on Ludwigshaven side of the river from day raid this date. Says most bombs hit Mannheim.</t>
  </si>
  <si>
    <t>AM Results p.22ff</t>
  </si>
  <si>
    <t>AA fire 1315-1416. [CHANGED RAID TO ALERT -SCS]</t>
  </si>
  <si>
    <t>2 bombs in south end of yard, destroying 1 main track &amp; water main.  No delay in traffic [beyond time of alert].  No record of raid from Trier city.</t>
  </si>
  <si>
    <t>Courcelles,Orny,Verny</t>
  </si>
  <si>
    <t>Rail Jtns, Town</t>
  </si>
  <si>
    <t>Courcelles (1200)</t>
  </si>
  <si>
    <t>Verny (SW of...) (1455)</t>
  </si>
  <si>
    <t>Rennles, p.125, says bombing altitude was 3000 feet.</t>
  </si>
  <si>
    <t>Orny (1455)</t>
  </si>
  <si>
    <t>Champey (N of...)</t>
  </si>
  <si>
    <t>Railway (?)</t>
  </si>
  <si>
    <t>Vigneulles-les-Hattonchatel to St.-Benoit to Beney region; Thiaucourt</t>
  </si>
  <si>
    <t>Troops, Convoys, Camp of Huts</t>
  </si>
  <si>
    <t>Support to St. Mihiel Offensive - hampered by bad weather.  See citation for detailed list of places attacked. Fired 3500 rounds at convoys.  Two Breguets overturned on landing and burned, killing 3 and wounding 1.  6 others also wrecked in bad weather.  This record includes 2 missions - morning mission had 71 sorties with 45 bombing.  PM mission (just GB5) had 24 sorties that all had to abort in terrible weather.</t>
  </si>
  <si>
    <t>Neufchâteau</t>
  </si>
  <si>
    <t>1st Brigade Images 0160-163 &amp; Martel 382 (Eng.)</t>
  </si>
  <si>
    <t>Single plane raid - 36 90mm personnel bombs - shot down on way back</t>
  </si>
  <si>
    <t>Mauer Mauer V.III, p.217</t>
  </si>
  <si>
    <t>Buxerulles</t>
  </si>
  <si>
    <t>T.O. 1330 - 1 crashed on takeoff. Conflicts between sqn and Group reports - I am believing the former.</t>
  </si>
  <si>
    <t>Mauer Mauer V.III, pp.216-8</t>
  </si>
  <si>
    <t>T.O. 1835 - left town in flames</t>
  </si>
  <si>
    <t>Metz-Sablon,Courcelles</t>
  </si>
  <si>
    <t>Co(?)ntrien</t>
  </si>
  <si>
    <t>Verny (near) &amp; Orny (near)</t>
  </si>
  <si>
    <t>Railway &amp; Transport</t>
  </si>
  <si>
    <t>Rennles, pp.125-7</t>
  </si>
  <si>
    <t>Very confusing day.  Used Rennles instead of George's summary.</t>
  </si>
  <si>
    <t>Verny (near)</t>
  </si>
  <si>
    <t>Orny (near)</t>
  </si>
  <si>
    <t>Very confusing day.  Used Rennles instead of George's summary. A single DH9 took off in bad weather, apparently found Metz but was shot down by ground fire on the way back; both KIA.  Am assuming they carried the same 2x112lb bombs everyone else did, so number &amp; wgt of bombs are in light green to indicate they are estimated.</t>
  </si>
  <si>
    <t>Ars Station (north of)</t>
  </si>
  <si>
    <t>Very confusing day.  Used Rennles instead of George's summary.  Times are approximate but 55 minute duration is accurate.</t>
  </si>
  <si>
    <t>Verny-Chérisy Road</t>
  </si>
  <si>
    <t>Transport Camp</t>
  </si>
  <si>
    <t>Very confusing day.  Used Rennles instead of George's summary. Times are estimates based on narrative; 1.5 hour duration is accurate.</t>
  </si>
  <si>
    <t>Ars,Mtz-S,Arnvl,Mars,Orly</t>
  </si>
  <si>
    <t>Railways, Orly Aerodrome</t>
  </si>
  <si>
    <t>The events of this day are a real jumble. If necessary (like to determine exactly which plane hit Metz at exactly what time) one could use Rennles, pp.127-8 to re-do these records and sort it out.</t>
  </si>
  <si>
    <t>Orly</t>
  </si>
  <si>
    <t>Ars,Mtz-S,Arnvl,MarslaTr</t>
  </si>
  <si>
    <t>Mars-la-Tour, Chambley, Puxieux, Xonville</t>
  </si>
  <si>
    <t>Convoys &amp; Troops</t>
  </si>
  <si>
    <t>Apparently part of St. Mihiel operation. Barraque was an intended target but was only attacked by Escadre 1 Spads.  Mission was to hit traffic bottlenecks in Mars-la-Tour/Chambley/Barraque area. At 1720 GB6 bombed M-al-T and Puxieux from 3200 meters.  At 1745, GB9 bombed Chambley and Xonville from 1200 meters.  3000 rounds fired by Breguets.  Numerous bomb strikes seen on Chambley &amp; Mars-la-Tour; large fire started just N of Chambley.   Spads from GC15 bombed Chambley &amp; Mars-la-Tour (perhaps 10 of them?) at 1730 from 2600 meters.  (Numbers of Spads &amp; bombwgt unknown and not counted here.) Peter Kilduff in C&amp;C V.15,#1, p.21 says Mars-la-Tour airfield, used by Jastas 64 &amp; 65, was bombed by Escadre 12.  Bombers protected by Spads of Escadre 1 -- no losses.</t>
  </si>
  <si>
    <t>1st Brigade Images 0167-8</t>
  </si>
  <si>
    <t>GB3,4</t>
  </si>
  <si>
    <t>Thaiucourt-sur-Joinville, Sponville, Damevitoux</t>
  </si>
  <si>
    <t>GB3, 4 (St. Mihiel operation)</t>
  </si>
  <si>
    <t>T.O. 1535; ATR 1700 - of 5, 1 unable to take off, 1 forcelanded, 2 shot down</t>
  </si>
  <si>
    <t>Mauer Mauer V.III, pp.338-340</t>
  </si>
  <si>
    <t>Chatelet-sur-Retourne, Warmierville, Neuflize, Amagne-Lucquy</t>
  </si>
  <si>
    <t>Not specified in War Diary</t>
  </si>
  <si>
    <t>GB1 War Diary 0217</t>
  </si>
  <si>
    <t>1 crew sick probably due to windy WX.</t>
  </si>
  <si>
    <t>??ergnicourt (?) (region of)</t>
  </si>
  <si>
    <t>Caproni #118.  # bombs estimated bombweight from a similar raid.</t>
  </si>
  <si>
    <t>CAP115 Log Image 0146 &amp; SHAA - G.A.E. Summary of Operations for 1-15 September 1918</t>
  </si>
  <si>
    <t>2 raids, 1 per night, totaling 12035 kg &amp; 177 bombs dropped - DON'T BELIEVE # SORTIES IN RECORD</t>
  </si>
  <si>
    <t>Heavy AA fire 0135-0235. [CHANGED RAID TO ALERT -SCS]</t>
  </si>
  <si>
    <t>ALERTS 0155-0254, 0225-0250.  "General interruption in train movements. Damage all around.  All trains late."</t>
  </si>
  <si>
    <t>ALERTS 0155-0205, 0215-0230</t>
  </si>
  <si>
    <t>ALERT APPARENTLY 1910-1925. (MAY BE 0710-0725). SPLIT THIS RECORD &amp; JOINED PART OF IT TO NEXT DAY'S RECORD.  "General interruption in train movements. Damage all around.  All trains late."</t>
  </si>
  <si>
    <t>Damage to Old laborers colony and light &amp; phone lines</t>
  </si>
  <si>
    <t>Alarms only, NO RAIDS, 2:00, 7:00 and 10:00 to 7:00  - AM/PM not specified.</t>
  </si>
  <si>
    <t>RECORD SAYS DAMAGE BY LONG RANGE GUNS: tracks out 12 hours, 900 marks damage.</t>
  </si>
  <si>
    <t>This record combines AM and PM raids on Metz-Sablon. The 2nd raid flew from 15:50 to 18:00 and dropped 6x230 &amp; 8x112 at 17:30. Had an inconclusive air fight at long range.  Info from Rennles, pp.134-5.</t>
  </si>
  <si>
    <t>Metz-Sablon (0725)</t>
  </si>
  <si>
    <t>Used Rennles, pp.129-130, to break out this morning raid from the Williams Summary.</t>
  </si>
  <si>
    <t>Metz-Sablon (1550)</t>
  </si>
  <si>
    <t>G.K. Williams Summary &amp; K. Rennles, Independent Force, pp.134-5</t>
  </si>
  <si>
    <t>Broke out this afternoon raid from the Williams Summary using Rennles, pp.134-5.</t>
  </si>
  <si>
    <t>Metz-Sablon (0730)</t>
  </si>
  <si>
    <t>G.K. Williams Summary &amp; Rennles, pp.133-4</t>
  </si>
  <si>
    <t>Two DH9s collided but both landed back at Azelot (with damage).</t>
  </si>
  <si>
    <t>Metz-Sablon (1540)</t>
  </si>
  <si>
    <t>Rennles, pp.130-4</t>
  </si>
  <si>
    <t>Added this record based on Rennles (specifically, broke the day's record into two parts).  Flt Ldr aborted mission when most of his flight dropped out with engine trouble.</t>
  </si>
  <si>
    <t>DH9a</t>
  </si>
  <si>
    <t>Bettoncourt</t>
  </si>
  <si>
    <t>Rennles, pp.132-3: 1 formation of 6 left later than the original mission and all 6 WX-aborted the mission.  Have combined this into 1 record since all 12 were headed to the same place, but the times listed are those for the first (successful) mission.</t>
  </si>
  <si>
    <t>Kilduff, C&amp;C V.15,#1, p.21</t>
  </si>
  <si>
    <t>T.O. 0625 - some a/c damaged by mud on takeoff</t>
  </si>
  <si>
    <t>Mauer Mauer V.III, p.440</t>
  </si>
  <si>
    <t>US11</t>
  </si>
  <si>
    <t>TO 0645; ATR 0830. Bursts in center of RR yards &amp; warehouses S of yards. Summary says 7 EA attacked at 0800; 1 missing.</t>
  </si>
  <si>
    <t>Mauer Mauer V.III, pp.434-436</t>
  </si>
  <si>
    <t>Vittonville, Arnaville (S of Metz)</t>
  </si>
  <si>
    <t>Record is from 1st Bombardment Group summary</t>
  </si>
  <si>
    <t>Mauer Mauer V.III, p.445</t>
  </si>
  <si>
    <t>Wagon troop trains &amp; horses</t>
  </si>
  <si>
    <t>US20</t>
  </si>
  <si>
    <t>TO 0715; ATR 0845. Using sqn raid report where sources differ.</t>
  </si>
  <si>
    <t>Mauer Mauer, V.III, p.437 &amp; Barth, Hist. of 20th Aero Sqn.</t>
  </si>
  <si>
    <t>All bombs hit in center of town.</t>
  </si>
  <si>
    <t>Mauer Mauer V.III, p.441</t>
  </si>
  <si>
    <t>Bursts observed in both towns and among troops &amp; horses in meadow E of Arnaville.</t>
  </si>
  <si>
    <t>Mauer Mauer V.III, p.442</t>
  </si>
  <si>
    <t>T.O. 1115; ATR 1240</t>
  </si>
  <si>
    <t>Mauer Mauer, V.III, p.438 &amp; Barth, Hist. of 20th Aero Sqn.</t>
  </si>
  <si>
    <t>Gorze (SW of Metz)</t>
  </si>
  <si>
    <t>T.O. 1535; ATR 1700.  Group summary says attacked by 4 biplane Fokkers at 16:10 between Pont-a-Mousson &amp; Gorze w/o result.</t>
  </si>
  <si>
    <t>Mauer Mauer, V.III, p.439 &amp; Barth, Hist. of 20th Aero Sqn.</t>
  </si>
  <si>
    <t>Metz-S,Kaiser'n,Courcel's</t>
  </si>
  <si>
    <t>Metz-Sablon, Boulay</t>
  </si>
  <si>
    <t>Railways, Aerodrome</t>
  </si>
  <si>
    <t>Ehrange,Kaiser'n,Courcls.</t>
  </si>
  <si>
    <t>Cour.,Saarb.,M-S,Frescaty</t>
  </si>
  <si>
    <t>Chatelet-sur-Retourne, Juniville, region of Bazancourt, Warmeriville,Thugny (E of Rethel), Alencourt</t>
  </si>
  <si>
    <t>12 V.R.s &amp; 2 F.50s took off. One V.R. did not accomplish mission - no reason given but WX was ok. Bombs dropped: 3x10 [kg] D.V., 7x25 G.A., 50x50 A., 23x50 G.A., 1x10 V.M.</t>
  </si>
  <si>
    <t>Rethel (region of)</t>
  </si>
  <si>
    <t>GB2 bomb wgt adjusted for estimated GB2/CAP115 bomb wgt.</t>
  </si>
  <si>
    <t>Conflans (Incl. Amanvillers &amp; rail line between Etain &amp; Conflans)</t>
  </si>
  <si>
    <t>Capronis 105, 118, 120, 121, 124 (twice), 126 bombed Conflans.  #118 bombed Amanvillers (8km E of Conflans) around 0330 and 120 bombed railway between Etain and Conflans around midnight.  Bomb wgt estimated using most recent known wgt for Conflans raid (968 lb).</t>
  </si>
  <si>
    <t>CAP115 Log Image 0146</t>
  </si>
  <si>
    <t>SHAA - G.A.E. Summary of Operations for 1-15 September 1918</t>
  </si>
  <si>
    <t>Assis sur Serre</t>
  </si>
  <si>
    <t>2 raids, 1 per night, totaling 7980 kg &amp; 204 bombs dropped - DON'T BELIEVE # SORTIES IN RECORD</t>
  </si>
  <si>
    <t>2 raids, 1 per night, totaling 8840 kg &amp; 191 bombs dropped - DON'T BELIEVE # SORTIES IN RECORD</t>
  </si>
  <si>
    <t>BRITISH SURVEY provided "Time Lost" data: "Traffic on the Peltre-Metz line was suspended for 3 hours and the Metz-Peltre and Metz-Augny lines for 15 hours. 3 engines were badly damaged at the Sablon shunting stn. Considerable damage was also done to private property."</t>
  </si>
  <si>
    <t>ALERT 1215-1220</t>
  </si>
  <si>
    <t>ALERTS 1325-1345, 1425-1450. THIS RECORD IS PART OF 13/14SEP AND PART OF 14/15SEP RECORD. TIMES ARE PROBABLY RIGHT BUT MAY BE 0125, 0225.  "General interruption in train movements. Damage all around.  All trains late."</t>
  </si>
  <si>
    <t>ALERTS 1340-1350, 1410-1430</t>
  </si>
  <si>
    <t>Trier (City &amp; Kurenz &amp; Kernschied town)</t>
  </si>
  <si>
    <t>Raid from 1345 - 1425.  Combined records of Trier, Kurenz (across the tracks from it), and Kernschied town in Trier district.  6 bombs on Trier; damage to property of 62 people.  32 of them didn't report amount of damage.  "Several" bombs fell on Kurenz, damaging property of 4 people costing 992.50 marks.  In Kernschied, bombs did 78M damage to 1 man's property.  [USED COSTS FROM MICROFILM: 20,744M IN CITY, 1,070M IN SUBURBS, &amp; 2,143M TO RR.]</t>
  </si>
  <si>
    <t>Treves, Kureng</t>
  </si>
  <si>
    <t>424, 431, 432, NARA Roll 58</t>
  </si>
  <si>
    <t>Two bombs damaged new rail line.</t>
  </si>
  <si>
    <t>ALERT 1700-1720. THIS RECORD IS PART OF 13/14SEP AND PART OF 14/15SEP RECORD. TIME IS  PROBABLY RIGHT BUT MAY BE 0500.  "General interruption in train movements. Damage all around.  All trains late."</t>
  </si>
  <si>
    <t>ALERT 1710-1715</t>
  </si>
  <si>
    <t>ALERTS 2150-2200, 2220-2255</t>
  </si>
  <si>
    <t>AA fire 2200-2250. [CHANGED RAID TO ALERT -SCS]</t>
  </si>
  <si>
    <t>Raid from 2210 - 2347.  Most city businesses closed during air raids.  Damage includes 2000M for damage to 2 box cars; one bomb hit RR near main station.  No suspension of rail traffic during this raid or any other. US Survey said damage was 150,000M.  AM SUBSTITUTING MORE SPECIFIC BRITISH SURVEY FIGURE OF 272,762M FROM AM "RESULTS...", P.15  --SCS</t>
  </si>
  <si>
    <t>ALERTS 2217-2237, 2305-2320, 2333-2352, 0013-0043, 0420-0433. LIGHTS OUT @ 2220, 2305, 2333, 0018, 0420.  "General interruption in train movements. Damage all around.  All trains late."</t>
  </si>
  <si>
    <t>5 raids 10:30 to 4:30 - AM/PM not specified.  No bombs in Thionville but unknown number dropped in Floerchingen. [DUE TO CORRELATION W/ OTHER THIONVILLE RAIDS, THESE HAD TO BE PM. -SCS]</t>
  </si>
  <si>
    <t>3 bombs near station.</t>
  </si>
  <si>
    <t>Arnaville &amp; Onville (between)</t>
  </si>
  <si>
    <t>Railroad</t>
  </si>
  <si>
    <t>T.O. 1105; ATR 1240. 6 Breguets took off at 1100; presumably all bombed. Only 6 of 20 overloaded DH4's bombed.</t>
  </si>
  <si>
    <t>Mauer Mauer V.III, pp.539-540</t>
  </si>
  <si>
    <t>T.O. 1105; ATR 1240. 6 Breguets took off at 1100; presumably all bombed. Only 6 of 20 overloaded DH4's bombed. 20th Aero report says 1 burst cut road leading south from Bayonville.</t>
  </si>
  <si>
    <t>Barth, Hist. of 20th Aero Sqn. &amp; Mauer Mauer, V.III, pp.341-2</t>
  </si>
  <si>
    <t>T.O. 1105; ATR 1240. 6 Breguets took off at 1100; presumably all bombed. Only 6 of 20 overloaded DH4's bombed. 96th Aero report says bursts observed in eastern portion of Arnaville.</t>
  </si>
  <si>
    <t>Mauer Mauer V.III, pp.543-4</t>
  </si>
  <si>
    <t>Mauer Mauer V.III, pp.540-1</t>
  </si>
  <si>
    <t>1 burst seen on hills E of Longuyon yards.</t>
  </si>
  <si>
    <t>Mauer Mauer V.III, pp.542-3 &amp; Barth, 20th Aero history</t>
  </si>
  <si>
    <t>Bursts seen on E edge of yards &amp; buildings E of yards.</t>
  </si>
  <si>
    <t>Mauer Mauer V.III, pp.544-5</t>
  </si>
  <si>
    <t>Lorq'n,Morh.,Bou'y,Mainz</t>
  </si>
  <si>
    <t>Aerodromes,Rail,Sig.Light</t>
  </si>
  <si>
    <t>Chicourt (vicinity of...)</t>
  </si>
  <si>
    <t>Signal Lights</t>
  </si>
  <si>
    <t>Lorquin,Buhl,Saarburg</t>
  </si>
  <si>
    <t>Aerodromes,Convoy</t>
  </si>
  <si>
    <t>Saarburg (S of...)</t>
  </si>
  <si>
    <t>Buhl, Karlsruhe</t>
  </si>
  <si>
    <t>Aerodrome,Rail Stn,Docks</t>
  </si>
  <si>
    <t>Rail Stn &amp; Docks</t>
  </si>
  <si>
    <t>Karlsruhe,Morhange,Metz-S</t>
  </si>
  <si>
    <t>Rail Stn &amp; Docks,Aerodrm.</t>
  </si>
  <si>
    <t>Amagne-Lucquy, Le Chatetel-sur-Retourne, Juniville, Bazancourt, Warmeriville, Betheniville, Rethel</t>
  </si>
  <si>
    <t>GB1 War Diary 0218</t>
  </si>
  <si>
    <t>Planes: 16 Voisin-Renault &amp; 2 Farman F.50s. Bombs dropped: 13x25 [kg] G.A., 95x50 A.D., 9x10 D.V., 1x10 VM, 18x50 GA.</t>
  </si>
  <si>
    <t>SHAA - G.A.C. Summary of Operations for 15-30 September 1918</t>
  </si>
  <si>
    <t>This GB2 total adjusted for estimated GB2/CAP115 bomb wgt given below.</t>
  </si>
  <si>
    <t>Capronis 105,101,118.  This is the last page that exists in the CEP/CAP115 logbook.</t>
  </si>
  <si>
    <t>CAP115 Log Image 0147 &amp; SHAA - G.A.E. Summary of Operations for 1-15 September 1918</t>
  </si>
  <si>
    <t>Caproni 118 - also conducted recon as part of this 5½ hour mission.  This is the last page that exists in the CEP/CAP115 logbook.</t>
  </si>
  <si>
    <t>Capronis 120, 121 (twice), 124. Using known bombwgt for Auden-le-Roman to estimate CAP115's share of this GB2 mission.  T.O. and RTB times not given for 1st Caproni 121 mission, but it dropped bombs before midnight.  This is the last page that exists in the CEP/CAP115 logbook.</t>
  </si>
  <si>
    <t>Capronis 120, 124. Using known bombwgt for Auden-le-Roman to estimate CAP115's share of this GB2 mission.  T.O. and RTB times not given for Caproni 120 mission, but it dropped bombs after midnight.  This is the last page that exists in the CEP/CAP115 logbook.</t>
  </si>
  <si>
    <t>Train at Rail Stn</t>
  </si>
  <si>
    <t>Caproni 105.  Am using known bomb wgt for Auden-le-Roman to estimate for this raid.  This number (968 lb) probably double-counts GB2 total for this night.  This is the last page that exists in the CEP/CAP115 logbook.</t>
  </si>
  <si>
    <t>Desny</t>
  </si>
  <si>
    <t>Pont a Bucy</t>
  </si>
  <si>
    <t>ALERTS 1105-1133, 1251-1305, 1329-1343. SEE KAISERSLAUTERN, 12APR1918 FOR DETAILS</t>
  </si>
  <si>
    <t>ALERTS 1130-1225, 1305-1420 (OUT OF ORDER SO MAY CONTAIN ERRORS). NO BOMBS IN CITY LIMITS. FACTORY STOPPED DURING 40% OF ALERTS</t>
  </si>
  <si>
    <t>ALERTS 1145-1155, 1205-1220, 1235-1240. RECORD GARBLED SO THIS MAY BE WRONG.</t>
  </si>
  <si>
    <t>Alarm only; time lost in 24 hour plant &amp; many businesses. Alerts 1305-1340, 2300-2320.</t>
  </si>
  <si>
    <t>RAIDS 2150-2205, 2240-2250, 2315-2330</t>
  </si>
  <si>
    <t>Survey team could not go to Karlsruhe; limited info available.  BRITISH SURVEY says Karlsruhe was attacked at night - German press release said damage negligible.  WIA said 5 injured; 60,000M damage. [Am using that instead of US survey figure of 2 injured, damage u/k. -SCS]</t>
  </si>
  <si>
    <t>460; WIA Appx. XIII; AM "Results…" p.17</t>
  </si>
  <si>
    <t>Train destoryed; 60,000M</t>
  </si>
  <si>
    <t>No serious injuries or damage; 13 trains lost a total of 7 hrs. 50 min. # BOMBS FROM BRITISH SURVEY.</t>
  </si>
  <si>
    <t>Bombs fell on private house; otherwise no damage.  USAS CLAIMS RAID BY 11TH &amp; 96TH AERO SQNS.  BURSTS SEEN "ON EASTERN EDGE OF YARDS AND AMONG BUILDINGS".</t>
  </si>
  <si>
    <t>All info from BRITISH SURVEY. WIA Appx. XIII says much damage caused to homes; 12 killed, 11 injured, 65,000M damage.  Curiously, AM "Results…" p.36 says Commission didn't visit Stuttgart and only info available was that obtained during the war: German press release saying 8 were killed.</t>
  </si>
  <si>
    <t>WIA Appx. XIII; AM p.36</t>
  </si>
  <si>
    <t>AM/PM NOT GIVEN. ATTACKS 1:35-1:50, 9:10-3:22; AA FIRE 10:30-10:45. [CHANGED RAID TO ALERT -SCS]</t>
  </si>
  <si>
    <t>RECORD SAYS DAMAGE BY LONG RANGE GUNS: tracks out 8 hours, 200 marks damage.</t>
  </si>
  <si>
    <t>Rail Stn &amp; Lanz Works</t>
  </si>
  <si>
    <t>Railways,[Chem] Factories</t>
  </si>
  <si>
    <t>RR Yards</t>
  </si>
  <si>
    <t>3-sqn raid.  Burst seen SW of Longuyon near the RR.</t>
  </si>
  <si>
    <t>Mauer Mauer V.III, pp.615-6</t>
  </si>
  <si>
    <t>3-sqn raid.  Not clear that 20th Aero reached the intended objective.  Says 1 DH4 "crossed the lines" and says 4 bombs were dropped, but doesn't say whether they reached the objective.  Raid not in 20th Aero's history.</t>
  </si>
  <si>
    <t>Mauer Mauer V.III, pp.616-7</t>
  </si>
  <si>
    <t>3-sqn raid.  Had to use 1st Bombardment Group records for 96th Aero's data.  No info on bombs so had to subtract the other two squadrons' totals from Group total.</t>
  </si>
  <si>
    <t>Mauer Mauer V.III, pp.624</t>
  </si>
  <si>
    <t>3-sqn raid.  None of the 11th Aero Sqn planes reached the objective; reason not known.</t>
  </si>
  <si>
    <t>Mauer Mauer V.III, pp.625</t>
  </si>
  <si>
    <t>3-sqn raid.  One burst seen on eastern part of yards. Bursts seen on hospital.</t>
  </si>
  <si>
    <t>Mauer Mauer V.III, pp.617, 618, 625</t>
  </si>
  <si>
    <t>3-sqn raid. Bursts seen N and E of objective.  Dropped 10x115mm long; 12x155mm (don’t specify long or short); 6 incendiaries.</t>
  </si>
  <si>
    <t>Mauer Mauer V.III, pp.619, 620, 625</t>
  </si>
  <si>
    <t>Using Group report.  Can't be certain 11th Aero reached Conflans, tho 4 of them dropped bombs someplace.</t>
  </si>
  <si>
    <t>Mauer Mauer V.III, pp.625-6</t>
  </si>
  <si>
    <t>Mauer Mauer V.III, pp.618-9, 626</t>
  </si>
  <si>
    <t>Sqn report: 7 started; 5 crossed the lines; 1 diverted to Hadonville and 4 are missing.  Group summary lists 8 who started.</t>
  </si>
  <si>
    <t>Mauer Mauer V.III, pp.620-626</t>
  </si>
  <si>
    <t>Frkfurt,Lorquin,Frescaty</t>
  </si>
  <si>
    <t>Railway &amp; Aerodromes</t>
  </si>
  <si>
    <t>Zepp Shed &amp; Aerodrome</t>
  </si>
  <si>
    <t>Roville</t>
  </si>
  <si>
    <t>Base is apparently Roville-devant-Bayon, S of Nancy.  --SCS</t>
  </si>
  <si>
    <t>Cologne,Frescaty,Mannheim</t>
  </si>
  <si>
    <t>Fres'y,Bly.,Metz,Mer'g,Tr</t>
  </si>
  <si>
    <t>Aerodromes &amp; Rail Stns</t>
  </si>
  <si>
    <t>Merzig</t>
  </si>
  <si>
    <t>Clermont-les-Fermes, Hautchemin; le Chatelet-sur-Retourne, Amagne-Lucquy, St-Pierre à Arnes (region), Mezieres, Neufchatel (region)</t>
  </si>
  <si>
    <t>Airfield; not specified</t>
  </si>
  <si>
    <t>A/C: 10 V.R. &amp; 2 F.50; 1 V.R. missing. Bombs: 11x10 [kg] DV., 7x25 G.A., 51x50 A., 9x50 GA. 30 rounds fired at searchlight. 3x200mm (50 kg) bombs hit close to a German plane that landed at Clermont-les-Fermes. Bombing started a fire at Chatelet-sur-Retourne. I marked the overall raid "Other" because no one target type received a majority of bomb weight.</t>
  </si>
  <si>
    <t>Le Chatelet-sur-Retourne (region)</t>
  </si>
  <si>
    <t>Sedan</t>
  </si>
  <si>
    <t>La Neuville en Tourne à Fuy (region)</t>
  </si>
  <si>
    <t>Montigny</t>
  </si>
  <si>
    <t>?rigny Sainte-Benoite</t>
  </si>
  <si>
    <t>SHAA - G.A.R. Summary of Operations for 16-30 September 1918</t>
  </si>
  <si>
    <t>?treux</t>
  </si>
  <si>
    <t>Marle (Marles?)</t>
  </si>
  <si>
    <t>Combined record - dropped 8 bombs &amp; 250 kg on 16,17 Sept</t>
  </si>
  <si>
    <t>Combined record - raids 16, 20, 25 September - totaling 126 bombs &amp; 6765 kg</t>
  </si>
  <si>
    <t>Thoulis-Attencourt</t>
  </si>
  <si>
    <t>Combined record - raids 16, 20 September - totaling 17 bombs &amp; 1015 kg</t>
  </si>
  <si>
    <t>COMBINED 2 RECORDS: 0220-0305, NO CASUALTIES, 5 BOMBS; 0205-0220, 2 DEAD, 1 WOUNDED, 6 BOMBS.</t>
  </si>
  <si>
    <t>"Other Cost" is estimated lost production &amp; labor costs. 2 alerts: 0943-1100, 1117-1154. [PATTERN OF RAIDS INDICATES THESE TIMES SHOULD BE PM VICE AM -SCS]</t>
  </si>
  <si>
    <t xml:space="preserve">Raids 1415 - 1445 &amp; 1505 - 1535. More bombs fell in Mannheim. Direct damages to BASF in 22 raids was 519,310M; 14 killed.  Each raid or alert caused production losses in another 24 hour plant and in many city businesses. </t>
  </si>
  <si>
    <t>RAIDS 2055-2110, 2120-2150, 2155-2205, 2225-2245; ALERT 2315-2325</t>
  </si>
  <si>
    <t>ALERTS 2103-2130, 2150-0005. SEE KAISERSLAUTERN, 12APR1918 FOR DETAILS</t>
  </si>
  <si>
    <t>DURING ALERTS, RR TRAFFIC &amp; FACTORY &amp; FOUNDRY WORK STOPPED. Alert: 2103-2120</t>
  </si>
  <si>
    <t>ALERTS 2110-2145, 2145-2200, 2210-2300,0055-0125.  "General traffic interruptions."</t>
  </si>
  <si>
    <t>Work stopped in factories, businesses, &amp; shops during alerts. 3 alerts - 2137-2158, 2240-2255, 2332-2345.</t>
  </si>
  <si>
    <t>Most damage was broken glass.  Under alert 2142-2307 when raid took place; also alert w/o bombs dropped 2312-2356.</t>
  </si>
  <si>
    <t>DURING ALERTS, RR TRAFFIC &amp; FACTORY &amp; FOUNDRY WORK STOPPED. 2 alerts: 2148-2203, 2208-2227.</t>
  </si>
  <si>
    <t>Trier (City &amp; E.Trier RR)</t>
  </si>
  <si>
    <t>Raid from 2240 - 2305.  Combination of 2 records; city and E.Trier RR.  RR record says raid was on 9/17; microfilm says 9/16.  6 bombs on RR yards &amp; southern part of city; damage to property of 59 persons.  38 [of them] didn't report damage.  House set on fire.  100M charity paid to family of 1 man killed.  2 bombs destroyed 2 main line tracks; 1 repaired in 2 hours, the other in 10.  Partial delays for 2 hours.  Cost to repair track damage 1010M. BRITISH SURVEY SAYS RAID WAS NIGHT OF 16/17 SEPT. WIA LISTS 3 KILLED; 100,000M DAMAGE.</t>
  </si>
  <si>
    <t>THIS RECORD ENTIRELY FROM BRITISH SURVEY AND INCLUDES 5 BOMBS SOUTH OF BURBACH WORKS IN SAARBRUCKEN SEPARATE FROM 4 BOMBS WHICH HIT BURBACH WORKS.  THESE BOMBS CAUSED DAMAGE TO RR TRACKS.</t>
  </si>
  <si>
    <t>AM Results… p.35 and opposite</t>
  </si>
  <si>
    <t>COSTS PARTIALLY ESTIMATED BECAUSE 1 INSURANCE CO DIDN'T REPORT EACH RAID'S DAMAGE SEPARATELY. POST-1918 AIRRAID CLAIMS DIVIDED PROPORTIONATELY BETWEEN THE LAST 2 RAIDS (16 &amp; 25 SEP). BRITISH SURVEY SAYS IT WAS A NIGHT RAID &amp; AGREES W/ 12 BOMB TOTAL.</t>
  </si>
  <si>
    <t>Only 1 (undated) raid on Merzig during the war.  22,600 M damage was to town itself.  [IT IS PROBABLE IT WAS A 16 SEPT 1918 NIGHT RAID, SINCE THAT IS THE ONLY TIME THE IF REPORTED BOMBING THERE. -SCS]</t>
  </si>
  <si>
    <t>4 ALERTS. LOSS IN PRODUCTION OF IRON @ 498M PER TON.</t>
  </si>
  <si>
    <t>Tracks damaged slightly and probably took half hour to repair…also believed that 9 locomotives were put out of commission.  USAS CLAIMS RAID BY 11TH, 20TH, 96TH AERO SQNS, REPORTING "4 BURSTS IN TOWN".</t>
  </si>
  <si>
    <t>Raid 10:30 to 2:00 - AM/PM not specified.  No bombs in station.</t>
  </si>
  <si>
    <t>[Small chance that it was 15 Sept. like Saarbrucken record; microfilm agrees with 16SEP date.--SCS]  Hit pumphouse &amp; rolling mill halls.  Roofs &amp; some conductors completely destroyed, significant glass damage, RR tracks damaged.  BRITISH SURVEY says it was 16 Sept. &amp; that 4 bombs hit the works.</t>
  </si>
  <si>
    <t>All info from BRITISH SURVEY. WIA Appx. XIII reports 1 killed, 8 wounded, 30,000M damage. AM "Results…", p.23, says "The police report states one bomb fell on Mannheim stn, doing slight damage. 3 bombs fell in the yard of an oil factory near the stn, but did little damage. Another bomb fell on the shunting line of the central station. One bomb fell on a timber [?], while another hit a house in Street Q. 7 and caused a fire. 2 bombs fell in the slaughter-house. Damage to private property was considerable."</t>
  </si>
  <si>
    <t>AM "Results…" p.23; WIA Appx XIII</t>
  </si>
  <si>
    <t>ALERT - FACTORIES, BUSINESSES, STREETCARS STOPPED - AM/PM UNK: TIME 3.20-3.37</t>
  </si>
  <si>
    <t>ALERT - FACTORIES, BUSINESSES, STREETCARS STOPPED - AM/PM UNK: TIME 9.20-11.19. [RAID ON NEARBY FRANKFURT MAKES IT ALL BUT CERTAIN THIS WAS A NIGHT RAID AT 2120. -SCS]</t>
  </si>
  <si>
    <t>AM/PM NOT GIVEN. "ATTACKS" 12:05-12:20, 1:10-1:20, 2:43-2:55, 4:45-5:00; AA FIRE (?) "at intervals". [CHANGED RAID TO ALERT -SCS]</t>
  </si>
  <si>
    <t>Attacks 0045-0130, 0210-0230. AA fire 0048-0055. [CHANGED RAID TO ALERT -SCS]</t>
  </si>
  <si>
    <t>Abbeville (WNW of Metz)</t>
  </si>
  <si>
    <t>T.O. 1610; ATR 1820. 15 bombs; original objective Mars La Tour.  [FULL NAME OF OBJECTIVE IS Abbéville-lès-Conflans.]</t>
  </si>
  <si>
    <t>Barth, Hist. of 20th Aero Sqn.</t>
  </si>
  <si>
    <t>Over Conflans at 1720. WX divert from Mars-la-Tour - 5 shot down - not positive 6 dropped bombs before they were attacked</t>
  </si>
  <si>
    <t>AA fire 2135-2145, 2345-2400. [CHANGED RAID TO ALERT -SCS]</t>
  </si>
  <si>
    <t>"During the night repeated air raid alarms.  The aviators did not come to Thionville."</t>
  </si>
  <si>
    <t>Conflan-Jarny</t>
  </si>
  <si>
    <t>GB4 - 7 of 28 a/c lost (some fighters)</t>
  </si>
  <si>
    <t>St-Dizier</t>
  </si>
  <si>
    <t>Jonville</t>
  </si>
  <si>
    <t>Buhl,Boul.,Karls'e,Lorq'n</t>
  </si>
  <si>
    <t>Aerodromes,Gasworks</t>
  </si>
  <si>
    <t>Gas Works</t>
  </si>
  <si>
    <t>Mannh'm,Karlsruhe,Saarbkn</t>
  </si>
  <si>
    <t>Lanz Wks,Gasworks,Blst F.</t>
  </si>
  <si>
    <t>Lanz Wks</t>
  </si>
  <si>
    <t>Bridges,Wharves,Gasworks</t>
  </si>
  <si>
    <t>Blast Furn. &amp; Burbach Wks</t>
  </si>
  <si>
    <t>Morhange,Fontenay</t>
  </si>
  <si>
    <t>Aerod.,Flaming Onion Batt</t>
  </si>
  <si>
    <t>Fontenay (vicinity of...)</t>
  </si>
  <si>
    <t>Flaming Onion Battery</t>
  </si>
  <si>
    <t>Mannheim, Frescaty</t>
  </si>
  <si>
    <t>Lanz Works, Aerodrome</t>
  </si>
  <si>
    <t>Lanz Works</t>
  </si>
  <si>
    <t>Clermont-les-Fermes, Amagne-Lucquy, Juniville, Ferme d'Acquaire, Bazancourt, Guignicourt, Ville-sur-Retourne, Machault (region)</t>
  </si>
  <si>
    <t>A/C: 13 V.R. &amp; 4 F.50. 3 V.R.s had engine trouble; 1 missing. 1 a/c got lost &amp; landed at the wrong French airfield. Bombs dropped: 9x10[kg] DV, 5x25 GA, 35x10 A, 17x50 GA, 16x50 GAMMN (which was it - GA or MMN? Or unknown?) Bombing of Juniville rail stn caused strong smoke plume and a large flash of light.</t>
  </si>
  <si>
    <t>St-Acquaire</t>
  </si>
  <si>
    <t>SHAA - G.A.E. Summary of Operations for 16-30 September 1918</t>
  </si>
  <si>
    <t>Vouziers (region)</t>
  </si>
  <si>
    <t>4 houses in village destroyed by fire. 1 hanger set on fire.  MAURER MAURER SAYS DATE WAS 9/30, BUT MICROFILM SAYS 9/20.</t>
  </si>
  <si>
    <t>APPARENTLY ALERT ONLY 2057-2112. "Traffic interruption on the Metz-Wekingen &amp; Auden RR. Engine shortage."</t>
  </si>
  <si>
    <t>1 bomb destroyed track on Saarburg-Metz line; others fell 50m right of stn. Track #2 out for 6 hours; Tracks 5 &amp; 1 for 3 hours; traffic shifted to tracks 6 &amp; 7. No great damage done.</t>
  </si>
  <si>
    <t>RAIDS 2350-0010, 0125-0140</t>
  </si>
  <si>
    <t>Survey team could not go to Karlsruhe; limited info available.   WIA SAYS 50,000M DAMAGE.</t>
  </si>
  <si>
    <t>460; WIA Appx XIII</t>
  </si>
  <si>
    <t>FROM BRITISH BOMBING SURVEY - Air Ministry "Results of Air Raids on Germany", p.22.  [Not clear whether info saying it was a night raid on 20/21 SEP from plant officials or from British.--SCS]  Chief engineer stated all bombs fell near Oppau works but did no damage.  WIA says 1 killed, 3 injured.</t>
  </si>
  <si>
    <t>N of Ludwigshafen</t>
  </si>
  <si>
    <t>AM Results pp.22-23</t>
  </si>
  <si>
    <t>ALERT - FACTORIES, BUSINESSES, STREETCARS STOPPED - AM/PM UNK: TIME 9.17-10.12</t>
  </si>
  <si>
    <t>Morhange,Leiningen</t>
  </si>
  <si>
    <t>Aerodrome, Rail Stn</t>
  </si>
  <si>
    <t>Leiningen</t>
  </si>
  <si>
    <t>Factories &amp; Railroads</t>
  </si>
  <si>
    <t>Stenay, Marville, and others</t>
  </si>
  <si>
    <t>Etain, Juzancourt, Juniville and others</t>
  </si>
  <si>
    <t>Fires and explosions broke out</t>
  </si>
  <si>
    <t>?ibemont</t>
  </si>
  <si>
    <t>Raids at 2315 and 2335.  No damage.</t>
  </si>
  <si>
    <t>AA fire 0150-0245. [CHANGED RAID TO ALERT -SCS]</t>
  </si>
  <si>
    <t>ALERT 0155-0320.</t>
  </si>
  <si>
    <t>50 meters of 2 double tracks destroyed [15000M HAND-WRITTEN IN ON MICROFILM RECORD]</t>
  </si>
  <si>
    <t>450, NARA 990</t>
  </si>
  <si>
    <t>ALERT - FACTORIES, BUSINESSES, STREETCARS STOPPED - AM/PM UNK: TIME 10.23-10.42</t>
  </si>
  <si>
    <t>ALERT - FACTORIES, BUSINESSES, STREETCARS STOPPED - AM/PM UNK: TIME 11.54-12.44</t>
  </si>
  <si>
    <t>Kaiserslauten (S of...)</t>
  </si>
  <si>
    <t>Works and Railways</t>
  </si>
  <si>
    <t>F.114</t>
  </si>
  <si>
    <t>Bomber set fire to target; shot down on return trip</t>
  </si>
  <si>
    <t>Provizy, Chatelet-sur-Retourne, Ville-sur-Retourne, Juniville</t>
  </si>
  <si>
    <t>GB1 War Diary 0219</t>
  </si>
  <si>
    <t>Rail lines at Provizy stn hit; small explosions at Juniville stn. Lt. Bizard, Capt. Garnier, &amp; Aspt. Rives in an F.50 did not return.  Dropped 9x10[kg] DV, 6x25 GA, 20x50 A., 9x50 GA.</t>
  </si>
  <si>
    <t>Provizy</t>
  </si>
  <si>
    <t>GB5,6,7,9</t>
  </si>
  <si>
    <t>St. Loup-en-Champagne, Leffincourt, Blaise; Saint-Morel; Amagne-Luquy, Challerange</t>
  </si>
  <si>
    <t>Aerodromes; Village; Rail Targets</t>
  </si>
  <si>
    <t>THIS RECORD OVERLAPS WITH GB7 RECORDS THIS SAME NIGHT.  Airfields of Jasta 48, FAA 270, Jasta 50. Mission 2400-0130 of GB7 night bombers and 9 day bomber volunteer crews from Escadre 12. Train stopped. Also bombed a village, starting a fire, and strafed a 2nd train. No air combat.</t>
  </si>
  <si>
    <t>Breguet14 &amp; Voisin8/10</t>
  </si>
  <si>
    <t>Sompuis</t>
  </si>
  <si>
    <t>Martel 390-1 (Eng.) &amp; Kilduff, C&amp;C V.15,#1, p.21</t>
  </si>
  <si>
    <t>Mont St-Rémy</t>
  </si>
  <si>
    <t>V(?)aissaut-Launois</t>
  </si>
  <si>
    <t>Leffincourt</t>
  </si>
  <si>
    <t>Eppes to Coucy-les-Eppes</t>
  </si>
  <si>
    <t>Laon (South of)</t>
  </si>
  <si>
    <t>Laon (NW of)</t>
  </si>
  <si>
    <t>Coupru</t>
  </si>
  <si>
    <t>Combined record - dropped 18 bombs &amp; 900 kg on 25,26 Sept</t>
  </si>
  <si>
    <t>GB51</t>
  </si>
  <si>
    <t>ALERTS 0445-0500, 1200-1205 (OR 0000-0005 THE NEXT NIGHT?)</t>
  </si>
  <si>
    <t>Raid from 1006 - 1045.  Most city businesses closed during air raids.  US Survey reported 150,000M damage - am using more specific BRITISH SURVEY figure of 75,545M.</t>
  </si>
  <si>
    <t>457; AM "Results…" p.15</t>
  </si>
  <si>
    <t>Work stopped in factories, businesses, &amp; shops during alerts. 2 alerts - 1010-1103, 1133-1143.</t>
  </si>
  <si>
    <t>ALERTS 1054-1104, 1133-1214, 1315-1345. SEE KAISERSLAUTERN, 12APR1918 FOR DETAILS</t>
  </si>
  <si>
    <t>AA fire 2200-2300. [CHANGED RAID TO ALERT -SCS]</t>
  </si>
  <si>
    <t>Alarm only; time lost in 24 hour plant &amp; many businesses. Alerts 2345-0008 &amp; 0030-0105.</t>
  </si>
  <si>
    <t>COSTS PARTIALLY ESTIMATED BECAUSE 1 INSURANCE CO DIDN'T REPORT EACH RAID'S DAMAGE SEPARATELY. POST-1918 AIRRAID CLAIMS DIVIDED PROPORTIONATELY BETWEEN THE LAST 2 RAIDS (16 &amp; 25 SEP). BRITISH SURVEYS SAYS IT WAS A DAY RAID &amp; AGREES WITH BOMB TOTAL.</t>
  </si>
  <si>
    <t>Ferme de Médéah</t>
  </si>
  <si>
    <t>Record missing from 1st Brigade records - apparently taken by Martel.  Escadres 12 &amp; 13 attacked region delineated by two North-South axes: Somme-Py-Attigny and Cernay-Vouziers, the eastern sector of the battlefield fed by RRs from Vouziers. Challerange was on one side, Attigny-Amagne-Lucquy on the other.  Escadre 12 Breguets protected by R.239 &amp; R.240 Caudrons plus fighters. 2 Fokkers shot down; 1 R.XI pilot wounded.</t>
  </si>
  <si>
    <t>Martel 391 (Eng.)</t>
  </si>
  <si>
    <t>Escadre 13 (GB3,4)</t>
  </si>
  <si>
    <t>Ardeuil; Challerange</t>
  </si>
  <si>
    <t>Billets; RR Stn</t>
  </si>
  <si>
    <t>Record missing from 1st Brigade records - apparently taken by Martel.  Escadres 12 &amp; 13 attacked region delineated by two North-South axes: Somme-Py-Attigny and Cernay-Vouziers, the eastern sector of the battlefield fed by RRs from Vouziers. Challerange was on one side, Attigny-Amagne-Lucquy on the other.  Breguets shot down 3 planes.  Protected by Escadrilles R.239 &amp; 240, plus fighters.</t>
  </si>
  <si>
    <t>Villers-en-Lieu</t>
  </si>
  <si>
    <t>US20&amp;96</t>
  </si>
  <si>
    <t>T.O. 0850; ATR 1110. 56 bombs.  Can't be certain whether numbers here are for just 20th Aero or both sqns -- probably the latter.</t>
  </si>
  <si>
    <t>DH4&amp;Breguet14</t>
  </si>
  <si>
    <t>US11&amp;20</t>
  </si>
  <si>
    <t>T.O. 1535; ATR 1720. 24 bombs</t>
  </si>
  <si>
    <t>Mezieres,Metz-Sablon,Ars</t>
  </si>
  <si>
    <t>Railway Jtn</t>
  </si>
  <si>
    <t>Railway Jtn, Railways</t>
  </si>
  <si>
    <t>Metz-S,Thion.,Plappeville</t>
  </si>
  <si>
    <t>Railways,AAA,Aerodrome(?)</t>
  </si>
  <si>
    <t>Plappeville (vic. of...)</t>
  </si>
  <si>
    <t>"Possible Aerodrome"</t>
  </si>
  <si>
    <t>Metz-Sablon,Frescaty</t>
  </si>
  <si>
    <t>Mezieres, Metz-Sablon</t>
  </si>
  <si>
    <t>Laon, Longuyon, Le Catelet, Amagne</t>
  </si>
  <si>
    <t>Amagne-Lucquy, Chatelet-sur-Retourne, Beine &amp; NW</t>
  </si>
  <si>
    <t>Planes - 2 F.50 &amp; 2 V.R. Bombs dropped: 5x50 A, 3x50 GA, 6x50 GAMMN [?], 4x140 [NFI], 2x10 VM.  Bombing caused persistent glimmer at A-L rail stn.</t>
  </si>
  <si>
    <t>??? (Warmierville?)</t>
  </si>
  <si>
    <t>Laon to N.D. of Liesse</t>
  </si>
  <si>
    <t>Vouziers - Amagne</t>
  </si>
  <si>
    <t>ALERTS 1100-1122, 1129-1146. NO BOMBS IN CITY LIMITS. FACTORY STOPPED DURING 40% OF ALERTS</t>
  </si>
  <si>
    <t>COMBINED 2 RECORDS: 1608-1620, 1 DEAD, 1 WOUNDED, 17 BOMBS, 1 DUD;  1715-1725, NO CASUALTIES, 2 BOMBS</t>
  </si>
  <si>
    <t>WIA reports additional detail: "…the Clemens bridge was damaged and many bombs fell in stn area considerably dislocating traffic and causing stoppages varying between 12-24 hours."  [USING TIME LOST FIGURE FROM WIA -SCS].  WIA casualties matched US survey numbers.</t>
  </si>
  <si>
    <t>NARA 990 Roll 58; WIA Appx XIII</t>
  </si>
  <si>
    <t>RAIDS 2035-2110, 2125-2205</t>
  </si>
  <si>
    <t>Attacks (or AA fire?) "with intervals" of calm. [CHANGED RAID TO ALERT -SCS]</t>
  </si>
  <si>
    <t>APPARENTLY ONLY ALERTS@THIONVILLE (2115-2200, 0146-0312). "Great traffic interruption on the Andan RR. Because of air raid, Berm division was obliged to furnish engines for troop trains. Therefore no engines for freight trains at hand."</t>
  </si>
  <si>
    <t>During the night air raid alarm from 9:30 to 2:35.  The aviators did not come to Thionville.</t>
  </si>
  <si>
    <t>US11,20,96</t>
  </si>
  <si>
    <t>Etain (orig. target Mouzon)</t>
  </si>
  <si>
    <t>T.O. 1705; ATR 1845. 15 bombs of 3 types (20th Aero). 20th Aero history says all 3 sqns went in one formation and that target was Mouzay.  Altitude from that history is 3200 feet; other source unrecorded says altitude was 9000 feet, which is more believeable.</t>
  </si>
  <si>
    <t>E of Chateau de Bemont &amp; Hill 191; Somme-Py to Attigny</t>
  </si>
  <si>
    <t>Troops; Convoys</t>
  </si>
  <si>
    <t>Strong explosions seen on both sides of Route 77, south of Ferme de Médéah. Protected by one G.C. &amp; 14 R.XIs; report cites "excellent" protection. 4 French aircrew wounded, one of them grieviously. 2 D.7s shot down by Breguets.   5300 rounds fired.</t>
  </si>
  <si>
    <t>1st Brigade Images 0192-3</t>
  </si>
  <si>
    <t xml:space="preserve">Marvaux, Vieux, Montfauxelles stn, Sechaux, Mouron, Vaux les Mouron to Montcheu??; Challerange; Monthois, Marvaux </t>
  </si>
  <si>
    <t>Villages; RR Stn; Cantonments</t>
  </si>
  <si>
    <t>20 Breguets of GB3 bombed 1st set of targets (in list prior to Challerange) at 1800 hours from 1200 meters.  Also machine-gunned Malmaison forest and route from Ardeuil to Sec???.  17 planes of GB4 bombed Challerange &amp; Monthois-Marvaux camps at 1750 from 1000 meters. 1 plane bombed the Saint-Germain fountain.  German AAA stopped fired after being stafed.  1 observer killed.  4400 rounds fired.</t>
  </si>
  <si>
    <t>Damage to switch Sablon and telegraph lines.</t>
  </si>
  <si>
    <t>Marvaux ravines, Semide (wood S of), Vieux ravine;  Liry, Marvaux; Monthois to Marvaux, Challerange (E of); Marvaux (N of)</t>
  </si>
  <si>
    <t>Troops; Villages; Convoys; Batteries</t>
  </si>
  <si>
    <t>Bombed from 1530 to 1645. Started fire in Marvaux &amp; among cantonments on Hill 195. Batteries &amp; MG nests stopped firing when bombed.  Protected by Spads and 12 R.XIs. Fired 5100 rounds against ground targets. 2 Breguet observers lightly wounded by AAA.</t>
  </si>
  <si>
    <t>1st Brigade Images 0195-6</t>
  </si>
  <si>
    <t>Aborted entire mission due to rain &amp; hail.  Report says it was GB6 (which is part of Escadre 12) so it must have been GB3.</t>
  </si>
  <si>
    <t>Escadre 13 /GB4</t>
  </si>
  <si>
    <t>Monthois, Liry, Marvaux, Alin ravine, Dues stream ravine, Vouzier to? Grandpré; Challerange jtn, Vouzier to Challerange RR line</t>
  </si>
  <si>
    <t>Troops; RR targets</t>
  </si>
  <si>
    <t>Bombed 1715-1725 despite rain &amp; hail.  Protected by 3 R.XIs of C.46.   Saw many bombstrikes in region of Monthois.  2600 rounds fired at ground targets.</t>
  </si>
  <si>
    <t>Grandpre, Marcq</t>
  </si>
  <si>
    <t>Supply dumps, RR</t>
  </si>
  <si>
    <t>T.O. 1615 - 1630. HE &amp; incen. bombs - tracks cut and fires started in dumps. 33 bombers &amp; 14 Spads.</t>
  </si>
  <si>
    <t>Escadres 12,13</t>
  </si>
  <si>
    <t>Saint-Morel to Monthois sector</t>
  </si>
  <si>
    <t>Reports missing.  Info from Martel who presumably took the reports. 2 German planes shot down.</t>
  </si>
  <si>
    <t>Foret-de-Sauvage,Mezieres</t>
  </si>
  <si>
    <t>Foret-de-Sauvage (near...</t>
  </si>
  <si>
    <t>Frescaty,Metz-Sablon</t>
  </si>
  <si>
    <t>Aerodrome,Railways</t>
  </si>
  <si>
    <t xml:space="preserve">Raid not in War Diary. </t>
  </si>
  <si>
    <t>Ausence (region of)</t>
  </si>
  <si>
    <t>ALERTS 2330-2345, 0005-0020</t>
  </si>
  <si>
    <t>Treves,Luxembourg</t>
  </si>
  <si>
    <t>Railway Stns</t>
  </si>
  <si>
    <t>Rennles, p.155, tells a different story than George's records.  Says 1 formation of six WX-aborted and returned with bombs and the other hit Treves at 12:30.  I've kept George's record but added times &amp; bomb # from Rennles -- don't know which is right.</t>
  </si>
  <si>
    <t>US11,96</t>
  </si>
  <si>
    <t>Bantheville</t>
  </si>
  <si>
    <t>Saint-Étienne à Arnes to Semide</t>
  </si>
  <si>
    <t>Reports missing.  Info from Martel who presumably took the reports. He mentioned as highlights attacks on Juniville &amp; Vouzier airfields by 8 Breguets &amp; that six others bombed &amp; strafed 2 trains in Semide stn.</t>
  </si>
  <si>
    <t>Vitry-le-François</t>
  </si>
  <si>
    <t>Martel 391-2 (Eng.)</t>
  </si>
  <si>
    <t>Amagne-Lucquy, Warmeriville, Epoye (region), St-Loup-en-Champagne, Chatelet-sur-Retourne region</t>
  </si>
  <si>
    <t>GB1 War Diary 0220</t>
  </si>
  <si>
    <t># of a/c, bomb #s &amp; wgts don't add up between War Diary and G.A.C. Summary. Planes: 8 F.50s &amp; 5 V.R. - 3 F.50s had mechanical trouble. Dropped: 6x25[kg] GA, 21x50 G.A., 22x50 G.A.MMN, 1x140, 4x10 V.M.  1 V.R. and 1 F.50 collided on the ground, damaging the latter (this incident not included in mission numbers).</t>
  </si>
  <si>
    <t>SHAA - G.A.C. Summary of Operations for 1-15 October 1918</t>
  </si>
  <si>
    <t>Epoye</t>
  </si>
  <si>
    <t>SHAA - G.A.E. Summary of Operations for 1-15 October 1918</t>
  </si>
  <si>
    <t>Chatelet-sur-Retourne (region)</t>
  </si>
  <si>
    <t>Miscellaneous</t>
  </si>
  <si>
    <t>GB8 &amp; GB10</t>
  </si>
  <si>
    <t>Combined record - both groups of Escadre 14 dropped 121 bombs &amp; 3705 kg on 1,3,4,8 Oct</t>
  </si>
  <si>
    <t>Combined record - 14 bombs &amp; 500 kg on 1 &amp; 3 October</t>
  </si>
  <si>
    <t>Combined record - 598 bombs &amp; 13000 kg on 1,3,4,10 October</t>
  </si>
  <si>
    <t>Combined record - both groups of Escadre 14 dropped 223 bombs &amp; 8990 kg on 1,3,8,10,14 Oct</t>
  </si>
  <si>
    <t>Montcornet - Lislet</t>
  </si>
  <si>
    <t>Combined record - 284 bombs &amp; 9660 kg on 1,3,4,8,14 October</t>
  </si>
  <si>
    <t>Montcornet-Marle-Mortiers</t>
  </si>
  <si>
    <t>Combined record - 115 bombs &amp; 3665 kg on 1,3,8,10 October</t>
  </si>
  <si>
    <t>Combined record - 23 bombs &amp; 1165 kg on 1,3 October</t>
  </si>
  <si>
    <t>Pouilly-sur-Serre</t>
  </si>
  <si>
    <t>Combined record - 16 bombs &amp; 550 kg on 1, 8 October</t>
  </si>
  <si>
    <t>Combined record - 12 bombs &amp; 700 kg on 1, 4 October</t>
  </si>
  <si>
    <t>Laon (region of)</t>
  </si>
  <si>
    <t>Combined record - both groups of Escadre 14 dropped 239 bombs &amp; 8110 kg on 1,3,4,8,10 Oct</t>
  </si>
  <si>
    <t>Raid from 1230 - 1255.  5 bombs on Petrisberg, hill on the edge of the city; damage to property of 5 people.  2 of them didn't report amount of damage. [CORRECTED DAMAGE COSTS WITH MICROFILM RECORD.]</t>
  </si>
  <si>
    <t>424, NARA Roll 58</t>
  </si>
  <si>
    <t>Cornay (orig. target St.Juvin)</t>
  </si>
  <si>
    <t>US11,20</t>
  </si>
  <si>
    <t>St. Juvin</t>
  </si>
  <si>
    <t>Semide village &amp; environs</t>
  </si>
  <si>
    <t>Rail center, depots, troops</t>
  </si>
  <si>
    <t>120 a/c apparently includes fighter escort. Fire started in materiel depot W of Semide. Munitions depot blown up, troops strafed, artillery silenced. 1 German plane forced down, then bombed.</t>
  </si>
  <si>
    <t>Martel (Eng.) 392</t>
  </si>
  <si>
    <t>ALERT 2220-2255. MAY HAVE ACTUALLY TAKEN PLACE ON 3 OCT.</t>
  </si>
  <si>
    <t>Rail, Town</t>
  </si>
  <si>
    <t>Semide area</t>
  </si>
  <si>
    <t>Still in support of 4th Armée. # aircraft may include Caudron escorts.  Raids in morning, afternoon, and early evening.  1 German plane shot down. French plane lost - broke up on T.O.</t>
  </si>
  <si>
    <t>Martel (Eng.) 392-3</t>
  </si>
  <si>
    <t>Metz-Sablon,Morhange</t>
  </si>
  <si>
    <t>Lavannes (NW of); Isle-sur-Suippe, Warmeriville, le Chatelet-sur-Retourne, St-Masmes, Boult-sur-Suippe</t>
  </si>
  <si>
    <t>Rail Line; RR stns</t>
  </si>
  <si>
    <t>Planes: 7 F.50 &amp; 4 V.R.; 2 V.R. had mech aborts. Dropped: 18x50[kg] G.A., 39x50 GAMMN, 2x140, 4 bombes 10 V.M., 1 fusée de Bourges. 1 crew caused a small explosion at the approach to the Isles-sur-Suippe rail stn.</t>
  </si>
  <si>
    <t>Boult s/Suippe</t>
  </si>
  <si>
    <t>Isles s/Suippe</t>
  </si>
  <si>
    <t>Lavannes</t>
  </si>
  <si>
    <t>Puzieux (forest of)</t>
  </si>
  <si>
    <t>Chateau-Porcien</t>
  </si>
  <si>
    <t>Damage to transport lines, [power?] lines and lamps of Smelting Furnace grounds</t>
  </si>
  <si>
    <t>Alarm only, NO RAID, about 10:30  - AM/PM not specified.</t>
  </si>
  <si>
    <t>Morning raid - bombs in town center, fires &amp; secondary explosions</t>
  </si>
  <si>
    <t>Landres-et-St.-Georges</t>
  </si>
  <si>
    <t>Road Jtn</t>
  </si>
  <si>
    <t>Mauchault; St.Étienne-Arnes; Cauroy (N of)</t>
  </si>
  <si>
    <t>Troops, trains, munitions depots</t>
  </si>
  <si>
    <t>79 aircraft, probably not all bombers</t>
  </si>
  <si>
    <t>Kilduff, C&amp;C V.15,#1, p.23</t>
  </si>
  <si>
    <t>Juniville; Isles-sur-Suippe to Chatelet-sur-Retourne</t>
  </si>
  <si>
    <t>Rail stn &amp; depot; convoy</t>
  </si>
  <si>
    <t>GB1 War Diary 0221</t>
  </si>
  <si>
    <t>Planes: 6 F.50 &amp; 4 V.R. - 3 of each accomplished mission. 1 F.50 pilot sick. Bombs dropped: 15x50[kg] A., 20x50 GA MMN, 2 bombes 10 V.M. Good hits on the Juniville railway.</t>
  </si>
  <si>
    <t>Rong(?)erchamp</t>
  </si>
  <si>
    <t>Combined record - 39 bombs &amp; 1675 kg on 4 &amp; 8 October</t>
  </si>
  <si>
    <t>Damage to Mill Bldgs of Thomas drossing mills, Rombach, plus damage to roofs, windows, etc.</t>
  </si>
  <si>
    <t>Kaiserslautern,Pirmasens</t>
  </si>
  <si>
    <t>Rennles, pp.156-8, lists 13 bombers by serial number vice 12 in George's record.  Rennles mentions Pirmasens being flown over but not bombed.  Given the uncertainties, this record is also a hybrid of the two accounts.</t>
  </si>
  <si>
    <t>Dumps</t>
  </si>
  <si>
    <t>Fire and secondary explosion.</t>
  </si>
  <si>
    <t>Arnaville (S of Metz)</t>
  </si>
  <si>
    <t>T.O. 1605; ATR 1750. 18 bombs.</t>
  </si>
  <si>
    <t>Doulcon</t>
  </si>
  <si>
    <t>T.O. 1700 - supposedly joint raid w/ 20th Aero - 1st low level attack</t>
  </si>
  <si>
    <t>Valleys of Suippe, Arnes, Retourne (at Juniville)</t>
  </si>
  <si>
    <t>"Long range expedition". Protected by 9 R.XIs.</t>
  </si>
  <si>
    <t>Martel (Eng.) 393</t>
  </si>
  <si>
    <t>Metz-S,Mezieres,Courcel's</t>
  </si>
  <si>
    <t>Morhange,Saarb'n,Mezieres</t>
  </si>
  <si>
    <t>Aero.,Burbach Wks,Rail</t>
  </si>
  <si>
    <t>1 dud. DETAIL FROM WIA: "Metz-Sablon stn hit, rolling-stock damaged and cellar used as an air-raid shelter hit and destroyed…". DETAIL FROM AM "RESULTS…": Several tracks and goods trucks were badly damaged. Traffic was suspended for 24 hours and the water supply was interrupted for 4 hours. Another bomb fell on the west coal depot. Some damage was caused to private property and 12 civilians were killed &amp; 24 injured.</t>
  </si>
  <si>
    <t>NARA 990 Roll 58; WIA; AM "Results…" p.29</t>
  </si>
  <si>
    <t>ALERTS 1315-1345, 1355-1400</t>
  </si>
  <si>
    <t>[US survey reported 3 dead &amp; 2 wounded; am using more specific British survey figures -SCS] BRITISH SURVEY: "The north tower signal-box was hit and slightly damaged. Tramway poles were destroyed and a water main was hit and burst. 2 military and 2 civilians were killed and 2 civilians injured."</t>
  </si>
  <si>
    <t>NARA 990 Roll 58; AM "Results…" p.29</t>
  </si>
  <si>
    <t>Bombs inside/outside foundry grounds: 0/6.  Damage to villa fence.</t>
  </si>
  <si>
    <t>4 ALERTS THIS NIGHT. LOSS IN PRODUCTION OF IRON @ 498M PER TON.</t>
  </si>
  <si>
    <t>Raid about 9:50 - AM/PM not specified.  8 bombs in station, no damage.</t>
  </si>
  <si>
    <t>Fell on &amp; near mixing building.  Slight damage.</t>
  </si>
  <si>
    <t>ALERT - FACTORIES, BUSINESSES, STREETCARS STOPPED - AM/PM UNK: TIME 2.23-2.48</t>
  </si>
  <si>
    <t>Over target at 0730.</t>
  </si>
  <si>
    <t>T.O. 1235; over target 1320. 20th Aero formation didn't make it across lines.</t>
  </si>
  <si>
    <t>Rethel &amp; environs; Perthes (W of), Avancon (E of); le Chatelet-sur-Retourne</t>
  </si>
  <si>
    <t>U/K; cantonments; U/K</t>
  </si>
  <si>
    <t>F.50</t>
  </si>
  <si>
    <t>War Diary &amp; G.A.C. Summary numbers don't add up, as if some Summary entries are missing. Not clear what happened with 1 plane that did not complete mission. Dropped: 4x50[kg] G.A., 40x50 G.A. MMN, 2x140, 6 bombes 10 V.M.</t>
  </si>
  <si>
    <t>S(?)agnon</t>
  </si>
  <si>
    <t>Le Theur (in front of)</t>
  </si>
  <si>
    <t>Charleville - Vouziers</t>
  </si>
  <si>
    <t>Etraye - Damvillers - Ecurey area</t>
  </si>
  <si>
    <t>Troops, Munition Depots, Ground Installations</t>
  </si>
  <si>
    <t xml:space="preserve">136 Breguets of Escadre 12 - 33 tons of bombs - Tricked Germans into cancelling a mass troop movement, thinking Metz was about to be attacked. Breguets with escorts bombed &amp; strafed depots and downed 6 enemy planes. </t>
  </si>
  <si>
    <t>T.O. 1410</t>
  </si>
  <si>
    <t>Bantheville (other source says St. Juvin)</t>
  </si>
  <si>
    <t>T.O. 1420.  Well-protected by Allied chasse. Fires observed in Marcq and Fleville (doesn’t say if they caused those fires).</t>
  </si>
  <si>
    <t>Thionville,Morhange</t>
  </si>
  <si>
    <t>Metz-S,Mezieres,Thionv'e</t>
  </si>
  <si>
    <t>Rail and Karlschutte Wks</t>
  </si>
  <si>
    <t>Rail &amp; Karlschutte Works</t>
  </si>
  <si>
    <t>RAID 2015-2335. "Asst. fireman injured during raid. Delay in traffic and engine movements, also in coal loading and repairing."</t>
  </si>
  <si>
    <t>RR STN REPORT: "Heavy [AA] fire with interruptions. Bombs near Mendelingen between Hq. &amp; Macheren &amp; in vicinity of stn.  Light switches broken. 1 bomb in northern section of village Hagendingen." STEEL MILL REPORT: "great number" of bombs fell night of 9/10 Oct. - no damage. RR TELEGRAMS: "No. 574. Tonight, about 12:10AM, this place was attacked by 5 planes. Direction...N - SW. Target RR stn Hagendingen, and Works Thyssen. About 5 bombs were dropped in the fields in vicinity of Works Thyssen. The main light switch Rombach-Hagendingen destroyed. RR stn of Hagendingen w/o lights. Other material damages or injuries none. [signed] Replung"  LATER: "...2 more bombs were dropped in addition to those reported in tel. #574. 1 in kil. 171,700 and 1 in northern part of village. Former caused no damage, the latter breaking some window panes. [signed] Bf STAHL"  [CAN'T MATCH THIS RAID - A/C INTENDED FOR THIONVILLE, MAIZIERES, OR METZ? -SCS]</t>
  </si>
  <si>
    <t>384, 392, NARA 990 Roll 58</t>
  </si>
  <si>
    <t>All lines broken at Kil. 1.4 of pig iron track</t>
  </si>
  <si>
    <t>Bombs inside/outside foundry grounds: 7/0.  Damage to electrical connections of gallery railroads.</t>
  </si>
  <si>
    <t>ALL INFO FROM BRITISH SURVEY - NO COMPARABLE RECORD FROM US SURVEY.  "According to statements of civilians living in the vicinity, one bomb fell on the powder magazine in the Metz Wiese Island. A large explosion occurred and a fire started which was still smoldering after 4 days...damage estimated at 1,000,000 marks." [WIA upgraded fire to still "burning" after 4 days!]</t>
  </si>
  <si>
    <t>AM "Results…" p. 30</t>
  </si>
  <si>
    <t>Town center, RR stn, Brickyard</t>
  </si>
  <si>
    <t>"36 tons" dropped - collapsed RR stn, destroyed brickyard, depot exploded, fired 6000 rounds at ground targets - no air combats - Escadre 12 = de Goys Brigade</t>
  </si>
  <si>
    <t>Kilduff, C&amp;C V.15,#1, p.23 &amp; ? (Martel?)</t>
  </si>
  <si>
    <t>Milly-devant-Dun (W of Thionville on Meuse)</t>
  </si>
  <si>
    <t>T.O. 0645</t>
  </si>
  <si>
    <t>US11&amp;96</t>
  </si>
  <si>
    <t>T.O. 0700</t>
  </si>
  <si>
    <t>T.O. 0705; ATR 0905. 22 bombs.</t>
  </si>
  <si>
    <t>Villers-devant-Dun</t>
  </si>
  <si>
    <t>RR targets</t>
  </si>
  <si>
    <t>"Midday" T.O. - after 1100</t>
  </si>
  <si>
    <t>"Midday" T.O. - after 1100.  Raid not listed in Barth's 20th Aero history.</t>
  </si>
  <si>
    <t>Metz-Sablon,Longuyon</t>
  </si>
  <si>
    <t>Mezieres,Rombach</t>
  </si>
  <si>
    <t>Railways,Factories</t>
  </si>
  <si>
    <t>Pauvres</t>
  </si>
  <si>
    <t>Montcornet - Rethel</t>
  </si>
  <si>
    <t>Auden-le-Roman, Dommary Baroncourt</t>
  </si>
  <si>
    <t>Capronis from 3rd Sqn participated</t>
  </si>
  <si>
    <t>Gentilli &amp; Varraile 94</t>
  </si>
  <si>
    <t>Hirson, Attigny, Montcornet; route from Reims to Montcornet (N of Nizy-le-Comte); Aubenton</t>
  </si>
  <si>
    <t>U/K; convoy; RR stn</t>
  </si>
  <si>
    <t>GB1 War Diary 0222</t>
  </si>
  <si>
    <t>War Diary &amp; Summary bomb wgts &amp; numbers are close but not exact. Good hit on Hirson stn, which had been identified as the most important target. Fire started by bombing on west edge of Attigny.  Bombs dropped: 7x10[kg] D.V., 35x50 G.A., 42x50 G.A. MMN, 6 of 140, 13x10 V.M., 7  fusées de Bourges.  All a/c were F.50s.</t>
  </si>
  <si>
    <t>Reims - Montcornet (region)</t>
  </si>
  <si>
    <t>Aubenton</t>
  </si>
  <si>
    <t>Nizy Le Comte</t>
  </si>
  <si>
    <t>Echarson (train to)</t>
  </si>
  <si>
    <t>Combined record - both groups of Escadre 14 dropped 51 bombs &amp; 1550 kg on 10&amp;14 Oct</t>
  </si>
  <si>
    <t>Combined record - 65 bombs &amp; 2220 kg on 10, 14 October</t>
  </si>
  <si>
    <t>AA fire 2020-2133. [CHANGED RAID TO ALERT -SCS]</t>
  </si>
  <si>
    <t>Damage to line Metz-Noveant &amp; street crossing.  Track out 10 hours.</t>
  </si>
  <si>
    <t>Oberemmel</t>
  </si>
  <si>
    <t>2 bombs in town &amp; 18 around it.  Property of 4 people damaged; one boy killed.</t>
  </si>
  <si>
    <t>Villers [Damvillers?]</t>
  </si>
  <si>
    <t>Over target about 1220. 22 bombs.</t>
  </si>
  <si>
    <t>La Capelle</t>
  </si>
  <si>
    <t>Montcornet (region of)</t>
  </si>
  <si>
    <t>Raid by about 20 a/c.  Track damaged between Pelter &amp; Remaelach, Frontemingen &amp; Kurzel, Pelter &amp; Kurzel.  Traffic resumed at 0840.  All trains ordered to stop [during outage?].  [Book says 1917???]</t>
  </si>
  <si>
    <t>Kurzel</t>
  </si>
  <si>
    <t>Bombs dropped next to line just before train arrival.  Destroyed block &amp; telegraph lines - other trains notified by phone.  5 trains late. Traffic restored with Sanringen about 0243. [Book says 1917 ???]</t>
  </si>
  <si>
    <t>Bayonville (Brionville?)</t>
  </si>
  <si>
    <t>T.O. 1410; ATR 1550. 16 bombs.</t>
  </si>
  <si>
    <t>US11,20,96,166</t>
  </si>
  <si>
    <t>1st 4 squadron raid - record includes 20th Aero listed separately</t>
  </si>
  <si>
    <t>Hirson, Liart, Porvisy, St-Jean-au-Bois, Launois, Chimay OR Marienbourg</t>
  </si>
  <si>
    <t>GB1 War Diary 0223-4</t>
  </si>
  <si>
    <t>Used F.50s. 1 RTB with sick pilot. 3 crashed on landing, maybe at their own airfield.  Started fire W of St-Jean-au-Bois RR stn. Caused about 50 green &amp; red explosions in an unidentified RR stn - lights went out immediately so they think they hit the electrical stn there.  Dropped 5700 "Achtung" tracts and shot up a searchlight.  Dropped: 8x10[kg] D.V., 12x50 G.A., 37x50 G.A. MMN, 2x140, 6x200, 7x10 V.M., 2 fusées de Bourges, 4x10 P.</t>
  </si>
  <si>
    <t>Launois</t>
  </si>
  <si>
    <t>SHAA - G.A.C. Summary of Operations for 16-31 October 1918</t>
  </si>
  <si>
    <t>Chimay</t>
  </si>
  <si>
    <t>St-Jean-aux-Bois</t>
  </si>
  <si>
    <t>CORRECT SPELLING SHOULD BE PROVISY</t>
  </si>
  <si>
    <t>Rozoy-sur-Serre</t>
  </si>
  <si>
    <t>Marle (?)</t>
  </si>
  <si>
    <t>This record is inferred from page totals and continued entries. It may not have actually happened, though clearly one record of something is missing at the bottom of the page.</t>
  </si>
  <si>
    <t>SEE COMMENTS.  SHAA - G.A.C. Summary of Operations for 16-31 October 1918</t>
  </si>
  <si>
    <t>ALERT 1645-1655. "Delay in traffic and engine movements, also in coal loading and repairing."</t>
  </si>
  <si>
    <t>Alarm only, NO RAID, 4:30 to 5:00  - AM/PM not specified.</t>
  </si>
  <si>
    <t>Rennles, p.168, says German fighters fired from long range at nearby 99 Sqn and 104 Sqn observers didn't even bother to return fire.  Am calling this "no air fight".</t>
  </si>
  <si>
    <t>Frankfurt (N &amp; NW of...)</t>
  </si>
  <si>
    <t>Rennles, pp.165-8:  Planes wandering lost in cloud all over the Rhineland - not clear whether they even got close to Frankfurt - 7 crews POW or KIA in this disaster.</t>
  </si>
  <si>
    <t>Mezieres,Kaiserslautern</t>
  </si>
  <si>
    <t>Grandchamp</t>
  </si>
  <si>
    <t>Novion-Porcien</t>
  </si>
  <si>
    <t>Rail Stn or Rail Line</t>
  </si>
  <si>
    <t>Rethel (?)</t>
  </si>
  <si>
    <t>SHAA - G.A.E. Summary of Operations for 16-31 October 1918</t>
  </si>
  <si>
    <t>Montcornet-Rozoy &amp; Montcornet-Marle</t>
  </si>
  <si>
    <t>Attack 1230-1240. AA fire 1235-1240 [LIKE MOST HAG'N RAIDS, THIS IS PROBABLY ONLY AN ALERT DESPITE WHAT RECORD SAYS -SCS]</t>
  </si>
  <si>
    <t>Air raid 1:30 PM.  Both tracks from Thionville to Knuzig and siding rails damaged.  Traffic to Knuzig stopped until 5PM.  From 22:00 to 24:00 several alarms but no additional raids on Thionville.  BRITISH SURVEY (AM 39) says 4 bombs hit station.</t>
  </si>
  <si>
    <t>DURING ALERTS, RR TRAFFIC &amp; FACTORY &amp; FOUNDRY WORK STOPPED. 2 alerts: 1420-1450, 1635-1705.</t>
  </si>
  <si>
    <t>ALERT 1514-1759 - FACTORIES &amp; STREETCARS STOPPED; RR DIDN'T</t>
  </si>
  <si>
    <t>2 ALERTS: 1515-1630, 1709-1740. DURING ALERTS, BUSINESS &amp; STREETCARS STOPPED. RR DID NOT.</t>
  </si>
  <si>
    <t>Attacks 1520-1548, 1755-1810. AA fire 1235-1240, 1520-1535 [LIKE MOST HAG'N REPORTS, THESE ARE PROBABLY ALERTS EVEN THO THEY ARE CALLED RAIDS -SCS]</t>
  </si>
  <si>
    <t>Alarm only; time lost in 24 hour plant &amp; many businesses. Alert 1605-1615.  "Other" cost for repairing AA damage to building.  [Report seems to give date of REPAIR as 10/23, so presumably damage done night of 10/21. --SCS]</t>
  </si>
  <si>
    <t>ALERT 1415-1420, RAID 1650-1735 [IT'S POSSIBLE RAID WAS REALLY AN ALERT SINCE NO INFO ON BOMBS OR DAMAGE AND LACK OF ALERTS IN OTHER NEARBY CITIES AFTER THIS "RAID" -SCS]</t>
  </si>
  <si>
    <t>"Other Cost" is estimated lost production &amp; labor costs. [MICROFILM RECORD SAYS DATE WAS OCT 31 AT 5:05PM, BUT THAT IS OUT OF ORDER. BY COMPARING WITH TROISDORF RR DATA, IS MORE LIKELY THAT CORRECT DATE IS OCT 21. -SCS]</t>
  </si>
  <si>
    <t>ALERT 1831-1859 - FACTORIES &amp; STREETCARS STOPPED; RR DIDN'T</t>
  </si>
  <si>
    <t>Attack 1940-1958. No AA fire. [CHANGED RAID TO ALERT -SCS]</t>
  </si>
  <si>
    <t>Work stopped in factories, businesses, &amp; shops during alerts. 4 alerts - 2006-2014, 2046-2118, 2125-2141, 2250-2259.</t>
  </si>
  <si>
    <t>Raid from 2012 - 2254.  Most city businesses closed during air raids.  Damage includes direct hit with one bomb on Greist-Werke factory, which makes cartridge clips.  Factory was put entirely out of commission, damaging it to the extent of 350,000M.  [Am using the more specific damage figure from the BRITISH SURVEY instead of 600,000M from US survey. -SCS]  BRITISH SURVEY reports 3-story Greist factory destroyed (13-15 Mozart Strass) by a large bomb in the courtyard at a total cost of 500,000M. 40-50 people rescued from cellar by dragging them through cellar windows.  10 - 15 houses so badly damaged they had to be evacuated. Total damage 831,309M.</t>
  </si>
  <si>
    <t>Alarm only; time lost in 24 hour plant &amp; many businesses. Alerts 2025-2050, &amp; 2130-2215.  "Other" cost for repairing AA damage to building.  [Report seems to give date of REPAIR as 10/23, so presumably damage done on 10/21 and at night, since firing at nothing is more likely at night. --SCS]</t>
  </si>
  <si>
    <t>Attacks 2145-2200, 2328-2350. AA fire 2332-2345.  [LIKE OTHER HAG'N RAIDS WITH NO RECORDED BOMBSTRIKES OR DAMAGE, THIS IS PROBABLY ONLY AN ALERT -SCS]</t>
  </si>
  <si>
    <t>No bombs but some damage from AA fire to property of 29 people &amp; RR.</t>
  </si>
  <si>
    <t>ALERT - FACTORIES, BUSINESSES, STREETCARS STOPPED - AM/PM UNK: TIME 3.08-4.55</t>
  </si>
  <si>
    <t>Hirson; Liart; Provisy</t>
  </si>
  <si>
    <t>Town &amp; RR stn; RR stn &amp; surroundings; RR Stn</t>
  </si>
  <si>
    <t>GB1 War Diary 0224-5</t>
  </si>
  <si>
    <t>F.50 aircraft. Weather not good. Bombs dropped: 16x10[kg] D.V., 6x50 G.A., 55x50 G.A MMN, 7x100, 4x10 V.M., 2 fusées de Bourges. Fight w/ 1 enemy S of Hirson. 1 crew started a fire in Liart RR stn. Small red &amp; green explosions (caused?) in Hirson RR stn. 1 plane crashed on takeoff (I'm counting it as Force-landed with damage) and another crashed on landing. 1 plane damaged and one undamaged at landings elsewhere.</t>
  </si>
  <si>
    <t>Le Chesne</t>
  </si>
  <si>
    <t>C???ery</t>
  </si>
  <si>
    <t>RAID(S)/ALERT 0110-0130, 0935-1145; LIGHTS OUT @ 0110 &amp; 0935??? RECORD SOMEHOW INCORRECT, PERHAPS SHOULD BE AFTERNOON OF 21 OCT. "Division Osk was bombarded causing damage to the main tracks." "Delay in traffic and engine movements, also in coal loading and repairing."</t>
  </si>
  <si>
    <t>ALERTS ONLY @ 1430-1534, 1545-1617, 1625-1701. ALL RAIL TRAFFIC STOPPED.</t>
  </si>
  <si>
    <t>ALERTS 1539-1604, 1637-1705. NO BOMBS IN CITY LIMITS. FACTORY STOPPED DURING 40% OF ALERTS</t>
  </si>
  <si>
    <t>ALERTS 2130-2200, 2230-2300</t>
  </si>
  <si>
    <t>1 RAID THIS NIGHT (22/23 OCT 1918).  CASUALTIES &amp; DIRECT DAMAGE UNKNOWN. LOSS IN PRODUCTION OF IRON @ 498M PER TON.</t>
  </si>
  <si>
    <t>T.O. 0845</t>
  </si>
  <si>
    <t>2 planes force-landed but don't know about damage.  138 of the 150 bombs were incendiaries.</t>
  </si>
  <si>
    <t>Bois-de-la-Casine (E of Bayonville - Buzancy)</t>
  </si>
  <si>
    <t>German positions</t>
  </si>
  <si>
    <t>Bois-de-la-Follie (E of Bayonville - Buzancy)</t>
  </si>
  <si>
    <t>Barracks &amp; Woods</t>
  </si>
  <si>
    <t>Barth, Hist. of 20th Aero Sqn &amp; Martin, Men of the 20th.</t>
  </si>
  <si>
    <t>US11&amp;166</t>
  </si>
  <si>
    <t>Bois-de-la-Barricourt (E of Bayonville - Buzancy)</t>
  </si>
  <si>
    <t>Afternoon raid.  9 a/c of 11th Aero dropped 800kg</t>
  </si>
  <si>
    <t>Wiesbaden</t>
  </si>
  <si>
    <t>Saarbrucken,Metz</t>
  </si>
  <si>
    <t>Railways,Burbach Works</t>
  </si>
  <si>
    <t>Burbach Wks</t>
  </si>
  <si>
    <t>Kaiserslautern,Saarbrkn</t>
  </si>
  <si>
    <t>Mann.,Saarb.,M-S,Coblentz</t>
  </si>
  <si>
    <t>BASF,Blast F.,Rail,Bridge</t>
  </si>
  <si>
    <t>Coblentz</t>
  </si>
  <si>
    <t>Moselle River Bridge</t>
  </si>
  <si>
    <t>Blast Furnances</t>
  </si>
  <si>
    <t>Provisy; Wassigny; Mesmont</t>
  </si>
  <si>
    <t>Depot &amp; RR stn; RR stn; Town?</t>
  </si>
  <si>
    <t>GB1 War Diary 0225</t>
  </si>
  <si>
    <t>F.50 bombers. Bomb numbers &amp; wgts don't add up. Not entirely clear what happened to the 4 planes that did not accomplish mission. 1 did crash in a wood and bombs exploded, "pulverizing" the crew.  Bombs dropped: 15x10 [kg] D.V., 61x50 G.A., 1x140, 9x100, 2 fusées de Bourges, 1x10 V.M.  3 fires (caused?) around Provisy. Of the 3 planes wrecked, two happened before bombs were dropped; one after.</t>
  </si>
  <si>
    <t>Mesmont</t>
  </si>
  <si>
    <t>Montcornet &amp; Serre regions</t>
  </si>
  <si>
    <t>Work stopped in factories, businesses, &amp; shops during alerts. 2 alerts - 1432-1442, 1456-1515.</t>
  </si>
  <si>
    <t>ALERTS 2025-2258, 2331-2352. SEE KAISERSLAUTERN, 12APR1918 FOR DETAILS</t>
  </si>
  <si>
    <t>ALERTS 2025-2045, 2235-2250.</t>
  </si>
  <si>
    <t>NARA 990, AM Results… p.11</t>
  </si>
  <si>
    <t>RR Stn Report: AA fire 2041-2050. "Bombs on steel works" during attack 2040-2050. Other attack "with intervals" of calm 2054-0015</t>
  </si>
  <si>
    <t>Hagondange (Rail Stn, Steel Works)</t>
  </si>
  <si>
    <t>ALERTS 2122-2158, 2240-2330. NO BOMBS IN CITY LIMITS. FACTORY STOPPED DURING 40% OF ALERTS</t>
  </si>
  <si>
    <t>RAID 2145-2210.  # BOMBS FROM BRITISH SURVEY, WHICH SAYS IT WAS A DAY RAID.</t>
  </si>
  <si>
    <t># bombs from BRITISH SURVEY, which reported: "Civilians stated that 7 bombs fell on the Saarbrucken-Beningen rail line skirting the westerly portion of the town, causing damage to the road bridge &amp; considerable damage to the rail lines."</t>
  </si>
  <si>
    <t>438, AM Results… p.35 &amp; opposite</t>
  </si>
  <si>
    <t>FROM BRITISH BOMBING SURVEY - Air Ministry "Results of Air Raids on Germany", p.22.  3 bombs hit buildings N of director's office, damaging masonry &amp; outside pipes; another made direct hit on large building on S end of works - 56,300M.  Other bombs fell in harbour grounds &amp; on RR; other damage done to private property [presumably not part of 56,300M].</t>
  </si>
  <si>
    <t>AM Results... pp.22-23</t>
  </si>
  <si>
    <t>Survey reports one 1650 lb bomb fell in center of city.  Says it was dropped by a 97 Sqn IF plane looking for other targets (Mannheim, Essen, Cologne, Saarbrucken, or Kaiserslautern).  Wiesbaden was residential and not a manufacturing city.</t>
  </si>
  <si>
    <t>ALERT - FACTORIES, BUSINESSES, STREETCARS STOPPED - AM/PM UNK: TIME 10.10-11.33</t>
  </si>
  <si>
    <t xml:space="preserve">Raid 2040 - 2220.  4 bombs on chem factory. Direct damages to BASF in 22 raids was 519,310M; 14 killed.  Each raid or alert caused production losses in another 24 hour plant and in many city businesses. </t>
  </si>
  <si>
    <t>ALERTS ONLY @ 2150-2220, 2247-2327. ALL RAIL TRAFFIC STOPPED.</t>
  </si>
  <si>
    <t>APPARENTLY RAID @ THIONVILLE(?) 1900-1915. "Feutsch-Stopingen railway damaged from bombardment." "Delay in traffic and engine movements, also in coal loading and repairing."</t>
  </si>
  <si>
    <t>2ND DIGIT OF DATE IS UNREADABLE - 26 IS MOST LIKELY BUT COULD BE ANY DATE FROM 23 TO 29 OCTOBER</t>
  </si>
  <si>
    <t>Alarms only, NO RAIDS, 7:00 to 7:30  - AM/PM not specified.</t>
  </si>
  <si>
    <t>Seraincourt, Chaudien, Hannogne</t>
  </si>
  <si>
    <t>131 Breguets, 23 Caudrons - Escadre 12 - "33 tons" dropped</t>
  </si>
  <si>
    <t>Kilduff, C&amp;C V.15,#1, p.25</t>
  </si>
  <si>
    <t>Briquenay</t>
  </si>
  <si>
    <t>T.O. 1345</t>
  </si>
  <si>
    <t>??bon, Seraincourt</t>
  </si>
  <si>
    <t>Sheet containing this data was by itself.  Used Martel 385 to fill in gaps on targets and the correct month. Units were under the command of the 5th Armée.</t>
  </si>
  <si>
    <t>SHAA - Loose Report for Escadres 12 &amp; 13. Supplemented with info from Martel 385.</t>
  </si>
  <si>
    <t>Seraincourt, Chaudion, Hannogne</t>
  </si>
  <si>
    <t>Couppeville</t>
  </si>
  <si>
    <t>Troops &amp; 1 aerodrome</t>
  </si>
  <si>
    <t>Bury</t>
  </si>
  <si>
    <t>Bussy-Lettrée</t>
  </si>
  <si>
    <t>G.K. Williams Summary &amp; Rennles, pp.175-6</t>
  </si>
  <si>
    <t>Entry modified with details from Rennles.  Original target had been Longuyon railways.</t>
  </si>
  <si>
    <t>Solo mission in a DH9a.</t>
  </si>
  <si>
    <t>Convoys, troops, munition depots, encampments</t>
  </si>
  <si>
    <t>120 bombers, 80 pursuit planes</t>
  </si>
  <si>
    <t>US20&amp;166</t>
  </si>
  <si>
    <t>1 20th Aero team followed 166th Sqn to objective &amp; dropped leaflets.  Number of a/c are for 20th Aero only.  T.O. 1405, Bombed @ 1515; ATR 1545.</t>
  </si>
  <si>
    <t>Thionville,Longuyon</t>
  </si>
  <si>
    <t>Ecouviez</t>
  </si>
  <si>
    <t>Treves,Thionv'e,Saarbrkn</t>
  </si>
  <si>
    <t>Railways, Factories</t>
  </si>
  <si>
    <t>Provisy</t>
  </si>
  <si>
    <t>Terrible fog.  T.O.1900. 1 F.50 burst a tyre and damaged prop on takeoff.</t>
  </si>
  <si>
    <t>GB1 War Diary 0226 &amp; G.A.C. Summary of Operations for 16-31 October 1918</t>
  </si>
  <si>
    <t>Anarville (Arnaville?)</t>
  </si>
  <si>
    <t>Valleroy</t>
  </si>
  <si>
    <t>CORRECT SPELLING IS PROVISY</t>
  </si>
  <si>
    <t>Marle-Vervins-Hirson</t>
  </si>
  <si>
    <t>I???mont</t>
  </si>
  <si>
    <t>S??y</t>
  </si>
  <si>
    <t>Morhange Station</t>
  </si>
  <si>
    <t>4 bombs on rail station; 1 direct hit on passenger train.  Track torn up; not repaired until 8am next morning.  2 trains delayed 1.25 hours.  Record in Maurer Maurer contradicts itself on whether 90000 is francs or marks.</t>
  </si>
  <si>
    <t>Fr. 90000</t>
  </si>
  <si>
    <t>"Attacks" 2020-2043, 2215-2236, 2310-2346. AA fire 2025-2033, 2218-2244, 2310-2316. [CHANGED RAID TO ALERT -SCS]</t>
  </si>
  <si>
    <t>ALERT 2050-2330. "Delay in traffic and engine movements, also in coal loading and repairing."</t>
  </si>
  <si>
    <t>ALERTS 2055-2115, 2340-0005. NO BOMBS IN CITY LIMITS. FACTORY STOPPED DURING 40% OF ALERTS</t>
  </si>
  <si>
    <t>THERE IS A SMALL CHANCE THAT THE FIGURES FOR CASUALTIES &amp; DAMAGE ARE MISSING RATHER THAN ZEROS.</t>
  </si>
  <si>
    <t>1 bomb fell between junction of 2 tracks, damaging several cars but not the tracks.  No delays.  Bomb survey says British raided here &amp; real target was probably Ludwig'n or Mannheim.</t>
  </si>
  <si>
    <t>1 RAID &amp; 1 ALARM THIS NIGHT (28/29 OCT 1918).  CASUALTIES &amp; DIRECT DAMAGE UNKNOWN. LOSS IN PRODUCTION OF IRON @ 498M PER TON.</t>
  </si>
  <si>
    <t>Raid 10:00 to 12:30 - AM/PM not specified.  "No bombs dropped.  The anti-aircraft batteries displayed very energetic activity."</t>
  </si>
  <si>
    <t>ALERT - FACTORIES, BUSINESSES, STREETCARS STOPPED - AM/PM UNK: TIME 11.37-11.52</t>
  </si>
  <si>
    <t>Jametz</t>
  </si>
  <si>
    <t>Ramaucourt - Seraincourt region</t>
  </si>
  <si>
    <t>Convoys &amp; assembly points</t>
  </si>
  <si>
    <t>139 Breguets, 20 Caudrons - Escadre 12</t>
  </si>
  <si>
    <t>US166</t>
  </si>
  <si>
    <t>Montigny-devant-Sassey (4 mi NW of Dun-sur-Meuse)</t>
  </si>
  <si>
    <t>Communication center</t>
  </si>
  <si>
    <t>Morning raid by 2 USAS sqns. Bursts seen in eastern end of rail yard and at ammo dumps. Protected by US pursuit planes.</t>
  </si>
  <si>
    <t>Gorrell C4 p.303</t>
  </si>
  <si>
    <t>T.O. 1345.  Gorrell C4 p.303 says 4 bombing squadrons protected by US Pursuit and that bombers shot down one enemy plane.</t>
  </si>
  <si>
    <t>??aucourt, Inaumont</t>
  </si>
  <si>
    <t>??n, (Son?) Remaucourt</t>
  </si>
  <si>
    <t>??aucourt, Son, Baraques S., Seraincourt</t>
  </si>
  <si>
    <t>Hagenau,Mannheim</t>
  </si>
  <si>
    <t>Aerodrome,BASF</t>
  </si>
  <si>
    <t>Mannh'm,Offenburg,Thion'e</t>
  </si>
  <si>
    <t>BASF,Railway Jtns</t>
  </si>
  <si>
    <t>Mannheim,Saarbrkn,Worms</t>
  </si>
  <si>
    <t>Munitions Fact.,Blst Furn</t>
  </si>
  <si>
    <t>Town and Factories</t>
  </si>
  <si>
    <t>Provisy; Beaumont-en-Aviotte region, La Francheville region (Mezieres to Rethel line); Launois</t>
  </si>
  <si>
    <t>RR stn, depot &amp; surroundings; 2 trains; RR stn</t>
  </si>
  <si>
    <t>GB1 War Diary 0226</t>
  </si>
  <si>
    <t>Bombs dropped: 2x10 [kg] DV, 43x50 GA MMN, 4x140, 4x100, 3x10 VM, 4 fusées de Bourges. F.50 that returned with engine trouble was damaged on landing. Good accuracy seen on Provisy.  A recce flight was out 1740-2030, perhaps at the same time as the rest of the Groupe.  It is not clear whether they dropped bombs but they did go over bombed areas.</t>
  </si>
  <si>
    <t>Poix-Terron</t>
  </si>
  <si>
    <t>Givet</t>
  </si>
  <si>
    <t>"Bombs dropped on roadbed near stn of Machern. Trains on main track held up." AA fire 0016-0038</t>
  </si>
  <si>
    <t>AA fire 2108-2120. [CHANGED RAID TO ALERT -SCS]</t>
  </si>
  <si>
    <t>ALERT 2115-2215. "Delay in traffic and engine movements, also in coal loading and repairing."</t>
  </si>
  <si>
    <t>ALERTS 2130-2145, 2230-2245</t>
  </si>
  <si>
    <t>Work stopped in factories, businesses, &amp; shops during alerts. 4 alerts - 2204-2239, 2355-0014, 0019-0106, 0200-0210.</t>
  </si>
  <si>
    <t>Many bombs dropped but no damage to RR. 15-20 bombs fell on Longuyon</t>
  </si>
  <si>
    <t>ALL INFO FROM BRITISH SURVEY. WIA reports considerable damage to workshops in Mannheim district: 178,000M.  AM "Results…" p.23: "The police report states 7 bombs did great damage to buildings and material in the Lindenhof part of town, while 13 bombs fell in the garden at Neckarau without causing much damage.  The remaining bombs fell in Ludwigshafen but only caused unimportant damage."</t>
  </si>
  <si>
    <t>AM "Results…" p.23; WIA Appx. XIII</t>
  </si>
  <si>
    <t>Raid 10:00 to 12:00 - AM/PM not specified.  No bombs dropped.</t>
  </si>
  <si>
    <t>ALERT - FACTORIES, BUSINESSES, STREETCARS STOPPED - AM/PM UNK: TIME 11.08-12.13</t>
  </si>
  <si>
    <t>US11,20,166</t>
  </si>
  <si>
    <t>Barricourt</t>
  </si>
  <si>
    <t>T.O. 1000</t>
  </si>
  <si>
    <t>Belleville</t>
  </si>
  <si>
    <t>20th Sqn history says 6 bursts in center of town &amp; 2 in woods W of town.  The 20th dropped 18 bombs.</t>
  </si>
  <si>
    <t>Karlsruhe,Saarbrucken</t>
  </si>
  <si>
    <t>Rail Wkshops,Burbach Wks</t>
  </si>
  <si>
    <t>Baden,Morhange,Hagenau</t>
  </si>
  <si>
    <t>Railways,Aerodromes</t>
  </si>
  <si>
    <t>Mézières - Mohon, Montigny-sur-Vence, Wassigny, Faissault; railway between Faissault &amp; Grandchamp (S edge of Signy forest); Poix-Terron, Launois</t>
  </si>
  <si>
    <t>RR Stns; Railway; RR stns &amp; environs</t>
  </si>
  <si>
    <t>GB1 War Diary 0226-7</t>
  </si>
  <si>
    <t xml:space="preserve"># planes, bombs, &amp; bombwgt disagree between the 2 sources.  Bombs dropped: 2x10[kg] DV, 2x50 GA, 51x50 GAMMN, 4x140kgs, 9x100, 3x10 VM, [?] fusées de Bourges. 1 reconnaissance 1730-2100, a likely clue to when the F.50s were dropping bombs. Clouds at 2000m. F.50 that bombed Wassigny diverted from target due to large tear in upper wing above the engine. Fire started at the Mezieres-Mohon rail jtn.  </t>
  </si>
  <si>
    <t>Faissault</t>
  </si>
  <si>
    <t>Signy</t>
  </si>
  <si>
    <t>Sponville</t>
  </si>
  <si>
    <t>Capronis from 3rd Squadron of XVIII Gruppo</t>
  </si>
  <si>
    <t>Gentilli &amp; Varriale 94</t>
  </si>
  <si>
    <t>Chaumont-Porcien</t>
  </si>
  <si>
    <t>M???ny (Montigny?)</t>
  </si>
  <si>
    <t>T??rteron</t>
  </si>
  <si>
    <t>Montigny-s-Vence</t>
  </si>
  <si>
    <t>Attacks 1730-1742, 1800-1825. [CHANGED RAID TO ALERT -SCS]</t>
  </si>
  <si>
    <t>ALERTS 2130-2145, 2245-2300</t>
  </si>
  <si>
    <t>[Damage figure in database is understated - bombing survey says 4-raid total represents 791 claims but doesn't include an almost equal number of claims paid by insurance.--SCS]</t>
  </si>
  <si>
    <t xml:space="preserve">Raid 2200 - 0015. 11 bombs in north Mundenheim &amp; in open fields. Direct damages to BASF in 22 raids was 519,310M; 14 killed.  Each raid or alert caused production losses in another 24 hour plant and in many city businesses. </t>
  </si>
  <si>
    <t>ALERT 2310-2330. "Asst. fireman injured in engine house because of darkness." "Delay in traffic and engine movements, also in coal loading and repairing."</t>
  </si>
  <si>
    <t>Bonn,Frescaty,Treves</t>
  </si>
  <si>
    <t>Railways &amp; Stn,Aerodrome</t>
  </si>
  <si>
    <t>Early AM attack - about 29 a/c</t>
  </si>
  <si>
    <t>ALERTS 1428, 1712, 1907. SEE KAISERSLAUTERN, 12APR1918 FOR DETAILS</t>
  </si>
  <si>
    <t>DURING ALERTS, RR TRAFFIC &amp; FACTORY &amp; FOUNDRY WORK STOPPED. 3 alerts: 1430-1455, 1540-1553, 1610-1624.</t>
  </si>
  <si>
    <t>ALERTS 1445-1554, 1615-1803 - FACTORIES &amp; STREETCARS STOPPED; RR DIDN'T</t>
  </si>
  <si>
    <t>2 ALERTS: 1500-1615, 1743-1805. DURING ALERTS, BUSINESS &amp; STREETCARS STOPPED. RR DID NOT.</t>
  </si>
  <si>
    <t>Only raid on Bonn.  1 bomb of 11 was dud; it fell on the RR between 2 ties &amp; buried itself.  Resulted in no interruption of trains &amp; crews were able to repair slight damage at odd times.  Alert for this 1525 raid from 1510 - 1535.  [Report says raid was by 6 DH4's of I.F., diverted by weather from Cologne.]  Information from the BRITISH SURVEY (55 Sqn Hx, p.105): Raid at 3:20 PM caused heavy civilian casualties. Warning was later than usual and streets full of people. "When the first bomb fell, the people crowded together, and one bomb fell on a number of people...waiting to get into a tram."</t>
  </si>
  <si>
    <t>482 &amp; NARA 990</t>
  </si>
  <si>
    <t>Raid 2:00 to 2:40 - AM/PM not specified.  A few bombs dropped but no damage.</t>
  </si>
  <si>
    <t>Chesne Tanney and Noirval regions</t>
  </si>
  <si>
    <t>148 bombing sorties</t>
  </si>
  <si>
    <t>de Goys Brigade</t>
  </si>
  <si>
    <t>Hills near Vouziers</t>
  </si>
  <si>
    <t>CAN'T TELL IF THIS RECORD IS DIFFERENT FROM OTHER RECORD</t>
  </si>
  <si>
    <t>? And Kilduff, C&amp;C V.15,#1, p.25</t>
  </si>
  <si>
    <t>Vervins, Montcornet, Hirson, Mezieres, Poix, Terron, Wassigny</t>
  </si>
  <si>
    <t>Mezieres, Wassigny; Poix-Terron, Novion-Porcien, Aubigny-les-Pothees, Provisy, Levrezy, Vieil-St-Remy</t>
  </si>
  <si>
    <t>RR stns &amp; environs; "Regions"</t>
  </si>
  <si>
    <t>Lousy weather - sea of clouds at 500m. Target type marked "O" (other/multiple) because there is no info on bomb wgt on rail targets vs. tactical targets.  Bombs dropped: 22x10[kg] DV, 48x50 GAMMN, 12x140 kgs, 2x100 kgs, 2x10 VM, 2 fusées de Bourges. 1 recce mission conducted 1705-2000 hours. 1 fire started in region of Vieil-St-Remy.</t>
  </si>
  <si>
    <t>GB1 War Diary 0227</t>
  </si>
  <si>
    <t>Avricourt</t>
  </si>
  <si>
    <t>Railway Jtn &amp; Ammo Dump</t>
  </si>
  <si>
    <t>G.K. Williams Summary &amp; Rennles, p.184</t>
  </si>
  <si>
    <t>Solo mission in a DH9a.  2x112 bombs fell on the junction itself and a 3rd one hit an ammo dump just west of it &amp; caused a huge explosion.  Changed stats based on Rennles, p.184</t>
  </si>
  <si>
    <t>Buhl,Lorquin</t>
  </si>
  <si>
    <t>G.K. Williams Summary &amp; Rennles, p.185</t>
  </si>
  <si>
    <t>Entry modified with details from Rennles.  1 DH9 took off late and joined 104 Sqn to Lorquin.</t>
  </si>
  <si>
    <t>G.K. Williams Summary &amp; Rennles, pp.185-6</t>
  </si>
  <si>
    <t>Railway Sidings &amp; Dump</t>
  </si>
  <si>
    <t>Rennles, p.186 says bombing altitude was 10,000 feet - am using that over the 7000' number in George's records.</t>
  </si>
  <si>
    <t>1st Bombardment Brigade</t>
  </si>
  <si>
    <t>Chesne gorge</t>
  </si>
  <si>
    <t>Troops, approaches, river crossings</t>
  </si>
  <si>
    <t xml:space="preserve">100 bombers and 18 Caudron R.XI's (Kilduff says 10) - 28 tons dropped, 14,600 cartridges fired - German fighters mainly withdrew w/o engaging - raid about 1030 hours. Kilduff calls it the Groupement de Goys </t>
  </si>
  <si>
    <t>Chesne gorge, Tannay</t>
  </si>
  <si>
    <t>Approaches, crossings, village</t>
  </si>
  <si>
    <t>About 1530 141 bombers raid, 15,530 cartridges shot - 13 R.XI's provide cover - at least 3 Germans shot down. Kilduff calls it the Groupement de Goys</t>
  </si>
  <si>
    <t>Stenay (WNW of Thionville on Meuse R.)</t>
  </si>
  <si>
    <t>T.O. 0815; bombed 0930; ATR 1025. 18 bombs.</t>
  </si>
  <si>
    <t>T.O. 0805, ATR 1035 (incl. 20th Aero raid listed separately) -96th Aero dropped 788 kg</t>
  </si>
  <si>
    <t>Beaumont (W of Meuse)</t>
  </si>
  <si>
    <t>T.O. 1210; bombed 1510; ATR 1610. 14 bombs.  8 bursts observed in east part of town.  [There are lots of Beaumonts.  This appears to fit, being W of the Meuse, and is technically Beaumont-en-Argonne. -SCS]</t>
  </si>
  <si>
    <t>GC Thomas says T.O. 1400 - incl. 20th Aero listed separately.   [There are lots of Beaumonts.  This appears to fit, being W of the Meuse, and is technically Beaumont-en-Argonne. -SCS]</t>
  </si>
  <si>
    <t>Montmedy (WNW of Thionville)</t>
  </si>
  <si>
    <t>T.O. 1225; bombed 1535; ATR 1615. 20 bombs. Bursts observed in several portions of the town. Cut RR lines. Many fires started incl. warehouse in SW of town.  CORRECT SPELLING IS Montmédy.</t>
  </si>
  <si>
    <t>Montoy Aerodrome (Photo Recon)</t>
  </si>
  <si>
    <t>NOT A BOMBING MISSION. Attacked twice by fighters; shot one down - last 55 Sqn recon</t>
  </si>
  <si>
    <t>Escadre 12,13</t>
  </si>
  <si>
    <t>Stonne &amp; Besace</t>
  </si>
  <si>
    <t>Raid 0130 - 0200 at 1500 meters (may have been 4/5 Nov vice 3/4 Nov.) - fire 16,250 cartridges - 18 R.XI's escorted</t>
  </si>
  <si>
    <t>Damage to station; 5000M</t>
  </si>
  <si>
    <t>DURING ALERTS, RR TRAFFIC &amp; FACTORY &amp; FOUNDRY WORK STOPPED. 3 alerts: 1330-1334, 1407-1415, 1443-1456</t>
  </si>
  <si>
    <t>T.O. 1410; over target 1520, 1530.  Not listed in 20th Sqn history.</t>
  </si>
  <si>
    <t>Mezieres-Mohon, Lumes, Charleville, Sedan, Poix-Terron, Novion-Porcien, Vendresse; Laonois (E of)</t>
  </si>
  <si>
    <t>Good weather. Dropped: 1 obus 10[kg]p., 10x10 DV, 52x50 GA, 12x50 GAMMN, 4x140, 7x100kgs, 4 fusées de Bourges.  1 recce from 1745 to 2020 over many of the places that were bombed. (Presumably the bombing took place at the same time.)  Fires started: in a small wood between Novion-Porcien &amp; southern edge of small wood at Signy; RR stns at Mezieres-Mohon, Lumes, &amp; Charleville.  Explosion followed by smoke at northern approaches to Sedan RR stn. Escadrilles 25 &amp; 110 among those involved in raid.</t>
  </si>
  <si>
    <t>GB1 War Diary 0227-8</t>
  </si>
  <si>
    <t>[LIKE ALL THE OTHER HAGENDINGEN "RAIDS" W/O REPORTS OF BOMBS FALLING, THIS IS ALMOST CERTAINLY ONLY AN ALERT. -SCS]</t>
  </si>
  <si>
    <t>Mouzon (WNW of Thionville on Meuse)</t>
  </si>
  <si>
    <t>T.O. 0815; bombed 0920; ATR 1020. 16 bombs. 3 a/c missing.</t>
  </si>
  <si>
    <t>Dieuze,Frescaty</t>
  </si>
  <si>
    <t>RAIDS 2035-2050, 2110-2125</t>
  </si>
  <si>
    <t>12 bombs near hospital; 1 killed.</t>
  </si>
  <si>
    <t>Saarbrucken, Attigny</t>
  </si>
  <si>
    <t>Burbach Wks,Aerodrome</t>
  </si>
  <si>
    <t>Faissault, Mazernay, Vieil-St.-remy, Poix-Terron</t>
  </si>
  <si>
    <t>Targets of opportunity</t>
  </si>
  <si>
    <t>Weather was so bad, only volunteers flew - "13 tons" dropped</t>
  </si>
  <si>
    <t>ALERT DATE OF 11/12/1918 IN ERROR - FROM CONTEXT MUST HAVE BEEN 5,6,7, OR 8 NOV -FACTORIES &amp; STREETCARS STOPPED; RR DIDN'T</t>
  </si>
  <si>
    <t>This record entirely from BRITISH SURVEY.  …7 bombs fell on the outskirts of Burbach, N of the stn, causing slight damage. 2 fell in suburb of St. Johann, causing considerable damage to private property.</t>
  </si>
  <si>
    <t>AM Results… p.35 &amp; opposite</t>
  </si>
  <si>
    <t>Damage to foundry official's house and nearby greenhouse.</t>
  </si>
  <si>
    <t>Chateau Salins</t>
  </si>
  <si>
    <t>Motor Transport, Railway</t>
  </si>
  <si>
    <t>G.K. Williams Summary &amp; Rennles, p.192</t>
  </si>
  <si>
    <t>Chateau Salins (south of)</t>
  </si>
  <si>
    <t>Motor Transport</t>
  </si>
  <si>
    <t>Lorquin,Racécourt</t>
  </si>
  <si>
    <t>Rail Sidings,Tri.,Dump</t>
  </si>
  <si>
    <t>George's records say Rachicourt; Rennles' say Racécourt.</t>
  </si>
  <si>
    <t>Racécourt (south of...)</t>
  </si>
  <si>
    <t>Rail Sidings &amp; Dump</t>
  </si>
  <si>
    <t>Givet, Montherne, Vireux, Molhain, Fumay, Foiche; Montherne (SE of)</t>
  </si>
  <si>
    <t>RR stns &amp; environs; Convoy</t>
  </si>
  <si>
    <t>Last GB1 raid. Mediocre weather. Cloud at 500m. Dropped: 8x10[kg] DV, 10x50 GAMMN, 10x140kg. Fires started at Mezieres &amp; Sedan.</t>
  </si>
  <si>
    <t>Villeneuve or la Cheppe</t>
  </si>
  <si>
    <t>GB1 War Diary 0228</t>
  </si>
  <si>
    <t>DURING ALERTS, RR TRAFFIC &amp; FACTORY &amp; FOUNDRY WORK STOPPED. 2 alerts: 1003-1018, 1446-1506,</t>
  </si>
  <si>
    <t>Rennles, p.196: EA "did not engage" but observers fired 1,020 rounds to keep them away.  Am NOT calling this an Air Fight.</t>
  </si>
  <si>
    <t>Ammo Dump</t>
  </si>
  <si>
    <t>DH10</t>
  </si>
  <si>
    <t>Rennles, pp.196-7</t>
  </si>
  <si>
    <t xml:space="preserve">ONLY RAID BY A DH10. Trial flight turned into unauthorized bombing raid - not in sqn records. Friendly fire incident with French Spads. </t>
  </si>
  <si>
    <t>Marienbourg</t>
  </si>
  <si>
    <t>Convoys &amp; troops</t>
  </si>
  <si>
    <t>Lellingen &amp; Frescaty</t>
  </si>
  <si>
    <t xml:space="preserve">Lellingen </t>
  </si>
  <si>
    <t>Morhange &amp; Frescaty</t>
  </si>
  <si>
    <t>Metz-Sablon, Frescaty</t>
  </si>
  <si>
    <t>Railway, Aerodrome</t>
  </si>
  <si>
    <t>NOT OFFICIAL RECORD - Interview with Lt. Roy Shillinglaw - claims to have returned from Mannheim at 2AM on 11 November and whole sqn was "pickled" celebrating the Armistice, therefore no record of flight made</t>
  </si>
  <si>
    <t>ALERT 1020-1140. NO BOMBS IN CITY LIMITS. FACTORY STOPPED DURING 40% OF ALERTS</t>
  </si>
  <si>
    <t>ALERTS 1220-1257, 1710-1800. NO BOMBS IN CITY LIMITS. FACTORY STOPPED DURING 40% OF ALERTS</t>
  </si>
  <si>
    <t>Raids at 1330 and 1645.  Several bombs near RR but no damage done.</t>
  </si>
  <si>
    <t>Haboudange</t>
  </si>
  <si>
    <t>Some incendiary bombs &amp; 10 large bombs hit buildings and burned 11 houses.</t>
  </si>
  <si>
    <t>Additional detail from BRITISH SURVEY: "3 bombs fell on the railwaymen's colony, doing considerable damage. 2 bombs fell on an electric tram, completely demolishing it and killing 3 military &amp; 2 civilians, and wounding 3 military and 4 civilians. The other bombs caused slight damage to private property."</t>
  </si>
  <si>
    <t>NARA 990 Roll 58; AM "Results…" p.30</t>
  </si>
  <si>
    <t>AA fire 2235-2245.  [LIKE ALL OTHER HAGENDINGEN "ATTACKS" WITH NO BOMBS MENTIONED, THIS IS ALMOST CERTAINLY AN ALERT &amp; I CHANGED THE RECORD TO MAKE IT READ THAT -SCS]</t>
  </si>
  <si>
    <t>ALERT 2242-2256. "Delay in traffic and engine movements, also in coal loading and repairing."</t>
  </si>
  <si>
    <t>Damage to stalls at Consumption establishment</t>
  </si>
  <si>
    <t>Raid 2:30 to 3:30 - AM/PM not specified.  No bombs in station.  "The fighting planes drove away the hostile aviators.  This is the last air raid."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</si>
</sst>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mm;@"/>
    <numFmt numFmtId="165" formatCode="ddmmmyy"/>
    <numFmt numFmtId="166" formatCode="0.0"/>
  </numFmts>
  <fonts count="18" x14ac:knownFonts="1">
    <font>
      <sz val="10"/>
      <name val="Arial"/>
    </font>
    <font>
      <sz val="10"/>
      <name val="Arial"/>
    </font>
    <font>
      <b/>
      <sz val="10"/>
      <name val="Arial"/>
      <family val="2"/>
    </font>
    <font>
      <sz val="10"/>
      <name val="Arial"/>
      <family val="2"/>
    </font>
    <font>
      <sz val="10"/>
      <color theme="1"/>
      <name val="Arial"/>
      <family val="2"/>
    </font>
    <font>
      <sz val="8"/>
      <name val="Arial"/>
      <family val="2"/>
    </font>
    <font>
      <sz val="10"/>
      <color indexed="17"/>
      <name val="Arial"/>
      <family val="2"/>
    </font>
    <font>
      <sz val="10"/>
      <color indexed="10"/>
      <name val="Arial"/>
      <family val="2"/>
    </font>
    <font>
      <b/>
      <sz val="10"/>
      <color indexed="10"/>
      <name val="Arial"/>
      <family val="2"/>
    </font>
    <font>
      <sz val="9"/>
      <name val="Arial"/>
      <family val="2"/>
    </font>
    <font>
      <sz val="12"/>
      <name val="Times New Roman"/>
      <family val="1"/>
    </font>
    <font>
      <sz val="10"/>
      <color rgb="FFFF0000"/>
      <name val="Arial"/>
      <family val="2"/>
    </font>
    <font>
      <i/>
      <sz val="10"/>
      <name val="Arial"/>
      <family val="2"/>
    </font>
    <font>
      <b/>
      <sz val="8"/>
      <color indexed="81"/>
      <name val="Tahoma"/>
      <family val="2"/>
    </font>
    <font>
      <sz val="8"/>
      <color indexed="81"/>
      <name val="Tahoma"/>
      <family val="2"/>
    </font>
    <font>
      <b/>
      <u/>
      <sz val="8"/>
      <color indexed="81"/>
      <name val="Tahoma"/>
      <family val="2"/>
    </font>
    <font>
      <b/>
      <sz val="9"/>
      <color indexed="81"/>
      <name val="Tahoma"/>
      <charset val="1"/>
    </font>
    <font>
      <sz val="9"/>
      <color indexed="81"/>
      <name val="Tahoma"/>
      <charset val="1"/>
    </font>
  </fonts>
  <fills count="12">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13"/>
        <bgColor indexed="64"/>
      </patternFill>
    </fill>
    <fill>
      <patternFill patternType="solid">
        <fgColor theme="9" tint="0.59999389629810485"/>
        <bgColor indexed="64"/>
      </patternFill>
    </fill>
    <fill>
      <patternFill patternType="solid">
        <fgColor indexed="41"/>
        <bgColor indexed="64"/>
      </patternFill>
    </fill>
    <fill>
      <patternFill patternType="solid">
        <fgColor indexed="10"/>
        <bgColor indexed="64"/>
      </patternFill>
    </fill>
    <fill>
      <patternFill patternType="solid">
        <fgColor theme="0"/>
        <bgColor indexed="64"/>
      </patternFill>
    </fill>
    <fill>
      <patternFill patternType="solid">
        <fgColor rgb="FFFFFF00"/>
        <bgColor indexed="64"/>
      </patternFill>
    </fill>
    <fill>
      <patternFill patternType="solid">
        <fgColor indexed="11"/>
        <bgColor indexed="64"/>
      </patternFill>
    </fill>
    <fill>
      <patternFill patternType="solid">
        <fgColor theme="9"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1" fillId="0" borderId="0"/>
  </cellStyleXfs>
  <cellXfs count="219">
    <xf numFmtId="0" fontId="0" fillId="0" borderId="0" xfId="0"/>
    <xf numFmtId="0" fontId="2" fillId="0" borderId="1" xfId="0" applyFont="1" applyBorder="1"/>
    <xf numFmtId="1" fontId="2" fillId="0" borderId="1" xfId="0" applyNumberFormat="1" applyFont="1" applyBorder="1" applyAlignment="1">
      <alignment wrapText="1"/>
    </xf>
    <xf numFmtId="1" fontId="2" fillId="0" borderId="1" xfId="0" applyNumberFormat="1" applyFont="1" applyBorder="1"/>
    <xf numFmtId="1" fontId="2" fillId="0" borderId="1" xfId="0" applyNumberFormat="1" applyFont="1" applyFill="1" applyBorder="1" applyAlignment="1">
      <alignment horizontal="left"/>
    </xf>
    <xf numFmtId="1" fontId="2" fillId="0" borderId="0" xfId="0" applyNumberFormat="1" applyFont="1"/>
    <xf numFmtId="0" fontId="2" fillId="0" borderId="0" xfId="0" applyFont="1" applyAlignment="1"/>
    <xf numFmtId="1" fontId="2" fillId="0" borderId="0" xfId="0" applyNumberFormat="1" applyFont="1" applyAlignment="1">
      <alignment wrapText="1"/>
    </xf>
    <xf numFmtId="1" fontId="2" fillId="0" borderId="0" xfId="0" applyNumberFormat="1" applyFont="1" applyFill="1" applyAlignment="1">
      <alignment wrapText="1"/>
    </xf>
    <xf numFmtId="164" fontId="2" fillId="0" borderId="0" xfId="0" applyNumberFormat="1" applyFont="1" applyAlignment="1">
      <alignment wrapText="1"/>
    </xf>
    <xf numFmtId="2" fontId="2" fillId="0" borderId="0" xfId="0" applyNumberFormat="1" applyFont="1" applyAlignment="1">
      <alignment wrapText="1"/>
    </xf>
    <xf numFmtId="0" fontId="2" fillId="0" borderId="0" xfId="0" applyFont="1" applyAlignment="1">
      <alignment wrapText="1"/>
    </xf>
    <xf numFmtId="0" fontId="2" fillId="0" borderId="0" xfId="0" applyFont="1"/>
    <xf numFmtId="165" fontId="3" fillId="0" borderId="1" xfId="0" applyNumberFormat="1" applyFont="1" applyFill="1" applyBorder="1" applyAlignment="1"/>
    <xf numFmtId="1" fontId="3" fillId="0" borderId="1" xfId="0" applyNumberFormat="1" applyFont="1" applyBorder="1" applyAlignment="1">
      <alignment wrapText="1"/>
    </xf>
    <xf numFmtId="1" fontId="3" fillId="0" borderId="1" xfId="0" applyNumberFormat="1" applyFont="1" applyBorder="1"/>
    <xf numFmtId="1" fontId="3" fillId="0" borderId="1" xfId="0" applyNumberFormat="1" applyFont="1" applyFill="1" applyBorder="1" applyAlignment="1">
      <alignment horizontal="left"/>
    </xf>
    <xf numFmtId="1" fontId="3" fillId="0" borderId="0" xfId="0" applyNumberFormat="1" applyFont="1"/>
    <xf numFmtId="0" fontId="3" fillId="0" borderId="0" xfId="0" applyFont="1" applyAlignment="1"/>
    <xf numFmtId="1" fontId="3" fillId="0" borderId="0" xfId="0" applyNumberFormat="1" applyFont="1" applyAlignment="1"/>
    <xf numFmtId="1" fontId="3" fillId="0" borderId="0" xfId="0" applyNumberFormat="1" applyFont="1" applyAlignment="1">
      <alignment wrapText="1"/>
    </xf>
    <xf numFmtId="1" fontId="3" fillId="0" borderId="0" xfId="0" applyNumberFormat="1" applyFont="1" applyFill="1" applyAlignment="1">
      <alignment wrapText="1"/>
    </xf>
    <xf numFmtId="164" fontId="3" fillId="0" borderId="0" xfId="0" applyNumberFormat="1" applyFont="1" applyAlignment="1">
      <alignment wrapText="1"/>
    </xf>
    <xf numFmtId="2" fontId="3" fillId="0" borderId="0" xfId="0" applyNumberFormat="1" applyFont="1" applyAlignment="1">
      <alignment wrapText="1"/>
    </xf>
    <xf numFmtId="0" fontId="3" fillId="0" borderId="0" xfId="0" applyFont="1" applyAlignment="1">
      <alignment wrapText="1"/>
    </xf>
    <xf numFmtId="0" fontId="3" fillId="0" borderId="0" xfId="0" applyFont="1"/>
    <xf numFmtId="165" fontId="0" fillId="2" borderId="1" xfId="0" applyNumberFormat="1" applyFill="1" applyBorder="1" applyAlignment="1"/>
    <xf numFmtId="20" fontId="0" fillId="2" borderId="1" xfId="0" applyNumberFormat="1" applyFill="1" applyBorder="1" applyAlignment="1"/>
    <xf numFmtId="1" fontId="0" fillId="2" borderId="1" xfId="0" applyNumberFormat="1" applyFill="1" applyBorder="1" applyAlignment="1"/>
    <xf numFmtId="1" fontId="0" fillId="0" borderId="1" xfId="0" applyNumberFormat="1" applyFill="1" applyBorder="1" applyAlignment="1">
      <alignment horizontal="left"/>
    </xf>
    <xf numFmtId="0" fontId="0" fillId="2" borderId="1" xfId="0" applyFill="1" applyBorder="1" applyAlignment="1"/>
    <xf numFmtId="1" fontId="0" fillId="0" borderId="0" xfId="0" applyNumberFormat="1" applyAlignment="1"/>
    <xf numFmtId="0" fontId="0" fillId="0" borderId="0" xfId="0" applyAlignment="1"/>
    <xf numFmtId="1" fontId="0" fillId="0" borderId="0" xfId="0" applyNumberFormat="1" applyFill="1" applyAlignment="1"/>
    <xf numFmtId="164" fontId="0" fillId="0" borderId="0" xfId="0" applyNumberFormat="1" applyAlignment="1"/>
    <xf numFmtId="2" fontId="0" fillId="0" borderId="0" xfId="0" applyNumberFormat="1" applyAlignment="1"/>
    <xf numFmtId="0" fontId="0" fillId="0" borderId="1" xfId="0" applyFill="1" applyBorder="1" applyAlignment="1"/>
    <xf numFmtId="165" fontId="0" fillId="0" borderId="1" xfId="0" applyNumberFormat="1" applyBorder="1" applyAlignment="1"/>
    <xf numFmtId="0" fontId="0" fillId="0" borderId="1" xfId="0" applyBorder="1" applyAlignment="1"/>
    <xf numFmtId="1" fontId="0" fillId="0" borderId="1" xfId="0" applyNumberFormat="1" applyBorder="1"/>
    <xf numFmtId="165" fontId="4" fillId="2" borderId="1" xfId="0" applyNumberFormat="1" applyFont="1" applyFill="1" applyBorder="1" applyAlignment="1"/>
    <xf numFmtId="20" fontId="4" fillId="2" borderId="1" xfId="0" applyNumberFormat="1" applyFont="1" applyFill="1" applyBorder="1" applyAlignment="1"/>
    <xf numFmtId="20" fontId="0" fillId="0" borderId="1" xfId="0" applyNumberFormat="1" applyFill="1" applyBorder="1" applyAlignment="1"/>
    <xf numFmtId="1" fontId="0" fillId="0" borderId="1" xfId="0" applyNumberFormat="1" applyFill="1" applyBorder="1" applyAlignment="1"/>
    <xf numFmtId="165" fontId="0" fillId="0" borderId="1" xfId="0" applyNumberFormat="1" applyFill="1" applyBorder="1" applyAlignment="1"/>
    <xf numFmtId="1" fontId="0" fillId="0" borderId="0" xfId="0" applyNumberFormat="1" applyFill="1" applyBorder="1" applyAlignment="1">
      <alignment horizontal="left"/>
    </xf>
    <xf numFmtId="0" fontId="5" fillId="0" borderId="0" xfId="0" applyFont="1" applyAlignment="1"/>
    <xf numFmtId="1" fontId="0" fillId="0" borderId="0" xfId="0" applyNumberFormat="1"/>
    <xf numFmtId="1" fontId="0" fillId="0" borderId="0" xfId="0" applyNumberFormat="1" applyFill="1"/>
    <xf numFmtId="164" fontId="0" fillId="0" borderId="0" xfId="0" applyNumberFormat="1"/>
    <xf numFmtId="2" fontId="0" fillId="0" borderId="0" xfId="0" applyNumberFormat="1"/>
    <xf numFmtId="20" fontId="0" fillId="0" borderId="1" xfId="0" applyNumberFormat="1" applyBorder="1" applyAlignment="1"/>
    <xf numFmtId="0" fontId="0" fillId="0" borderId="0" xfId="0" applyBorder="1" applyAlignment="1"/>
    <xf numFmtId="0" fontId="0" fillId="3" borderId="0" xfId="0" applyFill="1" applyAlignment="1"/>
    <xf numFmtId="1" fontId="0" fillId="3" borderId="0" xfId="0" applyNumberFormat="1" applyFill="1"/>
    <xf numFmtId="1" fontId="1" fillId="3" borderId="0" xfId="0" applyNumberFormat="1" applyFont="1" applyFill="1"/>
    <xf numFmtId="0" fontId="6" fillId="3" borderId="0" xfId="0" applyFont="1" applyFill="1"/>
    <xf numFmtId="1" fontId="0" fillId="0" borderId="1" xfId="0" applyNumberFormat="1" applyBorder="1" applyAlignment="1"/>
    <xf numFmtId="1" fontId="0" fillId="0" borderId="2" xfId="0" applyNumberFormat="1" applyBorder="1" applyAlignment="1"/>
    <xf numFmtId="165" fontId="7" fillId="0" borderId="1" xfId="0" applyNumberFormat="1" applyFont="1" applyBorder="1" applyAlignment="1"/>
    <xf numFmtId="0" fontId="7" fillId="0" borderId="1" xfId="0" applyFont="1" applyBorder="1" applyAlignment="1"/>
    <xf numFmtId="1" fontId="7" fillId="0" borderId="1" xfId="0" applyNumberFormat="1" applyFont="1" applyBorder="1"/>
    <xf numFmtId="1" fontId="7" fillId="0" borderId="1" xfId="0" applyNumberFormat="1" applyFont="1" applyFill="1" applyBorder="1" applyAlignment="1">
      <alignment horizontal="left"/>
    </xf>
    <xf numFmtId="1" fontId="7" fillId="0" borderId="0" xfId="0" applyNumberFormat="1" applyFont="1" applyAlignment="1"/>
    <xf numFmtId="0" fontId="7" fillId="0" borderId="0" xfId="0" applyFont="1" applyAlignment="1"/>
    <xf numFmtId="0" fontId="8" fillId="0" borderId="0" xfId="0" applyFont="1" applyAlignment="1"/>
    <xf numFmtId="1" fontId="7" fillId="0" borderId="0" xfId="0" applyNumberFormat="1" applyFont="1"/>
    <xf numFmtId="0" fontId="7" fillId="0" borderId="0" xfId="0" applyFont="1"/>
    <xf numFmtId="1" fontId="7" fillId="0" borderId="0" xfId="0" applyNumberFormat="1" applyFont="1" applyFill="1"/>
    <xf numFmtId="164" fontId="7" fillId="0" borderId="0" xfId="0" applyNumberFormat="1" applyFont="1"/>
    <xf numFmtId="2" fontId="7" fillId="0" borderId="0" xfId="0" applyNumberFormat="1" applyFont="1"/>
    <xf numFmtId="166" fontId="0" fillId="0" borderId="0" xfId="0" applyNumberFormat="1"/>
    <xf numFmtId="0" fontId="9" fillId="2" borderId="1" xfId="0" applyFont="1" applyFill="1" applyBorder="1" applyAlignment="1"/>
    <xf numFmtId="0" fontId="9" fillId="0" borderId="0" xfId="0" applyFont="1" applyAlignment="1"/>
    <xf numFmtId="0" fontId="0" fillId="0" borderId="0" xfId="0" applyFill="1" applyAlignment="1"/>
    <xf numFmtId="0" fontId="0" fillId="0" borderId="2" xfId="0" applyBorder="1" applyAlignment="1"/>
    <xf numFmtId="0" fontId="0" fillId="0" borderId="3" xfId="0" applyBorder="1" applyAlignment="1"/>
    <xf numFmtId="165" fontId="1" fillId="0" borderId="1" xfId="0" applyNumberFormat="1" applyFont="1" applyBorder="1" applyAlignment="1"/>
    <xf numFmtId="0" fontId="1" fillId="0" borderId="1" xfId="0" applyFont="1" applyBorder="1" applyAlignment="1"/>
    <xf numFmtId="0" fontId="1" fillId="0" borderId="0" xfId="0" applyFont="1" applyBorder="1" applyAlignment="1"/>
    <xf numFmtId="1" fontId="1" fillId="0" borderId="1" xfId="0" applyNumberFormat="1" applyFont="1" applyFill="1" applyBorder="1" applyAlignment="1">
      <alignment horizontal="left"/>
    </xf>
    <xf numFmtId="0" fontId="1" fillId="0" borderId="3" xfId="0" applyFont="1" applyBorder="1" applyAlignment="1"/>
    <xf numFmtId="1" fontId="1" fillId="0" borderId="0" xfId="0" applyNumberFormat="1" applyFont="1"/>
    <xf numFmtId="0" fontId="1" fillId="0" borderId="0" xfId="0" applyFont="1"/>
    <xf numFmtId="1" fontId="1" fillId="0" borderId="0" xfId="0" applyNumberFormat="1" applyFont="1" applyAlignment="1"/>
    <xf numFmtId="1" fontId="0" fillId="0" borderId="0" xfId="0" applyNumberFormat="1" applyBorder="1"/>
    <xf numFmtId="165" fontId="2" fillId="4" borderId="1" xfId="0" applyNumberFormat="1" applyFont="1" applyFill="1" applyBorder="1" applyAlignment="1"/>
    <xf numFmtId="0" fontId="2" fillId="4" borderId="1" xfId="0" applyFont="1" applyFill="1" applyBorder="1" applyAlignment="1"/>
    <xf numFmtId="1" fontId="2" fillId="4" borderId="1" xfId="0" applyNumberFormat="1" applyFont="1" applyFill="1" applyBorder="1"/>
    <xf numFmtId="1" fontId="2" fillId="4" borderId="1" xfId="0" applyNumberFormat="1" applyFont="1" applyFill="1" applyBorder="1" applyAlignment="1">
      <alignment horizontal="left"/>
    </xf>
    <xf numFmtId="0" fontId="0" fillId="3" borderId="0" xfId="0" applyFill="1"/>
    <xf numFmtId="3" fontId="0" fillId="0" borderId="0" xfId="0" applyNumberFormat="1" applyAlignment="1"/>
    <xf numFmtId="165" fontId="1" fillId="0" borderId="1" xfId="1" applyNumberFormat="1" applyBorder="1" applyAlignment="1"/>
    <xf numFmtId="0" fontId="1" fillId="0" borderId="1" xfId="1" applyBorder="1" applyAlignment="1"/>
    <xf numFmtId="1" fontId="1" fillId="0" borderId="1" xfId="1" applyNumberFormat="1" applyFill="1" applyBorder="1" applyAlignment="1"/>
    <xf numFmtId="1" fontId="1" fillId="0" borderId="1" xfId="1" applyNumberFormat="1" applyFill="1" applyBorder="1" applyAlignment="1">
      <alignment horizontal="left"/>
    </xf>
    <xf numFmtId="0" fontId="1" fillId="0" borderId="0" xfId="1" applyAlignment="1"/>
    <xf numFmtId="1" fontId="1" fillId="0" borderId="0" xfId="1" applyNumberFormat="1"/>
    <xf numFmtId="0" fontId="1" fillId="0" borderId="0" xfId="1"/>
    <xf numFmtId="1" fontId="1" fillId="5" borderId="0" xfId="1" applyNumberFormat="1" applyFill="1"/>
    <xf numFmtId="1" fontId="1" fillId="0" borderId="0" xfId="1" applyNumberFormat="1" applyFill="1"/>
    <xf numFmtId="164" fontId="1" fillId="0" borderId="0" xfId="1" applyNumberFormat="1"/>
    <xf numFmtId="0" fontId="3" fillId="2" borderId="1" xfId="0" applyFont="1" applyFill="1" applyBorder="1" applyAlignment="1"/>
    <xf numFmtId="0" fontId="3" fillId="0" borderId="1" xfId="0" applyFont="1" applyBorder="1" applyAlignment="1"/>
    <xf numFmtId="1" fontId="1" fillId="0" borderId="0" xfId="1" applyNumberFormat="1" applyAlignment="1"/>
    <xf numFmtId="1" fontId="1" fillId="5" borderId="0" xfId="1" applyNumberFormat="1" applyFill="1" applyAlignment="1"/>
    <xf numFmtId="0" fontId="1" fillId="0" borderId="0" xfId="1" applyFill="1" applyBorder="1" applyAlignment="1"/>
    <xf numFmtId="164" fontId="0" fillId="3" borderId="0" xfId="0" applyNumberFormat="1" applyFill="1" applyAlignment="1"/>
    <xf numFmtId="1" fontId="1" fillId="0" borderId="0" xfId="2" applyNumberFormat="1" applyAlignment="1"/>
    <xf numFmtId="165" fontId="1" fillId="0" borderId="1" xfId="2" applyNumberFormat="1" applyBorder="1" applyAlignment="1"/>
    <xf numFmtId="0" fontId="1" fillId="0" borderId="1" xfId="2" applyBorder="1" applyAlignment="1"/>
    <xf numFmtId="1" fontId="1" fillId="0" borderId="1" xfId="2" applyNumberFormat="1" applyBorder="1"/>
    <xf numFmtId="1" fontId="1" fillId="0" borderId="1" xfId="2" applyNumberFormat="1" applyFill="1" applyBorder="1" applyAlignment="1">
      <alignment horizontal="left"/>
    </xf>
    <xf numFmtId="0" fontId="1" fillId="0" borderId="0" xfId="2" applyAlignment="1"/>
    <xf numFmtId="1" fontId="1" fillId="0" borderId="0" xfId="2" applyNumberFormat="1"/>
    <xf numFmtId="0" fontId="1" fillId="0" borderId="0" xfId="2"/>
    <xf numFmtId="1" fontId="1" fillId="5" borderId="0" xfId="2" applyNumberFormat="1" applyFill="1"/>
    <xf numFmtId="1" fontId="1" fillId="0" borderId="0" xfId="2" applyNumberFormat="1" applyFill="1"/>
    <xf numFmtId="1" fontId="0" fillId="5" borderId="0" xfId="0" applyNumberFormat="1" applyFill="1"/>
    <xf numFmtId="164" fontId="0" fillId="3" borderId="0" xfId="0" applyNumberFormat="1" applyFill="1"/>
    <xf numFmtId="0" fontId="1" fillId="0" borderId="0" xfId="0" applyFont="1" applyAlignment="1"/>
    <xf numFmtId="0" fontId="3" fillId="0" borderId="1" xfId="0" applyFont="1" applyFill="1" applyBorder="1" applyAlignment="1"/>
    <xf numFmtId="0" fontId="0" fillId="0" borderId="0" xfId="0" applyFill="1" applyBorder="1" applyAlignment="1"/>
    <xf numFmtId="0" fontId="3" fillId="0" borderId="1" xfId="0" applyFont="1" applyBorder="1"/>
    <xf numFmtId="1" fontId="0" fillId="2" borderId="0" xfId="0" applyNumberFormat="1" applyFill="1" applyBorder="1" applyAlignment="1"/>
    <xf numFmtId="1" fontId="0" fillId="2" borderId="1" xfId="0" applyNumberFormat="1" applyFill="1" applyBorder="1"/>
    <xf numFmtId="1" fontId="0" fillId="2" borderId="1" xfId="0" applyNumberFormat="1" applyFill="1" applyBorder="1" applyAlignment="1">
      <alignment horizontal="left"/>
    </xf>
    <xf numFmtId="1" fontId="0" fillId="3" borderId="0" xfId="0" applyNumberFormat="1" applyFill="1" applyAlignment="1"/>
    <xf numFmtId="164" fontId="1" fillId="0" borderId="0" xfId="2" applyNumberFormat="1"/>
    <xf numFmtId="2" fontId="1" fillId="0" borderId="0" xfId="2" applyNumberFormat="1"/>
    <xf numFmtId="0" fontId="0" fillId="5" borderId="0" xfId="0" applyFill="1" applyAlignment="1"/>
    <xf numFmtId="1" fontId="0" fillId="0" borderId="3" xfId="0" applyNumberFormat="1" applyBorder="1" applyAlignment="1"/>
    <xf numFmtId="0" fontId="1" fillId="5" borderId="0" xfId="1" applyFill="1" applyAlignment="1"/>
    <xf numFmtId="165" fontId="0" fillId="0" borderId="1" xfId="0" applyNumberFormat="1" applyBorder="1"/>
    <xf numFmtId="1" fontId="0" fillId="0" borderId="0" xfId="0" applyNumberFormat="1" applyAlignment="1">
      <alignment horizontal="left"/>
    </xf>
    <xf numFmtId="1" fontId="0" fillId="5" borderId="0" xfId="0" applyNumberFormat="1" applyFill="1" applyAlignment="1"/>
    <xf numFmtId="0" fontId="0" fillId="5" borderId="0" xfId="0" applyFill="1"/>
    <xf numFmtId="1" fontId="0" fillId="0" borderId="0" xfId="0" applyNumberFormat="1" applyFill="1" applyBorder="1" applyAlignment="1"/>
    <xf numFmtId="1" fontId="7" fillId="0" borderId="0" xfId="0" applyNumberFormat="1" applyFont="1" applyBorder="1"/>
    <xf numFmtId="0" fontId="0" fillId="0" borderId="2" xfId="0" applyFill="1" applyBorder="1" applyAlignment="1"/>
    <xf numFmtId="165" fontId="0" fillId="6" borderId="1" xfId="0" applyNumberFormat="1" applyFill="1" applyBorder="1"/>
    <xf numFmtId="1" fontId="0" fillId="6" borderId="1" xfId="0" applyNumberFormat="1" applyFill="1" applyBorder="1"/>
    <xf numFmtId="1" fontId="0" fillId="6" borderId="1" xfId="0" applyNumberFormat="1" applyFill="1" applyBorder="1" applyAlignment="1">
      <alignment horizontal="left"/>
    </xf>
    <xf numFmtId="0" fontId="10" fillId="0" borderId="1" xfId="0" applyFont="1" applyBorder="1"/>
    <xf numFmtId="1" fontId="0" fillId="0" borderId="0" xfId="0" applyNumberFormat="1" applyBorder="1" applyAlignment="1"/>
    <xf numFmtId="165" fontId="0" fillId="7" borderId="1" xfId="0" applyNumberFormat="1" applyFill="1" applyBorder="1" applyAlignment="1"/>
    <xf numFmtId="0" fontId="0" fillId="7" borderId="1" xfId="0" applyFill="1" applyBorder="1" applyAlignment="1"/>
    <xf numFmtId="1" fontId="0" fillId="7" borderId="1" xfId="0" applyNumberFormat="1" applyFill="1" applyBorder="1" applyAlignment="1">
      <alignment horizontal="left"/>
    </xf>
    <xf numFmtId="0" fontId="0" fillId="7" borderId="0" xfId="0" applyFill="1" applyAlignment="1"/>
    <xf numFmtId="166" fontId="0" fillId="0" borderId="0" xfId="0" applyNumberFormat="1" applyAlignment="1"/>
    <xf numFmtId="0" fontId="5" fillId="2" borderId="1" xfId="0" applyFont="1" applyFill="1" applyBorder="1" applyAlignment="1"/>
    <xf numFmtId="165" fontId="7" fillId="0" borderId="1" xfId="0" applyNumberFormat="1" applyFont="1" applyBorder="1"/>
    <xf numFmtId="1" fontId="7" fillId="0" borderId="0" xfId="0" applyNumberFormat="1" applyFont="1" applyAlignment="1">
      <alignment horizontal="left"/>
    </xf>
    <xf numFmtId="1" fontId="0" fillId="0" borderId="1" xfId="0" applyNumberFormat="1" applyFill="1" applyBorder="1"/>
    <xf numFmtId="1" fontId="1" fillId="0" borderId="1" xfId="0" applyNumberFormat="1" applyFont="1" applyBorder="1"/>
    <xf numFmtId="1" fontId="1" fillId="0" borderId="1" xfId="0" applyNumberFormat="1" applyFont="1" applyFill="1" applyBorder="1" applyAlignment="1"/>
    <xf numFmtId="0" fontId="1" fillId="0" borderId="1" xfId="0" applyFont="1" applyFill="1" applyBorder="1" applyAlignment="1"/>
    <xf numFmtId="0" fontId="0" fillId="0" borderId="0" xfId="0" applyAlignment="1">
      <alignment horizontal="left"/>
    </xf>
    <xf numFmtId="165" fontId="1" fillId="2" borderId="1" xfId="2" applyNumberFormat="1" applyFill="1" applyBorder="1" applyAlignment="1"/>
    <xf numFmtId="20" fontId="1" fillId="2" borderId="1" xfId="2" applyNumberFormat="1" applyFill="1" applyBorder="1" applyAlignment="1"/>
    <xf numFmtId="1" fontId="1" fillId="2" borderId="1" xfId="2" applyNumberFormat="1" applyFill="1" applyBorder="1" applyAlignment="1"/>
    <xf numFmtId="0" fontId="1" fillId="2" borderId="1" xfId="2" applyFill="1" applyBorder="1" applyAlignment="1"/>
    <xf numFmtId="1" fontId="1" fillId="0" borderId="0" xfId="2" applyNumberFormat="1" applyFill="1" applyAlignment="1"/>
    <xf numFmtId="164" fontId="1" fillId="0" borderId="0" xfId="2" applyNumberFormat="1" applyAlignment="1"/>
    <xf numFmtId="2" fontId="1" fillId="0" borderId="0" xfId="2" applyNumberFormat="1" applyAlignment="1"/>
    <xf numFmtId="0" fontId="1" fillId="5" borderId="0" xfId="2" applyFill="1" applyAlignment="1"/>
    <xf numFmtId="1" fontId="3" fillId="0" borderId="1" xfId="0" applyNumberFormat="1" applyFont="1" applyBorder="1" applyAlignment="1"/>
    <xf numFmtId="1" fontId="0" fillId="0" borderId="0" xfId="0" applyNumberFormat="1" applyFont="1" applyAlignment="1"/>
    <xf numFmtId="165" fontId="3" fillId="0" borderId="0" xfId="0" applyNumberFormat="1" applyFont="1" applyFill="1" applyBorder="1" applyAlignment="1"/>
    <xf numFmtId="165" fontId="7" fillId="0" borderId="1" xfId="0" applyNumberFormat="1" applyFont="1" applyFill="1" applyBorder="1" applyAlignment="1"/>
    <xf numFmtId="1" fontId="7" fillId="0" borderId="1" xfId="0" applyNumberFormat="1" applyFont="1" applyBorder="1" applyAlignment="1"/>
    <xf numFmtId="0" fontId="0" fillId="0" borderId="0" xfId="0" applyFont="1" applyAlignment="1"/>
    <xf numFmtId="165" fontId="0" fillId="8" borderId="1" xfId="0" applyNumberFormat="1" applyFill="1" applyBorder="1"/>
    <xf numFmtId="165" fontId="3" fillId="8" borderId="1" xfId="0" applyNumberFormat="1" applyFont="1" applyFill="1" applyBorder="1" applyAlignment="1"/>
    <xf numFmtId="1" fontId="3" fillId="0" borderId="1" xfId="0" applyNumberFormat="1" applyFont="1" applyFill="1" applyBorder="1" applyAlignment="1"/>
    <xf numFmtId="1" fontId="3" fillId="0" borderId="0" xfId="1" applyNumberFormat="1" applyFont="1" applyAlignment="1"/>
    <xf numFmtId="1" fontId="3" fillId="3" borderId="0" xfId="0" applyNumberFormat="1" applyFont="1" applyFill="1" applyAlignment="1"/>
    <xf numFmtId="1" fontId="9" fillId="0" borderId="1" xfId="0" applyNumberFormat="1" applyFont="1" applyBorder="1" applyAlignment="1"/>
    <xf numFmtId="165" fontId="11" fillId="0" borderId="1" xfId="0" applyNumberFormat="1" applyFont="1" applyFill="1" applyBorder="1" applyAlignment="1"/>
    <xf numFmtId="1" fontId="11" fillId="0" borderId="1" xfId="0" applyNumberFormat="1" applyFont="1" applyBorder="1" applyAlignment="1"/>
    <xf numFmtId="1" fontId="11" fillId="0" borderId="1" xfId="0" applyNumberFormat="1" applyFont="1" applyFill="1" applyBorder="1" applyAlignment="1">
      <alignment horizontal="left"/>
    </xf>
    <xf numFmtId="1" fontId="11" fillId="0" borderId="0" xfId="0" applyNumberFormat="1" applyFont="1" applyAlignment="1"/>
    <xf numFmtId="0" fontId="0" fillId="2" borderId="0" xfId="0" applyFill="1" applyBorder="1" applyAlignment="1"/>
    <xf numFmtId="1" fontId="3" fillId="5" borderId="0" xfId="0" applyNumberFormat="1" applyFont="1" applyFill="1" applyAlignment="1"/>
    <xf numFmtId="1" fontId="4" fillId="5" borderId="0" xfId="1" applyNumberFormat="1" applyFont="1" applyFill="1" applyAlignment="1"/>
    <xf numFmtId="0" fontId="3" fillId="0" borderId="0" xfId="1" applyFont="1" applyAlignment="1"/>
    <xf numFmtId="0" fontId="0" fillId="9" borderId="0" xfId="0" applyFill="1" applyAlignment="1"/>
    <xf numFmtId="1" fontId="0" fillId="9" borderId="0" xfId="0" applyNumberFormat="1" applyFill="1"/>
    <xf numFmtId="0" fontId="0" fillId="0" borderId="4" xfId="0" applyBorder="1" applyAlignment="1"/>
    <xf numFmtId="0" fontId="0" fillId="0" borderId="3" xfId="0" applyFill="1" applyBorder="1" applyAlignment="1"/>
    <xf numFmtId="1" fontId="3" fillId="0" borderId="0" xfId="1" applyNumberFormat="1" applyFont="1"/>
    <xf numFmtId="14" fontId="0" fillId="0" borderId="0" xfId="0" applyNumberFormat="1" applyAlignment="1"/>
    <xf numFmtId="0" fontId="0" fillId="0" borderId="0" xfId="0" applyFill="1"/>
    <xf numFmtId="1" fontId="7" fillId="0" borderId="0" xfId="0" applyNumberFormat="1" applyFont="1" applyFill="1" applyAlignment="1"/>
    <xf numFmtId="164" fontId="0" fillId="5" borderId="0" xfId="0" applyNumberFormat="1" applyFill="1"/>
    <xf numFmtId="1" fontId="3" fillId="0" borderId="0" xfId="0" applyNumberFormat="1" applyFont="1" applyBorder="1" applyAlignment="1"/>
    <xf numFmtId="164" fontId="7" fillId="0" borderId="0" xfId="0" applyNumberFormat="1" applyFont="1" applyAlignment="1"/>
    <xf numFmtId="2" fontId="7" fillId="0" borderId="0" xfId="0" applyNumberFormat="1" applyFont="1" applyAlignment="1"/>
    <xf numFmtId="1" fontId="3" fillId="0" borderId="5" xfId="0" applyNumberFormat="1" applyFont="1" applyBorder="1" applyAlignment="1"/>
    <xf numFmtId="1" fontId="3" fillId="0" borderId="6" xfId="0" applyNumberFormat="1" applyFont="1" applyBorder="1" applyAlignment="1"/>
    <xf numFmtId="0" fontId="12" fillId="0" borderId="0" xfId="0" applyFont="1" applyAlignment="1"/>
    <xf numFmtId="164" fontId="1" fillId="10" borderId="0" xfId="0" applyNumberFormat="1" applyFont="1" applyFill="1"/>
    <xf numFmtId="1" fontId="8" fillId="0" borderId="0" xfId="0" applyNumberFormat="1" applyFont="1" applyFill="1"/>
    <xf numFmtId="165" fontId="7" fillId="2" borderId="1" xfId="0" applyNumberFormat="1" applyFont="1" applyFill="1" applyBorder="1" applyAlignment="1"/>
    <xf numFmtId="20" fontId="7" fillId="2" borderId="1" xfId="0" applyNumberFormat="1" applyFont="1" applyFill="1" applyBorder="1" applyAlignment="1"/>
    <xf numFmtId="164" fontId="0" fillId="11" borderId="0" xfId="0" applyNumberFormat="1" applyFill="1" applyAlignment="1"/>
    <xf numFmtId="1" fontId="5" fillId="0" borderId="1" xfId="0" applyNumberFormat="1" applyFont="1" applyBorder="1"/>
    <xf numFmtId="1" fontId="4" fillId="0" borderId="0" xfId="0" applyNumberFormat="1" applyFont="1" applyAlignment="1"/>
    <xf numFmtId="1" fontId="9" fillId="0" borderId="1" xfId="0" applyNumberFormat="1" applyFont="1" applyBorder="1"/>
    <xf numFmtId="1" fontId="8" fillId="0" borderId="0" xfId="0" applyNumberFormat="1" applyFont="1" applyAlignment="1"/>
    <xf numFmtId="1" fontId="5" fillId="0" borderId="0" xfId="0" applyNumberFormat="1" applyFont="1"/>
    <xf numFmtId="165" fontId="12" fillId="0" borderId="1" xfId="0" applyNumberFormat="1" applyFont="1" applyFill="1" applyBorder="1" applyAlignment="1"/>
    <xf numFmtId="1" fontId="12" fillId="0" borderId="1" xfId="0" applyNumberFormat="1" applyFont="1" applyBorder="1" applyAlignment="1"/>
    <xf numFmtId="1" fontId="12" fillId="0" borderId="1" xfId="0" applyNumberFormat="1" applyFont="1" applyFill="1" applyBorder="1" applyAlignment="1">
      <alignment horizontal="left"/>
    </xf>
    <xf numFmtId="1" fontId="12" fillId="0" borderId="0" xfId="0" applyNumberFormat="1" applyFont="1" applyAlignment="1"/>
    <xf numFmtId="1" fontId="12" fillId="0" borderId="0" xfId="0" applyNumberFormat="1" applyFont="1" applyFill="1" applyAlignment="1"/>
    <xf numFmtId="164" fontId="12" fillId="0" borderId="0" xfId="0" applyNumberFormat="1" applyFont="1" applyAlignment="1"/>
    <xf numFmtId="2" fontId="12" fillId="0" borderId="0" xfId="0" applyNumberFormat="1" applyFont="1" applyAlignment="1"/>
    <xf numFmtId="1" fontId="0" fillId="0" borderId="0" xfId="0" applyNumberFormat="1" applyFill="1" applyAlignment="1">
      <alignment horizontal="left"/>
    </xf>
  </cellXfs>
  <cellStyles count="3">
    <cellStyle name="Normal" xfId="0" builtinId="0"/>
    <cellStyle name="Normal 2" xfId="2"/>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7309"/>
  <sheetViews>
    <sheetView tabSelected="1" workbookViewId="0">
      <pane xSplit="5" ySplit="1" topLeftCell="F2" activePane="bottomRight" state="frozen"/>
      <selection pane="topRight" activeCell="F1" sqref="F1"/>
      <selection pane="bottomLeft" activeCell="A2" sqref="A2"/>
      <selection pane="bottomRight" activeCell="F1" sqref="F1"/>
    </sheetView>
  </sheetViews>
  <sheetFormatPr defaultRowHeight="12.75" x14ac:dyDescent="0.2"/>
  <cols>
    <col min="1" max="1" width="8.7109375" style="32" customWidth="1"/>
    <col min="2" max="2" width="6.7109375" style="31" customWidth="1"/>
    <col min="3" max="3" width="14" style="31" customWidth="1"/>
    <col min="4" max="4" width="1.140625" style="218" customWidth="1"/>
    <col min="5" max="5" width="24" style="31" customWidth="1"/>
    <col min="6" max="6" width="21.85546875" style="31" customWidth="1"/>
    <col min="7" max="8" width="2.28515625" style="31" customWidth="1"/>
    <col min="9" max="9" width="12" style="31" customWidth="1"/>
    <col min="10" max="10" width="6.7109375" style="31" customWidth="1"/>
    <col min="11" max="11" width="6.140625" style="31" customWidth="1"/>
    <col min="12" max="12" width="5.85546875" style="33" customWidth="1"/>
    <col min="13" max="15" width="7.140625" style="31" customWidth="1"/>
    <col min="16" max="16" width="7.5703125" style="31" customWidth="1"/>
    <col min="17" max="18" width="7.140625" style="31" customWidth="1"/>
    <col min="19" max="19" width="7.28515625" style="33" customWidth="1"/>
    <col min="20" max="20" width="5.7109375" style="31" customWidth="1"/>
    <col min="21" max="21" width="7.140625" style="31" customWidth="1"/>
    <col min="22" max="22" width="5.7109375" style="31" customWidth="1"/>
    <col min="23" max="23" width="7.140625" style="31" customWidth="1"/>
    <col min="24" max="25" width="5.42578125" style="31" customWidth="1"/>
    <col min="26" max="26" width="6.7109375" style="31" customWidth="1"/>
    <col min="27" max="28" width="6.7109375" style="34" customWidth="1"/>
    <col min="29" max="29" width="10" style="34" customWidth="1"/>
    <col min="30" max="30" width="5.5703125" style="35" customWidth="1"/>
    <col min="31" max="31" width="5.5703125" style="31" customWidth="1"/>
    <col min="32" max="32" width="10.140625" style="31" customWidth="1"/>
    <col min="33" max="33" width="6.140625" style="32" customWidth="1"/>
    <col min="34" max="34" width="6.28515625" style="32" customWidth="1"/>
    <col min="35" max="36" width="9.140625" style="32"/>
    <col min="37" max="37" width="7" style="32" customWidth="1"/>
    <col min="38" max="38" width="7.7109375" style="32" customWidth="1"/>
    <col min="39" max="39" width="7.5703125" style="32" customWidth="1"/>
    <col min="40" max="40" width="2.5703125" style="32" customWidth="1"/>
    <col min="41" max="41" width="9.140625" style="32"/>
    <col min="42" max="42" width="13.28515625" style="32" customWidth="1"/>
    <col min="43" max="43" width="24" style="32" customWidth="1"/>
    <col min="44" max="44" width="16.42578125" style="32" customWidth="1"/>
  </cols>
  <sheetData>
    <row r="1" spans="1:47" s="12" customFormat="1" ht="38.25" customHeight="1" x14ac:dyDescent="0.2">
      <c r="A1" s="1" t="s">
        <v>0</v>
      </c>
      <c r="B1" s="2" t="s">
        <v>1</v>
      </c>
      <c r="C1" s="3" t="s">
        <v>2</v>
      </c>
      <c r="D1" s="4" t="s">
        <v>3</v>
      </c>
      <c r="E1" s="3" t="s">
        <v>4</v>
      </c>
      <c r="F1" s="5" t="s">
        <v>5</v>
      </c>
      <c r="G1" s="5" t="s">
        <v>6</v>
      </c>
      <c r="H1" s="6" t="s">
        <v>7</v>
      </c>
      <c r="I1" s="7" t="s">
        <v>8</v>
      </c>
      <c r="J1" s="7" t="s">
        <v>9</v>
      </c>
      <c r="K1" s="7" t="s">
        <v>10</v>
      </c>
      <c r="L1" s="8" t="s">
        <v>11</v>
      </c>
      <c r="M1" s="7" t="s">
        <v>12</v>
      </c>
      <c r="N1" s="7" t="s">
        <v>13</v>
      </c>
      <c r="O1" s="7" t="s">
        <v>14</v>
      </c>
      <c r="P1" s="7" t="s">
        <v>15</v>
      </c>
      <c r="Q1" s="7" t="s">
        <v>16</v>
      </c>
      <c r="R1" s="7" t="s">
        <v>17</v>
      </c>
      <c r="S1" s="8" t="s">
        <v>18</v>
      </c>
      <c r="T1" s="7" t="s">
        <v>19</v>
      </c>
      <c r="U1" s="7" t="s">
        <v>20</v>
      </c>
      <c r="V1" s="7" t="s">
        <v>21</v>
      </c>
      <c r="W1" s="7" t="s">
        <v>22</v>
      </c>
      <c r="X1" s="7" t="s">
        <v>23</v>
      </c>
      <c r="Y1" s="7" t="s">
        <v>24</v>
      </c>
      <c r="Z1" s="7" t="s">
        <v>25</v>
      </c>
      <c r="AA1" s="9" t="s">
        <v>26</v>
      </c>
      <c r="AB1" s="9" t="s">
        <v>27</v>
      </c>
      <c r="AC1" s="9" t="s">
        <v>28</v>
      </c>
      <c r="AD1" s="10" t="s">
        <v>29</v>
      </c>
      <c r="AE1" s="7" t="s">
        <v>30</v>
      </c>
      <c r="AF1" s="7" t="s">
        <v>31</v>
      </c>
      <c r="AG1" s="11" t="s">
        <v>32</v>
      </c>
      <c r="AH1" s="11" t="s">
        <v>33</v>
      </c>
      <c r="AI1" s="11" t="s">
        <v>34</v>
      </c>
      <c r="AJ1" s="11" t="s">
        <v>35</v>
      </c>
      <c r="AK1" s="11" t="s">
        <v>36</v>
      </c>
      <c r="AL1" s="11" t="s">
        <v>37</v>
      </c>
      <c r="AM1" s="11" t="s">
        <v>38</v>
      </c>
      <c r="AN1" s="11" t="s">
        <v>39</v>
      </c>
      <c r="AO1" s="11" t="s">
        <v>40</v>
      </c>
      <c r="AP1" s="11" t="s">
        <v>41</v>
      </c>
      <c r="AQ1" s="11" t="s">
        <v>42</v>
      </c>
      <c r="AR1" s="12" t="s">
        <v>43</v>
      </c>
      <c r="AU1" s="11" t="s">
        <v>44</v>
      </c>
    </row>
    <row r="2" spans="1:47" s="25" customFormat="1" ht="12.75" customHeight="1" x14ac:dyDescent="0.2">
      <c r="A2" s="13">
        <v>5335</v>
      </c>
      <c r="B2" s="14" t="s">
        <v>45</v>
      </c>
      <c r="C2" s="15" t="s">
        <v>46</v>
      </c>
      <c r="D2" s="16"/>
      <c r="E2" s="15" t="s">
        <v>47</v>
      </c>
      <c r="F2" s="17" t="s">
        <v>48</v>
      </c>
      <c r="G2" s="17" t="s">
        <v>49</v>
      </c>
      <c r="H2" s="18"/>
      <c r="I2" s="19" t="s">
        <v>50</v>
      </c>
      <c r="J2" s="20"/>
      <c r="K2" s="20">
        <f>4*43*2.2</f>
        <v>378.40000000000003</v>
      </c>
      <c r="L2" s="21">
        <v>1</v>
      </c>
      <c r="M2" s="20"/>
      <c r="N2" s="20"/>
      <c r="O2" s="20"/>
      <c r="P2" s="20"/>
      <c r="Q2" s="20"/>
      <c r="R2" s="20"/>
      <c r="S2" s="21">
        <v>1</v>
      </c>
      <c r="T2" s="20"/>
      <c r="U2" s="20"/>
      <c r="V2" s="20"/>
      <c r="W2" s="20"/>
      <c r="X2" s="20"/>
      <c r="Y2" s="20" t="s">
        <v>51</v>
      </c>
      <c r="Z2" s="20" t="s">
        <v>52</v>
      </c>
      <c r="AA2" s="22"/>
      <c r="AB2" s="22"/>
      <c r="AC2" s="22"/>
      <c r="AD2" s="23"/>
      <c r="AE2" s="20"/>
      <c r="AF2" s="20">
        <v>240</v>
      </c>
      <c r="AG2" s="24"/>
      <c r="AH2" s="24"/>
      <c r="AI2" s="24"/>
      <c r="AJ2" s="24"/>
      <c r="AK2" s="24">
        <v>4</v>
      </c>
      <c r="AL2" s="24"/>
      <c r="AM2" s="24"/>
      <c r="AN2" s="24"/>
      <c r="AO2" s="24"/>
      <c r="AP2" s="24"/>
      <c r="AQ2" s="18" t="s">
        <v>53</v>
      </c>
      <c r="AU2" s="25">
        <v>1</v>
      </c>
    </row>
    <row r="3" spans="1:47" x14ac:dyDescent="0.2">
      <c r="A3" s="26">
        <v>5335</v>
      </c>
      <c r="B3" s="27"/>
      <c r="C3" s="28"/>
      <c r="D3" s="29"/>
      <c r="E3" s="30" t="s">
        <v>54</v>
      </c>
      <c r="H3" s="32">
        <v>1</v>
      </c>
      <c r="I3" s="32" t="s">
        <v>55</v>
      </c>
      <c r="AG3" s="32">
        <v>0</v>
      </c>
      <c r="AH3" s="32">
        <v>0</v>
      </c>
      <c r="AI3" s="32">
        <v>0</v>
      </c>
      <c r="AK3" s="32">
        <v>3</v>
      </c>
      <c r="AQ3" s="32">
        <v>435</v>
      </c>
      <c r="AU3">
        <v>2</v>
      </c>
    </row>
    <row r="4" spans="1:47" x14ac:dyDescent="0.2">
      <c r="A4" s="13">
        <v>5336</v>
      </c>
      <c r="B4" s="14" t="s">
        <v>45</v>
      </c>
      <c r="C4" s="15" t="s">
        <v>46</v>
      </c>
      <c r="D4" s="29"/>
      <c r="E4" s="36" t="s">
        <v>56</v>
      </c>
      <c r="F4" s="31" t="s">
        <v>57</v>
      </c>
      <c r="G4" s="31" t="s">
        <v>49</v>
      </c>
      <c r="H4" s="32"/>
      <c r="I4" s="32" t="s">
        <v>58</v>
      </c>
      <c r="L4" s="33">
        <v>1</v>
      </c>
      <c r="S4" s="33">
        <v>1</v>
      </c>
      <c r="Y4" s="31" t="s">
        <v>51</v>
      </c>
      <c r="Z4" s="20" t="s">
        <v>52</v>
      </c>
      <c r="AF4" s="31">
        <v>430</v>
      </c>
      <c r="AK4" s="32">
        <v>3</v>
      </c>
      <c r="AQ4" s="32" t="s">
        <v>53</v>
      </c>
      <c r="AU4">
        <v>3</v>
      </c>
    </row>
    <row r="5" spans="1:47" x14ac:dyDescent="0.2">
      <c r="A5" s="37">
        <v>5340</v>
      </c>
      <c r="B5" s="38"/>
      <c r="C5" s="39" t="s">
        <v>59</v>
      </c>
      <c r="D5" s="29"/>
      <c r="E5" s="38" t="s">
        <v>60</v>
      </c>
      <c r="F5" s="31" t="s">
        <v>61</v>
      </c>
      <c r="H5" s="32"/>
      <c r="I5" s="32" t="s">
        <v>62</v>
      </c>
      <c r="Z5" s="31" t="s">
        <v>63</v>
      </c>
      <c r="AE5" s="31" t="s">
        <v>64</v>
      </c>
      <c r="AF5" s="31">
        <v>55</v>
      </c>
      <c r="AQ5" s="32" t="s">
        <v>65</v>
      </c>
      <c r="AU5">
        <v>4</v>
      </c>
    </row>
    <row r="6" spans="1:47" x14ac:dyDescent="0.2">
      <c r="A6" s="37">
        <v>5346</v>
      </c>
      <c r="B6" s="38"/>
      <c r="C6" s="39" t="s">
        <v>59</v>
      </c>
      <c r="D6" s="29"/>
      <c r="E6" s="38" t="s">
        <v>60</v>
      </c>
      <c r="F6" s="31" t="s">
        <v>61</v>
      </c>
      <c r="H6" s="32"/>
      <c r="I6" s="32" t="s">
        <v>66</v>
      </c>
      <c r="Z6" s="31" t="s">
        <v>63</v>
      </c>
      <c r="AE6" s="31" t="s">
        <v>64</v>
      </c>
      <c r="AF6" s="31">
        <v>55</v>
      </c>
      <c r="AQ6" s="32" t="s">
        <v>65</v>
      </c>
      <c r="AU6">
        <v>5</v>
      </c>
    </row>
    <row r="7" spans="1:47" x14ac:dyDescent="0.2">
      <c r="A7" s="13">
        <v>5346</v>
      </c>
      <c r="B7" s="14"/>
      <c r="C7" s="15" t="s">
        <v>46</v>
      </c>
      <c r="D7" s="29"/>
      <c r="E7" s="38" t="s">
        <v>67</v>
      </c>
      <c r="F7" s="31" t="s">
        <v>68</v>
      </c>
      <c r="G7" s="31" t="s">
        <v>69</v>
      </c>
      <c r="H7" s="32"/>
      <c r="I7" s="32" t="s">
        <v>70</v>
      </c>
      <c r="K7" s="31">
        <f>9*40*2.2</f>
        <v>792.00000000000011</v>
      </c>
      <c r="L7" s="33">
        <v>1</v>
      </c>
      <c r="S7" s="33">
        <v>1</v>
      </c>
      <c r="Y7" s="31" t="s">
        <v>51</v>
      </c>
      <c r="Z7" s="20" t="s">
        <v>52</v>
      </c>
      <c r="AF7" s="31">
        <v>240</v>
      </c>
      <c r="AK7" s="32">
        <v>9</v>
      </c>
      <c r="AQ7" s="32" t="s">
        <v>53</v>
      </c>
      <c r="AU7">
        <v>6</v>
      </c>
    </row>
    <row r="8" spans="1:47" x14ac:dyDescent="0.2">
      <c r="A8" s="13">
        <v>5347</v>
      </c>
      <c r="B8" s="14" t="s">
        <v>45</v>
      </c>
      <c r="C8" s="15" t="s">
        <v>46</v>
      </c>
      <c r="D8" s="29"/>
      <c r="E8" s="38" t="s">
        <v>71</v>
      </c>
      <c r="F8" s="31" t="s">
        <v>72</v>
      </c>
      <c r="G8" s="31" t="s">
        <v>73</v>
      </c>
      <c r="H8" s="32"/>
      <c r="I8" s="32" t="s">
        <v>74</v>
      </c>
      <c r="K8" s="31">
        <f>6*43*2.2</f>
        <v>567.6</v>
      </c>
      <c r="L8" s="33">
        <v>1</v>
      </c>
      <c r="S8" s="33">
        <v>1</v>
      </c>
      <c r="Y8" s="31" t="s">
        <v>51</v>
      </c>
      <c r="Z8" s="20" t="s">
        <v>52</v>
      </c>
      <c r="AF8" s="31">
        <v>186</v>
      </c>
      <c r="AK8" s="32">
        <v>6</v>
      </c>
      <c r="AQ8" s="32" t="s">
        <v>53</v>
      </c>
      <c r="AU8">
        <v>7</v>
      </c>
    </row>
    <row r="9" spans="1:47" x14ac:dyDescent="0.2">
      <c r="A9" s="13">
        <v>5348</v>
      </c>
      <c r="B9" s="14" t="s">
        <v>45</v>
      </c>
      <c r="C9" s="15" t="s">
        <v>46</v>
      </c>
      <c r="D9" s="29"/>
      <c r="E9" s="38" t="s">
        <v>75</v>
      </c>
      <c r="F9" s="31" t="s">
        <v>76</v>
      </c>
      <c r="G9" s="31" t="s">
        <v>49</v>
      </c>
      <c r="H9" s="32"/>
      <c r="I9" s="32" t="s">
        <v>77</v>
      </c>
      <c r="K9" s="31">
        <f>4*43*2.2</f>
        <v>378.40000000000003</v>
      </c>
      <c r="L9" s="33">
        <v>1</v>
      </c>
      <c r="S9" s="33">
        <v>1</v>
      </c>
      <c r="Y9" s="31" t="s">
        <v>51</v>
      </c>
      <c r="Z9" s="20" t="s">
        <v>52</v>
      </c>
      <c r="AF9" s="31">
        <v>170</v>
      </c>
      <c r="AK9" s="32">
        <v>4</v>
      </c>
      <c r="AQ9" s="32" t="s">
        <v>53</v>
      </c>
      <c r="AU9">
        <v>8</v>
      </c>
    </row>
    <row r="10" spans="1:47" x14ac:dyDescent="0.2">
      <c r="A10" s="40">
        <v>5348</v>
      </c>
      <c r="B10" s="41" t="s">
        <v>45</v>
      </c>
      <c r="C10" s="28"/>
      <c r="D10" s="29"/>
      <c r="E10" s="30" t="s">
        <v>78</v>
      </c>
      <c r="H10" s="32">
        <v>1</v>
      </c>
      <c r="I10" s="18" t="s">
        <v>79</v>
      </c>
      <c r="AG10" s="32">
        <v>0</v>
      </c>
      <c r="AH10" s="32">
        <v>0</v>
      </c>
      <c r="AJ10" s="32">
        <v>3185.75</v>
      </c>
      <c r="AK10" s="32">
        <v>4</v>
      </c>
      <c r="AO10" s="32" t="s">
        <v>80</v>
      </c>
      <c r="AQ10" s="32" t="s">
        <v>81</v>
      </c>
      <c r="AU10">
        <v>10</v>
      </c>
    </row>
    <row r="11" spans="1:47" x14ac:dyDescent="0.2">
      <c r="A11" s="13">
        <v>5349</v>
      </c>
      <c r="B11" s="14" t="s">
        <v>45</v>
      </c>
      <c r="C11" s="15" t="s">
        <v>46</v>
      </c>
      <c r="D11" s="29"/>
      <c r="E11" s="38" t="s">
        <v>82</v>
      </c>
      <c r="F11" s="31" t="s">
        <v>83</v>
      </c>
      <c r="G11" s="31" t="s">
        <v>69</v>
      </c>
      <c r="H11" s="32"/>
      <c r="I11" s="32" t="s">
        <v>84</v>
      </c>
      <c r="L11" s="33">
        <v>1</v>
      </c>
      <c r="S11" s="33">
        <v>1</v>
      </c>
      <c r="Y11" s="31" t="s">
        <v>51</v>
      </c>
      <c r="Z11" s="20" t="s">
        <v>52</v>
      </c>
      <c r="AF11" s="31">
        <v>190</v>
      </c>
      <c r="AK11" s="32">
        <v>1</v>
      </c>
      <c r="AQ11" s="32" t="s">
        <v>53</v>
      </c>
      <c r="AU11">
        <v>9</v>
      </c>
    </row>
    <row r="12" spans="1:47" x14ac:dyDescent="0.2">
      <c r="A12" s="13">
        <v>5358</v>
      </c>
      <c r="B12" s="42" t="s">
        <v>85</v>
      </c>
      <c r="C12" s="43" t="s">
        <v>86</v>
      </c>
      <c r="D12" s="29"/>
      <c r="E12" s="36" t="s">
        <v>87</v>
      </c>
      <c r="F12" s="31" t="s">
        <v>88</v>
      </c>
      <c r="H12" s="32"/>
      <c r="I12" s="32" t="s">
        <v>89</v>
      </c>
      <c r="AQ12" s="32" t="s">
        <v>65</v>
      </c>
      <c r="AU12">
        <v>11</v>
      </c>
    </row>
    <row r="13" spans="1:47" x14ac:dyDescent="0.2">
      <c r="A13" s="13">
        <v>5379</v>
      </c>
      <c r="B13" s="42" t="s">
        <v>85</v>
      </c>
      <c r="C13" s="43" t="s">
        <v>90</v>
      </c>
      <c r="D13" s="29"/>
      <c r="E13" s="36" t="s">
        <v>91</v>
      </c>
      <c r="F13" s="31" t="s">
        <v>92</v>
      </c>
      <c r="H13" s="32"/>
      <c r="I13" s="32" t="s">
        <v>93</v>
      </c>
      <c r="K13" s="31">
        <f>4*20</f>
        <v>80</v>
      </c>
      <c r="L13" s="33">
        <v>4</v>
      </c>
      <c r="M13" s="31">
        <v>3</v>
      </c>
      <c r="S13" s="33">
        <v>1</v>
      </c>
      <c r="W13" s="31" t="s">
        <v>94</v>
      </c>
      <c r="Y13" s="31" t="s">
        <v>51</v>
      </c>
      <c r="Z13" s="31" t="s">
        <v>95</v>
      </c>
      <c r="AE13" s="31" t="s">
        <v>96</v>
      </c>
      <c r="AF13" s="31">
        <v>190</v>
      </c>
      <c r="AQ13" s="32" t="s">
        <v>97</v>
      </c>
      <c r="AU13">
        <v>12</v>
      </c>
    </row>
    <row r="14" spans="1:47" x14ac:dyDescent="0.2">
      <c r="A14" s="44">
        <v>5389</v>
      </c>
      <c r="B14" s="42"/>
      <c r="C14" s="15" t="s">
        <v>46</v>
      </c>
      <c r="D14" s="29"/>
      <c r="E14" s="36" t="s">
        <v>98</v>
      </c>
      <c r="F14" s="31" t="s">
        <v>99</v>
      </c>
      <c r="G14" s="31" t="s">
        <v>69</v>
      </c>
      <c r="H14" s="32"/>
      <c r="I14" s="32" t="s">
        <v>100</v>
      </c>
      <c r="L14" s="33">
        <v>1</v>
      </c>
      <c r="S14" s="33">
        <v>1</v>
      </c>
      <c r="Y14" s="31" t="s">
        <v>51</v>
      </c>
      <c r="Z14" s="20" t="s">
        <v>52</v>
      </c>
      <c r="AF14" s="31">
        <v>200</v>
      </c>
      <c r="AQ14" s="32" t="s">
        <v>53</v>
      </c>
      <c r="AU14">
        <v>13</v>
      </c>
    </row>
    <row r="15" spans="1:47" x14ac:dyDescent="0.2">
      <c r="A15" s="26">
        <v>5390</v>
      </c>
      <c r="B15" s="27"/>
      <c r="C15" s="28"/>
      <c r="D15" s="29"/>
      <c r="E15" s="30" t="s">
        <v>101</v>
      </c>
      <c r="F15" s="19" t="s">
        <v>102</v>
      </c>
      <c r="H15" s="32"/>
      <c r="I15" s="32" t="s">
        <v>103</v>
      </c>
      <c r="Z15" s="20"/>
      <c r="AG15" s="32">
        <v>0</v>
      </c>
      <c r="AH15" s="32">
        <v>2</v>
      </c>
      <c r="AK15" s="32">
        <v>16</v>
      </c>
      <c r="AQ15" s="18" t="s">
        <v>104</v>
      </c>
      <c r="AU15">
        <v>13.5</v>
      </c>
    </row>
    <row r="16" spans="1:47" x14ac:dyDescent="0.2">
      <c r="A16" s="44">
        <v>5394</v>
      </c>
      <c r="B16" s="42" t="s">
        <v>85</v>
      </c>
      <c r="C16" s="15" t="s">
        <v>105</v>
      </c>
      <c r="D16" s="29"/>
      <c r="E16" s="36" t="s">
        <v>106</v>
      </c>
      <c r="F16" s="31" t="s">
        <v>107</v>
      </c>
      <c r="H16" s="32"/>
      <c r="I16" s="32" t="s">
        <v>108</v>
      </c>
      <c r="AQ16" s="32" t="s">
        <v>109</v>
      </c>
      <c r="AU16">
        <v>14</v>
      </c>
    </row>
    <row r="17" spans="1:47" x14ac:dyDescent="0.2">
      <c r="A17" s="44">
        <v>5395</v>
      </c>
      <c r="B17" s="42" t="s">
        <v>85</v>
      </c>
      <c r="C17" s="43" t="s">
        <v>86</v>
      </c>
      <c r="D17" s="29"/>
      <c r="E17" s="36" t="s">
        <v>110</v>
      </c>
      <c r="F17" s="31" t="s">
        <v>111</v>
      </c>
      <c r="H17" s="32"/>
      <c r="I17" s="32" t="s">
        <v>112</v>
      </c>
      <c r="AU17">
        <v>15</v>
      </c>
    </row>
    <row r="18" spans="1:47" x14ac:dyDescent="0.2">
      <c r="A18" s="44">
        <v>5395</v>
      </c>
      <c r="B18" s="42" t="s">
        <v>85</v>
      </c>
      <c r="C18" s="43" t="s">
        <v>90</v>
      </c>
      <c r="D18" s="29"/>
      <c r="E18" s="36" t="s">
        <v>113</v>
      </c>
      <c r="F18" s="31" t="s">
        <v>92</v>
      </c>
      <c r="H18" s="32"/>
      <c r="I18" s="32" t="s">
        <v>114</v>
      </c>
      <c r="K18" s="31">
        <f>2*20</f>
        <v>40</v>
      </c>
      <c r="L18" s="33">
        <v>1</v>
      </c>
      <c r="S18" s="33">
        <v>1</v>
      </c>
      <c r="W18" s="31">
        <v>600</v>
      </c>
      <c r="Y18" s="31" t="s">
        <v>51</v>
      </c>
      <c r="Z18" s="31" t="s">
        <v>95</v>
      </c>
      <c r="AE18" s="31" t="s">
        <v>96</v>
      </c>
      <c r="AF18" s="31">
        <f>110/0.62</f>
        <v>177.41935483870967</v>
      </c>
      <c r="AK18" s="32">
        <v>2</v>
      </c>
      <c r="AQ18" s="32" t="s">
        <v>115</v>
      </c>
      <c r="AU18">
        <v>16</v>
      </c>
    </row>
    <row r="19" spans="1:47" x14ac:dyDescent="0.2">
      <c r="A19" s="44">
        <v>5395</v>
      </c>
      <c r="B19" s="42" t="s">
        <v>85</v>
      </c>
      <c r="C19" s="43" t="s">
        <v>90</v>
      </c>
      <c r="D19" s="29"/>
      <c r="E19" s="36" t="s">
        <v>110</v>
      </c>
      <c r="F19" s="31" t="s">
        <v>116</v>
      </c>
      <c r="H19" s="32"/>
      <c r="I19" s="32" t="s">
        <v>117</v>
      </c>
      <c r="K19" s="31">
        <f>2*20</f>
        <v>40</v>
      </c>
      <c r="L19" s="33">
        <v>1</v>
      </c>
      <c r="P19" s="31">
        <v>1</v>
      </c>
      <c r="S19" s="33">
        <v>1</v>
      </c>
      <c r="Y19" s="31" t="s">
        <v>51</v>
      </c>
      <c r="Z19" s="31" t="s">
        <v>95</v>
      </c>
      <c r="AE19" s="31" t="s">
        <v>96</v>
      </c>
      <c r="AF19" s="31">
        <v>190</v>
      </c>
      <c r="AK19" s="32">
        <v>2</v>
      </c>
      <c r="AQ19" s="32" t="s">
        <v>115</v>
      </c>
      <c r="AU19">
        <v>17</v>
      </c>
    </row>
    <row r="20" spans="1:47" x14ac:dyDescent="0.2">
      <c r="A20" s="44">
        <v>5396</v>
      </c>
      <c r="B20" s="42" t="s">
        <v>45</v>
      </c>
      <c r="C20" s="43" t="s">
        <v>46</v>
      </c>
      <c r="D20" s="29"/>
      <c r="E20" s="36" t="s">
        <v>118</v>
      </c>
      <c r="H20" s="32"/>
      <c r="I20" s="32" t="s">
        <v>119</v>
      </c>
      <c r="L20" s="33">
        <v>1</v>
      </c>
      <c r="S20" s="33">
        <v>1</v>
      </c>
      <c r="Y20" s="31" t="s">
        <v>51</v>
      </c>
      <c r="Z20" s="20" t="s">
        <v>52</v>
      </c>
      <c r="AF20" s="31">
        <v>120</v>
      </c>
      <c r="AK20" s="32">
        <v>6</v>
      </c>
      <c r="AQ20" s="32" t="s">
        <v>53</v>
      </c>
      <c r="AU20">
        <v>18</v>
      </c>
    </row>
    <row r="21" spans="1:47" x14ac:dyDescent="0.2">
      <c r="A21" s="44">
        <v>5397</v>
      </c>
      <c r="B21" s="42" t="s">
        <v>85</v>
      </c>
      <c r="C21" s="43" t="s">
        <v>90</v>
      </c>
      <c r="D21" s="29" t="s">
        <v>120</v>
      </c>
      <c r="E21" s="36" t="s">
        <v>110</v>
      </c>
      <c r="H21" s="32"/>
      <c r="I21" s="32" t="s">
        <v>121</v>
      </c>
      <c r="K21" s="31">
        <v>0</v>
      </c>
      <c r="L21" s="33">
        <v>2</v>
      </c>
      <c r="M21" s="31">
        <v>2</v>
      </c>
      <c r="S21" s="33">
        <v>0</v>
      </c>
      <c r="Y21" s="31" t="s">
        <v>51</v>
      </c>
      <c r="Z21" s="31" t="s">
        <v>95</v>
      </c>
      <c r="AQ21" s="32" t="s">
        <v>97</v>
      </c>
      <c r="AU21">
        <v>19</v>
      </c>
    </row>
    <row r="22" spans="1:47" x14ac:dyDescent="0.2">
      <c r="A22" s="44">
        <v>5399</v>
      </c>
      <c r="B22" s="42" t="s">
        <v>45</v>
      </c>
      <c r="C22" s="43" t="s">
        <v>46</v>
      </c>
      <c r="D22" s="29"/>
      <c r="E22" s="36" t="s">
        <v>122</v>
      </c>
      <c r="H22" s="32"/>
      <c r="I22" s="32" t="s">
        <v>123</v>
      </c>
      <c r="K22" s="31">
        <f>(4*12.3+2*22+4*18)*2.2</f>
        <v>363.44</v>
      </c>
      <c r="L22" s="33">
        <v>1</v>
      </c>
      <c r="S22" s="33">
        <v>1</v>
      </c>
      <c r="Y22" s="31" t="s">
        <v>51</v>
      </c>
      <c r="Z22" s="20" t="s">
        <v>52</v>
      </c>
      <c r="AF22" s="31">
        <v>170</v>
      </c>
      <c r="AK22" s="32">
        <v>10</v>
      </c>
      <c r="AQ22" s="32" t="s">
        <v>53</v>
      </c>
      <c r="AU22">
        <v>20</v>
      </c>
    </row>
    <row r="23" spans="1:47" x14ac:dyDescent="0.2">
      <c r="A23" s="44">
        <v>5403</v>
      </c>
      <c r="B23" s="42"/>
      <c r="C23" s="43" t="s">
        <v>46</v>
      </c>
      <c r="D23" s="29"/>
      <c r="E23" s="36" t="s">
        <v>124</v>
      </c>
      <c r="F23" s="31" t="s">
        <v>76</v>
      </c>
      <c r="G23" s="31" t="s">
        <v>49</v>
      </c>
      <c r="H23" s="32"/>
      <c r="I23" s="32" t="s">
        <v>125</v>
      </c>
      <c r="L23" s="33">
        <v>1</v>
      </c>
      <c r="S23" s="33">
        <v>1</v>
      </c>
      <c r="Y23" s="31" t="s">
        <v>51</v>
      </c>
      <c r="Z23" s="20" t="s">
        <v>52</v>
      </c>
      <c r="AF23" s="31">
        <v>305</v>
      </c>
      <c r="AK23" s="32">
        <v>22</v>
      </c>
      <c r="AQ23" s="32" t="s">
        <v>53</v>
      </c>
      <c r="AU23">
        <v>21</v>
      </c>
    </row>
    <row r="24" spans="1:47" x14ac:dyDescent="0.2">
      <c r="A24" s="44">
        <v>5404</v>
      </c>
      <c r="B24" s="42" t="s">
        <v>45</v>
      </c>
      <c r="C24" s="43" t="s">
        <v>46</v>
      </c>
      <c r="D24" s="29"/>
      <c r="E24" s="36" t="s">
        <v>126</v>
      </c>
      <c r="F24" s="31" t="s">
        <v>127</v>
      </c>
      <c r="G24" s="31" t="s">
        <v>49</v>
      </c>
      <c r="H24" s="32"/>
      <c r="I24" s="32" t="s">
        <v>128</v>
      </c>
      <c r="L24" s="33">
        <v>1</v>
      </c>
      <c r="S24" s="33">
        <v>1</v>
      </c>
      <c r="Y24" s="31" t="s">
        <v>51</v>
      </c>
      <c r="Z24" s="20" t="s">
        <v>52</v>
      </c>
      <c r="AF24" s="31">
        <v>180</v>
      </c>
      <c r="AK24" s="32">
        <v>25</v>
      </c>
      <c r="AQ24" s="32" t="s">
        <v>53</v>
      </c>
      <c r="AU24">
        <v>22</v>
      </c>
    </row>
    <row r="25" spans="1:47" x14ac:dyDescent="0.2">
      <c r="A25" s="44">
        <v>5439</v>
      </c>
      <c r="B25" s="42" t="s">
        <v>85</v>
      </c>
      <c r="C25" s="43" t="s">
        <v>90</v>
      </c>
      <c r="D25" s="29"/>
      <c r="E25" s="36" t="s">
        <v>129</v>
      </c>
      <c r="F25" s="31" t="s">
        <v>61</v>
      </c>
      <c r="H25" s="32"/>
      <c r="I25" s="32" t="s">
        <v>130</v>
      </c>
      <c r="K25" s="31">
        <f>11*20</f>
        <v>220</v>
      </c>
      <c r="L25" s="33">
        <v>4</v>
      </c>
      <c r="N25" s="31">
        <v>1</v>
      </c>
      <c r="S25" s="33">
        <v>3</v>
      </c>
      <c r="T25" s="31">
        <v>1</v>
      </c>
      <c r="Y25" s="31" t="s">
        <v>51</v>
      </c>
      <c r="Z25" s="31" t="s">
        <v>131</v>
      </c>
      <c r="AA25" s="34">
        <v>0.40625</v>
      </c>
      <c r="AE25" s="31" t="s">
        <v>132</v>
      </c>
      <c r="AF25" s="31">
        <f>126/0.62</f>
        <v>203.2258064516129</v>
      </c>
      <c r="AQ25" s="32" t="s">
        <v>133</v>
      </c>
      <c r="AU25">
        <v>23</v>
      </c>
    </row>
    <row r="26" spans="1:47" x14ac:dyDescent="0.2">
      <c r="A26" s="44">
        <v>5452</v>
      </c>
      <c r="B26" s="42" t="s">
        <v>85</v>
      </c>
      <c r="C26" s="43" t="s">
        <v>134</v>
      </c>
      <c r="D26" s="29"/>
      <c r="E26" s="36" t="s">
        <v>135</v>
      </c>
      <c r="F26" s="31" t="s">
        <v>76</v>
      </c>
      <c r="H26" s="32"/>
      <c r="I26" s="32" t="s">
        <v>136</v>
      </c>
      <c r="AQ26" s="32" t="s">
        <v>137</v>
      </c>
      <c r="AU26">
        <v>24</v>
      </c>
    </row>
    <row r="27" spans="1:47" x14ac:dyDescent="0.2">
      <c r="A27" s="44">
        <v>5467</v>
      </c>
      <c r="B27" s="42" t="s">
        <v>85</v>
      </c>
      <c r="C27" s="43" t="s">
        <v>134</v>
      </c>
      <c r="D27" s="45"/>
      <c r="E27" s="36" t="s">
        <v>135</v>
      </c>
      <c r="F27" s="31" t="s">
        <v>76</v>
      </c>
      <c r="I27" s="32" t="s">
        <v>138</v>
      </c>
      <c r="W27" s="31">
        <f>900/0.305</f>
        <v>2950.8196721311474</v>
      </c>
      <c r="AQ27" s="32" t="s">
        <v>139</v>
      </c>
      <c r="AU27">
        <v>25</v>
      </c>
    </row>
    <row r="28" spans="1:47" x14ac:dyDescent="0.2">
      <c r="A28" s="26">
        <v>5467</v>
      </c>
      <c r="B28" s="27">
        <v>0</v>
      </c>
      <c r="C28" s="28"/>
      <c r="D28" s="29"/>
      <c r="E28" s="30" t="s">
        <v>140</v>
      </c>
      <c r="H28" s="32">
        <v>1</v>
      </c>
      <c r="I28" s="32"/>
      <c r="AI28" s="32">
        <v>0</v>
      </c>
      <c r="AK28" s="32">
        <v>10</v>
      </c>
      <c r="AL28" s="32">
        <v>0</v>
      </c>
      <c r="AO28" s="32" t="s">
        <v>141</v>
      </c>
      <c r="AQ28" s="32">
        <v>449</v>
      </c>
      <c r="AU28">
        <v>26</v>
      </c>
    </row>
    <row r="29" spans="1:47" x14ac:dyDescent="0.2">
      <c r="A29" s="44">
        <v>5468</v>
      </c>
      <c r="B29" s="42" t="s">
        <v>85</v>
      </c>
      <c r="C29" s="39" t="s">
        <v>142</v>
      </c>
      <c r="D29" s="29"/>
      <c r="E29" s="36" t="s">
        <v>143</v>
      </c>
      <c r="F29" s="31" t="s">
        <v>144</v>
      </c>
      <c r="G29" s="31" t="s">
        <v>69</v>
      </c>
      <c r="H29" s="32"/>
      <c r="I29" s="32" t="s">
        <v>145</v>
      </c>
      <c r="K29" s="31">
        <f>(66)*8*2.2</f>
        <v>1161.6000000000001</v>
      </c>
      <c r="L29" s="33">
        <v>11</v>
      </c>
      <c r="S29" s="33">
        <v>11</v>
      </c>
      <c r="T29" s="31">
        <v>0</v>
      </c>
      <c r="U29" s="31">
        <v>0</v>
      </c>
      <c r="V29" s="31">
        <v>0</v>
      </c>
      <c r="W29" s="31">
        <f>2500*39.37/12</f>
        <v>8202.0833333333339</v>
      </c>
      <c r="Y29" s="31" t="s">
        <v>120</v>
      </c>
      <c r="Z29" s="31" t="s">
        <v>146</v>
      </c>
      <c r="AE29" s="31" t="s">
        <v>147</v>
      </c>
      <c r="AF29" s="31">
        <v>30</v>
      </c>
      <c r="AK29" s="32">
        <v>66</v>
      </c>
      <c r="AQ29" s="32" t="s">
        <v>148</v>
      </c>
      <c r="AU29">
        <v>27</v>
      </c>
    </row>
    <row r="30" spans="1:47" x14ac:dyDescent="0.2">
      <c r="A30" s="44">
        <v>5468</v>
      </c>
      <c r="B30" s="42" t="s">
        <v>85</v>
      </c>
      <c r="C30" s="39" t="s">
        <v>142</v>
      </c>
      <c r="D30" s="29"/>
      <c r="E30" s="36" t="s">
        <v>149</v>
      </c>
      <c r="F30" s="31" t="s">
        <v>150</v>
      </c>
      <c r="G30" s="31" t="s">
        <v>49</v>
      </c>
      <c r="H30" s="32"/>
      <c r="I30" s="32" t="s">
        <v>151</v>
      </c>
      <c r="K30" s="31">
        <f>12*8*2.2</f>
        <v>211.20000000000002</v>
      </c>
      <c r="L30" s="33">
        <v>2</v>
      </c>
      <c r="S30" s="33">
        <v>2</v>
      </c>
      <c r="T30" s="31">
        <v>0</v>
      </c>
      <c r="U30" s="31">
        <v>0</v>
      </c>
      <c r="V30" s="31">
        <v>0</v>
      </c>
      <c r="Y30" s="31" t="s">
        <v>51</v>
      </c>
      <c r="Z30" s="31" t="s">
        <v>146</v>
      </c>
      <c r="AE30" s="31" t="s">
        <v>147</v>
      </c>
      <c r="AF30" s="31">
        <v>45</v>
      </c>
      <c r="AK30" s="32">
        <v>12</v>
      </c>
      <c r="AQ30" s="32" t="s">
        <v>152</v>
      </c>
      <c r="AU30">
        <v>28</v>
      </c>
    </row>
    <row r="31" spans="1:47" x14ac:dyDescent="0.2">
      <c r="A31" s="26">
        <v>5471</v>
      </c>
      <c r="B31" s="27"/>
      <c r="C31" s="28"/>
      <c r="D31" s="29"/>
      <c r="E31" s="30" t="s">
        <v>153</v>
      </c>
      <c r="H31" s="32">
        <v>1</v>
      </c>
      <c r="I31" s="32" t="s">
        <v>154</v>
      </c>
      <c r="AG31" s="32">
        <v>0</v>
      </c>
      <c r="AH31" s="32">
        <v>0</v>
      </c>
      <c r="AJ31" s="32">
        <v>300</v>
      </c>
      <c r="AK31" s="32">
        <v>1</v>
      </c>
      <c r="AO31" s="46" t="s">
        <v>155</v>
      </c>
      <c r="AP31" s="46"/>
      <c r="AQ31" s="32">
        <v>448</v>
      </c>
      <c r="AU31">
        <v>29</v>
      </c>
    </row>
    <row r="32" spans="1:47" x14ac:dyDescent="0.2">
      <c r="A32" s="44">
        <v>5475</v>
      </c>
      <c r="B32" s="42" t="s">
        <v>85</v>
      </c>
      <c r="C32" s="43" t="s">
        <v>156</v>
      </c>
      <c r="D32" s="45"/>
      <c r="E32" s="36" t="s">
        <v>157</v>
      </c>
      <c r="F32" s="31" t="s">
        <v>158</v>
      </c>
      <c r="H32" s="32"/>
      <c r="I32" s="32" t="s">
        <v>159</v>
      </c>
      <c r="Z32" s="31" t="s">
        <v>160</v>
      </c>
      <c r="AE32" s="31" t="s">
        <v>161</v>
      </c>
      <c r="AO32" s="46"/>
      <c r="AP32" s="46"/>
      <c r="AQ32" s="32" t="s">
        <v>162</v>
      </c>
      <c r="AU32">
        <v>30</v>
      </c>
    </row>
    <row r="33" spans="1:47" x14ac:dyDescent="0.2">
      <c r="A33" s="44">
        <v>5497</v>
      </c>
      <c r="B33" s="42" t="s">
        <v>85</v>
      </c>
      <c r="C33" s="43" t="s">
        <v>163</v>
      </c>
      <c r="D33" s="45"/>
      <c r="E33" s="36" t="s">
        <v>164</v>
      </c>
      <c r="F33" s="31" t="s">
        <v>165</v>
      </c>
      <c r="G33" s="31" t="s">
        <v>69</v>
      </c>
      <c r="H33" s="32"/>
      <c r="I33" s="32"/>
      <c r="K33" s="31">
        <f>6*8*2.2</f>
        <v>105.60000000000001</v>
      </c>
      <c r="L33" s="33">
        <v>1</v>
      </c>
      <c r="S33" s="33">
        <v>1</v>
      </c>
      <c r="Y33" s="31" t="s">
        <v>51</v>
      </c>
      <c r="Z33" s="47" t="s">
        <v>146</v>
      </c>
      <c r="AE33" s="31" t="s">
        <v>166</v>
      </c>
      <c r="AF33" s="31">
        <v>35</v>
      </c>
      <c r="AK33" s="32">
        <v>6</v>
      </c>
      <c r="AO33" s="46"/>
      <c r="AP33" s="46"/>
      <c r="AQ33" s="32" t="s">
        <v>167</v>
      </c>
      <c r="AU33">
        <v>31</v>
      </c>
    </row>
    <row r="34" spans="1:47" x14ac:dyDescent="0.2">
      <c r="A34" s="44">
        <v>5498</v>
      </c>
      <c r="B34" s="42" t="s">
        <v>85</v>
      </c>
      <c r="C34" s="39" t="s">
        <v>168</v>
      </c>
      <c r="D34" s="29"/>
      <c r="E34" s="36" t="s">
        <v>169</v>
      </c>
      <c r="F34" s="31" t="s">
        <v>170</v>
      </c>
      <c r="G34" s="31" t="s">
        <v>69</v>
      </c>
      <c r="H34" s="32"/>
      <c r="I34" s="32" t="s">
        <v>171</v>
      </c>
      <c r="AO34" s="46"/>
      <c r="AP34" s="46"/>
      <c r="AU34">
        <v>32</v>
      </c>
    </row>
    <row r="35" spans="1:47" x14ac:dyDescent="0.2">
      <c r="A35" s="44">
        <v>5501</v>
      </c>
      <c r="B35" s="42" t="s">
        <v>85</v>
      </c>
      <c r="C35" s="39" t="s">
        <v>142</v>
      </c>
      <c r="D35" s="29"/>
      <c r="E35" s="36" t="s">
        <v>172</v>
      </c>
      <c r="F35" s="31" t="s">
        <v>173</v>
      </c>
      <c r="G35" s="31" t="s">
        <v>69</v>
      </c>
      <c r="H35" s="32"/>
      <c r="I35" s="32"/>
      <c r="K35" s="31">
        <f>10*8*2.2</f>
        <v>176</v>
      </c>
      <c r="L35" s="33">
        <v>6</v>
      </c>
      <c r="S35" s="33">
        <v>6</v>
      </c>
      <c r="Y35" s="31" t="s">
        <v>51</v>
      </c>
      <c r="Z35" s="31" t="s">
        <v>146</v>
      </c>
      <c r="AE35" s="31" t="s">
        <v>174</v>
      </c>
      <c r="AK35" s="32">
        <v>10</v>
      </c>
      <c r="AO35" s="46"/>
      <c r="AP35" s="46"/>
      <c r="AQ35" s="32" t="s">
        <v>167</v>
      </c>
      <c r="AU35">
        <v>33</v>
      </c>
    </row>
    <row r="36" spans="1:47" x14ac:dyDescent="0.2">
      <c r="A36" s="44">
        <v>5506</v>
      </c>
      <c r="B36" s="42" t="s">
        <v>85</v>
      </c>
      <c r="C36" s="39" t="s">
        <v>142</v>
      </c>
      <c r="D36" s="29"/>
      <c r="E36" s="36" t="s">
        <v>175</v>
      </c>
      <c r="F36" s="31" t="s">
        <v>176</v>
      </c>
      <c r="G36" s="31" t="s">
        <v>69</v>
      </c>
      <c r="H36" s="32"/>
      <c r="I36" s="32" t="s">
        <v>177</v>
      </c>
      <c r="K36" s="31">
        <f>6*8*2.2</f>
        <v>105.60000000000001</v>
      </c>
      <c r="L36" s="33">
        <v>11</v>
      </c>
      <c r="M36" s="31">
        <v>9</v>
      </c>
      <c r="N36" s="31">
        <v>1</v>
      </c>
      <c r="S36" s="33">
        <v>1</v>
      </c>
      <c r="T36" s="31">
        <v>0</v>
      </c>
      <c r="U36" s="31">
        <v>0</v>
      </c>
      <c r="V36" s="31">
        <v>1</v>
      </c>
      <c r="Y36" s="31" t="s">
        <v>51</v>
      </c>
      <c r="Z36" s="31" t="s">
        <v>146</v>
      </c>
      <c r="AE36" s="31" t="s">
        <v>174</v>
      </c>
      <c r="AK36" s="32">
        <v>6</v>
      </c>
      <c r="AO36" s="46"/>
      <c r="AP36" s="46"/>
      <c r="AQ36" s="32" t="s">
        <v>178</v>
      </c>
      <c r="AU36">
        <v>34</v>
      </c>
    </row>
    <row r="37" spans="1:47" x14ac:dyDescent="0.2">
      <c r="A37" s="44">
        <v>5506</v>
      </c>
      <c r="B37" s="42" t="s">
        <v>85</v>
      </c>
      <c r="C37" s="43" t="s">
        <v>163</v>
      </c>
      <c r="D37" s="29"/>
      <c r="E37" s="36" t="s">
        <v>179</v>
      </c>
      <c r="H37" s="32"/>
      <c r="I37" s="32" t="s">
        <v>180</v>
      </c>
      <c r="K37" s="31">
        <f>6*8*2.2</f>
        <v>105.60000000000001</v>
      </c>
      <c r="S37" s="33">
        <v>1</v>
      </c>
      <c r="T37" s="31">
        <v>0</v>
      </c>
      <c r="U37" s="31">
        <v>0</v>
      </c>
      <c r="V37" s="31">
        <v>0</v>
      </c>
      <c r="Y37" s="31" t="s">
        <v>51</v>
      </c>
      <c r="Z37" s="47" t="s">
        <v>146</v>
      </c>
      <c r="AE37" s="31" t="s">
        <v>166</v>
      </c>
      <c r="AF37" s="31">
        <v>30</v>
      </c>
      <c r="AK37" s="32">
        <v>6</v>
      </c>
      <c r="AO37" s="46"/>
      <c r="AP37" s="46"/>
      <c r="AQ37" s="32" t="s">
        <v>181</v>
      </c>
      <c r="AU37">
        <v>35</v>
      </c>
    </row>
    <row r="38" spans="1:47" x14ac:dyDescent="0.2">
      <c r="A38" s="44">
        <v>5507</v>
      </c>
      <c r="B38" s="42" t="s">
        <v>85</v>
      </c>
      <c r="C38" s="39" t="s">
        <v>142</v>
      </c>
      <c r="D38" s="29"/>
      <c r="E38" s="36" t="s">
        <v>182</v>
      </c>
      <c r="F38" s="31" t="s">
        <v>183</v>
      </c>
      <c r="G38" s="31" t="s">
        <v>69</v>
      </c>
      <c r="H38" s="32"/>
      <c r="I38" s="32" t="s">
        <v>184</v>
      </c>
      <c r="L38" s="33">
        <v>7</v>
      </c>
      <c r="Y38" s="31" t="s">
        <v>120</v>
      </c>
      <c r="Z38" s="31" t="s">
        <v>146</v>
      </c>
      <c r="AE38" s="31" t="s">
        <v>174</v>
      </c>
      <c r="AO38" s="46"/>
      <c r="AP38" s="46"/>
      <c r="AQ38" s="32" t="s">
        <v>185</v>
      </c>
      <c r="AU38">
        <v>36</v>
      </c>
    </row>
    <row r="39" spans="1:47" x14ac:dyDescent="0.2">
      <c r="A39" s="44">
        <v>5507</v>
      </c>
      <c r="B39" s="42" t="s">
        <v>85</v>
      </c>
      <c r="C39" s="43" t="s">
        <v>163</v>
      </c>
      <c r="D39" s="29"/>
      <c r="E39" s="36" t="s">
        <v>186</v>
      </c>
      <c r="H39" s="32"/>
      <c r="I39" s="32" t="s">
        <v>187</v>
      </c>
      <c r="K39" s="31">
        <f>6*8*2.2</f>
        <v>105.60000000000001</v>
      </c>
      <c r="L39" s="33">
        <v>1</v>
      </c>
      <c r="S39" s="33">
        <v>1</v>
      </c>
      <c r="Y39" s="31" t="s">
        <v>51</v>
      </c>
      <c r="Z39" s="47" t="s">
        <v>146</v>
      </c>
      <c r="AE39" s="31" t="s">
        <v>166</v>
      </c>
      <c r="AF39" s="31">
        <v>35</v>
      </c>
      <c r="AK39" s="32">
        <v>6</v>
      </c>
      <c r="AO39" s="46"/>
      <c r="AP39" s="46"/>
      <c r="AQ39" s="32" t="s">
        <v>185</v>
      </c>
      <c r="AU39">
        <v>37</v>
      </c>
    </row>
    <row r="40" spans="1:47" x14ac:dyDescent="0.2">
      <c r="A40" s="44">
        <v>5508</v>
      </c>
      <c r="B40" s="42" t="s">
        <v>85</v>
      </c>
      <c r="C40" s="43" t="s">
        <v>163</v>
      </c>
      <c r="D40" s="29"/>
      <c r="E40" s="36" t="s">
        <v>188</v>
      </c>
      <c r="F40" s="31" t="s">
        <v>76</v>
      </c>
      <c r="G40" s="31" t="s">
        <v>49</v>
      </c>
      <c r="H40" s="32"/>
      <c r="I40" s="32" t="s">
        <v>189</v>
      </c>
      <c r="K40" s="31">
        <f>6*8*2.2</f>
        <v>105.60000000000001</v>
      </c>
      <c r="S40" s="33">
        <v>1</v>
      </c>
      <c r="Y40" s="31" t="s">
        <v>51</v>
      </c>
      <c r="Z40" s="47" t="s">
        <v>146</v>
      </c>
      <c r="AE40" s="31" t="s">
        <v>166</v>
      </c>
      <c r="AF40" s="31">
        <v>35</v>
      </c>
      <c r="AK40" s="32">
        <v>6</v>
      </c>
      <c r="AO40" s="46"/>
      <c r="AP40" s="46"/>
      <c r="AQ40" s="32" t="s">
        <v>185</v>
      </c>
      <c r="AU40">
        <v>38</v>
      </c>
    </row>
    <row r="41" spans="1:47" x14ac:dyDescent="0.2">
      <c r="A41" s="44">
        <v>5509</v>
      </c>
      <c r="B41" s="42" t="s">
        <v>85</v>
      </c>
      <c r="C41" s="43" t="s">
        <v>163</v>
      </c>
      <c r="D41" s="29"/>
      <c r="E41" s="36" t="s">
        <v>190</v>
      </c>
      <c r="F41" s="31" t="s">
        <v>76</v>
      </c>
      <c r="G41" s="31" t="s">
        <v>49</v>
      </c>
      <c r="H41" s="32"/>
      <c r="I41" s="32" t="s">
        <v>191</v>
      </c>
      <c r="K41" s="31">
        <f>14*8*2.2</f>
        <v>246.40000000000003</v>
      </c>
      <c r="Y41" s="31" t="s">
        <v>51</v>
      </c>
      <c r="Z41" s="47" t="s">
        <v>146</v>
      </c>
      <c r="AE41" s="31" t="s">
        <v>166</v>
      </c>
      <c r="AF41" s="31">
        <v>35</v>
      </c>
      <c r="AK41" s="32">
        <v>14</v>
      </c>
      <c r="AO41" s="46"/>
      <c r="AP41" s="46"/>
      <c r="AQ41" s="32" t="s">
        <v>185</v>
      </c>
      <c r="AU41">
        <v>39</v>
      </c>
    </row>
    <row r="42" spans="1:47" x14ac:dyDescent="0.2">
      <c r="A42" s="44">
        <v>5509</v>
      </c>
      <c r="B42" s="42" t="s">
        <v>85</v>
      </c>
      <c r="C42" s="43" t="s">
        <v>163</v>
      </c>
      <c r="D42" s="29"/>
      <c r="E42" s="36" t="s">
        <v>175</v>
      </c>
      <c r="F42" s="31" t="s">
        <v>76</v>
      </c>
      <c r="G42" s="31" t="s">
        <v>49</v>
      </c>
      <c r="H42" s="32"/>
      <c r="I42" s="32" t="s">
        <v>192</v>
      </c>
      <c r="K42" s="31">
        <f>3*8*2.2</f>
        <v>52.800000000000004</v>
      </c>
      <c r="Y42" s="31" t="s">
        <v>51</v>
      </c>
      <c r="Z42" s="47" t="s">
        <v>146</v>
      </c>
      <c r="AE42" s="31" t="s">
        <v>166</v>
      </c>
      <c r="AF42" s="31">
        <v>40</v>
      </c>
      <c r="AK42" s="32">
        <v>3</v>
      </c>
      <c r="AO42" s="46"/>
      <c r="AP42" s="46"/>
      <c r="AQ42" s="32" t="s">
        <v>185</v>
      </c>
      <c r="AU42">
        <v>40</v>
      </c>
    </row>
    <row r="43" spans="1:47" x14ac:dyDescent="0.2">
      <c r="A43" s="44">
        <v>5512</v>
      </c>
      <c r="B43" s="42" t="s">
        <v>85</v>
      </c>
      <c r="C43" s="39" t="s">
        <v>142</v>
      </c>
      <c r="D43" s="29"/>
      <c r="E43" s="36" t="s">
        <v>193</v>
      </c>
      <c r="F43" s="31" t="s">
        <v>194</v>
      </c>
      <c r="G43" s="31" t="s">
        <v>73</v>
      </c>
      <c r="H43" s="32"/>
      <c r="I43" s="32" t="s">
        <v>195</v>
      </c>
      <c r="L43" s="33">
        <v>9</v>
      </c>
      <c r="S43" s="33">
        <v>9</v>
      </c>
      <c r="Y43" s="31" t="s">
        <v>51</v>
      </c>
      <c r="Z43" s="31" t="s">
        <v>146</v>
      </c>
      <c r="AE43" s="31" t="s">
        <v>174</v>
      </c>
      <c r="AO43" s="46"/>
      <c r="AP43" s="46"/>
      <c r="AQ43" s="32" t="s">
        <v>196</v>
      </c>
      <c r="AU43">
        <v>41</v>
      </c>
    </row>
    <row r="44" spans="1:47" x14ac:dyDescent="0.2">
      <c r="A44" s="44">
        <v>5512</v>
      </c>
      <c r="B44" s="42" t="s">
        <v>85</v>
      </c>
      <c r="C44" s="43" t="s">
        <v>163</v>
      </c>
      <c r="D44" s="29"/>
      <c r="E44" s="36" t="s">
        <v>197</v>
      </c>
      <c r="H44" s="32"/>
      <c r="I44" s="32" t="s">
        <v>198</v>
      </c>
      <c r="K44" s="31">
        <f>9*8*2.2</f>
        <v>158.4</v>
      </c>
      <c r="Y44" s="31" t="s">
        <v>51</v>
      </c>
      <c r="Z44" s="47" t="s">
        <v>146</v>
      </c>
      <c r="AE44" s="31" t="s">
        <v>166</v>
      </c>
      <c r="AF44" s="31">
        <v>35</v>
      </c>
      <c r="AK44" s="32">
        <v>9</v>
      </c>
      <c r="AO44" s="46"/>
      <c r="AP44" s="46"/>
      <c r="AQ44" s="32" t="s">
        <v>196</v>
      </c>
      <c r="AU44">
        <v>42</v>
      </c>
    </row>
    <row r="45" spans="1:47" x14ac:dyDescent="0.2">
      <c r="A45" s="44">
        <v>5514</v>
      </c>
      <c r="B45" s="42" t="s">
        <v>85</v>
      </c>
      <c r="C45" s="39" t="s">
        <v>142</v>
      </c>
      <c r="D45" s="29"/>
      <c r="E45" s="36" t="s">
        <v>199</v>
      </c>
      <c r="F45" s="31" t="s">
        <v>200</v>
      </c>
      <c r="G45" s="31" t="s">
        <v>73</v>
      </c>
      <c r="H45" s="32"/>
      <c r="I45" s="32" t="s">
        <v>201</v>
      </c>
      <c r="K45" s="31">
        <f>35*8*2.2</f>
        <v>616</v>
      </c>
      <c r="L45" s="33">
        <v>8</v>
      </c>
      <c r="S45" s="33">
        <v>8</v>
      </c>
      <c r="Y45" s="31" t="s">
        <v>51</v>
      </c>
      <c r="Z45" s="31" t="s">
        <v>146</v>
      </c>
      <c r="AE45" s="31" t="s">
        <v>174</v>
      </c>
      <c r="AK45" s="32">
        <v>35</v>
      </c>
      <c r="AO45" s="46"/>
      <c r="AP45" s="46"/>
      <c r="AQ45" s="32" t="s">
        <v>202</v>
      </c>
      <c r="AU45">
        <v>43</v>
      </c>
    </row>
    <row r="46" spans="1:47" x14ac:dyDescent="0.2">
      <c r="A46" s="44">
        <v>5514</v>
      </c>
      <c r="B46" s="42" t="s">
        <v>85</v>
      </c>
      <c r="C46" s="39" t="s">
        <v>142</v>
      </c>
      <c r="D46" s="29"/>
      <c r="E46" s="36" t="s">
        <v>203</v>
      </c>
      <c r="F46" s="31" t="s">
        <v>204</v>
      </c>
      <c r="G46" s="31" t="s">
        <v>205</v>
      </c>
      <c r="H46" s="32"/>
      <c r="I46" s="32" t="s">
        <v>206</v>
      </c>
      <c r="K46" s="31">
        <f>16*8*2.2</f>
        <v>281.60000000000002</v>
      </c>
      <c r="L46" s="33">
        <v>4</v>
      </c>
      <c r="S46" s="33">
        <v>4</v>
      </c>
      <c r="Y46" s="31" t="s">
        <v>51</v>
      </c>
      <c r="Z46" s="31" t="s">
        <v>146</v>
      </c>
      <c r="AE46" s="31" t="s">
        <v>174</v>
      </c>
      <c r="AK46" s="32">
        <v>16</v>
      </c>
      <c r="AO46" s="46"/>
      <c r="AP46" s="46"/>
      <c r="AQ46" s="32" t="s">
        <v>196</v>
      </c>
      <c r="AU46">
        <v>44</v>
      </c>
    </row>
    <row r="47" spans="1:47" x14ac:dyDescent="0.2">
      <c r="A47" s="44">
        <v>5514</v>
      </c>
      <c r="B47" s="42" t="s">
        <v>85</v>
      </c>
      <c r="C47" s="43" t="s">
        <v>163</v>
      </c>
      <c r="D47" s="29"/>
      <c r="E47" s="36" t="s">
        <v>207</v>
      </c>
      <c r="F47" s="31" t="s">
        <v>208</v>
      </c>
      <c r="G47" s="31" t="s">
        <v>69</v>
      </c>
      <c r="H47" s="32"/>
      <c r="I47" s="32" t="s">
        <v>209</v>
      </c>
      <c r="K47" s="31">
        <f>(19+6+17)*8*2.2</f>
        <v>739.2</v>
      </c>
      <c r="Y47" s="31" t="s">
        <v>51</v>
      </c>
      <c r="Z47" s="47" t="s">
        <v>146</v>
      </c>
      <c r="AE47" s="31" t="s">
        <v>166</v>
      </c>
      <c r="AF47" s="31">
        <v>45</v>
      </c>
      <c r="AK47" s="32">
        <v>42</v>
      </c>
      <c r="AO47" s="46"/>
      <c r="AP47" s="46"/>
      <c r="AQ47" s="32" t="s">
        <v>210</v>
      </c>
      <c r="AU47">
        <v>45</v>
      </c>
    </row>
    <row r="48" spans="1:47" x14ac:dyDescent="0.2">
      <c r="A48" s="44">
        <v>5514</v>
      </c>
      <c r="B48" s="42" t="s">
        <v>85</v>
      </c>
      <c r="C48" s="39" t="s">
        <v>211</v>
      </c>
      <c r="D48" s="29"/>
      <c r="E48" s="36" t="s">
        <v>212</v>
      </c>
      <c r="F48" s="31" t="s">
        <v>213</v>
      </c>
      <c r="H48" s="32"/>
      <c r="I48" s="32"/>
      <c r="L48" s="33">
        <v>2</v>
      </c>
      <c r="S48" s="33">
        <v>2</v>
      </c>
      <c r="T48" s="31">
        <v>0</v>
      </c>
      <c r="U48" s="31">
        <v>0</v>
      </c>
      <c r="V48" s="31">
        <v>0</v>
      </c>
      <c r="Y48" s="47" t="s">
        <v>51</v>
      </c>
      <c r="Z48" s="47" t="s">
        <v>146</v>
      </c>
      <c r="AE48" s="47" t="s">
        <v>214</v>
      </c>
      <c r="AF48" s="31">
        <v>50</v>
      </c>
      <c r="AO48" s="46"/>
      <c r="AP48" s="46"/>
      <c r="AQ48" s="32" t="s">
        <v>215</v>
      </c>
      <c r="AU48">
        <v>46</v>
      </c>
    </row>
    <row r="49" spans="1:47" x14ac:dyDescent="0.2">
      <c r="A49" s="44">
        <v>5515</v>
      </c>
      <c r="B49" s="42" t="s">
        <v>85</v>
      </c>
      <c r="C49" s="39" t="s">
        <v>142</v>
      </c>
      <c r="D49" s="29"/>
      <c r="E49" s="36" t="s">
        <v>216</v>
      </c>
      <c r="F49" s="31" t="s">
        <v>173</v>
      </c>
      <c r="G49" s="31" t="s">
        <v>69</v>
      </c>
      <c r="H49" s="32"/>
      <c r="I49" s="32" t="s">
        <v>217</v>
      </c>
      <c r="K49" s="31">
        <f>16*8*2.2</f>
        <v>281.60000000000002</v>
      </c>
      <c r="Y49" s="31" t="s">
        <v>51</v>
      </c>
      <c r="Z49" s="31" t="s">
        <v>146</v>
      </c>
      <c r="AE49" s="31" t="s">
        <v>174</v>
      </c>
      <c r="AK49" s="32">
        <v>16</v>
      </c>
      <c r="AO49" s="46"/>
      <c r="AP49" s="46"/>
      <c r="AQ49" s="32" t="s">
        <v>218</v>
      </c>
      <c r="AU49">
        <v>47</v>
      </c>
    </row>
    <row r="50" spans="1:47" x14ac:dyDescent="0.2">
      <c r="A50" s="44">
        <v>5515</v>
      </c>
      <c r="B50" s="42" t="s">
        <v>85</v>
      </c>
      <c r="C50" s="43" t="s">
        <v>163</v>
      </c>
      <c r="D50" s="29"/>
      <c r="E50" s="36" t="s">
        <v>219</v>
      </c>
      <c r="F50" s="31" t="s">
        <v>220</v>
      </c>
      <c r="G50" s="31" t="s">
        <v>49</v>
      </c>
      <c r="H50" s="32"/>
      <c r="I50" s="32" t="s">
        <v>221</v>
      </c>
      <c r="K50" s="31">
        <f>12*8*2.2</f>
        <v>211.20000000000002</v>
      </c>
      <c r="Y50" s="31" t="s">
        <v>51</v>
      </c>
      <c r="Z50" s="47" t="s">
        <v>146</v>
      </c>
      <c r="AE50" s="31" t="s">
        <v>166</v>
      </c>
      <c r="AF50" s="31">
        <v>70</v>
      </c>
      <c r="AK50" s="32">
        <v>12</v>
      </c>
      <c r="AO50" s="46"/>
      <c r="AP50" s="46"/>
      <c r="AQ50" s="32" t="s">
        <v>218</v>
      </c>
      <c r="AU50">
        <v>48</v>
      </c>
    </row>
    <row r="51" spans="1:47" x14ac:dyDescent="0.2">
      <c r="A51" s="44">
        <v>5515</v>
      </c>
      <c r="B51" s="42" t="s">
        <v>85</v>
      </c>
      <c r="C51" s="39" t="s">
        <v>222</v>
      </c>
      <c r="D51" s="29"/>
      <c r="E51" s="36" t="s">
        <v>223</v>
      </c>
      <c r="F51" s="31" t="s">
        <v>224</v>
      </c>
      <c r="H51" s="32"/>
      <c r="I51" s="32"/>
      <c r="L51" s="33">
        <v>2</v>
      </c>
      <c r="S51" s="33">
        <v>2</v>
      </c>
      <c r="T51" s="31">
        <v>0</v>
      </c>
      <c r="U51" s="31">
        <v>0</v>
      </c>
      <c r="V51" s="31">
        <v>1</v>
      </c>
      <c r="Y51" s="47" t="s">
        <v>51</v>
      </c>
      <c r="Z51" s="47" t="s">
        <v>146</v>
      </c>
      <c r="AE51" s="47" t="s">
        <v>214</v>
      </c>
      <c r="AF51" s="31">
        <v>45</v>
      </c>
      <c r="AO51" s="46"/>
      <c r="AP51" s="46"/>
      <c r="AQ51" s="32" t="s">
        <v>215</v>
      </c>
      <c r="AU51">
        <v>49</v>
      </c>
    </row>
    <row r="52" spans="1:47" x14ac:dyDescent="0.2">
      <c r="A52" s="44">
        <v>5521</v>
      </c>
      <c r="B52" s="42" t="s">
        <v>85</v>
      </c>
      <c r="C52" s="39" t="s">
        <v>168</v>
      </c>
      <c r="D52" s="29"/>
      <c r="E52" s="36" t="s">
        <v>225</v>
      </c>
      <c r="F52" s="31" t="s">
        <v>150</v>
      </c>
      <c r="G52" s="31" t="s">
        <v>49</v>
      </c>
      <c r="H52" s="32"/>
      <c r="I52" s="32" t="s">
        <v>226</v>
      </c>
      <c r="K52" s="31">
        <f>8*8*2.2</f>
        <v>140.80000000000001</v>
      </c>
      <c r="AO52" s="46"/>
      <c r="AP52" s="46"/>
      <c r="AQ52" s="32" t="s">
        <v>227</v>
      </c>
      <c r="AU52">
        <v>50</v>
      </c>
    </row>
    <row r="53" spans="1:47" x14ac:dyDescent="0.2">
      <c r="A53" s="44">
        <v>5525</v>
      </c>
      <c r="B53" s="42" t="s">
        <v>85</v>
      </c>
      <c r="C53" s="39" t="s">
        <v>228</v>
      </c>
      <c r="D53" s="29"/>
      <c r="E53" s="36" t="s">
        <v>229</v>
      </c>
      <c r="F53" s="31" t="s">
        <v>230</v>
      </c>
      <c r="H53" s="32"/>
      <c r="I53" s="32" t="s">
        <v>231</v>
      </c>
      <c r="L53" s="33">
        <v>10</v>
      </c>
      <c r="AE53" s="31" t="s">
        <v>232</v>
      </c>
      <c r="AO53" s="46"/>
      <c r="AP53" s="46"/>
      <c r="AQ53" t="s">
        <v>233</v>
      </c>
      <c r="AU53">
        <v>51</v>
      </c>
    </row>
    <row r="54" spans="1:47" x14ac:dyDescent="0.2">
      <c r="A54" s="44">
        <v>5526</v>
      </c>
      <c r="B54" s="42" t="s">
        <v>85</v>
      </c>
      <c r="C54" s="39" t="s">
        <v>222</v>
      </c>
      <c r="D54" s="29"/>
      <c r="E54" s="36" t="s">
        <v>234</v>
      </c>
      <c r="F54" s="31" t="s">
        <v>204</v>
      </c>
      <c r="G54" s="31" t="s">
        <v>205</v>
      </c>
      <c r="H54" s="32"/>
      <c r="I54" s="32" t="s">
        <v>235</v>
      </c>
      <c r="L54" s="33">
        <v>8</v>
      </c>
      <c r="S54" s="33">
        <v>8</v>
      </c>
      <c r="T54" s="31">
        <v>0</v>
      </c>
      <c r="U54" s="31">
        <v>0</v>
      </c>
      <c r="V54" s="31">
        <v>0</v>
      </c>
      <c r="Y54" s="47" t="s">
        <v>51</v>
      </c>
      <c r="Z54" s="47" t="s">
        <v>146</v>
      </c>
      <c r="AE54" s="47" t="s">
        <v>214</v>
      </c>
      <c r="AF54" s="31">
        <v>50</v>
      </c>
      <c r="AK54" s="32">
        <v>31</v>
      </c>
      <c r="AO54" s="46"/>
      <c r="AP54" s="46"/>
      <c r="AQ54" s="32" t="s">
        <v>215</v>
      </c>
      <c r="AU54">
        <v>52</v>
      </c>
    </row>
    <row r="55" spans="1:47" x14ac:dyDescent="0.2">
      <c r="A55" s="44">
        <v>5530</v>
      </c>
      <c r="B55" s="42" t="s">
        <v>85</v>
      </c>
      <c r="C55" s="39" t="s">
        <v>142</v>
      </c>
      <c r="D55" s="29"/>
      <c r="E55" s="36" t="s">
        <v>236</v>
      </c>
      <c r="F55" s="31" t="s">
        <v>237</v>
      </c>
      <c r="G55" s="31" t="s">
        <v>49</v>
      </c>
      <c r="H55" s="32"/>
      <c r="I55" s="32" t="s">
        <v>238</v>
      </c>
      <c r="K55" s="31">
        <f>(16*8+9*44)*2.2</f>
        <v>1152.8000000000002</v>
      </c>
      <c r="Y55" s="31" t="s">
        <v>51</v>
      </c>
      <c r="Z55" s="31" t="s">
        <v>146</v>
      </c>
      <c r="AC55" s="34">
        <v>0.4375</v>
      </c>
      <c r="AE55" s="31" t="s">
        <v>239</v>
      </c>
      <c r="AF55" s="31">
        <v>50</v>
      </c>
      <c r="AK55" s="32">
        <v>25</v>
      </c>
      <c r="AO55" s="46"/>
      <c r="AP55" s="46"/>
      <c r="AQ55" s="32" t="s">
        <v>240</v>
      </c>
      <c r="AU55">
        <v>53</v>
      </c>
    </row>
    <row r="56" spans="1:47" x14ac:dyDescent="0.2">
      <c r="A56" s="44">
        <v>5531</v>
      </c>
      <c r="B56" s="42" t="s">
        <v>85</v>
      </c>
      <c r="C56" s="39" t="s">
        <v>222</v>
      </c>
      <c r="D56" s="29"/>
      <c r="E56" s="36" t="s">
        <v>241</v>
      </c>
      <c r="F56" s="31" t="s">
        <v>242</v>
      </c>
      <c r="G56" s="31" t="s">
        <v>69</v>
      </c>
      <c r="H56" s="32"/>
      <c r="I56" s="32" t="s">
        <v>243</v>
      </c>
      <c r="K56" s="31">
        <f>4*8*2.2</f>
        <v>70.400000000000006</v>
      </c>
      <c r="L56" s="33">
        <v>7</v>
      </c>
      <c r="M56" s="31">
        <v>6</v>
      </c>
      <c r="S56" s="33">
        <v>1</v>
      </c>
      <c r="T56" s="31">
        <v>0</v>
      </c>
      <c r="U56" s="31">
        <v>0</v>
      </c>
      <c r="V56" s="31">
        <v>0</v>
      </c>
      <c r="Y56" s="47" t="s">
        <v>51</v>
      </c>
      <c r="Z56" s="47" t="s">
        <v>146</v>
      </c>
      <c r="AE56" s="47" t="s">
        <v>214</v>
      </c>
      <c r="AF56" s="31">
        <v>70</v>
      </c>
      <c r="AO56" s="46"/>
      <c r="AP56" s="46"/>
      <c r="AQ56" s="32" t="s">
        <v>244</v>
      </c>
      <c r="AU56">
        <v>54</v>
      </c>
    </row>
    <row r="57" spans="1:47" x14ac:dyDescent="0.2">
      <c r="A57" s="44">
        <v>5534</v>
      </c>
      <c r="B57" s="42" t="s">
        <v>85</v>
      </c>
      <c r="C57" s="39" t="s">
        <v>142</v>
      </c>
      <c r="D57" s="29"/>
      <c r="E57" s="36" t="s">
        <v>245</v>
      </c>
      <c r="F57" s="31" t="s">
        <v>246</v>
      </c>
      <c r="G57" s="31" t="s">
        <v>49</v>
      </c>
      <c r="H57" s="32"/>
      <c r="I57" s="32" t="s">
        <v>247</v>
      </c>
      <c r="K57" s="31">
        <f>(15*8+11*44)*2.2</f>
        <v>1328.8000000000002</v>
      </c>
      <c r="T57" s="31">
        <v>0</v>
      </c>
      <c r="U57" s="31">
        <v>0</v>
      </c>
      <c r="V57" s="31">
        <v>0</v>
      </c>
      <c r="Y57" s="31" t="s">
        <v>51</v>
      </c>
      <c r="Z57" s="31" t="s">
        <v>146</v>
      </c>
      <c r="AA57" s="34">
        <v>0.42708333333333331</v>
      </c>
      <c r="AE57" s="31" t="s">
        <v>239</v>
      </c>
      <c r="AF57" s="31">
        <v>45</v>
      </c>
      <c r="AK57" s="32">
        <v>26</v>
      </c>
      <c r="AO57" s="46"/>
      <c r="AP57" s="46"/>
      <c r="AQ57" s="32" t="s">
        <v>248</v>
      </c>
      <c r="AU57">
        <v>55</v>
      </c>
    </row>
    <row r="58" spans="1:47" x14ac:dyDescent="0.2">
      <c r="A58" s="37">
        <v>5535</v>
      </c>
      <c r="B58" s="38" t="s">
        <v>85</v>
      </c>
      <c r="C58" s="39" t="s">
        <v>142</v>
      </c>
      <c r="D58" s="29"/>
      <c r="E58" s="38" t="s">
        <v>249</v>
      </c>
      <c r="F58" s="32" t="s">
        <v>250</v>
      </c>
      <c r="G58" s="47" t="s">
        <v>49</v>
      </c>
      <c r="H58"/>
      <c r="I58" s="32" t="s">
        <v>251</v>
      </c>
      <c r="J58" s="47"/>
      <c r="K58" s="47">
        <f>4*44*2.2</f>
        <v>387.20000000000005</v>
      </c>
      <c r="L58" s="48">
        <v>7</v>
      </c>
      <c r="M58" s="47">
        <v>4</v>
      </c>
      <c r="N58" s="47"/>
      <c r="O58" s="47"/>
      <c r="P58" s="47"/>
      <c r="Q58" s="47"/>
      <c r="R58" s="47"/>
      <c r="S58" s="48">
        <v>3</v>
      </c>
      <c r="T58" s="47">
        <v>0</v>
      </c>
      <c r="U58" s="47">
        <v>0</v>
      </c>
      <c r="V58" s="47">
        <v>0</v>
      </c>
      <c r="W58" s="47"/>
      <c r="X58" s="47"/>
      <c r="Y58" s="47" t="s">
        <v>51</v>
      </c>
      <c r="Z58" s="31" t="s">
        <v>146</v>
      </c>
      <c r="AA58" s="49"/>
      <c r="AB58" s="49"/>
      <c r="AC58" s="49"/>
      <c r="AD58" s="50"/>
      <c r="AE58" s="31" t="s">
        <v>239</v>
      </c>
      <c r="AF58" s="47">
        <v>40</v>
      </c>
      <c r="AG58"/>
      <c r="AH58"/>
      <c r="AI58"/>
      <c r="AJ58"/>
      <c r="AK58" s="32">
        <v>4</v>
      </c>
      <c r="AL58"/>
      <c r="AM58"/>
      <c r="AN58"/>
      <c r="AO58"/>
      <c r="AP58"/>
      <c r="AQ58" s="32" t="s">
        <v>252</v>
      </c>
      <c r="AU58">
        <v>56</v>
      </c>
    </row>
    <row r="59" spans="1:47" x14ac:dyDescent="0.2">
      <c r="A59" s="37">
        <v>5535</v>
      </c>
      <c r="B59" s="38"/>
      <c r="C59" s="39" t="s">
        <v>253</v>
      </c>
      <c r="D59" s="29"/>
      <c r="E59" s="38" t="s">
        <v>254</v>
      </c>
      <c r="F59" s="32" t="s">
        <v>255</v>
      </c>
      <c r="G59" s="47"/>
      <c r="H59"/>
      <c r="I59" s="32" t="s">
        <v>256</v>
      </c>
      <c r="J59" s="47"/>
      <c r="K59" s="47"/>
      <c r="L59" s="48"/>
      <c r="M59" s="47"/>
      <c r="N59" s="47"/>
      <c r="O59" s="47"/>
      <c r="P59" s="47"/>
      <c r="Q59" s="47"/>
      <c r="R59" s="47"/>
      <c r="S59" s="48"/>
      <c r="T59" s="47"/>
      <c r="U59" s="47"/>
      <c r="V59" s="47"/>
      <c r="W59" s="47"/>
      <c r="X59" s="47"/>
      <c r="Y59" s="47"/>
      <c r="Z59" s="47"/>
      <c r="AA59" s="49"/>
      <c r="AB59" s="49"/>
      <c r="AC59" s="49"/>
      <c r="AD59" s="50"/>
      <c r="AE59" s="47"/>
      <c r="AF59" s="47"/>
      <c r="AG59"/>
      <c r="AH59"/>
      <c r="AI59"/>
      <c r="AJ59"/>
      <c r="AK59"/>
      <c r="AL59"/>
      <c r="AM59"/>
      <c r="AN59"/>
      <c r="AO59"/>
      <c r="AP59"/>
      <c r="AQ59" s="32" t="s">
        <v>257</v>
      </c>
      <c r="AU59">
        <v>57</v>
      </c>
    </row>
    <row r="60" spans="1:47" x14ac:dyDescent="0.2">
      <c r="A60" s="37">
        <v>5536</v>
      </c>
      <c r="B60" s="38" t="s">
        <v>85</v>
      </c>
      <c r="C60" s="39" t="s">
        <v>142</v>
      </c>
      <c r="D60" s="29"/>
      <c r="E60" s="38" t="s">
        <v>258</v>
      </c>
      <c r="F60" s="32" t="s">
        <v>259</v>
      </c>
      <c r="G60" s="47" t="s">
        <v>49</v>
      </c>
      <c r="H60"/>
      <c r="I60" s="32" t="s">
        <v>260</v>
      </c>
      <c r="J60" s="47"/>
      <c r="K60" s="47">
        <f>(12*44+20*8)*2.2</f>
        <v>1513.6000000000001</v>
      </c>
      <c r="L60" s="48">
        <v>7</v>
      </c>
      <c r="M60" s="47"/>
      <c r="N60" s="47"/>
      <c r="O60" s="47"/>
      <c r="P60" s="47"/>
      <c r="Q60" s="47"/>
      <c r="R60" s="47"/>
      <c r="S60" s="48">
        <v>7</v>
      </c>
      <c r="T60" s="47">
        <v>0</v>
      </c>
      <c r="U60" s="47">
        <v>0</v>
      </c>
      <c r="V60" s="47">
        <v>0</v>
      </c>
      <c r="W60" s="47"/>
      <c r="X60" s="47"/>
      <c r="Y60" s="47"/>
      <c r="Z60" s="31" t="s">
        <v>146</v>
      </c>
      <c r="AA60" s="49"/>
      <c r="AB60" s="49"/>
      <c r="AC60" s="49"/>
      <c r="AD60" s="50"/>
      <c r="AE60" s="31" t="s">
        <v>239</v>
      </c>
      <c r="AF60" s="47">
        <v>45</v>
      </c>
      <c r="AG60"/>
      <c r="AH60"/>
      <c r="AI60"/>
      <c r="AJ60"/>
      <c r="AK60">
        <v>32</v>
      </c>
      <c r="AL60"/>
      <c r="AM60"/>
      <c r="AN60"/>
      <c r="AO60"/>
      <c r="AP60"/>
      <c r="AQ60" s="32" t="s">
        <v>261</v>
      </c>
      <c r="AU60">
        <v>58</v>
      </c>
    </row>
    <row r="61" spans="1:47" x14ac:dyDescent="0.2">
      <c r="A61" s="37" t="s">
        <v>262</v>
      </c>
      <c r="B61" s="38"/>
      <c r="C61" s="39" t="s">
        <v>263</v>
      </c>
      <c r="D61" s="29"/>
      <c r="E61" s="38" t="s">
        <v>264</v>
      </c>
      <c r="F61" s="32" t="s">
        <v>265</v>
      </c>
      <c r="G61" s="47"/>
      <c r="H61"/>
      <c r="I61" s="32" t="s">
        <v>266</v>
      </c>
      <c r="J61" s="47"/>
      <c r="K61" s="47"/>
      <c r="L61" s="48"/>
      <c r="M61" s="47"/>
      <c r="N61" s="47"/>
      <c r="O61" s="47"/>
      <c r="P61" s="47"/>
      <c r="Q61" s="47"/>
      <c r="R61" s="47"/>
      <c r="S61" s="48"/>
      <c r="T61" s="47"/>
      <c r="U61" s="47"/>
      <c r="V61" s="47"/>
      <c r="W61" s="47"/>
      <c r="X61" s="47"/>
      <c r="Y61" s="47"/>
      <c r="Z61" s="47"/>
      <c r="AA61" s="49"/>
      <c r="AB61" s="49"/>
      <c r="AC61" s="49"/>
      <c r="AD61" s="50"/>
      <c r="AE61" s="47"/>
      <c r="AF61" s="47"/>
      <c r="AG61"/>
      <c r="AH61"/>
      <c r="AI61"/>
      <c r="AJ61"/>
      <c r="AK61"/>
      <c r="AL61"/>
      <c r="AM61"/>
      <c r="AN61"/>
      <c r="AO61"/>
      <c r="AP61"/>
      <c r="AQ61" t="s">
        <v>267</v>
      </c>
      <c r="AU61">
        <v>59</v>
      </c>
    </row>
    <row r="62" spans="1:47" x14ac:dyDescent="0.2">
      <c r="A62" s="44">
        <v>5540</v>
      </c>
      <c r="B62" s="42" t="s">
        <v>85</v>
      </c>
      <c r="C62" s="39" t="s">
        <v>142</v>
      </c>
      <c r="D62" s="29"/>
      <c r="E62" s="38" t="s">
        <v>268</v>
      </c>
      <c r="F62" s="32" t="s">
        <v>269</v>
      </c>
      <c r="G62" s="47" t="s">
        <v>49</v>
      </c>
      <c r="H62"/>
      <c r="I62" s="32" t="s">
        <v>270</v>
      </c>
      <c r="J62" s="47"/>
      <c r="K62" s="47">
        <f>44*8*2.2</f>
        <v>774.40000000000009</v>
      </c>
      <c r="L62" s="48">
        <v>13</v>
      </c>
      <c r="M62" s="47">
        <v>7</v>
      </c>
      <c r="N62" s="47"/>
      <c r="O62" s="47"/>
      <c r="P62" s="47"/>
      <c r="Q62" s="47"/>
      <c r="R62" s="47"/>
      <c r="S62" s="48">
        <v>6</v>
      </c>
      <c r="T62" s="47">
        <v>0</v>
      </c>
      <c r="U62" s="47">
        <v>0</v>
      </c>
      <c r="V62" s="47">
        <v>0</v>
      </c>
      <c r="W62" s="47"/>
      <c r="X62" s="47"/>
      <c r="Y62" s="47" t="s">
        <v>51</v>
      </c>
      <c r="Z62" s="31" t="s">
        <v>146</v>
      </c>
      <c r="AA62" s="49"/>
      <c r="AB62" s="49"/>
      <c r="AC62" s="49"/>
      <c r="AD62" s="50"/>
      <c r="AE62" s="31" t="s">
        <v>239</v>
      </c>
      <c r="AF62" s="47">
        <v>35</v>
      </c>
      <c r="AG62"/>
      <c r="AH62"/>
      <c r="AI62"/>
      <c r="AJ62"/>
      <c r="AK62">
        <v>44</v>
      </c>
      <c r="AL62"/>
      <c r="AM62"/>
      <c r="AN62"/>
      <c r="AO62"/>
      <c r="AP62"/>
      <c r="AQ62" s="32" t="s">
        <v>271</v>
      </c>
      <c r="AU62">
        <v>60</v>
      </c>
    </row>
    <row r="63" spans="1:47" x14ac:dyDescent="0.2">
      <c r="A63" s="37">
        <v>5541</v>
      </c>
      <c r="B63" s="38" t="s">
        <v>85</v>
      </c>
      <c r="C63" s="39" t="s">
        <v>168</v>
      </c>
      <c r="D63" s="29"/>
      <c r="E63" s="38" t="s">
        <v>272</v>
      </c>
      <c r="F63" s="32" t="s">
        <v>273</v>
      </c>
      <c r="G63" s="47" t="s">
        <v>274</v>
      </c>
      <c r="H63"/>
      <c r="I63" s="32" t="s">
        <v>275</v>
      </c>
      <c r="J63" s="47"/>
      <c r="K63" s="47">
        <f>4*8*2.2</f>
        <v>70.400000000000006</v>
      </c>
      <c r="L63" s="48"/>
      <c r="M63" s="47"/>
      <c r="N63" s="47"/>
      <c r="O63" s="47"/>
      <c r="P63" s="47"/>
      <c r="Q63" s="47"/>
      <c r="R63" s="47"/>
      <c r="S63" s="48">
        <v>1</v>
      </c>
      <c r="T63" s="47"/>
      <c r="U63" s="47"/>
      <c r="V63" s="47"/>
      <c r="W63" s="47">
        <f>1500/0.305</f>
        <v>4918.0327868852464</v>
      </c>
      <c r="X63" s="47"/>
      <c r="Y63" s="47"/>
      <c r="Z63" s="47"/>
      <c r="AA63" s="49"/>
      <c r="AB63" s="49"/>
      <c r="AC63" s="49"/>
      <c r="AD63" s="50"/>
      <c r="AE63" s="47"/>
      <c r="AF63" s="47"/>
      <c r="AG63"/>
      <c r="AH63"/>
      <c r="AI63"/>
      <c r="AJ63"/>
      <c r="AK63"/>
      <c r="AL63"/>
      <c r="AM63"/>
      <c r="AN63"/>
      <c r="AO63"/>
      <c r="AP63"/>
      <c r="AQ63" t="s">
        <v>276</v>
      </c>
      <c r="AU63">
        <v>61</v>
      </c>
    </row>
    <row r="64" spans="1:47" x14ac:dyDescent="0.2">
      <c r="A64" s="37">
        <v>5542</v>
      </c>
      <c r="B64" s="38" t="s">
        <v>85</v>
      </c>
      <c r="C64" s="39" t="s">
        <v>142</v>
      </c>
      <c r="D64" s="29"/>
      <c r="E64" s="38" t="s">
        <v>277</v>
      </c>
      <c r="F64" s="32" t="s">
        <v>278</v>
      </c>
      <c r="G64" s="47" t="s">
        <v>49</v>
      </c>
      <c r="H64"/>
      <c r="I64" s="32" t="s">
        <v>279</v>
      </c>
      <c r="J64" s="47"/>
      <c r="K64" s="47">
        <f>95*8*2.2</f>
        <v>1672.0000000000002</v>
      </c>
      <c r="L64" s="48">
        <v>14</v>
      </c>
      <c r="M64" s="47"/>
      <c r="N64" s="47"/>
      <c r="O64" s="47"/>
      <c r="P64" s="47"/>
      <c r="Q64" s="47"/>
      <c r="R64" s="47"/>
      <c r="S64" s="48">
        <v>14</v>
      </c>
      <c r="T64" s="47">
        <v>0</v>
      </c>
      <c r="U64" s="47">
        <v>0</v>
      </c>
      <c r="V64" s="47">
        <v>0</v>
      </c>
      <c r="W64" s="47"/>
      <c r="X64" s="47"/>
      <c r="Y64" s="47" t="s">
        <v>51</v>
      </c>
      <c r="Z64" s="31" t="s">
        <v>146</v>
      </c>
      <c r="AA64" s="49"/>
      <c r="AB64" s="49"/>
      <c r="AC64" s="49"/>
      <c r="AD64" s="50"/>
      <c r="AE64" s="31" t="s">
        <v>239</v>
      </c>
      <c r="AF64" s="47">
        <v>25</v>
      </c>
      <c r="AG64"/>
      <c r="AH64"/>
      <c r="AI64"/>
      <c r="AJ64"/>
      <c r="AK64">
        <v>95</v>
      </c>
      <c r="AL64"/>
      <c r="AM64"/>
      <c r="AN64"/>
      <c r="AO64"/>
      <c r="AP64"/>
      <c r="AQ64" t="s">
        <v>280</v>
      </c>
      <c r="AU64">
        <v>62</v>
      </c>
    </row>
    <row r="65" spans="1:47" x14ac:dyDescent="0.2">
      <c r="A65" s="37">
        <v>5544</v>
      </c>
      <c r="B65" s="38" t="s">
        <v>85</v>
      </c>
      <c r="C65" s="39" t="s">
        <v>168</v>
      </c>
      <c r="D65" s="29"/>
      <c r="E65" s="38" t="s">
        <v>272</v>
      </c>
      <c r="F65" s="32" t="s">
        <v>273</v>
      </c>
      <c r="G65" s="47" t="s">
        <v>274</v>
      </c>
      <c r="H65"/>
      <c r="I65" s="32" t="s">
        <v>281</v>
      </c>
      <c r="J65" s="47"/>
      <c r="K65" s="47"/>
      <c r="L65" s="48"/>
      <c r="M65" s="47"/>
      <c r="N65" s="47"/>
      <c r="O65" s="47"/>
      <c r="P65" s="47"/>
      <c r="Q65" s="47"/>
      <c r="R65" s="47"/>
      <c r="S65" s="48"/>
      <c r="T65" s="47"/>
      <c r="U65" s="47"/>
      <c r="V65" s="47"/>
      <c r="W65" s="47"/>
      <c r="X65" s="47"/>
      <c r="Y65" s="47"/>
      <c r="Z65" s="47"/>
      <c r="AA65" s="49"/>
      <c r="AB65" s="49"/>
      <c r="AC65" s="49"/>
      <c r="AD65" s="50"/>
      <c r="AE65" s="47"/>
      <c r="AF65" s="47"/>
      <c r="AG65"/>
      <c r="AH65"/>
      <c r="AI65"/>
      <c r="AJ65"/>
      <c r="AK65"/>
      <c r="AL65"/>
      <c r="AM65"/>
      <c r="AN65"/>
      <c r="AO65"/>
      <c r="AP65"/>
      <c r="AQ65"/>
      <c r="AU65">
        <v>63</v>
      </c>
    </row>
    <row r="66" spans="1:47" x14ac:dyDescent="0.2">
      <c r="A66" s="37">
        <v>5545</v>
      </c>
      <c r="B66" s="38" t="s">
        <v>85</v>
      </c>
      <c r="C66" s="39" t="s">
        <v>228</v>
      </c>
      <c r="D66" s="29"/>
      <c r="E66" s="36" t="s">
        <v>282</v>
      </c>
      <c r="F66" s="31" t="s">
        <v>230</v>
      </c>
      <c r="G66" s="47"/>
      <c r="H66"/>
      <c r="I66" s="32"/>
      <c r="J66" s="47"/>
      <c r="K66" s="47"/>
      <c r="L66" s="48">
        <v>6</v>
      </c>
      <c r="M66" s="47"/>
      <c r="N66" s="47"/>
      <c r="O66" s="47"/>
      <c r="P66" s="47"/>
      <c r="Q66" s="47"/>
      <c r="R66" s="47"/>
      <c r="S66" s="48"/>
      <c r="T66" s="47"/>
      <c r="U66" s="47"/>
      <c r="V66" s="47"/>
      <c r="W66" s="47"/>
      <c r="X66" s="47"/>
      <c r="Y66" s="47"/>
      <c r="Z66" s="47"/>
      <c r="AA66" s="49"/>
      <c r="AB66" s="49"/>
      <c r="AC66" s="49"/>
      <c r="AD66" s="50"/>
      <c r="AE66" s="47" t="s">
        <v>283</v>
      </c>
      <c r="AF66" s="47">
        <v>45</v>
      </c>
      <c r="AG66"/>
      <c r="AH66"/>
      <c r="AI66"/>
      <c r="AJ66"/>
      <c r="AK66"/>
      <c r="AL66"/>
      <c r="AM66"/>
      <c r="AN66"/>
      <c r="AO66"/>
      <c r="AP66"/>
      <c r="AQ66" t="s">
        <v>233</v>
      </c>
      <c r="AU66">
        <v>64</v>
      </c>
    </row>
    <row r="67" spans="1:47" x14ac:dyDescent="0.2">
      <c r="A67" s="37">
        <v>5547</v>
      </c>
      <c r="B67" s="38" t="s">
        <v>85</v>
      </c>
      <c r="C67" s="39" t="s">
        <v>142</v>
      </c>
      <c r="D67" s="29"/>
      <c r="E67" s="36" t="s">
        <v>284</v>
      </c>
      <c r="F67" s="31" t="s">
        <v>285</v>
      </c>
      <c r="G67" s="47" t="s">
        <v>69</v>
      </c>
      <c r="H67"/>
      <c r="I67" s="32" t="s">
        <v>286</v>
      </c>
      <c r="J67" s="47"/>
      <c r="K67" s="47">
        <f>30*8*2.2</f>
        <v>528</v>
      </c>
      <c r="L67" s="48"/>
      <c r="M67" s="47"/>
      <c r="N67" s="47"/>
      <c r="O67" s="47"/>
      <c r="P67" s="47"/>
      <c r="Q67" s="47"/>
      <c r="R67" s="47"/>
      <c r="S67" s="48">
        <v>7</v>
      </c>
      <c r="T67" s="47">
        <v>0</v>
      </c>
      <c r="U67" s="47">
        <v>1</v>
      </c>
      <c r="V67" s="47">
        <v>0</v>
      </c>
      <c r="W67" s="47"/>
      <c r="X67" s="47"/>
      <c r="Y67" s="47" t="s">
        <v>51</v>
      </c>
      <c r="Z67" s="31" t="s">
        <v>146</v>
      </c>
      <c r="AA67" s="49">
        <v>0.33333333333333331</v>
      </c>
      <c r="AB67" s="49"/>
      <c r="AC67" s="49"/>
      <c r="AD67" s="50"/>
      <c r="AE67" s="31" t="s">
        <v>239</v>
      </c>
      <c r="AF67" s="47">
        <v>35</v>
      </c>
      <c r="AG67"/>
      <c r="AH67"/>
      <c r="AI67"/>
      <c r="AJ67"/>
      <c r="AK67">
        <v>30</v>
      </c>
      <c r="AL67"/>
      <c r="AM67"/>
      <c r="AN67"/>
      <c r="AO67"/>
      <c r="AP67"/>
      <c r="AQ67" t="s">
        <v>287</v>
      </c>
      <c r="AU67">
        <v>65</v>
      </c>
    </row>
    <row r="68" spans="1:47" x14ac:dyDescent="0.2">
      <c r="A68" s="37">
        <v>5547</v>
      </c>
      <c r="B68" s="51">
        <v>0.52083333333333337</v>
      </c>
      <c r="C68" s="39" t="s">
        <v>222</v>
      </c>
      <c r="D68" s="29"/>
      <c r="E68" s="36" t="s">
        <v>288</v>
      </c>
      <c r="F68" s="31" t="s">
        <v>289</v>
      </c>
      <c r="G68" s="47" t="s">
        <v>69</v>
      </c>
      <c r="H68"/>
      <c r="I68" s="32" t="b">
        <v>1</v>
      </c>
      <c r="J68" s="47" t="b">
        <v>1</v>
      </c>
      <c r="K68" s="47">
        <f>15*8*2.2</f>
        <v>264</v>
      </c>
      <c r="L68" s="48">
        <v>7</v>
      </c>
      <c r="M68" s="47">
        <v>2</v>
      </c>
      <c r="N68" s="47">
        <v>2</v>
      </c>
      <c r="O68" s="47"/>
      <c r="P68" s="47">
        <v>2</v>
      </c>
      <c r="Q68" s="47"/>
      <c r="R68" s="47"/>
      <c r="S68" s="48">
        <v>3</v>
      </c>
      <c r="T68" s="31">
        <v>0</v>
      </c>
      <c r="U68" s="31">
        <v>0</v>
      </c>
      <c r="V68" s="31">
        <v>0</v>
      </c>
      <c r="W68" s="47">
        <f>2400*39.37/12</f>
        <v>7874</v>
      </c>
      <c r="X68" s="47"/>
      <c r="Y68" s="47" t="s">
        <v>51</v>
      </c>
      <c r="Z68" s="47" t="s">
        <v>146</v>
      </c>
      <c r="AA68" s="49">
        <v>0.46875</v>
      </c>
      <c r="AB68" s="49"/>
      <c r="AC68" s="49"/>
      <c r="AD68" s="50"/>
      <c r="AE68" s="47" t="s">
        <v>214</v>
      </c>
      <c r="AF68" s="47">
        <v>55</v>
      </c>
      <c r="AG68"/>
      <c r="AH68"/>
      <c r="AI68"/>
      <c r="AJ68"/>
      <c r="AK68">
        <v>5</v>
      </c>
      <c r="AL68"/>
      <c r="AM68"/>
      <c r="AN68"/>
      <c r="AO68"/>
      <c r="AP68"/>
      <c r="AQ68" t="s">
        <v>290</v>
      </c>
      <c r="AR68" s="32" t="s">
        <v>291</v>
      </c>
      <c r="AU68">
        <v>66</v>
      </c>
    </row>
    <row r="69" spans="1:47" x14ac:dyDescent="0.2">
      <c r="A69" s="37">
        <v>5547</v>
      </c>
      <c r="B69" s="51">
        <v>0.52083333333333337</v>
      </c>
      <c r="C69" s="39" t="s">
        <v>222</v>
      </c>
      <c r="D69" s="29"/>
      <c r="E69" s="36" t="s">
        <v>292</v>
      </c>
      <c r="F69" s="31" t="s">
        <v>293</v>
      </c>
      <c r="G69" s="47" t="s">
        <v>205</v>
      </c>
      <c r="H69"/>
      <c r="I69" s="32" t="b">
        <v>0</v>
      </c>
      <c r="J69" s="32" t="b">
        <v>0</v>
      </c>
      <c r="K69" s="47">
        <f>5*8*2.2</f>
        <v>88</v>
      </c>
      <c r="L69" s="48"/>
      <c r="M69" s="47"/>
      <c r="N69" s="47"/>
      <c r="O69" s="47"/>
      <c r="P69" s="47"/>
      <c r="Q69" s="47"/>
      <c r="R69" s="47"/>
      <c r="S69" s="48">
        <v>1</v>
      </c>
      <c r="T69" s="31">
        <v>0</v>
      </c>
      <c r="U69" s="31">
        <v>1</v>
      </c>
      <c r="V69" s="31">
        <v>0</v>
      </c>
      <c r="W69" s="47">
        <f>2400*39.37/12</f>
        <v>7874</v>
      </c>
      <c r="X69" s="47"/>
      <c r="Y69" s="47" t="s">
        <v>51</v>
      </c>
      <c r="Z69" s="47" t="s">
        <v>146</v>
      </c>
      <c r="AA69" s="49">
        <v>0.46875</v>
      </c>
      <c r="AB69" s="49"/>
      <c r="AC69" s="49"/>
      <c r="AD69" s="50"/>
      <c r="AE69" s="47" t="s">
        <v>214</v>
      </c>
      <c r="AF69" s="47">
        <v>55</v>
      </c>
      <c r="AG69"/>
      <c r="AH69"/>
      <c r="AI69"/>
      <c r="AJ69"/>
      <c r="AK69">
        <v>5</v>
      </c>
      <c r="AL69"/>
      <c r="AM69"/>
      <c r="AN69"/>
      <c r="AO69"/>
      <c r="AP69"/>
      <c r="AQ69" t="s">
        <v>290</v>
      </c>
      <c r="AR69" s="32" t="s">
        <v>291</v>
      </c>
      <c r="AU69">
        <v>66.5</v>
      </c>
    </row>
    <row r="70" spans="1:47" x14ac:dyDescent="0.2">
      <c r="A70" s="37">
        <v>5547</v>
      </c>
      <c r="B70" s="51">
        <v>0.52083333333333337</v>
      </c>
      <c r="C70" s="39" t="s">
        <v>222</v>
      </c>
      <c r="D70" s="29"/>
      <c r="E70" s="36" t="s">
        <v>294</v>
      </c>
      <c r="F70" s="31" t="s">
        <v>295</v>
      </c>
      <c r="G70" s="47" t="s">
        <v>69</v>
      </c>
      <c r="H70"/>
      <c r="I70" s="32" t="b">
        <v>0</v>
      </c>
      <c r="J70" s="32" t="b">
        <v>0</v>
      </c>
      <c r="K70" s="47">
        <f>10*8*2.2</f>
        <v>176</v>
      </c>
      <c r="L70" s="48"/>
      <c r="M70" s="47"/>
      <c r="N70" s="47"/>
      <c r="O70" s="47"/>
      <c r="P70" s="47">
        <v>2</v>
      </c>
      <c r="Q70" s="47"/>
      <c r="R70" s="47"/>
      <c r="S70" s="48">
        <v>2</v>
      </c>
      <c r="T70" s="31">
        <v>0</v>
      </c>
      <c r="U70" s="31">
        <v>0</v>
      </c>
      <c r="V70" s="31">
        <v>0</v>
      </c>
      <c r="W70" s="47">
        <f>2400*39.37/12</f>
        <v>7874</v>
      </c>
      <c r="X70" s="47"/>
      <c r="Y70" s="47" t="s">
        <v>51</v>
      </c>
      <c r="Z70" s="47" t="s">
        <v>146</v>
      </c>
      <c r="AA70" s="49">
        <v>0.46875</v>
      </c>
      <c r="AB70" s="49"/>
      <c r="AC70" s="49"/>
      <c r="AD70" s="50"/>
      <c r="AE70" s="47" t="s">
        <v>214</v>
      </c>
      <c r="AF70" s="47">
        <v>40</v>
      </c>
      <c r="AG70"/>
      <c r="AH70"/>
      <c r="AI70"/>
      <c r="AJ70"/>
      <c r="AK70"/>
      <c r="AL70"/>
      <c r="AM70"/>
      <c r="AN70"/>
      <c r="AO70"/>
      <c r="AP70"/>
      <c r="AQ70" t="s">
        <v>290</v>
      </c>
      <c r="AR70" s="32" t="s">
        <v>291</v>
      </c>
      <c r="AU70">
        <v>67</v>
      </c>
    </row>
    <row r="71" spans="1:47" x14ac:dyDescent="0.2">
      <c r="A71" s="37">
        <v>5548</v>
      </c>
      <c r="B71" s="38" t="s">
        <v>85</v>
      </c>
      <c r="C71" s="39" t="s">
        <v>142</v>
      </c>
      <c r="D71" s="29" t="s">
        <v>296</v>
      </c>
      <c r="E71" s="36" t="s">
        <v>107</v>
      </c>
      <c r="F71" s="31" t="s">
        <v>297</v>
      </c>
      <c r="G71" s="47" t="s">
        <v>49</v>
      </c>
      <c r="H71"/>
      <c r="I71" s="32" t="s">
        <v>298</v>
      </c>
      <c r="J71" s="47"/>
      <c r="K71" s="47">
        <v>0</v>
      </c>
      <c r="L71" s="48">
        <v>13</v>
      </c>
      <c r="M71" s="47">
        <v>13</v>
      </c>
      <c r="N71" s="47"/>
      <c r="O71" s="47"/>
      <c r="P71" s="47"/>
      <c r="Q71" s="47"/>
      <c r="R71" s="47"/>
      <c r="S71" s="48"/>
      <c r="T71" s="31">
        <v>0</v>
      </c>
      <c r="U71" s="31">
        <v>0</v>
      </c>
      <c r="V71" s="31">
        <v>0</v>
      </c>
      <c r="W71" s="47"/>
      <c r="X71" s="47"/>
      <c r="Y71" s="47" t="s">
        <v>51</v>
      </c>
      <c r="Z71" s="31" t="s">
        <v>146</v>
      </c>
      <c r="AA71" s="49"/>
      <c r="AB71" s="49"/>
      <c r="AC71" s="49"/>
      <c r="AD71" s="50"/>
      <c r="AE71" s="31" t="s">
        <v>239</v>
      </c>
      <c r="AF71" s="47"/>
      <c r="AG71"/>
      <c r="AH71"/>
      <c r="AI71"/>
      <c r="AJ71"/>
      <c r="AK71"/>
      <c r="AL71"/>
      <c r="AM71"/>
      <c r="AN71"/>
      <c r="AO71"/>
      <c r="AP71"/>
      <c r="AQ71" t="s">
        <v>299</v>
      </c>
      <c r="AU71">
        <v>68</v>
      </c>
    </row>
    <row r="72" spans="1:47" x14ac:dyDescent="0.2">
      <c r="A72" s="37">
        <v>5550</v>
      </c>
      <c r="B72" s="38" t="s">
        <v>85</v>
      </c>
      <c r="C72" s="39" t="s">
        <v>228</v>
      </c>
      <c r="D72" s="29"/>
      <c r="E72" s="38" t="s">
        <v>300</v>
      </c>
      <c r="F72" s="52"/>
      <c r="G72" s="47"/>
      <c r="H72"/>
      <c r="I72" s="32"/>
      <c r="J72" s="47"/>
      <c r="K72" s="47"/>
      <c r="L72" s="48">
        <v>6</v>
      </c>
      <c r="M72" s="47"/>
      <c r="N72" s="47"/>
      <c r="O72" s="47"/>
      <c r="P72" s="47"/>
      <c r="Q72" s="47"/>
      <c r="R72" s="47"/>
      <c r="S72" s="48"/>
      <c r="T72" s="47"/>
      <c r="U72" s="47"/>
      <c r="V72" s="47"/>
      <c r="W72" s="47"/>
      <c r="X72" s="47"/>
      <c r="Y72" s="47"/>
      <c r="Z72" s="47"/>
      <c r="AA72" s="49"/>
      <c r="AB72" s="49"/>
      <c r="AC72" s="49"/>
      <c r="AD72" s="50"/>
      <c r="AE72" s="47" t="s">
        <v>283</v>
      </c>
      <c r="AF72" s="47">
        <v>35</v>
      </c>
      <c r="AG72"/>
      <c r="AH72"/>
      <c r="AI72"/>
      <c r="AJ72"/>
      <c r="AK72"/>
      <c r="AL72"/>
      <c r="AM72"/>
      <c r="AN72"/>
      <c r="AO72"/>
      <c r="AP72"/>
      <c r="AQ72" t="s">
        <v>233</v>
      </c>
      <c r="AU72">
        <v>69</v>
      </c>
    </row>
    <row r="73" spans="1:47" x14ac:dyDescent="0.2">
      <c r="A73" s="37">
        <v>5550</v>
      </c>
      <c r="B73" s="38" t="s">
        <v>85</v>
      </c>
      <c r="C73" s="39" t="s">
        <v>142</v>
      </c>
      <c r="D73" s="29"/>
      <c r="E73" s="38" t="s">
        <v>301</v>
      </c>
      <c r="F73" s="31" t="s">
        <v>302</v>
      </c>
      <c r="G73" s="47" t="s">
        <v>69</v>
      </c>
      <c r="H73"/>
      <c r="I73" s="32" t="s">
        <v>303</v>
      </c>
      <c r="J73" s="47"/>
      <c r="K73" s="47">
        <f>6*8*2.2</f>
        <v>105.60000000000001</v>
      </c>
      <c r="L73" s="48">
        <v>13</v>
      </c>
      <c r="M73" s="47">
        <v>12</v>
      </c>
      <c r="N73" s="47"/>
      <c r="O73" s="47"/>
      <c r="P73" s="47"/>
      <c r="Q73" s="47"/>
      <c r="R73" s="47"/>
      <c r="S73" s="48">
        <v>1</v>
      </c>
      <c r="T73" s="47">
        <v>0</v>
      </c>
      <c r="U73" s="47">
        <v>0</v>
      </c>
      <c r="V73" s="47">
        <v>0</v>
      </c>
      <c r="W73" s="47"/>
      <c r="X73" s="47"/>
      <c r="Y73" s="47" t="s">
        <v>51</v>
      </c>
      <c r="Z73" s="31" t="s">
        <v>146</v>
      </c>
      <c r="AA73" s="49">
        <v>0.54166666666666663</v>
      </c>
      <c r="AB73" s="49"/>
      <c r="AC73" s="49"/>
      <c r="AD73" s="50"/>
      <c r="AE73" s="31" t="s">
        <v>239</v>
      </c>
      <c r="AF73" s="47">
        <v>30</v>
      </c>
      <c r="AG73"/>
      <c r="AH73"/>
      <c r="AI73"/>
      <c r="AJ73"/>
      <c r="AK73">
        <v>6</v>
      </c>
      <c r="AL73"/>
      <c r="AM73"/>
      <c r="AN73"/>
      <c r="AO73"/>
      <c r="AP73"/>
      <c r="AQ73" t="s">
        <v>304</v>
      </c>
      <c r="AU73">
        <v>70</v>
      </c>
    </row>
    <row r="74" spans="1:47" x14ac:dyDescent="0.2">
      <c r="A74" s="37">
        <v>5550</v>
      </c>
      <c r="B74" s="38"/>
      <c r="C74" s="39" t="s">
        <v>253</v>
      </c>
      <c r="D74" s="29"/>
      <c r="E74" s="38" t="s">
        <v>305</v>
      </c>
      <c r="F74" s="32" t="s">
        <v>306</v>
      </c>
      <c r="G74" s="47"/>
      <c r="H74"/>
      <c r="I74" s="32" t="s">
        <v>307</v>
      </c>
      <c r="J74" s="47"/>
      <c r="K74" s="47"/>
      <c r="L74" s="48"/>
      <c r="M74" s="47"/>
      <c r="N74" s="47"/>
      <c r="O74" s="47"/>
      <c r="P74" s="47"/>
      <c r="Q74" s="47"/>
      <c r="R74" s="47"/>
      <c r="S74" s="48"/>
      <c r="T74" s="47"/>
      <c r="U74" s="47"/>
      <c r="V74" s="47"/>
      <c r="W74" s="47"/>
      <c r="X74" s="47"/>
      <c r="Y74" s="47"/>
      <c r="Z74" s="47"/>
      <c r="AA74" s="49"/>
      <c r="AB74" s="49"/>
      <c r="AC74" s="49"/>
      <c r="AD74" s="50"/>
      <c r="AE74" s="47"/>
      <c r="AF74" s="47"/>
      <c r="AG74"/>
      <c r="AH74"/>
      <c r="AI74"/>
      <c r="AJ74"/>
      <c r="AK74"/>
      <c r="AL74"/>
      <c r="AM74"/>
      <c r="AN74"/>
      <c r="AO74"/>
      <c r="AP74"/>
      <c r="AQ74" s="32" t="s">
        <v>257</v>
      </c>
      <c r="AU74">
        <v>71</v>
      </c>
    </row>
    <row r="75" spans="1:47" x14ac:dyDescent="0.2">
      <c r="A75" s="37">
        <v>5551</v>
      </c>
      <c r="B75" s="38" t="s">
        <v>85</v>
      </c>
      <c r="C75" s="39" t="s">
        <v>142</v>
      </c>
      <c r="D75" s="29"/>
      <c r="E75" s="38" t="s">
        <v>301</v>
      </c>
      <c r="F75" s="31" t="s">
        <v>302</v>
      </c>
      <c r="G75" s="47" t="s">
        <v>69</v>
      </c>
      <c r="H75"/>
      <c r="I75" s="32" t="s">
        <v>308</v>
      </c>
      <c r="J75" s="47"/>
      <c r="K75" s="47">
        <f>89*8*2.2</f>
        <v>1566.4</v>
      </c>
      <c r="L75" s="48">
        <v>14</v>
      </c>
      <c r="M75" s="47"/>
      <c r="N75" s="47"/>
      <c r="O75" s="47"/>
      <c r="P75" s="47"/>
      <c r="Q75" s="47"/>
      <c r="R75" s="47"/>
      <c r="S75" s="48">
        <v>14</v>
      </c>
      <c r="T75" s="47">
        <v>0</v>
      </c>
      <c r="U75" s="47">
        <v>0</v>
      </c>
      <c r="V75" s="47">
        <v>0</v>
      </c>
      <c r="W75" s="47"/>
      <c r="X75" s="47"/>
      <c r="Y75" s="47" t="s">
        <v>120</v>
      </c>
      <c r="Z75" s="31" t="s">
        <v>146</v>
      </c>
      <c r="AA75" s="49">
        <v>0.625</v>
      </c>
      <c r="AB75" s="49"/>
      <c r="AC75" s="49"/>
      <c r="AD75" s="50"/>
      <c r="AE75" s="31" t="s">
        <v>239</v>
      </c>
      <c r="AF75" s="47">
        <v>30</v>
      </c>
      <c r="AG75"/>
      <c r="AH75"/>
      <c r="AI75"/>
      <c r="AJ75"/>
      <c r="AK75">
        <v>89</v>
      </c>
      <c r="AL75"/>
      <c r="AM75"/>
      <c r="AN75"/>
      <c r="AO75"/>
      <c r="AP75"/>
      <c r="AQ75" t="s">
        <v>309</v>
      </c>
      <c r="AU75">
        <v>72</v>
      </c>
    </row>
    <row r="76" spans="1:47" x14ac:dyDescent="0.2">
      <c r="A76" s="37">
        <v>5553</v>
      </c>
      <c r="B76" s="38" t="s">
        <v>85</v>
      </c>
      <c r="C76" s="39" t="s">
        <v>142</v>
      </c>
      <c r="D76" s="29"/>
      <c r="E76" s="38" t="s">
        <v>310</v>
      </c>
      <c r="F76" s="31" t="s">
        <v>302</v>
      </c>
      <c r="G76" s="47" t="s">
        <v>69</v>
      </c>
      <c r="H76"/>
      <c r="I76" s="32" t="s">
        <v>311</v>
      </c>
      <c r="J76" s="47"/>
      <c r="K76" s="47">
        <f>51*8*2.2</f>
        <v>897.6</v>
      </c>
      <c r="L76" s="48">
        <v>20</v>
      </c>
      <c r="M76" s="47">
        <v>14</v>
      </c>
      <c r="N76" s="47"/>
      <c r="O76" s="47"/>
      <c r="P76" s="47"/>
      <c r="Q76" s="47"/>
      <c r="R76" s="47"/>
      <c r="S76" s="48">
        <v>6</v>
      </c>
      <c r="T76" s="47">
        <v>0</v>
      </c>
      <c r="U76" s="47">
        <v>0</v>
      </c>
      <c r="V76" s="47">
        <v>0</v>
      </c>
      <c r="W76" s="47"/>
      <c r="X76" s="47"/>
      <c r="Y76" s="47" t="s">
        <v>51</v>
      </c>
      <c r="Z76" s="31" t="s">
        <v>146</v>
      </c>
      <c r="AA76" s="49"/>
      <c r="AB76" s="49"/>
      <c r="AC76" s="49">
        <v>0.625</v>
      </c>
      <c r="AD76" s="50"/>
      <c r="AE76" s="31" t="s">
        <v>239</v>
      </c>
      <c r="AF76" s="47">
        <v>30</v>
      </c>
      <c r="AG76"/>
      <c r="AH76"/>
      <c r="AI76"/>
      <c r="AJ76"/>
      <c r="AK76">
        <v>51</v>
      </c>
      <c r="AL76"/>
      <c r="AM76"/>
      <c r="AN76"/>
      <c r="AO76"/>
      <c r="AP76"/>
      <c r="AQ76" t="s">
        <v>312</v>
      </c>
      <c r="AU76">
        <v>73</v>
      </c>
    </row>
    <row r="77" spans="1:47" x14ac:dyDescent="0.2">
      <c r="A77" s="37">
        <v>5555</v>
      </c>
      <c r="B77" s="38" t="s">
        <v>85</v>
      </c>
      <c r="C77" s="39" t="s">
        <v>142</v>
      </c>
      <c r="D77" s="29"/>
      <c r="E77" s="38" t="s">
        <v>313</v>
      </c>
      <c r="F77" s="31" t="s">
        <v>314</v>
      </c>
      <c r="G77" s="47" t="s">
        <v>69</v>
      </c>
      <c r="H77"/>
      <c r="I77" s="32" t="s">
        <v>315</v>
      </c>
      <c r="J77" s="47"/>
      <c r="K77" s="47">
        <f>108*8*2.2</f>
        <v>1900.8000000000002</v>
      </c>
      <c r="L77" s="48">
        <v>16</v>
      </c>
      <c r="M77" s="47"/>
      <c r="N77" s="47"/>
      <c r="O77" s="47"/>
      <c r="P77" s="47"/>
      <c r="Q77" s="47"/>
      <c r="R77" s="47"/>
      <c r="S77" s="48">
        <v>16</v>
      </c>
      <c r="T77" s="47">
        <v>0</v>
      </c>
      <c r="U77" s="47">
        <v>0</v>
      </c>
      <c r="V77" s="47">
        <v>0</v>
      </c>
      <c r="W77" s="47"/>
      <c r="X77" s="47"/>
      <c r="Y77" s="47" t="s">
        <v>51</v>
      </c>
      <c r="Z77" s="31" t="s">
        <v>146</v>
      </c>
      <c r="AA77" s="49">
        <v>0.5625</v>
      </c>
      <c r="AB77" s="49"/>
      <c r="AC77" s="49"/>
      <c r="AD77" s="50"/>
      <c r="AE77" s="31" t="s">
        <v>239</v>
      </c>
      <c r="AF77" s="47">
        <v>35</v>
      </c>
      <c r="AG77"/>
      <c r="AH77"/>
      <c r="AI77"/>
      <c r="AJ77"/>
      <c r="AK77">
        <v>108</v>
      </c>
      <c r="AL77"/>
      <c r="AM77"/>
      <c r="AN77"/>
      <c r="AO77"/>
      <c r="AP77"/>
      <c r="AQ77" t="s">
        <v>316</v>
      </c>
      <c r="AU77">
        <v>74</v>
      </c>
    </row>
    <row r="78" spans="1:47" x14ac:dyDescent="0.2">
      <c r="A78" s="37">
        <v>5555</v>
      </c>
      <c r="B78" s="38"/>
      <c r="C78" s="39" t="s">
        <v>253</v>
      </c>
      <c r="D78" s="29"/>
      <c r="E78" s="38" t="s">
        <v>317</v>
      </c>
      <c r="F78" s="32" t="s">
        <v>318</v>
      </c>
      <c r="G78" s="47"/>
      <c r="H78"/>
      <c r="I78" s="32"/>
      <c r="J78" s="47"/>
      <c r="K78" s="47"/>
      <c r="L78" s="48"/>
      <c r="M78" s="47"/>
      <c r="N78" s="47"/>
      <c r="O78" s="47"/>
      <c r="P78" s="47"/>
      <c r="Q78" s="47"/>
      <c r="R78" s="47"/>
      <c r="S78" s="48"/>
      <c r="T78" s="47"/>
      <c r="U78" s="47"/>
      <c r="V78" s="47"/>
      <c r="W78" s="47"/>
      <c r="X78" s="47"/>
      <c r="Y78" s="47"/>
      <c r="Z78" s="47"/>
      <c r="AA78" s="49"/>
      <c r="AB78" s="49"/>
      <c r="AC78" s="49"/>
      <c r="AD78" s="50"/>
      <c r="AE78" s="47"/>
      <c r="AF78" s="47"/>
      <c r="AG78"/>
      <c r="AH78"/>
      <c r="AI78"/>
      <c r="AJ78"/>
      <c r="AK78"/>
      <c r="AL78"/>
      <c r="AM78"/>
      <c r="AN78"/>
      <c r="AO78"/>
      <c r="AP78"/>
      <c r="AQ78" s="32" t="s">
        <v>257</v>
      </c>
      <c r="AU78">
        <v>75</v>
      </c>
    </row>
    <row r="79" spans="1:47" x14ac:dyDescent="0.2">
      <c r="A79" s="37">
        <v>5556</v>
      </c>
      <c r="B79" s="38"/>
      <c r="C79" s="39" t="s">
        <v>253</v>
      </c>
      <c r="D79" s="29"/>
      <c r="E79" s="38" t="s">
        <v>319</v>
      </c>
      <c r="F79" s="32" t="s">
        <v>320</v>
      </c>
      <c r="G79" s="47"/>
      <c r="H79"/>
      <c r="I79" s="32"/>
      <c r="J79" s="47"/>
      <c r="K79" s="47"/>
      <c r="L79" s="48"/>
      <c r="M79" s="47"/>
      <c r="N79" s="47"/>
      <c r="O79" s="47"/>
      <c r="P79" s="47"/>
      <c r="Q79" s="47"/>
      <c r="R79" s="47"/>
      <c r="S79" s="48"/>
      <c r="T79" s="47"/>
      <c r="U79" s="47"/>
      <c r="V79" s="47"/>
      <c r="W79" s="47"/>
      <c r="X79" s="47"/>
      <c r="Y79" s="47"/>
      <c r="Z79" s="47"/>
      <c r="AA79" s="49"/>
      <c r="AB79" s="49"/>
      <c r="AC79" s="49"/>
      <c r="AD79" s="50"/>
      <c r="AE79" s="47"/>
      <c r="AF79" s="47"/>
      <c r="AG79"/>
      <c r="AH79"/>
      <c r="AI79"/>
      <c r="AJ79"/>
      <c r="AK79"/>
      <c r="AL79"/>
      <c r="AM79"/>
      <c r="AN79"/>
      <c r="AO79"/>
      <c r="AP79"/>
      <c r="AQ79" s="32" t="s">
        <v>257</v>
      </c>
      <c r="AU79">
        <v>76</v>
      </c>
    </row>
    <row r="80" spans="1:47" x14ac:dyDescent="0.2">
      <c r="A80" s="37">
        <v>5556</v>
      </c>
      <c r="B80" s="38" t="s">
        <v>85</v>
      </c>
      <c r="C80" s="39" t="s">
        <v>142</v>
      </c>
      <c r="D80" s="29"/>
      <c r="E80" s="38" t="s">
        <v>321</v>
      </c>
      <c r="F80" s="31" t="s">
        <v>322</v>
      </c>
      <c r="G80" s="47" t="s">
        <v>49</v>
      </c>
      <c r="H80"/>
      <c r="I80" s="53" t="s">
        <v>323</v>
      </c>
      <c r="J80" s="54"/>
      <c r="K80" s="55">
        <f>6*8*2.2</f>
        <v>105.60000000000001</v>
      </c>
      <c r="L80" s="48">
        <v>7</v>
      </c>
      <c r="M80" s="47">
        <v>6</v>
      </c>
      <c r="N80" s="47"/>
      <c r="O80" s="47"/>
      <c r="P80" s="47">
        <v>1</v>
      </c>
      <c r="Q80" s="47"/>
      <c r="R80" s="47"/>
      <c r="S80" s="48">
        <v>1</v>
      </c>
      <c r="T80" s="47">
        <v>0</v>
      </c>
      <c r="U80" s="47">
        <v>0</v>
      </c>
      <c r="V80" s="47">
        <v>0</v>
      </c>
      <c r="W80" s="47"/>
      <c r="X80" s="47"/>
      <c r="Y80" s="47" t="s">
        <v>51</v>
      </c>
      <c r="Z80" s="31" t="s">
        <v>146</v>
      </c>
      <c r="AA80" s="49">
        <v>0.70833333333333337</v>
      </c>
      <c r="AB80" s="49"/>
      <c r="AC80" s="49"/>
      <c r="AD80" s="50"/>
      <c r="AE80" s="31" t="s">
        <v>239</v>
      </c>
      <c r="AF80" s="47">
        <v>40</v>
      </c>
      <c r="AG80"/>
      <c r="AH80"/>
      <c r="AI80"/>
      <c r="AJ80"/>
      <c r="AK80" s="56">
        <v>6</v>
      </c>
      <c r="AL80"/>
      <c r="AM80"/>
      <c r="AN80"/>
      <c r="AO80"/>
      <c r="AP80"/>
      <c r="AQ80" t="s">
        <v>324</v>
      </c>
      <c r="AU80">
        <v>77</v>
      </c>
    </row>
    <row r="81" spans="1:47" x14ac:dyDescent="0.2">
      <c r="A81" s="37">
        <v>5556</v>
      </c>
      <c r="B81" s="38"/>
      <c r="C81" s="39" t="s">
        <v>253</v>
      </c>
      <c r="D81" s="29"/>
      <c r="E81" s="38" t="s">
        <v>325</v>
      </c>
      <c r="F81" s="32" t="s">
        <v>220</v>
      </c>
      <c r="G81" s="47"/>
      <c r="H81"/>
      <c r="I81" s="32"/>
      <c r="J81" s="47"/>
      <c r="K81" s="47"/>
      <c r="L81" s="48"/>
      <c r="M81" s="47"/>
      <c r="N81" s="47"/>
      <c r="O81" s="47"/>
      <c r="P81" s="47"/>
      <c r="Q81" s="47"/>
      <c r="R81" s="47"/>
      <c r="S81" s="48"/>
      <c r="T81" s="47"/>
      <c r="U81" s="47"/>
      <c r="V81" s="47"/>
      <c r="W81" s="47"/>
      <c r="X81" s="47"/>
      <c r="Y81" s="47"/>
      <c r="Z81" s="47"/>
      <c r="AA81" s="49"/>
      <c r="AB81" s="49"/>
      <c r="AC81" s="49"/>
      <c r="AD81" s="50"/>
      <c r="AE81" s="47"/>
      <c r="AF81" s="47"/>
      <c r="AG81"/>
      <c r="AH81"/>
      <c r="AI81"/>
      <c r="AJ81"/>
      <c r="AK81"/>
      <c r="AL81"/>
      <c r="AM81"/>
      <c r="AN81"/>
      <c r="AO81"/>
      <c r="AP81"/>
      <c r="AQ81" s="32" t="s">
        <v>257</v>
      </c>
      <c r="AU81">
        <v>78</v>
      </c>
    </row>
    <row r="82" spans="1:47" x14ac:dyDescent="0.2">
      <c r="A82" s="37">
        <v>5556</v>
      </c>
      <c r="B82" s="38" t="s">
        <v>85</v>
      </c>
      <c r="C82" s="39" t="s">
        <v>142</v>
      </c>
      <c r="D82" s="29"/>
      <c r="E82" s="38" t="s">
        <v>326</v>
      </c>
      <c r="F82" s="32" t="s">
        <v>302</v>
      </c>
      <c r="G82" s="47" t="s">
        <v>69</v>
      </c>
      <c r="H82"/>
      <c r="I82" s="32" t="s">
        <v>327</v>
      </c>
      <c r="J82" s="47"/>
      <c r="K82" s="47">
        <f>40*8*2.2</f>
        <v>704</v>
      </c>
      <c r="L82" s="48">
        <v>7</v>
      </c>
      <c r="M82" s="47"/>
      <c r="N82" s="47"/>
      <c r="O82" s="47"/>
      <c r="P82" s="47"/>
      <c r="Q82" s="47"/>
      <c r="R82" s="47"/>
      <c r="S82" s="48">
        <v>7</v>
      </c>
      <c r="T82" s="47">
        <v>0</v>
      </c>
      <c r="U82" s="47">
        <v>0</v>
      </c>
      <c r="V82" s="47">
        <v>0</v>
      </c>
      <c r="W82" s="47"/>
      <c r="X82" s="47"/>
      <c r="Y82" s="47" t="s">
        <v>51</v>
      </c>
      <c r="Z82" s="31" t="s">
        <v>146</v>
      </c>
      <c r="AA82" s="49">
        <v>0.375</v>
      </c>
      <c r="AB82" s="49"/>
      <c r="AC82" s="49"/>
      <c r="AD82" s="50"/>
      <c r="AE82" s="31" t="s">
        <v>239</v>
      </c>
      <c r="AF82" s="47"/>
      <c r="AG82"/>
      <c r="AH82"/>
      <c r="AI82"/>
      <c r="AJ82"/>
      <c r="AK82">
        <v>40</v>
      </c>
      <c r="AL82"/>
      <c r="AM82"/>
      <c r="AN82"/>
      <c r="AO82"/>
      <c r="AP82"/>
      <c r="AQ82" t="s">
        <v>328</v>
      </c>
      <c r="AU82">
        <v>79</v>
      </c>
    </row>
    <row r="83" spans="1:47" x14ac:dyDescent="0.2">
      <c r="A83" s="37">
        <v>5558</v>
      </c>
      <c r="B83" s="38" t="s">
        <v>85</v>
      </c>
      <c r="C83" s="39" t="s">
        <v>142</v>
      </c>
      <c r="D83" s="29"/>
      <c r="E83" s="38" t="s">
        <v>329</v>
      </c>
      <c r="F83" s="32" t="s">
        <v>173</v>
      </c>
      <c r="G83" s="47" t="s">
        <v>69</v>
      </c>
      <c r="H83"/>
      <c r="I83" s="32" t="s">
        <v>330</v>
      </c>
      <c r="J83" s="47"/>
      <c r="K83" s="47">
        <f>80*8*2.2</f>
        <v>1408</v>
      </c>
      <c r="L83" s="48">
        <v>13</v>
      </c>
      <c r="M83" s="47"/>
      <c r="N83" s="47"/>
      <c r="O83" s="47"/>
      <c r="P83" s="47"/>
      <c r="Q83" s="47"/>
      <c r="R83" s="47"/>
      <c r="S83" s="48">
        <v>13</v>
      </c>
      <c r="T83" s="47">
        <v>0</v>
      </c>
      <c r="U83" s="47">
        <v>0</v>
      </c>
      <c r="V83" s="47">
        <v>0</v>
      </c>
      <c r="W83" s="47"/>
      <c r="X83" s="47"/>
      <c r="Y83" s="47" t="s">
        <v>51</v>
      </c>
      <c r="Z83" s="31" t="s">
        <v>146</v>
      </c>
      <c r="AA83" s="49">
        <v>0.33333333333333331</v>
      </c>
      <c r="AB83" s="49"/>
      <c r="AC83" s="49"/>
      <c r="AD83" s="50"/>
      <c r="AE83" s="31" t="s">
        <v>239</v>
      </c>
      <c r="AF83" s="47">
        <v>35</v>
      </c>
      <c r="AG83"/>
      <c r="AH83"/>
      <c r="AI83"/>
      <c r="AJ83"/>
      <c r="AK83">
        <v>80</v>
      </c>
      <c r="AL83"/>
      <c r="AM83"/>
      <c r="AN83"/>
      <c r="AO83"/>
      <c r="AP83"/>
      <c r="AQ83" t="s">
        <v>331</v>
      </c>
      <c r="AU83">
        <v>80</v>
      </c>
    </row>
    <row r="84" spans="1:47" x14ac:dyDescent="0.2">
      <c r="A84" s="37">
        <v>5558</v>
      </c>
      <c r="B84" s="38" t="s">
        <v>85</v>
      </c>
      <c r="C84" s="39" t="s">
        <v>332</v>
      </c>
      <c r="D84" s="29"/>
      <c r="E84" s="38" t="s">
        <v>333</v>
      </c>
      <c r="F84" s="32" t="s">
        <v>246</v>
      </c>
      <c r="G84" s="47" t="s">
        <v>49</v>
      </c>
      <c r="H84"/>
      <c r="I84" s="32" t="s">
        <v>334</v>
      </c>
      <c r="J84" s="47"/>
      <c r="K84" s="47"/>
      <c r="L84" s="48"/>
      <c r="M84" s="47"/>
      <c r="N84" s="47"/>
      <c r="O84" s="47"/>
      <c r="P84" s="47"/>
      <c r="Q84" s="47"/>
      <c r="R84" s="47"/>
      <c r="S84" s="48"/>
      <c r="T84" s="47"/>
      <c r="U84" s="47"/>
      <c r="V84" s="47"/>
      <c r="W84" s="47"/>
      <c r="X84" s="47"/>
      <c r="Y84" s="47"/>
      <c r="Z84" s="47" t="s">
        <v>146</v>
      </c>
      <c r="AA84" s="49"/>
      <c r="AB84" s="49"/>
      <c r="AC84" s="49"/>
      <c r="AD84" s="50"/>
      <c r="AE84" s="47"/>
      <c r="AF84" s="47"/>
      <c r="AG84"/>
      <c r="AH84"/>
      <c r="AI84"/>
      <c r="AJ84"/>
      <c r="AK84"/>
      <c r="AL84"/>
      <c r="AM84"/>
      <c r="AN84"/>
      <c r="AO84"/>
      <c r="AP84"/>
      <c r="AQ84" t="s">
        <v>335</v>
      </c>
      <c r="AU84">
        <v>81</v>
      </c>
    </row>
    <row r="85" spans="1:47" x14ac:dyDescent="0.2">
      <c r="A85" s="37">
        <v>5559</v>
      </c>
      <c r="B85" s="38" t="s">
        <v>85</v>
      </c>
      <c r="C85" s="39" t="s">
        <v>336</v>
      </c>
      <c r="D85" s="29"/>
      <c r="E85" s="38" t="s">
        <v>292</v>
      </c>
      <c r="F85" s="32" t="s">
        <v>204</v>
      </c>
      <c r="G85" s="47" t="s">
        <v>205</v>
      </c>
      <c r="H85"/>
      <c r="I85" s="32" t="s">
        <v>337</v>
      </c>
      <c r="J85" s="47"/>
      <c r="K85" s="47">
        <f>25*8*2.2</f>
        <v>440.00000000000006</v>
      </c>
      <c r="L85" s="48">
        <v>8</v>
      </c>
      <c r="M85" s="47"/>
      <c r="N85" s="47"/>
      <c r="O85" s="47">
        <v>2</v>
      </c>
      <c r="P85" s="47">
        <v>1</v>
      </c>
      <c r="Q85" s="47"/>
      <c r="R85" s="47"/>
      <c r="S85" s="48">
        <v>6</v>
      </c>
      <c r="T85" s="31">
        <v>0</v>
      </c>
      <c r="U85" s="31">
        <v>0</v>
      </c>
      <c r="V85" s="31">
        <v>0</v>
      </c>
      <c r="W85" s="47"/>
      <c r="X85" s="47"/>
      <c r="Y85" s="47" t="s">
        <v>51</v>
      </c>
      <c r="Z85" s="47" t="s">
        <v>146</v>
      </c>
      <c r="AA85" s="49"/>
      <c r="AB85" s="49"/>
      <c r="AC85" s="49"/>
      <c r="AD85" s="50"/>
      <c r="AE85" s="47" t="s">
        <v>214</v>
      </c>
      <c r="AF85" s="47">
        <v>55</v>
      </c>
      <c r="AG85"/>
      <c r="AH85"/>
      <c r="AI85"/>
      <c r="AJ85"/>
      <c r="AK85">
        <v>20</v>
      </c>
      <c r="AL85"/>
      <c r="AM85"/>
      <c r="AN85"/>
      <c r="AO85"/>
      <c r="AP85"/>
      <c r="AQ85" s="32" t="s">
        <v>338</v>
      </c>
      <c r="AU85">
        <v>82</v>
      </c>
    </row>
    <row r="86" spans="1:47" x14ac:dyDescent="0.2">
      <c r="A86" s="37">
        <v>5560</v>
      </c>
      <c r="B86" s="38" t="s">
        <v>85</v>
      </c>
      <c r="C86" s="39" t="s">
        <v>142</v>
      </c>
      <c r="D86" s="29"/>
      <c r="E86" s="38" t="s">
        <v>339</v>
      </c>
      <c r="F86" s="32" t="s">
        <v>340</v>
      </c>
      <c r="G86" s="47" t="s">
        <v>49</v>
      </c>
      <c r="H86"/>
      <c r="I86" s="32" t="s">
        <v>341</v>
      </c>
      <c r="J86" s="47"/>
      <c r="K86" s="47">
        <f>(8*44+1*44+31*8)*2.2</f>
        <v>1416.8000000000002</v>
      </c>
      <c r="L86" s="48">
        <v>14</v>
      </c>
      <c r="M86" s="47"/>
      <c r="N86" s="47"/>
      <c r="O86" s="47"/>
      <c r="P86" s="47"/>
      <c r="Q86" s="47"/>
      <c r="R86" s="47"/>
      <c r="S86" s="48">
        <v>14</v>
      </c>
      <c r="T86" s="47">
        <v>0</v>
      </c>
      <c r="U86" s="47">
        <v>8</v>
      </c>
      <c r="V86" s="47">
        <v>0</v>
      </c>
      <c r="W86" s="47"/>
      <c r="X86" s="47"/>
      <c r="Y86" s="47" t="s">
        <v>51</v>
      </c>
      <c r="Z86" s="31" t="s">
        <v>146</v>
      </c>
      <c r="AA86" s="49"/>
      <c r="AB86" s="49"/>
      <c r="AC86" s="49">
        <v>0.72222222222222221</v>
      </c>
      <c r="AD86" s="50"/>
      <c r="AE86" s="47" t="s">
        <v>342</v>
      </c>
      <c r="AF86" s="47">
        <v>55</v>
      </c>
      <c r="AG86"/>
      <c r="AH86"/>
      <c r="AI86"/>
      <c r="AJ86"/>
      <c r="AK86">
        <v>40</v>
      </c>
      <c r="AL86"/>
      <c r="AM86"/>
      <c r="AN86"/>
      <c r="AO86"/>
      <c r="AP86"/>
      <c r="AQ86" t="s">
        <v>343</v>
      </c>
      <c r="AU86">
        <v>83</v>
      </c>
    </row>
    <row r="87" spans="1:47" x14ac:dyDescent="0.2">
      <c r="A87" s="37">
        <v>5560</v>
      </c>
      <c r="B87" s="38" t="s">
        <v>85</v>
      </c>
      <c r="C87" s="39" t="s">
        <v>332</v>
      </c>
      <c r="D87" s="29"/>
      <c r="E87" s="38" t="s">
        <v>135</v>
      </c>
      <c r="F87" s="32" t="s">
        <v>220</v>
      </c>
      <c r="G87" s="47" t="s">
        <v>49</v>
      </c>
      <c r="H87"/>
      <c r="I87" s="32" t="s">
        <v>344</v>
      </c>
      <c r="J87" s="47"/>
      <c r="K87" s="47"/>
      <c r="L87" s="48"/>
      <c r="M87" s="47"/>
      <c r="N87" s="47"/>
      <c r="O87" s="47"/>
      <c r="P87" s="47"/>
      <c r="Q87" s="47"/>
      <c r="R87" s="47"/>
      <c r="S87" s="48"/>
      <c r="T87" s="47">
        <v>1</v>
      </c>
      <c r="U87" s="47"/>
      <c r="V87" s="47"/>
      <c r="W87" s="47"/>
      <c r="X87" s="47"/>
      <c r="Y87" s="47"/>
      <c r="Z87" s="47" t="s">
        <v>146</v>
      </c>
      <c r="AA87" s="49"/>
      <c r="AB87" s="49"/>
      <c r="AC87" s="49"/>
      <c r="AD87" s="50"/>
      <c r="AE87" s="47"/>
      <c r="AF87" s="47"/>
      <c r="AG87"/>
      <c r="AH87"/>
      <c r="AI87"/>
      <c r="AJ87"/>
      <c r="AK87"/>
      <c r="AL87"/>
      <c r="AM87"/>
      <c r="AN87"/>
      <c r="AO87"/>
      <c r="AP87"/>
      <c r="AQ87" t="s">
        <v>345</v>
      </c>
      <c r="AU87">
        <v>84</v>
      </c>
    </row>
    <row r="88" spans="1:47" x14ac:dyDescent="0.2">
      <c r="A88" s="37">
        <v>5560</v>
      </c>
      <c r="B88" s="38" t="s">
        <v>85</v>
      </c>
      <c r="C88" s="39" t="s">
        <v>346</v>
      </c>
      <c r="D88" s="29"/>
      <c r="E88" s="38" t="s">
        <v>347</v>
      </c>
      <c r="F88" s="32" t="s">
        <v>348</v>
      </c>
      <c r="G88" s="47" t="s">
        <v>49</v>
      </c>
      <c r="H88"/>
      <c r="I88" s="32" t="s">
        <v>349</v>
      </c>
      <c r="J88" s="47"/>
      <c r="K88" s="47">
        <f>6*8*2.2</f>
        <v>105.60000000000001</v>
      </c>
      <c r="L88" s="48">
        <v>9</v>
      </c>
      <c r="M88" s="47">
        <v>2</v>
      </c>
      <c r="N88" s="47">
        <v>4</v>
      </c>
      <c r="O88" s="47"/>
      <c r="P88" s="47"/>
      <c r="Q88" s="47"/>
      <c r="R88" s="47"/>
      <c r="S88" s="48">
        <v>1</v>
      </c>
      <c r="T88" s="31">
        <v>0</v>
      </c>
      <c r="U88" s="31">
        <v>0</v>
      </c>
      <c r="V88" s="31">
        <v>0</v>
      </c>
      <c r="W88" s="47"/>
      <c r="X88" s="47"/>
      <c r="Y88" s="47" t="s">
        <v>120</v>
      </c>
      <c r="Z88" s="47"/>
      <c r="AA88" s="49">
        <v>0.34722222222222227</v>
      </c>
      <c r="AB88" s="49"/>
      <c r="AC88" s="49"/>
      <c r="AD88" s="50"/>
      <c r="AE88" s="47"/>
      <c r="AF88" s="47"/>
      <c r="AG88"/>
      <c r="AH88"/>
      <c r="AI88"/>
      <c r="AJ88"/>
      <c r="AK88">
        <v>6</v>
      </c>
      <c r="AL88"/>
      <c r="AM88"/>
      <c r="AN88"/>
      <c r="AO88"/>
      <c r="AP88"/>
      <c r="AQ88" s="32" t="s">
        <v>350</v>
      </c>
      <c r="AU88">
        <v>85</v>
      </c>
    </row>
    <row r="89" spans="1:47" x14ac:dyDescent="0.2">
      <c r="A89" s="37">
        <v>5560</v>
      </c>
      <c r="B89" s="38"/>
      <c r="C89" s="39" t="s">
        <v>253</v>
      </c>
      <c r="D89" s="29"/>
      <c r="E89" s="38" t="s">
        <v>351</v>
      </c>
      <c r="F89" s="32" t="s">
        <v>107</v>
      </c>
      <c r="G89" s="47"/>
      <c r="H89"/>
      <c r="I89" s="32"/>
      <c r="J89" s="47"/>
      <c r="K89" s="47"/>
      <c r="L89" s="48"/>
      <c r="M89" s="47"/>
      <c r="N89" s="47"/>
      <c r="O89" s="47"/>
      <c r="P89" s="47"/>
      <c r="Q89" s="47"/>
      <c r="R89" s="47"/>
      <c r="S89" s="48"/>
      <c r="T89" s="47"/>
      <c r="U89" s="47"/>
      <c r="V89" s="47"/>
      <c r="W89" s="47"/>
      <c r="X89" s="47"/>
      <c r="Y89" s="47"/>
      <c r="Z89" s="47"/>
      <c r="AA89" s="49"/>
      <c r="AB89" s="49"/>
      <c r="AC89" s="49"/>
      <c r="AD89" s="50"/>
      <c r="AE89" s="47"/>
      <c r="AF89" s="47"/>
      <c r="AG89"/>
      <c r="AH89"/>
      <c r="AI89"/>
      <c r="AJ89"/>
      <c r="AK89"/>
      <c r="AL89"/>
      <c r="AM89"/>
      <c r="AN89"/>
      <c r="AO89"/>
      <c r="AP89"/>
      <c r="AQ89" s="32" t="s">
        <v>257</v>
      </c>
      <c r="AU89">
        <v>86</v>
      </c>
    </row>
    <row r="90" spans="1:47" x14ac:dyDescent="0.2">
      <c r="A90" s="37">
        <v>5560</v>
      </c>
      <c r="B90" s="38"/>
      <c r="C90" s="39" t="s">
        <v>253</v>
      </c>
      <c r="D90" s="29"/>
      <c r="E90" s="38" t="s">
        <v>352</v>
      </c>
      <c r="F90" s="32" t="s">
        <v>353</v>
      </c>
      <c r="G90" s="47"/>
      <c r="H90"/>
      <c r="I90" s="32"/>
      <c r="J90" s="47"/>
      <c r="K90" s="47"/>
      <c r="L90" s="48"/>
      <c r="M90" s="47"/>
      <c r="N90" s="47"/>
      <c r="O90" s="47"/>
      <c r="P90" s="47"/>
      <c r="Q90" s="47"/>
      <c r="R90" s="47"/>
      <c r="S90" s="48"/>
      <c r="T90" s="47"/>
      <c r="U90" s="47"/>
      <c r="V90" s="47"/>
      <c r="W90" s="47"/>
      <c r="X90" s="47"/>
      <c r="Y90" s="47"/>
      <c r="Z90" s="47"/>
      <c r="AA90" s="49"/>
      <c r="AB90" s="49"/>
      <c r="AC90" s="49"/>
      <c r="AD90" s="50"/>
      <c r="AE90" s="47"/>
      <c r="AF90" s="47"/>
      <c r="AG90"/>
      <c r="AH90"/>
      <c r="AI90"/>
      <c r="AJ90"/>
      <c r="AK90"/>
      <c r="AL90"/>
      <c r="AM90"/>
      <c r="AN90"/>
      <c r="AO90"/>
      <c r="AP90"/>
      <c r="AQ90" s="32" t="s">
        <v>354</v>
      </c>
      <c r="AU90">
        <v>87</v>
      </c>
    </row>
    <row r="91" spans="1:47" x14ac:dyDescent="0.2">
      <c r="A91" s="37">
        <v>5562</v>
      </c>
      <c r="B91" s="38" t="s">
        <v>85</v>
      </c>
      <c r="C91" s="39" t="s">
        <v>228</v>
      </c>
      <c r="D91" s="29"/>
      <c r="E91" s="38" t="s">
        <v>355</v>
      </c>
      <c r="F91" s="32" t="s">
        <v>356</v>
      </c>
      <c r="G91" s="47"/>
      <c r="H91"/>
      <c r="I91" s="32" t="s">
        <v>357</v>
      </c>
      <c r="J91" s="47"/>
      <c r="K91" s="47"/>
      <c r="L91" s="48">
        <v>3</v>
      </c>
      <c r="M91" s="47"/>
      <c r="N91" s="47"/>
      <c r="O91" s="47"/>
      <c r="P91" s="47"/>
      <c r="Q91" s="47"/>
      <c r="R91" s="47"/>
      <c r="S91" s="48"/>
      <c r="T91" s="47"/>
      <c r="U91" s="47"/>
      <c r="V91" s="47"/>
      <c r="W91" s="47"/>
      <c r="X91" s="47"/>
      <c r="Y91" s="47"/>
      <c r="Z91" s="47"/>
      <c r="AA91" s="49"/>
      <c r="AB91" s="49"/>
      <c r="AC91" s="49"/>
      <c r="AD91" s="50"/>
      <c r="AE91" s="47" t="s">
        <v>283</v>
      </c>
      <c r="AF91" s="47">
        <v>145</v>
      </c>
      <c r="AG91"/>
      <c r="AH91"/>
      <c r="AI91"/>
      <c r="AJ91"/>
      <c r="AK91"/>
      <c r="AL91"/>
      <c r="AM91"/>
      <c r="AN91"/>
      <c r="AO91"/>
      <c r="AP91"/>
      <c r="AQ91" t="s">
        <v>233</v>
      </c>
      <c r="AU91">
        <v>88</v>
      </c>
    </row>
    <row r="92" spans="1:47" x14ac:dyDescent="0.2">
      <c r="A92" s="37">
        <v>5564</v>
      </c>
      <c r="B92" s="38" t="s">
        <v>85</v>
      </c>
      <c r="C92" s="39" t="s">
        <v>142</v>
      </c>
      <c r="D92" s="29"/>
      <c r="E92" s="38" t="s">
        <v>60</v>
      </c>
      <c r="F92" s="32" t="s">
        <v>358</v>
      </c>
      <c r="G92" s="47" t="s">
        <v>205</v>
      </c>
      <c r="H92"/>
      <c r="I92" s="32" t="s">
        <v>359</v>
      </c>
      <c r="J92" s="47"/>
      <c r="K92" s="47">
        <f>(11*43+10*8)*2.2</f>
        <v>1216.6000000000001</v>
      </c>
      <c r="L92" s="48"/>
      <c r="M92" s="47"/>
      <c r="N92" s="47"/>
      <c r="O92" s="47"/>
      <c r="P92" s="47"/>
      <c r="Q92" s="47"/>
      <c r="R92" s="47"/>
      <c r="S92" s="48"/>
      <c r="T92" s="47"/>
      <c r="U92" s="47"/>
      <c r="V92" s="47"/>
      <c r="W92" s="47"/>
      <c r="X92" s="47"/>
      <c r="Y92" s="47" t="s">
        <v>51</v>
      </c>
      <c r="Z92" s="31" t="s">
        <v>146</v>
      </c>
      <c r="AA92" s="49">
        <v>0.35416666666666669</v>
      </c>
      <c r="AB92" s="49"/>
      <c r="AC92" s="49">
        <v>0.41666666666666669</v>
      </c>
      <c r="AD92" s="50"/>
      <c r="AE92" s="47" t="s">
        <v>342</v>
      </c>
      <c r="AF92" s="47">
        <v>40</v>
      </c>
      <c r="AG92"/>
      <c r="AH92"/>
      <c r="AI92"/>
      <c r="AJ92"/>
      <c r="AK92">
        <v>21</v>
      </c>
      <c r="AL92"/>
      <c r="AM92"/>
      <c r="AN92"/>
      <c r="AO92"/>
      <c r="AP92"/>
      <c r="AQ92" t="s">
        <v>360</v>
      </c>
      <c r="AU92">
        <v>89</v>
      </c>
    </row>
    <row r="93" spans="1:47" x14ac:dyDescent="0.2">
      <c r="A93" s="37">
        <v>5565</v>
      </c>
      <c r="B93" s="38" t="s">
        <v>85</v>
      </c>
      <c r="C93" s="39" t="s">
        <v>346</v>
      </c>
      <c r="D93" s="29"/>
      <c r="E93" s="38" t="s">
        <v>361</v>
      </c>
      <c r="F93" s="32"/>
      <c r="G93" s="47"/>
      <c r="H93"/>
      <c r="I93" s="32" t="s">
        <v>362</v>
      </c>
      <c r="J93" s="47"/>
      <c r="K93" s="47"/>
      <c r="L93" s="48">
        <v>9</v>
      </c>
      <c r="M93" s="47"/>
      <c r="N93" s="47"/>
      <c r="O93" s="47"/>
      <c r="P93" s="47">
        <v>9</v>
      </c>
      <c r="Q93" s="47"/>
      <c r="R93" s="47"/>
      <c r="S93" s="48">
        <v>9</v>
      </c>
      <c r="T93" s="31">
        <v>0</v>
      </c>
      <c r="U93" s="31">
        <v>0</v>
      </c>
      <c r="V93" s="31">
        <v>0</v>
      </c>
      <c r="W93" s="47"/>
      <c r="X93" s="47"/>
      <c r="Y93" s="47" t="s">
        <v>51</v>
      </c>
      <c r="Z93" s="47" t="s">
        <v>146</v>
      </c>
      <c r="AA93" s="49"/>
      <c r="AB93" s="49"/>
      <c r="AC93" s="49"/>
      <c r="AD93" s="50"/>
      <c r="AE93" s="47" t="s">
        <v>214</v>
      </c>
      <c r="AF93" s="47">
        <v>70</v>
      </c>
      <c r="AG93"/>
      <c r="AH93"/>
      <c r="AI93"/>
      <c r="AJ93"/>
      <c r="AK93"/>
      <c r="AL93"/>
      <c r="AM93"/>
      <c r="AN93"/>
      <c r="AO93"/>
      <c r="AP93"/>
      <c r="AQ93" s="32" t="s">
        <v>363</v>
      </c>
      <c r="AU93">
        <v>90</v>
      </c>
    </row>
    <row r="94" spans="1:47" x14ac:dyDescent="0.2">
      <c r="A94" s="37">
        <v>5566</v>
      </c>
      <c r="B94" s="38" t="s">
        <v>85</v>
      </c>
      <c r="C94" s="39" t="s">
        <v>253</v>
      </c>
      <c r="D94" s="29"/>
      <c r="E94" s="38" t="s">
        <v>364</v>
      </c>
      <c r="F94" s="32" t="s">
        <v>365</v>
      </c>
      <c r="G94" s="47"/>
      <c r="H94"/>
      <c r="I94" s="32"/>
      <c r="J94" s="47"/>
      <c r="K94" s="47"/>
      <c r="L94" s="48"/>
      <c r="M94" s="47"/>
      <c r="N94" s="47"/>
      <c r="O94" s="47"/>
      <c r="P94" s="47"/>
      <c r="Q94" s="47"/>
      <c r="R94" s="47"/>
      <c r="S94" s="48"/>
      <c r="T94" s="47"/>
      <c r="U94" s="47"/>
      <c r="V94" s="47"/>
      <c r="W94" s="47"/>
      <c r="X94" s="47"/>
      <c r="Y94" s="47"/>
      <c r="Z94" s="47"/>
      <c r="AA94" s="49"/>
      <c r="AB94" s="49"/>
      <c r="AC94" s="49"/>
      <c r="AD94" s="50"/>
      <c r="AE94" s="47"/>
      <c r="AF94" s="47"/>
      <c r="AG94"/>
      <c r="AH94"/>
      <c r="AI94"/>
      <c r="AJ94"/>
      <c r="AK94"/>
      <c r="AL94"/>
      <c r="AM94"/>
      <c r="AN94"/>
      <c r="AO94"/>
      <c r="AP94"/>
      <c r="AQ94" s="32" t="s">
        <v>366</v>
      </c>
      <c r="AU94">
        <v>91</v>
      </c>
    </row>
    <row r="95" spans="1:47" x14ac:dyDescent="0.2">
      <c r="A95" s="37">
        <v>5566</v>
      </c>
      <c r="B95" s="38" t="s">
        <v>85</v>
      </c>
      <c r="C95" s="39" t="s">
        <v>367</v>
      </c>
      <c r="D95" s="29"/>
      <c r="E95" s="38" t="s">
        <v>368</v>
      </c>
      <c r="F95" s="32" t="s">
        <v>246</v>
      </c>
      <c r="G95" s="47" t="s">
        <v>49</v>
      </c>
      <c r="H95"/>
      <c r="I95" s="32" t="s">
        <v>369</v>
      </c>
      <c r="J95" s="47"/>
      <c r="K95" s="47">
        <f>(8+10)*8*2.2</f>
        <v>316.8</v>
      </c>
      <c r="L95" s="48">
        <v>5</v>
      </c>
      <c r="M95" s="47">
        <v>3</v>
      </c>
      <c r="N95" s="47"/>
      <c r="O95" s="47"/>
      <c r="P95" s="47">
        <v>1</v>
      </c>
      <c r="Q95" s="47"/>
      <c r="R95" s="47"/>
      <c r="S95" s="48">
        <v>2</v>
      </c>
      <c r="T95" s="47">
        <v>0</v>
      </c>
      <c r="U95" s="47">
        <v>0</v>
      </c>
      <c r="V95" s="47">
        <v>0</v>
      </c>
      <c r="W95" s="47"/>
      <c r="X95" s="47"/>
      <c r="Y95" s="47" t="s">
        <v>51</v>
      </c>
      <c r="Z95" s="47" t="s">
        <v>146</v>
      </c>
      <c r="AA95" s="49">
        <v>0.67361111111111116</v>
      </c>
      <c r="AB95" s="49"/>
      <c r="AC95" s="49">
        <v>0.72222222222222221</v>
      </c>
      <c r="AD95" s="50"/>
      <c r="AE95" s="47" t="s">
        <v>342</v>
      </c>
      <c r="AF95" s="47">
        <v>75</v>
      </c>
      <c r="AG95"/>
      <c r="AH95"/>
      <c r="AI95"/>
      <c r="AJ95"/>
      <c r="AK95">
        <v>18</v>
      </c>
      <c r="AL95"/>
      <c r="AM95"/>
      <c r="AN95"/>
      <c r="AO95"/>
      <c r="AP95"/>
      <c r="AQ95" t="s">
        <v>370</v>
      </c>
      <c r="AU95">
        <v>92</v>
      </c>
    </row>
    <row r="96" spans="1:47" x14ac:dyDescent="0.2">
      <c r="A96" s="37">
        <v>5567</v>
      </c>
      <c r="B96" s="38" t="s">
        <v>85</v>
      </c>
      <c r="C96" s="39" t="s">
        <v>346</v>
      </c>
      <c r="D96" s="29"/>
      <c r="E96" s="38" t="s">
        <v>371</v>
      </c>
      <c r="F96" s="32" t="s">
        <v>372</v>
      </c>
      <c r="G96" s="47"/>
      <c r="H96"/>
      <c r="I96" s="32" t="s">
        <v>373</v>
      </c>
      <c r="J96" s="47"/>
      <c r="K96" s="47">
        <f>3*43*2.2</f>
        <v>283.8</v>
      </c>
      <c r="L96" s="48">
        <v>9</v>
      </c>
      <c r="M96" s="47">
        <v>6</v>
      </c>
      <c r="N96" s="47"/>
      <c r="O96" s="47"/>
      <c r="P96" s="47">
        <v>3</v>
      </c>
      <c r="Q96" s="47"/>
      <c r="R96" s="47"/>
      <c r="S96" s="48">
        <v>3</v>
      </c>
      <c r="T96" s="31">
        <v>0</v>
      </c>
      <c r="U96" s="31">
        <v>0</v>
      </c>
      <c r="V96" s="31">
        <v>0</v>
      </c>
      <c r="W96" s="47"/>
      <c r="X96" s="47"/>
      <c r="Y96" s="47" t="s">
        <v>51</v>
      </c>
      <c r="Z96" s="47" t="s">
        <v>146</v>
      </c>
      <c r="AA96" s="49"/>
      <c r="AB96" s="49"/>
      <c r="AC96" s="49"/>
      <c r="AD96" s="50"/>
      <c r="AE96" s="47" t="s">
        <v>214</v>
      </c>
      <c r="AF96" s="47"/>
      <c r="AG96"/>
      <c r="AH96"/>
      <c r="AI96"/>
      <c r="AJ96"/>
      <c r="AK96">
        <v>3</v>
      </c>
      <c r="AL96"/>
      <c r="AM96"/>
      <c r="AN96"/>
      <c r="AO96"/>
      <c r="AP96"/>
      <c r="AQ96" s="32" t="s">
        <v>374</v>
      </c>
      <c r="AU96">
        <v>93</v>
      </c>
    </row>
    <row r="97" spans="1:47" x14ac:dyDescent="0.2">
      <c r="A97" s="37">
        <v>5569</v>
      </c>
      <c r="B97" s="38" t="s">
        <v>85</v>
      </c>
      <c r="C97" s="39" t="s">
        <v>346</v>
      </c>
      <c r="D97" s="29"/>
      <c r="E97" s="38" t="s">
        <v>375</v>
      </c>
      <c r="F97" s="32" t="s">
        <v>376</v>
      </c>
      <c r="G97" s="47" t="s">
        <v>73</v>
      </c>
      <c r="H97"/>
      <c r="I97" s="32" t="b">
        <v>1</v>
      </c>
      <c r="J97" s="47" t="b">
        <v>1</v>
      </c>
      <c r="K97" s="47">
        <f>7*43*2.2</f>
        <v>662.2</v>
      </c>
      <c r="L97" s="48">
        <v>11</v>
      </c>
      <c r="M97" s="47">
        <v>2</v>
      </c>
      <c r="N97" s="47">
        <v>2</v>
      </c>
      <c r="O97" s="47"/>
      <c r="P97" s="47">
        <v>4</v>
      </c>
      <c r="Q97" s="47"/>
      <c r="R97" s="47"/>
      <c r="S97" s="48">
        <v>7</v>
      </c>
      <c r="T97" s="31">
        <v>0</v>
      </c>
      <c r="U97" s="31">
        <v>0</v>
      </c>
      <c r="V97" s="31">
        <v>0</v>
      </c>
      <c r="W97" s="47"/>
      <c r="X97" s="47"/>
      <c r="Y97" s="47" t="s">
        <v>51</v>
      </c>
      <c r="Z97" s="47" t="s">
        <v>146</v>
      </c>
      <c r="AA97" s="49">
        <v>0.57291666666666663</v>
      </c>
      <c r="AB97" s="49"/>
      <c r="AC97" s="49"/>
      <c r="AD97" s="50"/>
      <c r="AE97" s="47" t="s">
        <v>214</v>
      </c>
      <c r="AF97" s="47">
        <v>70</v>
      </c>
      <c r="AG97"/>
      <c r="AH97"/>
      <c r="AI97"/>
      <c r="AJ97"/>
      <c r="AK97"/>
      <c r="AL97"/>
      <c r="AM97"/>
      <c r="AN97"/>
      <c r="AO97"/>
      <c r="AP97"/>
      <c r="AQ97" s="32" t="s">
        <v>377</v>
      </c>
      <c r="AR97" s="32" t="s">
        <v>378</v>
      </c>
      <c r="AU97">
        <v>93.5</v>
      </c>
    </row>
    <row r="98" spans="1:47" x14ac:dyDescent="0.2">
      <c r="A98" s="37">
        <v>5569</v>
      </c>
      <c r="B98" s="38" t="s">
        <v>85</v>
      </c>
      <c r="C98" s="39" t="s">
        <v>346</v>
      </c>
      <c r="D98" s="29"/>
      <c r="E98" s="38" t="s">
        <v>379</v>
      </c>
      <c r="F98" s="32" t="s">
        <v>376</v>
      </c>
      <c r="G98" s="47" t="s">
        <v>73</v>
      </c>
      <c r="H98"/>
      <c r="I98" s="32" t="b">
        <v>0</v>
      </c>
      <c r="J98" s="32" t="b">
        <v>0</v>
      </c>
      <c r="K98" s="47">
        <f>3*43*2.2</f>
        <v>283.8</v>
      </c>
      <c r="L98" s="48">
        <v>11</v>
      </c>
      <c r="M98" s="47">
        <v>2</v>
      </c>
      <c r="N98" s="47">
        <v>2</v>
      </c>
      <c r="O98" s="47"/>
      <c r="P98" s="47">
        <v>4</v>
      </c>
      <c r="Q98" s="47"/>
      <c r="R98" s="47"/>
      <c r="S98" s="48">
        <v>3</v>
      </c>
      <c r="T98" s="31">
        <v>0</v>
      </c>
      <c r="U98" s="31">
        <v>0</v>
      </c>
      <c r="V98" s="31">
        <v>0</v>
      </c>
      <c r="W98" s="47"/>
      <c r="X98" s="47"/>
      <c r="Y98" s="47" t="s">
        <v>51</v>
      </c>
      <c r="Z98" s="47" t="s">
        <v>146</v>
      </c>
      <c r="AA98" s="49">
        <v>0.57291666666666663</v>
      </c>
      <c r="AB98" s="49"/>
      <c r="AC98" s="49"/>
      <c r="AD98" s="50"/>
      <c r="AE98" s="47" t="s">
        <v>214</v>
      </c>
      <c r="AF98" s="47">
        <v>70</v>
      </c>
      <c r="AG98"/>
      <c r="AH98"/>
      <c r="AI98"/>
      <c r="AJ98"/>
      <c r="AK98"/>
      <c r="AL98"/>
      <c r="AM98"/>
      <c r="AN98"/>
      <c r="AO98"/>
      <c r="AP98"/>
      <c r="AQ98" s="32" t="s">
        <v>377</v>
      </c>
      <c r="AR98" s="32" t="s">
        <v>378</v>
      </c>
      <c r="AU98">
        <v>94</v>
      </c>
    </row>
    <row r="99" spans="1:47" x14ac:dyDescent="0.2">
      <c r="A99" s="37">
        <v>5569</v>
      </c>
      <c r="B99" s="38" t="s">
        <v>85</v>
      </c>
      <c r="C99" s="39" t="s">
        <v>346</v>
      </c>
      <c r="D99" s="29"/>
      <c r="E99" s="38" t="s">
        <v>380</v>
      </c>
      <c r="F99" s="32" t="s">
        <v>381</v>
      </c>
      <c r="G99" s="47" t="s">
        <v>69</v>
      </c>
      <c r="H99"/>
      <c r="I99" s="32" t="b">
        <v>0</v>
      </c>
      <c r="J99" s="32" t="b">
        <v>0</v>
      </c>
      <c r="K99" s="47">
        <f>43*4*2.2</f>
        <v>378.40000000000003</v>
      </c>
      <c r="L99" s="48"/>
      <c r="M99" s="47"/>
      <c r="N99" s="47"/>
      <c r="O99" s="47"/>
      <c r="P99" s="47">
        <v>4</v>
      </c>
      <c r="Q99" s="47"/>
      <c r="R99" s="47"/>
      <c r="S99" s="48">
        <v>4</v>
      </c>
      <c r="T99" s="31">
        <v>0</v>
      </c>
      <c r="U99" s="31">
        <v>0</v>
      </c>
      <c r="V99" s="31">
        <v>0</v>
      </c>
      <c r="W99" s="47"/>
      <c r="X99" s="47"/>
      <c r="Y99" s="47" t="s">
        <v>51</v>
      </c>
      <c r="Z99" s="47" t="s">
        <v>146</v>
      </c>
      <c r="AA99" s="49">
        <v>0.57291666666666663</v>
      </c>
      <c r="AB99" s="49"/>
      <c r="AC99" s="49"/>
      <c r="AD99" s="50"/>
      <c r="AE99" s="47" t="s">
        <v>214</v>
      </c>
      <c r="AF99" s="47">
        <v>50</v>
      </c>
      <c r="AG99"/>
      <c r="AH99"/>
      <c r="AI99"/>
      <c r="AJ99"/>
      <c r="AK99">
        <v>4</v>
      </c>
      <c r="AL99"/>
      <c r="AM99"/>
      <c r="AN99"/>
      <c r="AO99"/>
      <c r="AP99"/>
      <c r="AQ99" t="s">
        <v>382</v>
      </c>
      <c r="AR99" s="32" t="s">
        <v>383</v>
      </c>
      <c r="AU99">
        <v>95</v>
      </c>
    </row>
    <row r="100" spans="1:47" x14ac:dyDescent="0.2">
      <c r="A100" s="37">
        <v>5569</v>
      </c>
      <c r="B100" s="38" t="s">
        <v>45</v>
      </c>
      <c r="C100" s="39" t="s">
        <v>384</v>
      </c>
      <c r="D100" s="29"/>
      <c r="E100" s="38" t="s">
        <v>379</v>
      </c>
      <c r="F100" s="32" t="s">
        <v>385</v>
      </c>
      <c r="G100" s="47" t="s">
        <v>73</v>
      </c>
      <c r="H100"/>
      <c r="I100" s="32" t="s">
        <v>386</v>
      </c>
      <c r="J100" s="47"/>
      <c r="K100" s="47">
        <f>(2*8+43)*2.2</f>
        <v>129.80000000000001</v>
      </c>
      <c r="L100" s="48">
        <v>1</v>
      </c>
      <c r="M100" s="47"/>
      <c r="N100" s="47"/>
      <c r="O100" s="47"/>
      <c r="P100" s="47"/>
      <c r="Q100" s="47"/>
      <c r="R100" s="47"/>
      <c r="S100" s="48">
        <v>1</v>
      </c>
      <c r="T100" s="31">
        <v>0</v>
      </c>
      <c r="U100" s="31">
        <v>0</v>
      </c>
      <c r="V100" s="31">
        <v>0</v>
      </c>
      <c r="W100" s="47"/>
      <c r="X100" s="47"/>
      <c r="Y100" s="47" t="s">
        <v>51</v>
      </c>
      <c r="Z100" s="47" t="s">
        <v>146</v>
      </c>
      <c r="AA100" s="49">
        <v>0.93055555555555547</v>
      </c>
      <c r="AB100" s="49">
        <v>1.0243055555555556</v>
      </c>
      <c r="AC100" s="49">
        <f>AVERAGE(AA100:AB100)</f>
        <v>0.97743055555555558</v>
      </c>
      <c r="AD100" s="50">
        <f>(AB100-AA100)*24</f>
        <v>2.2500000000000027</v>
      </c>
      <c r="AE100" s="47" t="s">
        <v>214</v>
      </c>
      <c r="AF100" s="47">
        <v>70</v>
      </c>
      <c r="AG100"/>
      <c r="AH100"/>
      <c r="AI100"/>
      <c r="AJ100"/>
      <c r="AK100">
        <v>3</v>
      </c>
      <c r="AL100"/>
      <c r="AM100"/>
      <c r="AN100"/>
      <c r="AO100"/>
      <c r="AP100"/>
      <c r="AQ100" t="s">
        <v>387</v>
      </c>
      <c r="AU100">
        <v>96</v>
      </c>
    </row>
    <row r="101" spans="1:47" x14ac:dyDescent="0.2">
      <c r="A101" s="37">
        <v>5570</v>
      </c>
      <c r="B101" s="38" t="s">
        <v>85</v>
      </c>
      <c r="C101" s="39" t="s">
        <v>168</v>
      </c>
      <c r="D101" s="29"/>
      <c r="E101" s="38" t="s">
        <v>388</v>
      </c>
      <c r="F101" s="32" t="s">
        <v>150</v>
      </c>
      <c r="G101" s="47" t="s">
        <v>49</v>
      </c>
      <c r="H101"/>
      <c r="I101" s="32" t="s">
        <v>389</v>
      </c>
      <c r="J101" s="47"/>
      <c r="K101" s="47"/>
      <c r="L101" s="48"/>
      <c r="M101" s="47"/>
      <c r="N101" s="47"/>
      <c r="O101" s="47"/>
      <c r="P101" s="47"/>
      <c r="Q101" s="47"/>
      <c r="R101" s="47"/>
      <c r="S101" s="48">
        <v>1</v>
      </c>
      <c r="T101" s="47"/>
      <c r="U101" s="47"/>
      <c r="V101" s="47"/>
      <c r="W101" s="47">
        <f>800/0.305</f>
        <v>2622.9508196721313</v>
      </c>
      <c r="X101" s="47"/>
      <c r="Y101" s="47"/>
      <c r="Z101" s="47"/>
      <c r="AA101" s="49"/>
      <c r="AB101" s="49"/>
      <c r="AC101" s="49"/>
      <c r="AD101" s="50"/>
      <c r="AE101" s="47"/>
      <c r="AF101" s="47"/>
      <c r="AG101"/>
      <c r="AH101"/>
      <c r="AI101"/>
      <c r="AJ101"/>
      <c r="AK101"/>
      <c r="AL101"/>
      <c r="AM101"/>
      <c r="AN101"/>
      <c r="AO101"/>
      <c r="AP101"/>
      <c r="AQ101" t="s">
        <v>390</v>
      </c>
      <c r="AU101">
        <v>97</v>
      </c>
    </row>
    <row r="102" spans="1:47" x14ac:dyDescent="0.2">
      <c r="A102" s="37">
        <v>5570</v>
      </c>
      <c r="B102" s="38" t="s">
        <v>85</v>
      </c>
      <c r="C102" s="39" t="s">
        <v>228</v>
      </c>
      <c r="D102" s="29"/>
      <c r="E102" s="38" t="s">
        <v>355</v>
      </c>
      <c r="F102" s="52" t="s">
        <v>356</v>
      </c>
      <c r="G102" s="47"/>
      <c r="H102"/>
      <c r="I102" s="32"/>
      <c r="J102" s="47"/>
      <c r="K102" s="47"/>
      <c r="L102" s="48">
        <v>1</v>
      </c>
      <c r="M102" s="47"/>
      <c r="N102" s="47"/>
      <c r="O102" s="47"/>
      <c r="P102" s="47"/>
      <c r="Q102" s="47"/>
      <c r="R102" s="47"/>
      <c r="S102" s="48"/>
      <c r="T102" s="47"/>
      <c r="U102" s="47"/>
      <c r="V102" s="47"/>
      <c r="W102" s="47"/>
      <c r="X102" s="47"/>
      <c r="Y102" s="47"/>
      <c r="Z102" s="47"/>
      <c r="AA102" s="49"/>
      <c r="AB102" s="49"/>
      <c r="AC102" s="49"/>
      <c r="AD102" s="50"/>
      <c r="AE102" s="47" t="s">
        <v>283</v>
      </c>
      <c r="AF102" s="47">
        <v>145</v>
      </c>
      <c r="AG102"/>
      <c r="AH102"/>
      <c r="AI102"/>
      <c r="AJ102"/>
      <c r="AK102"/>
      <c r="AL102"/>
      <c r="AM102"/>
      <c r="AN102"/>
      <c r="AO102"/>
      <c r="AP102"/>
      <c r="AQ102" t="s">
        <v>233</v>
      </c>
      <c r="AU102">
        <v>98</v>
      </c>
    </row>
    <row r="103" spans="1:47" x14ac:dyDescent="0.2">
      <c r="A103" s="37">
        <v>5570</v>
      </c>
      <c r="B103" s="38" t="s">
        <v>85</v>
      </c>
      <c r="C103" s="39" t="s">
        <v>228</v>
      </c>
      <c r="D103" s="29"/>
      <c r="E103" s="38" t="s">
        <v>391</v>
      </c>
      <c r="F103" s="32" t="s">
        <v>392</v>
      </c>
      <c r="G103" s="47"/>
      <c r="H103"/>
      <c r="I103" s="32"/>
      <c r="J103" s="47"/>
      <c r="K103" s="47"/>
      <c r="L103" s="48">
        <v>1</v>
      </c>
      <c r="M103" s="47"/>
      <c r="N103" s="47"/>
      <c r="O103" s="47"/>
      <c r="P103" s="47"/>
      <c r="Q103" s="47"/>
      <c r="R103" s="47"/>
      <c r="S103" s="48"/>
      <c r="T103" s="47"/>
      <c r="U103" s="47"/>
      <c r="V103" s="47"/>
      <c r="W103" s="47"/>
      <c r="X103" s="47"/>
      <c r="Y103" s="47"/>
      <c r="Z103" s="47"/>
      <c r="AA103" s="49"/>
      <c r="AB103" s="49"/>
      <c r="AC103" s="49"/>
      <c r="AD103" s="50"/>
      <c r="AE103" s="47" t="s">
        <v>283</v>
      </c>
      <c r="AF103" s="47">
        <v>70</v>
      </c>
      <c r="AG103"/>
      <c r="AH103"/>
      <c r="AI103"/>
      <c r="AJ103"/>
      <c r="AK103"/>
      <c r="AL103"/>
      <c r="AM103"/>
      <c r="AN103"/>
      <c r="AO103"/>
      <c r="AP103"/>
      <c r="AQ103" t="s">
        <v>233</v>
      </c>
      <c r="AU103">
        <v>99</v>
      </c>
    </row>
    <row r="104" spans="1:47" x14ac:dyDescent="0.2">
      <c r="A104" s="37">
        <v>5570</v>
      </c>
      <c r="B104" s="38" t="s">
        <v>85</v>
      </c>
      <c r="C104" s="39" t="s">
        <v>346</v>
      </c>
      <c r="D104" s="29"/>
      <c r="E104" s="38" t="s">
        <v>393</v>
      </c>
      <c r="F104" s="32" t="s">
        <v>204</v>
      </c>
      <c r="G104" s="47" t="s">
        <v>205</v>
      </c>
      <c r="H104"/>
      <c r="I104" s="32" t="s">
        <v>394</v>
      </c>
      <c r="J104" s="47"/>
      <c r="K104" s="47">
        <f>6*3*8*2.2</f>
        <v>316.8</v>
      </c>
      <c r="L104" s="48">
        <v>10</v>
      </c>
      <c r="M104" s="47">
        <v>1</v>
      </c>
      <c r="N104" s="47">
        <v>3</v>
      </c>
      <c r="O104" s="47"/>
      <c r="P104" s="47">
        <v>1</v>
      </c>
      <c r="Q104" s="47"/>
      <c r="R104" s="47"/>
      <c r="S104" s="48">
        <v>6</v>
      </c>
      <c r="T104" s="31">
        <v>0</v>
      </c>
      <c r="U104" s="31">
        <v>0</v>
      </c>
      <c r="V104" s="31">
        <v>0</v>
      </c>
      <c r="W104" s="47"/>
      <c r="X104" s="47"/>
      <c r="Y104" s="47" t="s">
        <v>51</v>
      </c>
      <c r="Z104" s="47" t="s">
        <v>146</v>
      </c>
      <c r="AA104" s="49">
        <v>0.61111111111111105</v>
      </c>
      <c r="AB104" s="49"/>
      <c r="AC104" s="49"/>
      <c r="AD104" s="50"/>
      <c r="AE104" s="47" t="s">
        <v>214</v>
      </c>
      <c r="AF104" s="47">
        <v>50</v>
      </c>
      <c r="AG104"/>
      <c r="AH104"/>
      <c r="AI104"/>
      <c r="AJ104"/>
      <c r="AK104">
        <v>15</v>
      </c>
      <c r="AL104"/>
      <c r="AM104"/>
      <c r="AN104"/>
      <c r="AO104"/>
      <c r="AP104"/>
      <c r="AQ104" s="32" t="s">
        <v>395</v>
      </c>
      <c r="AU104">
        <v>100</v>
      </c>
    </row>
    <row r="105" spans="1:47" x14ac:dyDescent="0.2">
      <c r="A105" s="37">
        <v>5570</v>
      </c>
      <c r="B105" s="38" t="s">
        <v>85</v>
      </c>
      <c r="C105" s="39" t="s">
        <v>346</v>
      </c>
      <c r="D105" s="29"/>
      <c r="E105" s="38" t="s">
        <v>396</v>
      </c>
      <c r="F105" s="32" t="s">
        <v>48</v>
      </c>
      <c r="G105" s="47" t="s">
        <v>49</v>
      </c>
      <c r="H105"/>
      <c r="I105" s="32" t="s">
        <v>397</v>
      </c>
      <c r="J105" s="47"/>
      <c r="K105" s="47">
        <f>1*3*8*2.2</f>
        <v>52.800000000000004</v>
      </c>
      <c r="L105" s="48"/>
      <c r="M105" s="47"/>
      <c r="N105" s="47"/>
      <c r="O105" s="47"/>
      <c r="P105" s="47">
        <v>1</v>
      </c>
      <c r="Q105" s="47"/>
      <c r="R105" s="47"/>
      <c r="S105" s="48">
        <v>1</v>
      </c>
      <c r="T105" s="31">
        <v>0</v>
      </c>
      <c r="U105" s="31">
        <v>0</v>
      </c>
      <c r="V105" s="31">
        <v>0</v>
      </c>
      <c r="W105" s="47"/>
      <c r="X105" s="47"/>
      <c r="Y105" s="47" t="s">
        <v>120</v>
      </c>
      <c r="Z105" s="47" t="s">
        <v>146</v>
      </c>
      <c r="AA105" s="49">
        <v>0.61111111111111105</v>
      </c>
      <c r="AB105" s="49"/>
      <c r="AC105" s="49"/>
      <c r="AD105" s="50"/>
      <c r="AE105" s="47" t="s">
        <v>214</v>
      </c>
      <c r="AF105" s="47">
        <v>50</v>
      </c>
      <c r="AG105"/>
      <c r="AH105"/>
      <c r="AI105"/>
      <c r="AJ105"/>
      <c r="AK105">
        <v>3</v>
      </c>
      <c r="AL105"/>
      <c r="AM105"/>
      <c r="AN105"/>
      <c r="AO105"/>
      <c r="AP105"/>
      <c r="AQ105" s="32" t="s">
        <v>395</v>
      </c>
      <c r="AU105">
        <v>101</v>
      </c>
    </row>
    <row r="106" spans="1:47" x14ac:dyDescent="0.2">
      <c r="A106" s="37">
        <v>5570</v>
      </c>
      <c r="B106" s="38" t="s">
        <v>45</v>
      </c>
      <c r="C106" s="39" t="s">
        <v>253</v>
      </c>
      <c r="D106" s="29"/>
      <c r="E106" s="38" t="s">
        <v>398</v>
      </c>
      <c r="F106" s="32" t="s">
        <v>399</v>
      </c>
      <c r="G106" s="47"/>
      <c r="H106"/>
      <c r="I106" s="32"/>
      <c r="J106" s="47"/>
      <c r="K106" s="47"/>
      <c r="L106" s="48"/>
      <c r="M106" s="47"/>
      <c r="N106" s="47"/>
      <c r="O106" s="47"/>
      <c r="P106" s="47"/>
      <c r="Q106" s="47"/>
      <c r="R106" s="47"/>
      <c r="S106" s="48"/>
      <c r="T106" s="47"/>
      <c r="U106" s="47"/>
      <c r="V106" s="47"/>
      <c r="W106" s="47"/>
      <c r="X106" s="47"/>
      <c r="Y106" s="47"/>
      <c r="Z106" s="47"/>
      <c r="AA106" s="49"/>
      <c r="AB106" s="49"/>
      <c r="AC106" s="49"/>
      <c r="AD106" s="50"/>
      <c r="AE106" s="47"/>
      <c r="AF106" s="47"/>
      <c r="AG106"/>
      <c r="AH106"/>
      <c r="AI106"/>
      <c r="AJ106"/>
      <c r="AK106"/>
      <c r="AL106"/>
      <c r="AM106"/>
      <c r="AN106"/>
      <c r="AO106"/>
      <c r="AP106"/>
      <c r="AQ106" s="32" t="s">
        <v>400</v>
      </c>
      <c r="AU106">
        <v>102</v>
      </c>
    </row>
    <row r="107" spans="1:47" x14ac:dyDescent="0.2">
      <c r="A107" s="37">
        <v>5571</v>
      </c>
      <c r="B107" s="38" t="s">
        <v>85</v>
      </c>
      <c r="C107" s="39" t="s">
        <v>142</v>
      </c>
      <c r="D107" s="29"/>
      <c r="E107" s="38" t="s">
        <v>401</v>
      </c>
      <c r="F107" s="32" t="s">
        <v>402</v>
      </c>
      <c r="G107" s="47" t="s">
        <v>69</v>
      </c>
      <c r="H107"/>
      <c r="I107" s="32" t="s">
        <v>403</v>
      </c>
      <c r="J107" s="47"/>
      <c r="K107" s="47">
        <f>53*8*2.2</f>
        <v>932.80000000000007</v>
      </c>
      <c r="L107" s="48">
        <v>9</v>
      </c>
      <c r="M107" s="47"/>
      <c r="N107" s="47"/>
      <c r="O107" s="47"/>
      <c r="P107" s="47"/>
      <c r="Q107" s="47"/>
      <c r="R107" s="47"/>
      <c r="S107" s="48">
        <v>9</v>
      </c>
      <c r="T107" s="47">
        <v>0</v>
      </c>
      <c r="U107" s="47">
        <v>0</v>
      </c>
      <c r="V107" s="47">
        <v>0</v>
      </c>
      <c r="W107" s="47"/>
      <c r="X107" s="47"/>
      <c r="Y107" s="47" t="s">
        <v>51</v>
      </c>
      <c r="Z107" s="31" t="s">
        <v>146</v>
      </c>
      <c r="AA107" s="49">
        <v>0.35416666666666669</v>
      </c>
      <c r="AB107" s="49"/>
      <c r="AC107" s="49">
        <v>0.40972222222222227</v>
      </c>
      <c r="AD107" s="50"/>
      <c r="AE107" s="47" t="s">
        <v>342</v>
      </c>
      <c r="AF107" s="47">
        <v>45</v>
      </c>
      <c r="AG107"/>
      <c r="AH107"/>
      <c r="AI107"/>
      <c r="AJ107"/>
      <c r="AK107">
        <v>53</v>
      </c>
      <c r="AL107"/>
      <c r="AM107"/>
      <c r="AN107"/>
      <c r="AO107"/>
      <c r="AP107"/>
      <c r="AQ107" t="s">
        <v>404</v>
      </c>
      <c r="AU107">
        <v>103</v>
      </c>
    </row>
    <row r="108" spans="1:47" x14ac:dyDescent="0.2">
      <c r="A108" s="37">
        <v>5572</v>
      </c>
      <c r="B108" s="38" t="s">
        <v>85</v>
      </c>
      <c r="C108" s="39" t="s">
        <v>142</v>
      </c>
      <c r="D108" s="29"/>
      <c r="E108" s="38" t="s">
        <v>405</v>
      </c>
      <c r="F108" s="32" t="s">
        <v>76</v>
      </c>
      <c r="G108" s="47" t="s">
        <v>49</v>
      </c>
      <c r="H108"/>
      <c r="I108" s="32" t="s">
        <v>406</v>
      </c>
      <c r="J108" s="47"/>
      <c r="K108" s="47">
        <f>18*8*2.2</f>
        <v>316.8</v>
      </c>
      <c r="L108" s="48">
        <v>5</v>
      </c>
      <c r="M108" s="47">
        <v>2</v>
      </c>
      <c r="N108" s="47"/>
      <c r="O108" s="47"/>
      <c r="P108" s="47"/>
      <c r="Q108" s="47"/>
      <c r="R108" s="47"/>
      <c r="S108" s="48">
        <v>3</v>
      </c>
      <c r="T108" s="47">
        <v>0</v>
      </c>
      <c r="U108" s="47">
        <v>0</v>
      </c>
      <c r="V108" s="47">
        <v>0</v>
      </c>
      <c r="W108" s="47"/>
      <c r="X108" s="47"/>
      <c r="Y108" s="47" t="s">
        <v>51</v>
      </c>
      <c r="Z108" s="31" t="s">
        <v>146</v>
      </c>
      <c r="AA108" s="49"/>
      <c r="AB108" s="49"/>
      <c r="AC108" s="49"/>
      <c r="AD108" s="50"/>
      <c r="AE108" s="47" t="s">
        <v>342</v>
      </c>
      <c r="AF108" s="47">
        <v>40</v>
      </c>
      <c r="AG108"/>
      <c r="AH108"/>
      <c r="AI108"/>
      <c r="AJ108"/>
      <c r="AK108">
        <v>18</v>
      </c>
      <c r="AL108"/>
      <c r="AM108"/>
      <c r="AN108"/>
      <c r="AO108"/>
      <c r="AP108"/>
      <c r="AQ108" t="s">
        <v>407</v>
      </c>
      <c r="AU108">
        <v>104</v>
      </c>
    </row>
    <row r="109" spans="1:47" x14ac:dyDescent="0.2">
      <c r="A109" s="37">
        <v>5575</v>
      </c>
      <c r="B109" s="38" t="s">
        <v>85</v>
      </c>
      <c r="C109" s="39" t="s">
        <v>367</v>
      </c>
      <c r="D109" s="29"/>
      <c r="E109" s="38" t="s">
        <v>408</v>
      </c>
      <c r="F109" s="32" t="s">
        <v>409</v>
      </c>
      <c r="G109" s="47" t="s">
        <v>49</v>
      </c>
      <c r="H109"/>
      <c r="I109" s="32" t="s">
        <v>410</v>
      </c>
      <c r="J109" s="47"/>
      <c r="K109" s="47">
        <f>33*8*2.2</f>
        <v>580.80000000000007</v>
      </c>
      <c r="L109" s="48"/>
      <c r="M109" s="47"/>
      <c r="N109" s="47"/>
      <c r="O109" s="47"/>
      <c r="P109" s="47"/>
      <c r="Q109" s="47"/>
      <c r="R109" s="47"/>
      <c r="S109" s="48"/>
      <c r="T109" s="47"/>
      <c r="U109" s="47"/>
      <c r="V109" s="47"/>
      <c r="W109" s="47"/>
      <c r="X109" s="47"/>
      <c r="Y109" s="47" t="s">
        <v>51</v>
      </c>
      <c r="Z109" s="47" t="s">
        <v>146</v>
      </c>
      <c r="AA109" s="49">
        <v>0.625</v>
      </c>
      <c r="AB109" s="49"/>
      <c r="AC109" s="49"/>
      <c r="AD109" s="50"/>
      <c r="AE109" s="47" t="s">
        <v>342</v>
      </c>
      <c r="AF109" s="47">
        <v>40</v>
      </c>
      <c r="AG109"/>
      <c r="AH109"/>
      <c r="AI109"/>
      <c r="AJ109"/>
      <c r="AK109">
        <v>33</v>
      </c>
      <c r="AL109"/>
      <c r="AM109"/>
      <c r="AN109"/>
      <c r="AO109"/>
      <c r="AP109"/>
      <c r="AQ109" t="s">
        <v>411</v>
      </c>
      <c r="AU109">
        <v>105</v>
      </c>
    </row>
    <row r="110" spans="1:47" x14ac:dyDescent="0.2">
      <c r="A110" s="37">
        <v>5580</v>
      </c>
      <c r="B110" s="38" t="s">
        <v>85</v>
      </c>
      <c r="C110" s="39" t="s">
        <v>346</v>
      </c>
      <c r="D110" s="29"/>
      <c r="E110" s="38" t="s">
        <v>412</v>
      </c>
      <c r="F110" s="32" t="s">
        <v>413</v>
      </c>
      <c r="G110" s="47" t="s">
        <v>73</v>
      </c>
      <c r="H110"/>
      <c r="I110" s="32" t="b">
        <v>1</v>
      </c>
      <c r="J110" s="47" t="b">
        <v>1</v>
      </c>
      <c r="K110" s="47">
        <f>(3*43+4*8)*2.2</f>
        <v>354.20000000000005</v>
      </c>
      <c r="L110" s="48">
        <v>13</v>
      </c>
      <c r="M110" s="47"/>
      <c r="N110" s="47">
        <v>4</v>
      </c>
      <c r="O110" s="47">
        <v>5</v>
      </c>
      <c r="P110" s="47"/>
      <c r="Q110" s="47"/>
      <c r="R110" s="47"/>
      <c r="S110" s="48">
        <v>4</v>
      </c>
      <c r="T110" s="47">
        <v>0</v>
      </c>
      <c r="U110" s="47">
        <v>1</v>
      </c>
      <c r="V110" s="47">
        <v>0</v>
      </c>
      <c r="W110" s="47"/>
      <c r="X110" s="47"/>
      <c r="Y110" s="47" t="s">
        <v>51</v>
      </c>
      <c r="Z110" s="47" t="s">
        <v>146</v>
      </c>
      <c r="AA110" s="49"/>
      <c r="AB110" s="49"/>
      <c r="AC110" s="49"/>
      <c r="AD110" s="50"/>
      <c r="AE110" s="47" t="s">
        <v>214</v>
      </c>
      <c r="AF110" s="47">
        <v>70</v>
      </c>
      <c r="AG110"/>
      <c r="AH110"/>
      <c r="AI110"/>
      <c r="AJ110"/>
      <c r="AK110">
        <v>7</v>
      </c>
      <c r="AL110"/>
      <c r="AM110"/>
      <c r="AN110"/>
      <c r="AO110"/>
      <c r="AP110"/>
      <c r="AQ110" s="32" t="s">
        <v>414</v>
      </c>
      <c r="AU110">
        <v>106</v>
      </c>
    </row>
    <row r="111" spans="1:47" x14ac:dyDescent="0.2">
      <c r="A111" s="37">
        <v>5580</v>
      </c>
      <c r="B111" s="38" t="s">
        <v>85</v>
      </c>
      <c r="C111" s="39" t="s">
        <v>346</v>
      </c>
      <c r="D111" s="29"/>
      <c r="E111" s="38" t="s">
        <v>391</v>
      </c>
      <c r="F111" s="32" t="s">
        <v>415</v>
      </c>
      <c r="G111" s="47" t="s">
        <v>73</v>
      </c>
      <c r="H111"/>
      <c r="I111" s="32" t="b">
        <v>0</v>
      </c>
      <c r="J111" s="32" t="b">
        <v>0</v>
      </c>
      <c r="K111" s="47">
        <f>2*43*2.2</f>
        <v>189.20000000000002</v>
      </c>
      <c r="L111" s="48"/>
      <c r="M111" s="47"/>
      <c r="N111" s="47"/>
      <c r="O111" s="47"/>
      <c r="P111" s="47"/>
      <c r="Q111" s="47"/>
      <c r="R111" s="47"/>
      <c r="S111" s="48">
        <v>2</v>
      </c>
      <c r="T111" s="31">
        <v>0</v>
      </c>
      <c r="U111" s="31">
        <v>0</v>
      </c>
      <c r="V111" s="31">
        <v>0</v>
      </c>
      <c r="W111" s="47"/>
      <c r="X111" s="47"/>
      <c r="Y111" s="47" t="s">
        <v>51</v>
      </c>
      <c r="Z111" s="47" t="s">
        <v>146</v>
      </c>
      <c r="AA111" s="49"/>
      <c r="AB111" s="49"/>
      <c r="AC111" s="49"/>
      <c r="AD111" s="50"/>
      <c r="AE111" s="47" t="s">
        <v>214</v>
      </c>
      <c r="AF111" s="47">
        <v>70</v>
      </c>
      <c r="AG111"/>
      <c r="AH111"/>
      <c r="AI111"/>
      <c r="AJ111"/>
      <c r="AK111">
        <v>2</v>
      </c>
      <c r="AL111"/>
      <c r="AM111"/>
      <c r="AN111"/>
      <c r="AO111"/>
      <c r="AP111"/>
      <c r="AQ111" s="32" t="s">
        <v>414</v>
      </c>
      <c r="AU111">
        <v>107</v>
      </c>
    </row>
    <row r="112" spans="1:47" x14ac:dyDescent="0.2">
      <c r="A112" s="37">
        <v>5580</v>
      </c>
      <c r="B112" s="38" t="s">
        <v>85</v>
      </c>
      <c r="C112" s="39" t="s">
        <v>346</v>
      </c>
      <c r="D112" s="29"/>
      <c r="E112" s="38" t="s">
        <v>416</v>
      </c>
      <c r="F112" s="32" t="s">
        <v>417</v>
      </c>
      <c r="G112" s="47" t="s">
        <v>73</v>
      </c>
      <c r="H112"/>
      <c r="I112" s="32" t="b">
        <v>0</v>
      </c>
      <c r="J112" s="32" t="b">
        <v>0</v>
      </c>
      <c r="K112" s="47">
        <f>1*43*2.2</f>
        <v>94.600000000000009</v>
      </c>
      <c r="L112" s="48"/>
      <c r="M112" s="47"/>
      <c r="N112" s="47"/>
      <c r="O112" s="47"/>
      <c r="P112" s="47"/>
      <c r="Q112" s="47"/>
      <c r="R112" s="47"/>
      <c r="S112" s="48">
        <v>1</v>
      </c>
      <c r="T112" s="31">
        <v>0</v>
      </c>
      <c r="U112" s="31">
        <v>0</v>
      </c>
      <c r="V112" s="31">
        <v>0</v>
      </c>
      <c r="W112" s="47"/>
      <c r="X112" s="47"/>
      <c r="Y112" s="47" t="s">
        <v>51</v>
      </c>
      <c r="Z112" s="47" t="s">
        <v>146</v>
      </c>
      <c r="AA112" s="49"/>
      <c r="AB112" s="49"/>
      <c r="AC112" s="49"/>
      <c r="AD112" s="50"/>
      <c r="AE112" s="47" t="s">
        <v>214</v>
      </c>
      <c r="AF112" s="47">
        <v>70</v>
      </c>
      <c r="AG112"/>
      <c r="AH112"/>
      <c r="AI112"/>
      <c r="AJ112"/>
      <c r="AK112">
        <v>1</v>
      </c>
      <c r="AL112"/>
      <c r="AM112"/>
      <c r="AN112"/>
      <c r="AO112"/>
      <c r="AP112"/>
      <c r="AQ112" s="32" t="s">
        <v>414</v>
      </c>
      <c r="AU112">
        <v>108</v>
      </c>
    </row>
    <row r="113" spans="1:47" x14ac:dyDescent="0.2">
      <c r="A113" s="37">
        <v>5580</v>
      </c>
      <c r="B113" s="38" t="s">
        <v>85</v>
      </c>
      <c r="C113" s="39" t="s">
        <v>346</v>
      </c>
      <c r="D113" s="29"/>
      <c r="E113" s="38" t="s">
        <v>418</v>
      </c>
      <c r="F113" s="32" t="s">
        <v>220</v>
      </c>
      <c r="G113" s="47" t="s">
        <v>49</v>
      </c>
      <c r="H113"/>
      <c r="I113" s="32" t="b">
        <v>0</v>
      </c>
      <c r="J113" s="32" t="b">
        <v>0</v>
      </c>
      <c r="K113" s="47">
        <f>4*8*2.2</f>
        <v>70.400000000000006</v>
      </c>
      <c r="L113" s="48"/>
      <c r="M113" s="47"/>
      <c r="N113" s="47"/>
      <c r="O113" s="47"/>
      <c r="P113" s="47"/>
      <c r="Q113" s="47"/>
      <c r="R113" s="47"/>
      <c r="S113" s="48">
        <v>1</v>
      </c>
      <c r="T113" s="31">
        <v>0</v>
      </c>
      <c r="U113" s="31">
        <v>0</v>
      </c>
      <c r="V113" s="31">
        <v>0</v>
      </c>
      <c r="W113" s="47"/>
      <c r="X113" s="47"/>
      <c r="Y113" s="47" t="s">
        <v>51</v>
      </c>
      <c r="Z113" s="47" t="s">
        <v>146</v>
      </c>
      <c r="AA113" s="49"/>
      <c r="AB113" s="49"/>
      <c r="AC113" s="49"/>
      <c r="AD113" s="50"/>
      <c r="AE113" s="47" t="s">
        <v>214</v>
      </c>
      <c r="AF113" s="47">
        <v>70</v>
      </c>
      <c r="AG113"/>
      <c r="AH113"/>
      <c r="AI113"/>
      <c r="AJ113"/>
      <c r="AK113">
        <v>4</v>
      </c>
      <c r="AL113"/>
      <c r="AM113"/>
      <c r="AN113"/>
      <c r="AO113"/>
      <c r="AP113"/>
      <c r="AQ113" s="32" t="s">
        <v>414</v>
      </c>
      <c r="AU113">
        <v>109</v>
      </c>
    </row>
    <row r="114" spans="1:47" x14ac:dyDescent="0.2">
      <c r="A114" s="37">
        <v>5581</v>
      </c>
      <c r="B114" s="38" t="s">
        <v>85</v>
      </c>
      <c r="C114" s="39" t="s">
        <v>142</v>
      </c>
      <c r="D114" s="29"/>
      <c r="E114" s="38" t="s">
        <v>419</v>
      </c>
      <c r="F114" s="32" t="s">
        <v>246</v>
      </c>
      <c r="G114" s="47" t="s">
        <v>49</v>
      </c>
      <c r="H114"/>
      <c r="I114" s="32" t="s">
        <v>420</v>
      </c>
      <c r="J114" s="47"/>
      <c r="K114" s="47">
        <f>78*8*2.2</f>
        <v>1372.8000000000002</v>
      </c>
      <c r="L114" s="48">
        <v>10</v>
      </c>
      <c r="M114" s="47"/>
      <c r="N114" s="47"/>
      <c r="O114" s="47"/>
      <c r="P114" s="47"/>
      <c r="Q114" s="47"/>
      <c r="R114" s="47"/>
      <c r="S114" s="48">
        <v>10</v>
      </c>
      <c r="T114" s="47">
        <v>0</v>
      </c>
      <c r="U114" s="47">
        <v>0</v>
      </c>
      <c r="V114" s="47">
        <v>0</v>
      </c>
      <c r="W114" s="47"/>
      <c r="X114" s="47"/>
      <c r="Y114" s="47" t="s">
        <v>120</v>
      </c>
      <c r="Z114" s="31" t="s">
        <v>146</v>
      </c>
      <c r="AA114" s="49"/>
      <c r="AB114" s="49"/>
      <c r="AC114" s="49">
        <v>0.375</v>
      </c>
      <c r="AD114" s="50"/>
      <c r="AE114" s="47" t="s">
        <v>342</v>
      </c>
      <c r="AF114" s="47">
        <v>40</v>
      </c>
      <c r="AG114"/>
      <c r="AH114"/>
      <c r="AI114"/>
      <c r="AJ114"/>
      <c r="AK114">
        <v>78</v>
      </c>
      <c r="AL114"/>
      <c r="AM114"/>
      <c r="AN114"/>
      <c r="AO114"/>
      <c r="AP114"/>
      <c r="AQ114" t="s">
        <v>421</v>
      </c>
      <c r="AU114">
        <v>110</v>
      </c>
    </row>
    <row r="115" spans="1:47" x14ac:dyDescent="0.2">
      <c r="A115" s="37">
        <v>5581</v>
      </c>
      <c r="B115" s="38" t="s">
        <v>85</v>
      </c>
      <c r="C115" s="39" t="s">
        <v>142</v>
      </c>
      <c r="D115" s="29"/>
      <c r="E115" s="38" t="s">
        <v>422</v>
      </c>
      <c r="F115" s="32" t="s">
        <v>246</v>
      </c>
      <c r="G115" s="47" t="s">
        <v>49</v>
      </c>
      <c r="H115"/>
      <c r="I115" s="32" t="s">
        <v>423</v>
      </c>
      <c r="J115" s="47"/>
      <c r="K115" s="47">
        <f>28*8*2.2</f>
        <v>492.80000000000007</v>
      </c>
      <c r="L115" s="48"/>
      <c r="M115" s="47"/>
      <c r="N115" s="47"/>
      <c r="O115" s="47"/>
      <c r="P115" s="47"/>
      <c r="Q115" s="47"/>
      <c r="R115" s="47"/>
      <c r="S115" s="48"/>
      <c r="T115" s="47">
        <v>0</v>
      </c>
      <c r="U115" s="47">
        <v>0</v>
      </c>
      <c r="V115" s="47">
        <v>0</v>
      </c>
      <c r="W115" s="47"/>
      <c r="X115" s="47"/>
      <c r="Y115" s="47" t="s">
        <v>120</v>
      </c>
      <c r="Z115" s="31" t="s">
        <v>146</v>
      </c>
      <c r="AA115" s="49">
        <v>0.625</v>
      </c>
      <c r="AB115" s="49"/>
      <c r="AC115" s="49"/>
      <c r="AD115" s="50"/>
      <c r="AE115" s="47" t="s">
        <v>342</v>
      </c>
      <c r="AF115" s="47">
        <v>40</v>
      </c>
      <c r="AG115"/>
      <c r="AH115"/>
      <c r="AI115"/>
      <c r="AJ115"/>
      <c r="AK115">
        <v>28</v>
      </c>
      <c r="AL115"/>
      <c r="AM115"/>
      <c r="AN115"/>
      <c r="AO115"/>
      <c r="AP115"/>
      <c r="AQ115" t="s">
        <v>424</v>
      </c>
      <c r="AU115">
        <v>111</v>
      </c>
    </row>
    <row r="116" spans="1:47" x14ac:dyDescent="0.2">
      <c r="A116" s="37">
        <v>5581</v>
      </c>
      <c r="B116" s="38" t="s">
        <v>45</v>
      </c>
      <c r="C116" s="39" t="s">
        <v>425</v>
      </c>
      <c r="D116" s="29"/>
      <c r="E116" s="38" t="s">
        <v>426</v>
      </c>
      <c r="F116" s="32" t="s">
        <v>150</v>
      </c>
      <c r="G116" s="47" t="s">
        <v>49</v>
      </c>
      <c r="H116"/>
      <c r="I116" s="32" t="s">
        <v>427</v>
      </c>
      <c r="J116" s="47"/>
      <c r="K116" s="47">
        <f>6*8*2.2</f>
        <v>105.60000000000001</v>
      </c>
      <c r="L116" s="48">
        <v>1</v>
      </c>
      <c r="M116" s="47"/>
      <c r="N116" s="47"/>
      <c r="O116" s="47"/>
      <c r="P116" s="47"/>
      <c r="Q116" s="47"/>
      <c r="R116" s="47"/>
      <c r="S116" s="48">
        <v>1</v>
      </c>
      <c r="T116" s="47">
        <v>0</v>
      </c>
      <c r="U116" s="47">
        <v>0</v>
      </c>
      <c r="V116" s="47">
        <v>0</v>
      </c>
      <c r="W116" s="47"/>
      <c r="X116" s="47"/>
      <c r="Y116" s="47" t="s">
        <v>51</v>
      </c>
      <c r="Z116" s="47" t="s">
        <v>146</v>
      </c>
      <c r="AA116" s="49"/>
      <c r="AB116" s="49"/>
      <c r="AC116" s="49">
        <v>0.80208333333333337</v>
      </c>
      <c r="AD116" s="50"/>
      <c r="AE116" s="47" t="s">
        <v>342</v>
      </c>
      <c r="AF116" s="47"/>
      <c r="AG116"/>
      <c r="AH116"/>
      <c r="AI116"/>
      <c r="AJ116"/>
      <c r="AK116">
        <v>6</v>
      </c>
      <c r="AL116"/>
      <c r="AM116"/>
      <c r="AN116"/>
      <c r="AO116"/>
      <c r="AP116"/>
      <c r="AQ116" t="s">
        <v>428</v>
      </c>
      <c r="AU116">
        <v>112</v>
      </c>
    </row>
    <row r="117" spans="1:47" x14ac:dyDescent="0.2">
      <c r="A117" s="37">
        <v>5581</v>
      </c>
      <c r="B117" s="38" t="s">
        <v>45</v>
      </c>
      <c r="C117" s="43" t="s">
        <v>46</v>
      </c>
      <c r="D117" s="29"/>
      <c r="E117" s="36" t="s">
        <v>429</v>
      </c>
      <c r="F117" s="31" t="s">
        <v>430</v>
      </c>
      <c r="G117" s="31" t="s">
        <v>49</v>
      </c>
      <c r="H117" s="32"/>
      <c r="I117" s="32" t="s">
        <v>431</v>
      </c>
      <c r="J117" s="47"/>
      <c r="K117" s="47">
        <f>20*3*2.2</f>
        <v>132</v>
      </c>
      <c r="L117" s="48">
        <v>1</v>
      </c>
      <c r="M117" s="47"/>
      <c r="N117" s="47"/>
      <c r="O117" s="47"/>
      <c r="P117" s="47"/>
      <c r="Q117" s="47"/>
      <c r="R117" s="47"/>
      <c r="S117" s="48">
        <v>1</v>
      </c>
      <c r="T117" s="47"/>
      <c r="U117" s="47"/>
      <c r="V117" s="47"/>
      <c r="W117" s="47"/>
      <c r="X117" s="47"/>
      <c r="Y117" s="47" t="s">
        <v>51</v>
      </c>
      <c r="Z117" s="20" t="s">
        <v>52</v>
      </c>
      <c r="AA117" s="49"/>
      <c r="AB117" s="49"/>
      <c r="AC117" s="49"/>
      <c r="AD117" s="50"/>
      <c r="AE117" s="47"/>
      <c r="AF117" s="47">
        <v>327</v>
      </c>
      <c r="AG117"/>
      <c r="AH117"/>
      <c r="AI117"/>
      <c r="AJ117"/>
      <c r="AK117">
        <v>20</v>
      </c>
      <c r="AL117"/>
      <c r="AM117"/>
      <c r="AN117"/>
      <c r="AO117"/>
      <c r="AP117"/>
      <c r="AQ117" s="32" t="s">
        <v>53</v>
      </c>
      <c r="AU117">
        <v>113</v>
      </c>
    </row>
    <row r="118" spans="1:47" x14ac:dyDescent="0.2">
      <c r="A118" s="37">
        <v>5582</v>
      </c>
      <c r="B118" s="38" t="s">
        <v>85</v>
      </c>
      <c r="C118" s="39" t="s">
        <v>142</v>
      </c>
      <c r="D118" s="29"/>
      <c r="E118" s="36" t="s">
        <v>432</v>
      </c>
      <c r="F118" s="31" t="s">
        <v>433</v>
      </c>
      <c r="G118" s="31" t="s">
        <v>49</v>
      </c>
      <c r="H118" s="32"/>
      <c r="I118" s="32" t="s">
        <v>434</v>
      </c>
      <c r="J118" s="47"/>
      <c r="K118" s="47">
        <f>77*8*2.2</f>
        <v>1355.2</v>
      </c>
      <c r="L118" s="48"/>
      <c r="M118" s="47"/>
      <c r="N118" s="47"/>
      <c r="O118" s="47"/>
      <c r="P118" s="47"/>
      <c r="Q118" s="47"/>
      <c r="R118" s="47"/>
      <c r="S118" s="48"/>
      <c r="T118" s="47">
        <v>0</v>
      </c>
      <c r="U118" s="47">
        <v>0</v>
      </c>
      <c r="V118" s="47">
        <v>0</v>
      </c>
      <c r="W118" s="47"/>
      <c r="X118" s="47"/>
      <c r="Y118" s="47" t="s">
        <v>51</v>
      </c>
      <c r="Z118" s="31" t="s">
        <v>146</v>
      </c>
      <c r="AA118" s="49">
        <v>0.35416666666666669</v>
      </c>
      <c r="AB118" s="49"/>
      <c r="AC118" s="49">
        <v>0.43055555555555558</v>
      </c>
      <c r="AD118" s="50"/>
      <c r="AE118" s="47" t="s">
        <v>342</v>
      </c>
      <c r="AF118" s="47">
        <v>45</v>
      </c>
      <c r="AG118"/>
      <c r="AH118"/>
      <c r="AI118"/>
      <c r="AJ118"/>
      <c r="AK118">
        <v>77</v>
      </c>
      <c r="AL118"/>
      <c r="AM118"/>
      <c r="AN118"/>
      <c r="AO118"/>
      <c r="AP118"/>
      <c r="AQ118" t="s">
        <v>435</v>
      </c>
      <c r="AU118">
        <v>114</v>
      </c>
    </row>
    <row r="119" spans="1:47" x14ac:dyDescent="0.2">
      <c r="A119" s="37">
        <v>5582</v>
      </c>
      <c r="B119" s="38" t="s">
        <v>85</v>
      </c>
      <c r="C119" s="39" t="s">
        <v>367</v>
      </c>
      <c r="D119" s="29"/>
      <c r="E119" s="38" t="s">
        <v>175</v>
      </c>
      <c r="F119" s="32" t="s">
        <v>436</v>
      </c>
      <c r="G119" s="47" t="s">
        <v>69</v>
      </c>
      <c r="H119"/>
      <c r="I119" s="32"/>
      <c r="J119" s="47"/>
      <c r="K119" s="47">
        <f>7*8*2.2</f>
        <v>123.20000000000002</v>
      </c>
      <c r="L119" s="48">
        <v>1</v>
      </c>
      <c r="M119" s="47"/>
      <c r="N119" s="47"/>
      <c r="O119" s="47"/>
      <c r="P119" s="47"/>
      <c r="Q119" s="47"/>
      <c r="R119" s="47"/>
      <c r="S119" s="48">
        <v>1</v>
      </c>
      <c r="T119" s="47">
        <v>0</v>
      </c>
      <c r="U119" s="47">
        <v>0</v>
      </c>
      <c r="V119" s="47">
        <v>0</v>
      </c>
      <c r="W119" s="47"/>
      <c r="X119" s="47"/>
      <c r="Y119" s="47" t="s">
        <v>51</v>
      </c>
      <c r="Z119" s="47" t="s">
        <v>146</v>
      </c>
      <c r="AA119" s="49"/>
      <c r="AB119" s="49"/>
      <c r="AC119" s="49"/>
      <c r="AD119" s="50"/>
      <c r="AE119" s="47" t="s">
        <v>342</v>
      </c>
      <c r="AF119" s="47">
        <v>40</v>
      </c>
      <c r="AG119"/>
      <c r="AH119"/>
      <c r="AI119"/>
      <c r="AJ119"/>
      <c r="AK119">
        <v>7</v>
      </c>
      <c r="AL119"/>
      <c r="AM119"/>
      <c r="AN119"/>
      <c r="AO119"/>
      <c r="AP119"/>
      <c r="AQ119" t="s">
        <v>428</v>
      </c>
      <c r="AU119">
        <v>115</v>
      </c>
    </row>
    <row r="120" spans="1:47" x14ac:dyDescent="0.2">
      <c r="A120" s="37">
        <v>5584</v>
      </c>
      <c r="B120" s="38" t="s">
        <v>85</v>
      </c>
      <c r="C120" s="39" t="s">
        <v>142</v>
      </c>
      <c r="D120" s="29"/>
      <c r="E120" s="38" t="s">
        <v>437</v>
      </c>
      <c r="F120" s="32" t="s">
        <v>438</v>
      </c>
      <c r="G120" s="47" t="s">
        <v>49</v>
      </c>
      <c r="H120"/>
      <c r="I120" s="32" t="s">
        <v>439</v>
      </c>
      <c r="J120" s="47"/>
      <c r="K120" s="47">
        <f>(9*43+6*8)*2.2</f>
        <v>957.00000000000011</v>
      </c>
      <c r="L120" s="48"/>
      <c r="M120" s="47"/>
      <c r="N120" s="47"/>
      <c r="O120" s="47"/>
      <c r="P120" s="47"/>
      <c r="Q120" s="47"/>
      <c r="R120" s="47"/>
      <c r="S120" s="48"/>
      <c r="T120" s="47">
        <v>0</v>
      </c>
      <c r="U120" s="47">
        <v>0</v>
      </c>
      <c r="V120" s="47">
        <v>0</v>
      </c>
      <c r="W120" s="47"/>
      <c r="X120" s="47"/>
      <c r="Y120" s="47" t="s">
        <v>51</v>
      </c>
      <c r="Z120" s="31" t="s">
        <v>146</v>
      </c>
      <c r="AA120" s="49"/>
      <c r="AB120" s="49"/>
      <c r="AC120" s="49">
        <v>0.41666666666666669</v>
      </c>
      <c r="AD120" s="50"/>
      <c r="AE120" s="47" t="s">
        <v>342</v>
      </c>
      <c r="AF120" s="31">
        <v>40</v>
      </c>
      <c r="AG120"/>
      <c r="AH120"/>
      <c r="AI120"/>
      <c r="AJ120"/>
      <c r="AK120">
        <v>15</v>
      </c>
      <c r="AL120"/>
      <c r="AM120"/>
      <c r="AN120"/>
      <c r="AO120"/>
      <c r="AP120"/>
      <c r="AQ120" t="s">
        <v>440</v>
      </c>
      <c r="AU120">
        <v>116</v>
      </c>
    </row>
    <row r="121" spans="1:47" x14ac:dyDescent="0.2">
      <c r="A121" s="37">
        <v>5584</v>
      </c>
      <c r="B121" s="38" t="s">
        <v>85</v>
      </c>
      <c r="C121" s="39" t="s">
        <v>346</v>
      </c>
      <c r="D121" s="29"/>
      <c r="E121" s="38" t="s">
        <v>441</v>
      </c>
      <c r="F121" s="32" t="s">
        <v>442</v>
      </c>
      <c r="G121" s="47" t="s">
        <v>73</v>
      </c>
      <c r="H121"/>
      <c r="I121" s="32" t="s">
        <v>443</v>
      </c>
      <c r="J121" s="47"/>
      <c r="K121" s="47">
        <f>8*43*2.2</f>
        <v>756.80000000000007</v>
      </c>
      <c r="L121" s="48">
        <v>13</v>
      </c>
      <c r="M121" s="47"/>
      <c r="N121" s="47">
        <v>5</v>
      </c>
      <c r="O121" s="47"/>
      <c r="P121" s="47"/>
      <c r="Q121" s="47"/>
      <c r="R121" s="47"/>
      <c r="S121" s="48">
        <v>8</v>
      </c>
      <c r="T121" s="31">
        <v>0</v>
      </c>
      <c r="U121" s="31">
        <v>0</v>
      </c>
      <c r="V121" s="31">
        <v>0</v>
      </c>
      <c r="W121" s="47"/>
      <c r="X121" s="47"/>
      <c r="Y121" s="47" t="s">
        <v>51</v>
      </c>
      <c r="Z121" s="47" t="s">
        <v>146</v>
      </c>
      <c r="AA121" s="49">
        <v>0.65277777777777779</v>
      </c>
      <c r="AB121" s="49"/>
      <c r="AC121" s="49"/>
      <c r="AD121" s="50"/>
      <c r="AE121" s="47" t="s">
        <v>214</v>
      </c>
      <c r="AF121" s="47">
        <v>50</v>
      </c>
      <c r="AG121"/>
      <c r="AH121"/>
      <c r="AI121"/>
      <c r="AJ121"/>
      <c r="AK121">
        <v>8</v>
      </c>
      <c r="AL121"/>
      <c r="AM121"/>
      <c r="AN121"/>
      <c r="AO121"/>
      <c r="AP121"/>
      <c r="AQ121" s="32" t="s">
        <v>444</v>
      </c>
      <c r="AU121">
        <v>117</v>
      </c>
    </row>
    <row r="122" spans="1:47" x14ac:dyDescent="0.2">
      <c r="A122" s="37">
        <v>5584</v>
      </c>
      <c r="B122" s="38" t="s">
        <v>45</v>
      </c>
      <c r="C122" s="43" t="s">
        <v>46</v>
      </c>
      <c r="D122" s="29"/>
      <c r="E122" s="38" t="s">
        <v>445</v>
      </c>
      <c r="F122" s="31" t="s">
        <v>430</v>
      </c>
      <c r="G122" s="47" t="s">
        <v>49</v>
      </c>
      <c r="H122"/>
      <c r="I122" s="32" t="s">
        <v>446</v>
      </c>
      <c r="J122" s="47"/>
      <c r="K122" s="47"/>
      <c r="L122" s="48">
        <v>1</v>
      </c>
      <c r="M122" s="47"/>
      <c r="N122" s="47"/>
      <c r="O122" s="47"/>
      <c r="P122" s="47"/>
      <c r="Q122" s="47"/>
      <c r="R122" s="47"/>
      <c r="S122" s="48">
        <v>1</v>
      </c>
      <c r="T122" s="47"/>
      <c r="U122" s="47"/>
      <c r="V122" s="47"/>
      <c r="W122" s="47"/>
      <c r="X122" s="47"/>
      <c r="Y122" s="47" t="s">
        <v>51</v>
      </c>
      <c r="Z122" s="20" t="s">
        <v>52</v>
      </c>
      <c r="AA122" s="49"/>
      <c r="AB122" s="49"/>
      <c r="AC122" s="49"/>
      <c r="AD122" s="50"/>
      <c r="AE122" s="47"/>
      <c r="AF122" s="47">
        <v>346</v>
      </c>
      <c r="AG122"/>
      <c r="AH122"/>
      <c r="AI122"/>
      <c r="AJ122"/>
      <c r="AK122">
        <v>18</v>
      </c>
      <c r="AL122"/>
      <c r="AM122"/>
      <c r="AN122"/>
      <c r="AO122"/>
      <c r="AP122"/>
      <c r="AQ122" s="32" t="s">
        <v>53</v>
      </c>
      <c r="AU122">
        <v>118</v>
      </c>
    </row>
    <row r="123" spans="1:47" x14ac:dyDescent="0.2">
      <c r="A123" s="37">
        <v>5584</v>
      </c>
      <c r="B123" s="38"/>
      <c r="C123" s="39" t="s">
        <v>253</v>
      </c>
      <c r="D123" s="29"/>
      <c r="E123" s="38" t="s">
        <v>447</v>
      </c>
      <c r="F123" s="32" t="s">
        <v>150</v>
      </c>
      <c r="G123" s="47"/>
      <c r="H123"/>
      <c r="I123" s="32" t="s">
        <v>448</v>
      </c>
      <c r="J123" s="47"/>
      <c r="K123" s="47"/>
      <c r="L123" s="48"/>
      <c r="M123" s="47"/>
      <c r="N123" s="47"/>
      <c r="O123" s="47"/>
      <c r="P123" s="47"/>
      <c r="Q123" s="47"/>
      <c r="R123" s="47"/>
      <c r="S123" s="48"/>
      <c r="T123" s="47"/>
      <c r="U123" s="47"/>
      <c r="V123" s="47"/>
      <c r="W123" s="47"/>
      <c r="X123" s="47"/>
      <c r="Y123" s="47"/>
      <c r="Z123" s="47"/>
      <c r="AA123" s="49"/>
      <c r="AB123" s="49"/>
      <c r="AC123" s="49"/>
      <c r="AD123" s="50"/>
      <c r="AE123" s="47"/>
      <c r="AF123" s="47"/>
      <c r="AG123"/>
      <c r="AH123"/>
      <c r="AI123"/>
      <c r="AJ123"/>
      <c r="AK123"/>
      <c r="AL123"/>
      <c r="AM123"/>
      <c r="AN123"/>
      <c r="AO123"/>
      <c r="AP123"/>
      <c r="AQ123" s="32" t="s">
        <v>354</v>
      </c>
      <c r="AU123">
        <v>119</v>
      </c>
    </row>
    <row r="124" spans="1:47" x14ac:dyDescent="0.2">
      <c r="A124" s="26">
        <v>5584</v>
      </c>
      <c r="B124" s="27"/>
      <c r="C124" s="28"/>
      <c r="D124" s="29"/>
      <c r="E124" s="30" t="s">
        <v>75</v>
      </c>
      <c r="H124" s="32">
        <v>1</v>
      </c>
      <c r="I124" s="32" t="s">
        <v>449</v>
      </c>
      <c r="AG124" s="32">
        <v>0</v>
      </c>
      <c r="AH124" s="32">
        <v>0</v>
      </c>
      <c r="AI124" s="32">
        <v>25</v>
      </c>
      <c r="AK124" s="32">
        <v>0</v>
      </c>
      <c r="AL124" s="32">
        <v>6</v>
      </c>
      <c r="AQ124" s="32">
        <v>412</v>
      </c>
      <c r="AU124">
        <v>120</v>
      </c>
    </row>
    <row r="125" spans="1:47" x14ac:dyDescent="0.2">
      <c r="A125" s="37">
        <v>5585</v>
      </c>
      <c r="B125" s="38" t="s">
        <v>85</v>
      </c>
      <c r="C125" s="39" t="s">
        <v>253</v>
      </c>
      <c r="D125" s="29"/>
      <c r="E125" s="38" t="s">
        <v>450</v>
      </c>
      <c r="F125" s="32" t="s">
        <v>451</v>
      </c>
      <c r="G125" s="47"/>
      <c r="H125"/>
      <c r="I125" s="32" t="s">
        <v>452</v>
      </c>
      <c r="J125" s="47"/>
      <c r="K125" s="47"/>
      <c r="L125" s="48"/>
      <c r="M125" s="47"/>
      <c r="N125" s="47"/>
      <c r="O125" s="47"/>
      <c r="P125" s="47"/>
      <c r="Q125" s="47"/>
      <c r="R125" s="47"/>
      <c r="S125" s="48"/>
      <c r="T125" s="47"/>
      <c r="U125" s="47"/>
      <c r="V125" s="47"/>
      <c r="W125" s="47"/>
      <c r="X125" s="47"/>
      <c r="Y125" s="47"/>
      <c r="Z125" s="47"/>
      <c r="AA125" s="49"/>
      <c r="AB125" s="49"/>
      <c r="AC125" s="49"/>
      <c r="AD125" s="50"/>
      <c r="AE125" s="47"/>
      <c r="AF125" s="47"/>
      <c r="AG125"/>
      <c r="AH125"/>
      <c r="AI125"/>
      <c r="AJ125"/>
      <c r="AK125"/>
      <c r="AL125"/>
      <c r="AM125"/>
      <c r="AN125"/>
      <c r="AO125"/>
      <c r="AP125"/>
      <c r="AQ125" t="s">
        <v>453</v>
      </c>
      <c r="AR125" s="32">
        <v>3</v>
      </c>
      <c r="AU125">
        <v>121</v>
      </c>
    </row>
    <row r="126" spans="1:47" x14ac:dyDescent="0.2">
      <c r="A126" s="37">
        <v>5585</v>
      </c>
      <c r="B126" s="38" t="s">
        <v>85</v>
      </c>
      <c r="C126" s="39" t="s">
        <v>168</v>
      </c>
      <c r="D126" s="29"/>
      <c r="E126" s="38" t="s">
        <v>305</v>
      </c>
      <c r="F126" s="32" t="s">
        <v>454</v>
      </c>
      <c r="G126" s="47" t="s">
        <v>274</v>
      </c>
      <c r="H126"/>
      <c r="I126" s="32" t="s">
        <v>455</v>
      </c>
      <c r="J126" s="47"/>
      <c r="K126" s="47">
        <f>10*8*2.2</f>
        <v>176</v>
      </c>
      <c r="L126" s="48"/>
      <c r="M126" s="47"/>
      <c r="N126" s="47"/>
      <c r="O126" s="47"/>
      <c r="P126" s="47"/>
      <c r="Q126" s="47"/>
      <c r="R126" s="47"/>
      <c r="S126" s="48">
        <v>1</v>
      </c>
      <c r="T126" s="47"/>
      <c r="U126" s="47"/>
      <c r="V126" s="47"/>
      <c r="W126" s="47">
        <f>1600/0.305</f>
        <v>5245.9016393442625</v>
      </c>
      <c r="X126" s="47"/>
      <c r="Y126" s="47"/>
      <c r="Z126" s="47"/>
      <c r="AA126" s="49"/>
      <c r="AB126" s="49"/>
      <c r="AC126" s="49"/>
      <c r="AD126" s="50"/>
      <c r="AE126" s="47"/>
      <c r="AF126" s="47"/>
      <c r="AG126"/>
      <c r="AH126"/>
      <c r="AI126"/>
      <c r="AJ126"/>
      <c r="AK126"/>
      <c r="AL126"/>
      <c r="AM126"/>
      <c r="AN126"/>
      <c r="AO126"/>
      <c r="AP126"/>
      <c r="AQ126" t="s">
        <v>456</v>
      </c>
      <c r="AU126">
        <v>122</v>
      </c>
    </row>
    <row r="127" spans="1:47" x14ac:dyDescent="0.2">
      <c r="A127" s="37">
        <v>5585</v>
      </c>
      <c r="B127" s="38" t="s">
        <v>85</v>
      </c>
      <c r="C127" s="39" t="s">
        <v>142</v>
      </c>
      <c r="D127" s="29"/>
      <c r="E127" s="38" t="s">
        <v>457</v>
      </c>
      <c r="F127" s="32" t="s">
        <v>458</v>
      </c>
      <c r="G127" s="47" t="s">
        <v>459</v>
      </c>
      <c r="H127"/>
      <c r="I127" s="32" t="s">
        <v>460</v>
      </c>
      <c r="J127" s="47"/>
      <c r="K127" s="47">
        <f>(19*44+20*8)*2.2</f>
        <v>2191.2000000000003</v>
      </c>
      <c r="L127" s="48">
        <v>17</v>
      </c>
      <c r="M127" s="47"/>
      <c r="N127" s="47"/>
      <c r="O127" s="47"/>
      <c r="P127" s="47"/>
      <c r="Q127" s="47"/>
      <c r="R127" s="47"/>
      <c r="S127" s="48">
        <v>17</v>
      </c>
      <c r="T127" s="47">
        <v>0</v>
      </c>
      <c r="U127" s="47">
        <v>0</v>
      </c>
      <c r="V127" s="47">
        <v>0</v>
      </c>
      <c r="W127" s="47"/>
      <c r="X127" s="47"/>
      <c r="Y127" s="47" t="s">
        <v>120</v>
      </c>
      <c r="Z127" s="31" t="s">
        <v>146</v>
      </c>
      <c r="AA127" s="49">
        <v>0.33333333333333331</v>
      </c>
      <c r="AB127" s="49"/>
      <c r="AC127" s="49">
        <v>0.39583333333333331</v>
      </c>
      <c r="AD127" s="50"/>
      <c r="AE127" s="47" t="s">
        <v>342</v>
      </c>
      <c r="AF127" s="47">
        <v>55</v>
      </c>
      <c r="AG127"/>
      <c r="AH127"/>
      <c r="AI127"/>
      <c r="AJ127"/>
      <c r="AK127">
        <v>39</v>
      </c>
      <c r="AL127"/>
      <c r="AM127"/>
      <c r="AN127"/>
      <c r="AO127"/>
      <c r="AP127"/>
      <c r="AQ127" t="s">
        <v>461</v>
      </c>
      <c r="AU127">
        <v>123</v>
      </c>
    </row>
    <row r="128" spans="1:47" x14ac:dyDescent="0.2">
      <c r="A128" s="37">
        <v>5585</v>
      </c>
      <c r="B128" s="38" t="s">
        <v>45</v>
      </c>
      <c r="C128" s="43" t="s">
        <v>46</v>
      </c>
      <c r="D128" s="29"/>
      <c r="E128" s="38" t="s">
        <v>462</v>
      </c>
      <c r="F128" s="32" t="s">
        <v>48</v>
      </c>
      <c r="G128" s="47" t="s">
        <v>49</v>
      </c>
      <c r="H128"/>
      <c r="I128" s="32" t="s">
        <v>463</v>
      </c>
      <c r="J128" s="47"/>
      <c r="K128" s="47">
        <f>520*2.2</f>
        <v>1144</v>
      </c>
      <c r="L128" s="48">
        <v>1</v>
      </c>
      <c r="M128" s="47"/>
      <c r="N128" s="47"/>
      <c r="O128" s="47"/>
      <c r="P128" s="47"/>
      <c r="Q128" s="47"/>
      <c r="R128" s="47"/>
      <c r="S128" s="48">
        <v>1</v>
      </c>
      <c r="T128" s="47"/>
      <c r="U128" s="47"/>
      <c r="V128" s="47"/>
      <c r="W128" s="47"/>
      <c r="X128" s="47"/>
      <c r="Y128" s="47" t="s">
        <v>51</v>
      </c>
      <c r="Z128" s="20" t="s">
        <v>52</v>
      </c>
      <c r="AA128" s="49"/>
      <c r="AB128" s="49"/>
      <c r="AC128" s="49"/>
      <c r="AD128" s="50"/>
      <c r="AE128" s="47"/>
      <c r="AF128" s="47">
        <v>325</v>
      </c>
      <c r="AG128"/>
      <c r="AH128"/>
      <c r="AI128"/>
      <c r="AJ128"/>
      <c r="AK128"/>
      <c r="AL128"/>
      <c r="AM128"/>
      <c r="AN128"/>
      <c r="AO128"/>
      <c r="AP128"/>
      <c r="AQ128" s="32" t="s">
        <v>53</v>
      </c>
      <c r="AU128">
        <v>124</v>
      </c>
    </row>
    <row r="129" spans="1:47" x14ac:dyDescent="0.2">
      <c r="A129" s="26">
        <v>5585</v>
      </c>
      <c r="B129" s="27">
        <v>0.39583333333333331</v>
      </c>
      <c r="C129" s="28"/>
      <c r="D129" s="29"/>
      <c r="E129" s="30" t="s">
        <v>464</v>
      </c>
      <c r="H129" s="32">
        <v>1</v>
      </c>
      <c r="I129" s="32" t="s">
        <v>465</v>
      </c>
      <c r="AG129" s="32">
        <v>0</v>
      </c>
      <c r="AH129" s="32">
        <v>0</v>
      </c>
      <c r="AK129" s="32">
        <v>5</v>
      </c>
      <c r="AL129" s="32">
        <v>0</v>
      </c>
      <c r="AO129" s="32" t="s">
        <v>466</v>
      </c>
      <c r="AQ129" s="32">
        <v>385</v>
      </c>
      <c r="AU129">
        <v>125</v>
      </c>
    </row>
    <row r="130" spans="1:47" x14ac:dyDescent="0.2">
      <c r="A130" s="37">
        <v>5586</v>
      </c>
      <c r="B130" s="38" t="s">
        <v>85</v>
      </c>
      <c r="C130" s="39" t="s">
        <v>346</v>
      </c>
      <c r="D130" s="29"/>
      <c r="E130" s="36" t="s">
        <v>467</v>
      </c>
      <c r="F130" s="31" t="s">
        <v>468</v>
      </c>
      <c r="G130" s="31" t="s">
        <v>73</v>
      </c>
      <c r="H130" s="32"/>
      <c r="I130" s="32" t="s">
        <v>469</v>
      </c>
      <c r="K130" s="31">
        <f>24*8*2.2</f>
        <v>422.40000000000003</v>
      </c>
      <c r="L130" s="33">
        <v>11</v>
      </c>
      <c r="O130" s="31">
        <v>5</v>
      </c>
      <c r="S130" s="33">
        <v>6</v>
      </c>
      <c r="T130" s="31">
        <v>0</v>
      </c>
      <c r="U130" s="31">
        <v>0</v>
      </c>
      <c r="V130" s="31">
        <v>0</v>
      </c>
      <c r="Y130" s="47" t="s">
        <v>51</v>
      </c>
      <c r="Z130" s="47" t="s">
        <v>146</v>
      </c>
      <c r="AE130" s="47" t="s">
        <v>214</v>
      </c>
      <c r="AK130" s="32">
        <v>24</v>
      </c>
      <c r="AQ130" s="32" t="s">
        <v>470</v>
      </c>
      <c r="AU130">
        <v>126</v>
      </c>
    </row>
    <row r="131" spans="1:47" x14ac:dyDescent="0.2">
      <c r="A131" s="37">
        <v>5587</v>
      </c>
      <c r="B131" s="38" t="s">
        <v>85</v>
      </c>
      <c r="C131" s="39" t="s">
        <v>471</v>
      </c>
      <c r="D131" s="29"/>
      <c r="E131" s="38" t="s">
        <v>472</v>
      </c>
      <c r="F131" s="31" t="s">
        <v>458</v>
      </c>
      <c r="G131" s="31" t="s">
        <v>459</v>
      </c>
      <c r="H131" s="32"/>
      <c r="I131" s="32" t="s">
        <v>473</v>
      </c>
      <c r="K131" s="31">
        <f>(8*43+8*8)*2.2</f>
        <v>897.6</v>
      </c>
      <c r="T131" s="31">
        <v>0</v>
      </c>
      <c r="U131" s="31">
        <v>0</v>
      </c>
      <c r="V131" s="31">
        <v>0</v>
      </c>
      <c r="Y131" s="31" t="s">
        <v>120</v>
      </c>
      <c r="Z131" s="47" t="s">
        <v>146</v>
      </c>
      <c r="AE131" s="31" t="s">
        <v>342</v>
      </c>
      <c r="AF131" s="47">
        <v>60</v>
      </c>
      <c r="AK131" s="32">
        <v>14</v>
      </c>
      <c r="AQ131" s="32" t="s">
        <v>474</v>
      </c>
      <c r="AU131">
        <v>127</v>
      </c>
    </row>
    <row r="132" spans="1:47" x14ac:dyDescent="0.2">
      <c r="A132" s="37">
        <v>5587</v>
      </c>
      <c r="B132" s="38" t="s">
        <v>85</v>
      </c>
      <c r="C132" s="39" t="s">
        <v>475</v>
      </c>
      <c r="D132" s="29"/>
      <c r="E132" s="38" t="s">
        <v>476</v>
      </c>
      <c r="F132" s="31" t="s">
        <v>477</v>
      </c>
      <c r="G132" s="31" t="s">
        <v>274</v>
      </c>
      <c r="H132" s="32"/>
      <c r="I132" s="32" t="s">
        <v>478</v>
      </c>
      <c r="K132" s="31">
        <f>(3*43+6*8)*2.2</f>
        <v>389.40000000000003</v>
      </c>
      <c r="T132" s="31">
        <v>0</v>
      </c>
      <c r="U132" s="31">
        <v>0</v>
      </c>
      <c r="V132" s="31">
        <v>0</v>
      </c>
      <c r="Y132" s="31" t="s">
        <v>120</v>
      </c>
      <c r="Z132" s="47" t="s">
        <v>146</v>
      </c>
      <c r="AE132" s="47" t="s">
        <v>342</v>
      </c>
      <c r="AF132" s="31">
        <v>75</v>
      </c>
      <c r="AK132" s="32">
        <v>9</v>
      </c>
      <c r="AQ132" s="32" t="s">
        <v>474</v>
      </c>
      <c r="AU132">
        <v>128</v>
      </c>
    </row>
    <row r="133" spans="1:47" x14ac:dyDescent="0.2">
      <c r="A133" s="37">
        <v>5587</v>
      </c>
      <c r="B133" s="38" t="s">
        <v>85</v>
      </c>
      <c r="C133" s="39" t="s">
        <v>367</v>
      </c>
      <c r="D133" s="29"/>
      <c r="E133" s="38" t="s">
        <v>479</v>
      </c>
      <c r="F133" s="31" t="s">
        <v>480</v>
      </c>
      <c r="G133" s="31" t="s">
        <v>481</v>
      </c>
      <c r="H133" s="32"/>
      <c r="I133" s="32" t="s">
        <v>482</v>
      </c>
      <c r="K133" s="31">
        <f>(6*43+8*8)*2.2</f>
        <v>708.40000000000009</v>
      </c>
      <c r="T133" s="31">
        <v>0</v>
      </c>
      <c r="U133" s="31">
        <v>0</v>
      </c>
      <c r="V133" s="31">
        <v>0</v>
      </c>
      <c r="Y133" s="31" t="s">
        <v>120</v>
      </c>
      <c r="Z133" s="47" t="s">
        <v>146</v>
      </c>
      <c r="AE133" s="47" t="s">
        <v>342</v>
      </c>
      <c r="AF133" s="31">
        <v>60</v>
      </c>
      <c r="AK133" s="32">
        <v>16</v>
      </c>
      <c r="AQ133" s="32" t="s">
        <v>474</v>
      </c>
      <c r="AU133">
        <v>129</v>
      </c>
    </row>
    <row r="134" spans="1:47" x14ac:dyDescent="0.2">
      <c r="A134" s="37">
        <v>5587</v>
      </c>
      <c r="B134" s="38" t="s">
        <v>85</v>
      </c>
      <c r="C134" s="39" t="s">
        <v>346</v>
      </c>
      <c r="D134" s="29"/>
      <c r="E134" s="38" t="s">
        <v>483</v>
      </c>
      <c r="F134" s="31" t="s">
        <v>76</v>
      </c>
      <c r="G134" s="31" t="s">
        <v>49</v>
      </c>
      <c r="H134" s="32"/>
      <c r="I134" s="32" t="s">
        <v>484</v>
      </c>
      <c r="K134" s="31">
        <f>16*8*2.2</f>
        <v>281.60000000000002</v>
      </c>
      <c r="L134" s="33">
        <v>10</v>
      </c>
      <c r="N134" s="31">
        <v>5</v>
      </c>
      <c r="O134" s="31">
        <v>2</v>
      </c>
      <c r="S134" s="33">
        <v>3</v>
      </c>
      <c r="T134" s="31">
        <v>0</v>
      </c>
      <c r="U134" s="31">
        <v>0</v>
      </c>
      <c r="V134" s="31">
        <v>0</v>
      </c>
      <c r="Y134" s="47" t="s">
        <v>51</v>
      </c>
      <c r="Z134" s="47" t="s">
        <v>146</v>
      </c>
      <c r="AA134" s="34">
        <v>0.67708333333333337</v>
      </c>
      <c r="AB134" s="34">
        <v>0.76180555555555562</v>
      </c>
      <c r="AC134" s="49">
        <f>AVERAGE(AA134:AB134)</f>
        <v>0.71944444444444455</v>
      </c>
      <c r="AD134" s="50">
        <f>(AB134-AA134)*24</f>
        <v>2.0333333333333341</v>
      </c>
      <c r="AE134" s="47" t="s">
        <v>214</v>
      </c>
      <c r="AF134" s="31">
        <v>60</v>
      </c>
      <c r="AK134" s="32">
        <v>16</v>
      </c>
      <c r="AQ134" s="32" t="s">
        <v>485</v>
      </c>
      <c r="AU134">
        <v>130</v>
      </c>
    </row>
    <row r="135" spans="1:47" x14ac:dyDescent="0.2">
      <c r="A135" s="26">
        <v>5587</v>
      </c>
      <c r="B135" s="27"/>
      <c r="C135" s="28"/>
      <c r="D135" s="29"/>
      <c r="E135" s="30" t="s">
        <v>464</v>
      </c>
      <c r="F135" s="19" t="s">
        <v>409</v>
      </c>
      <c r="H135" s="32">
        <v>1</v>
      </c>
      <c r="I135" s="32" t="s">
        <v>486</v>
      </c>
      <c r="AG135" s="32">
        <v>0</v>
      </c>
      <c r="AH135" s="32">
        <v>0</v>
      </c>
      <c r="AK135" s="32">
        <v>4</v>
      </c>
      <c r="AO135" s="32" t="s">
        <v>487</v>
      </c>
      <c r="AQ135" s="32">
        <v>385</v>
      </c>
      <c r="AU135">
        <v>131</v>
      </c>
    </row>
    <row r="136" spans="1:47" x14ac:dyDescent="0.2">
      <c r="A136" s="37">
        <v>5588</v>
      </c>
      <c r="B136" s="38" t="s">
        <v>85</v>
      </c>
      <c r="C136" s="39" t="s">
        <v>346</v>
      </c>
      <c r="D136" s="29"/>
      <c r="E136" s="36" t="s">
        <v>488</v>
      </c>
      <c r="F136" s="31" t="s">
        <v>489</v>
      </c>
      <c r="G136" s="31" t="s">
        <v>69</v>
      </c>
      <c r="H136" s="32"/>
      <c r="I136" s="32" t="s">
        <v>490</v>
      </c>
      <c r="K136" s="31">
        <f>(8*8+3*43)*2.2</f>
        <v>424.6</v>
      </c>
      <c r="L136" s="33">
        <v>8</v>
      </c>
      <c r="N136" s="31">
        <v>3</v>
      </c>
      <c r="O136" s="31">
        <v>2</v>
      </c>
      <c r="S136" s="33">
        <v>3</v>
      </c>
      <c r="T136" s="31">
        <v>0</v>
      </c>
      <c r="U136" s="31">
        <v>0</v>
      </c>
      <c r="V136" s="31">
        <v>0</v>
      </c>
      <c r="Y136" s="47" t="s">
        <v>51</v>
      </c>
      <c r="Z136" s="47" t="s">
        <v>146</v>
      </c>
      <c r="AA136" s="34">
        <v>0.63888888888888895</v>
      </c>
      <c r="AB136" s="34">
        <v>0.7270833333333333</v>
      </c>
      <c r="AC136" s="49">
        <f>AVERAGE(AA136:AB136)</f>
        <v>0.68298611111111107</v>
      </c>
      <c r="AD136" s="50">
        <f>(AB136-AA136)*24</f>
        <v>2.1166666666666645</v>
      </c>
      <c r="AE136" s="47" t="s">
        <v>214</v>
      </c>
      <c r="AF136" s="31">
        <v>40</v>
      </c>
      <c r="AK136" s="32">
        <v>11</v>
      </c>
      <c r="AQ136" s="32" t="s">
        <v>491</v>
      </c>
      <c r="AU136">
        <v>132</v>
      </c>
    </row>
    <row r="137" spans="1:47" x14ac:dyDescent="0.2">
      <c r="A137" s="37">
        <v>5590</v>
      </c>
      <c r="B137" s="38" t="s">
        <v>85</v>
      </c>
      <c r="C137" s="43" t="s">
        <v>142</v>
      </c>
      <c r="D137" s="29"/>
      <c r="E137" s="36" t="s">
        <v>492</v>
      </c>
      <c r="F137" s="31" t="s">
        <v>493</v>
      </c>
      <c r="G137" s="31" t="s">
        <v>69</v>
      </c>
      <c r="H137" s="32"/>
      <c r="I137" s="32" t="s">
        <v>494</v>
      </c>
      <c r="J137" s="31" t="b">
        <v>0</v>
      </c>
      <c r="K137" s="31">
        <f>(3*43+4*8)*2.2</f>
        <v>354.20000000000005</v>
      </c>
      <c r="S137" s="33">
        <v>3</v>
      </c>
      <c r="T137" s="31">
        <v>0</v>
      </c>
      <c r="U137" s="31">
        <v>0</v>
      </c>
      <c r="V137" s="31">
        <v>0</v>
      </c>
      <c r="Y137" s="31" t="s">
        <v>120</v>
      </c>
      <c r="Z137" s="31" t="s">
        <v>146</v>
      </c>
      <c r="AA137" s="49">
        <v>0.33333333333333331</v>
      </c>
      <c r="AE137" s="47" t="s">
        <v>342</v>
      </c>
      <c r="AF137" s="31">
        <v>95</v>
      </c>
      <c r="AK137" s="32">
        <v>7</v>
      </c>
      <c r="AQ137" s="32" t="s">
        <v>495</v>
      </c>
      <c r="AU137">
        <v>133</v>
      </c>
    </row>
    <row r="138" spans="1:47" x14ac:dyDescent="0.2">
      <c r="A138" s="37">
        <v>5590</v>
      </c>
      <c r="B138" s="38" t="s">
        <v>85</v>
      </c>
      <c r="C138" s="43" t="s">
        <v>142</v>
      </c>
      <c r="D138" s="29"/>
      <c r="E138" s="36" t="s">
        <v>496</v>
      </c>
      <c r="F138" s="31" t="s">
        <v>497</v>
      </c>
      <c r="G138" s="31" t="s">
        <v>73</v>
      </c>
      <c r="H138" s="32"/>
      <c r="I138" s="32" t="s">
        <v>498</v>
      </c>
      <c r="J138" s="31" t="b">
        <v>0</v>
      </c>
      <c r="K138" s="31">
        <f>(3*43+10*8)*2.2</f>
        <v>459.8</v>
      </c>
      <c r="S138" s="33">
        <v>4</v>
      </c>
      <c r="T138" s="31">
        <v>0</v>
      </c>
      <c r="U138" s="31">
        <v>0</v>
      </c>
      <c r="V138" s="31">
        <v>0</v>
      </c>
      <c r="Y138" s="31" t="s">
        <v>120</v>
      </c>
      <c r="Z138" s="31" t="s">
        <v>146</v>
      </c>
      <c r="AA138" s="49">
        <v>0.33333333333333331</v>
      </c>
      <c r="AE138" s="47" t="s">
        <v>342</v>
      </c>
      <c r="AF138" s="31">
        <v>35</v>
      </c>
      <c r="AK138" s="32">
        <v>13</v>
      </c>
      <c r="AQ138" s="32" t="s">
        <v>495</v>
      </c>
      <c r="AU138">
        <v>134</v>
      </c>
    </row>
    <row r="139" spans="1:47" x14ac:dyDescent="0.2">
      <c r="A139" s="37">
        <v>5591</v>
      </c>
      <c r="B139" s="42" t="s">
        <v>45</v>
      </c>
      <c r="C139" s="39" t="s">
        <v>346</v>
      </c>
      <c r="D139" s="29"/>
      <c r="E139" s="36" t="s">
        <v>499</v>
      </c>
      <c r="F139" s="31" t="s">
        <v>500</v>
      </c>
      <c r="G139" s="31" t="s">
        <v>73</v>
      </c>
      <c r="H139" s="32"/>
      <c r="I139" s="32" t="s">
        <v>501</v>
      </c>
      <c r="K139" s="31">
        <f>(6*8+2*43)*2.2</f>
        <v>294.8</v>
      </c>
      <c r="L139" s="33">
        <v>2</v>
      </c>
      <c r="S139" s="33">
        <v>2</v>
      </c>
      <c r="T139" s="31">
        <v>0</v>
      </c>
      <c r="U139" s="31">
        <v>0</v>
      </c>
      <c r="V139" s="31">
        <v>0</v>
      </c>
      <c r="Y139" s="47" t="s">
        <v>51</v>
      </c>
      <c r="Z139" s="47" t="s">
        <v>146</v>
      </c>
      <c r="AA139" s="34">
        <v>0.88541666666666663</v>
      </c>
      <c r="AB139" s="34">
        <v>0.96527777777777779</v>
      </c>
      <c r="AC139" s="49">
        <f>AVERAGE(AA139:AB139)</f>
        <v>0.92534722222222221</v>
      </c>
      <c r="AD139" s="50">
        <f>(AB139-AA139)*24</f>
        <v>1.9166666666666679</v>
      </c>
      <c r="AE139" s="47" t="s">
        <v>214</v>
      </c>
      <c r="AF139" s="31">
        <v>50</v>
      </c>
      <c r="AK139" s="32">
        <v>8</v>
      </c>
      <c r="AQ139" s="32" t="s">
        <v>502</v>
      </c>
      <c r="AU139">
        <v>135</v>
      </c>
    </row>
    <row r="140" spans="1:47" x14ac:dyDescent="0.2">
      <c r="A140" s="37">
        <v>5592</v>
      </c>
      <c r="B140" s="42" t="s">
        <v>85</v>
      </c>
      <c r="C140" s="43" t="s">
        <v>228</v>
      </c>
      <c r="D140" s="29"/>
      <c r="E140" s="36" t="s">
        <v>282</v>
      </c>
      <c r="F140" s="31" t="s">
        <v>417</v>
      </c>
      <c r="H140" s="32"/>
      <c r="I140" s="32"/>
      <c r="L140" s="33">
        <v>3</v>
      </c>
      <c r="AE140" s="47" t="s">
        <v>283</v>
      </c>
      <c r="AF140" s="47">
        <v>45</v>
      </c>
      <c r="AQ140" t="s">
        <v>233</v>
      </c>
      <c r="AU140">
        <v>136</v>
      </c>
    </row>
    <row r="141" spans="1:47" x14ac:dyDescent="0.2">
      <c r="A141" s="37">
        <v>5595</v>
      </c>
      <c r="B141" s="42" t="s">
        <v>85</v>
      </c>
      <c r="C141" s="39" t="s">
        <v>346</v>
      </c>
      <c r="D141" s="29"/>
      <c r="E141" s="36" t="s">
        <v>503</v>
      </c>
      <c r="F141" s="31" t="s">
        <v>504</v>
      </c>
      <c r="G141" s="31" t="s">
        <v>69</v>
      </c>
      <c r="H141" s="32"/>
      <c r="I141" s="32" t="s">
        <v>505</v>
      </c>
      <c r="K141" s="31">
        <f>(44*8+4*10)*2.2</f>
        <v>862.40000000000009</v>
      </c>
      <c r="L141" s="33">
        <v>11</v>
      </c>
      <c r="M141" s="31">
        <v>3</v>
      </c>
      <c r="N141" s="31">
        <v>1</v>
      </c>
      <c r="P141" s="31">
        <v>7</v>
      </c>
      <c r="S141" s="33">
        <v>7</v>
      </c>
      <c r="T141" s="31">
        <v>0</v>
      </c>
      <c r="U141" s="31">
        <v>0</v>
      </c>
      <c r="V141" s="31">
        <v>0</v>
      </c>
      <c r="Y141" s="47" t="s">
        <v>51</v>
      </c>
      <c r="Z141" s="47" t="s">
        <v>146</v>
      </c>
      <c r="AE141" s="47" t="s">
        <v>214</v>
      </c>
      <c r="AF141" s="31">
        <v>40</v>
      </c>
      <c r="AK141" s="32">
        <v>44</v>
      </c>
      <c r="AQ141" s="32" t="s">
        <v>506</v>
      </c>
      <c r="AU141">
        <v>137</v>
      </c>
    </row>
    <row r="142" spans="1:47" x14ac:dyDescent="0.2">
      <c r="A142" s="37">
        <v>5596</v>
      </c>
      <c r="B142" s="38" t="s">
        <v>85</v>
      </c>
      <c r="C142" s="39" t="s">
        <v>253</v>
      </c>
      <c r="D142" s="29"/>
      <c r="E142" s="38" t="s">
        <v>507</v>
      </c>
      <c r="F142" s="32" t="s">
        <v>150</v>
      </c>
      <c r="G142" s="47"/>
      <c r="H142"/>
      <c r="I142" s="32"/>
      <c r="J142" s="47"/>
      <c r="K142" s="47"/>
      <c r="L142" s="48"/>
      <c r="M142" s="47"/>
      <c r="N142" s="47"/>
      <c r="O142" s="47"/>
      <c r="P142" s="47"/>
      <c r="Q142" s="47"/>
      <c r="R142" s="47"/>
      <c r="S142" s="48"/>
      <c r="T142" s="47"/>
      <c r="U142" s="47"/>
      <c r="V142" s="47"/>
      <c r="W142" s="47"/>
      <c r="X142" s="47"/>
      <c r="Y142" s="47"/>
      <c r="Z142" s="47"/>
      <c r="AA142" s="49"/>
      <c r="AB142" s="49"/>
      <c r="AC142" s="49"/>
      <c r="AD142" s="50"/>
      <c r="AE142" s="47"/>
      <c r="AF142" s="47"/>
      <c r="AG142"/>
      <c r="AH142"/>
      <c r="AI142"/>
      <c r="AJ142"/>
      <c r="AK142"/>
      <c r="AL142"/>
      <c r="AM142"/>
      <c r="AN142"/>
      <c r="AO142"/>
      <c r="AP142"/>
      <c r="AQ142" t="s">
        <v>508</v>
      </c>
      <c r="AU142">
        <v>138</v>
      </c>
    </row>
    <row r="143" spans="1:47" x14ac:dyDescent="0.2">
      <c r="A143" s="37">
        <v>5596</v>
      </c>
      <c r="B143" s="38" t="s">
        <v>85</v>
      </c>
      <c r="C143" s="43" t="s">
        <v>142</v>
      </c>
      <c r="D143" s="29"/>
      <c r="E143" s="38" t="s">
        <v>175</v>
      </c>
      <c r="F143" s="32" t="s">
        <v>509</v>
      </c>
      <c r="G143" s="47" t="s">
        <v>49</v>
      </c>
      <c r="H143"/>
      <c r="I143" s="32" t="s">
        <v>510</v>
      </c>
      <c r="J143" s="47"/>
      <c r="K143" s="47">
        <f>(4*44+56*8)*2.2</f>
        <v>1372.8000000000002</v>
      </c>
      <c r="L143" s="48"/>
      <c r="M143" s="47"/>
      <c r="N143" s="47"/>
      <c r="O143" s="47"/>
      <c r="P143" s="47"/>
      <c r="Q143" s="47"/>
      <c r="R143" s="47"/>
      <c r="S143" s="48"/>
      <c r="T143" s="47">
        <v>0</v>
      </c>
      <c r="U143" s="47">
        <v>0</v>
      </c>
      <c r="V143" s="47">
        <v>0</v>
      </c>
      <c r="W143" s="47"/>
      <c r="X143" s="47"/>
      <c r="Y143" s="47" t="s">
        <v>51</v>
      </c>
      <c r="Z143" s="31" t="s">
        <v>146</v>
      </c>
      <c r="AA143" s="49">
        <v>0.29166666666666669</v>
      </c>
      <c r="AB143" s="49"/>
      <c r="AC143" s="49"/>
      <c r="AD143" s="50"/>
      <c r="AE143" s="47" t="s">
        <v>342</v>
      </c>
      <c r="AF143" s="47">
        <v>40</v>
      </c>
      <c r="AG143"/>
      <c r="AH143"/>
      <c r="AI143"/>
      <c r="AJ143"/>
      <c r="AK143">
        <v>60</v>
      </c>
      <c r="AL143"/>
      <c r="AM143"/>
      <c r="AN143"/>
      <c r="AO143"/>
      <c r="AP143"/>
      <c r="AQ143" t="s">
        <v>511</v>
      </c>
      <c r="AU143">
        <v>139</v>
      </c>
    </row>
    <row r="144" spans="1:47" x14ac:dyDescent="0.2">
      <c r="A144" s="37">
        <v>5596</v>
      </c>
      <c r="B144" s="38" t="s">
        <v>45</v>
      </c>
      <c r="C144" s="39" t="s">
        <v>253</v>
      </c>
      <c r="D144" s="29"/>
      <c r="E144" s="38" t="s">
        <v>512</v>
      </c>
      <c r="F144" s="32" t="s">
        <v>150</v>
      </c>
      <c r="G144" s="47"/>
      <c r="H144"/>
      <c r="I144" s="32"/>
      <c r="J144" s="47"/>
      <c r="K144" s="47"/>
      <c r="L144" s="48"/>
      <c r="M144" s="47"/>
      <c r="N144" s="47"/>
      <c r="O144" s="47"/>
      <c r="P144" s="47"/>
      <c r="Q144" s="47"/>
      <c r="R144" s="47"/>
      <c r="S144" s="48"/>
      <c r="T144" s="47"/>
      <c r="U144" s="47"/>
      <c r="V144" s="47"/>
      <c r="W144" s="47"/>
      <c r="X144" s="47"/>
      <c r="Y144" s="47"/>
      <c r="Z144" s="47"/>
      <c r="AA144" s="49"/>
      <c r="AB144" s="49"/>
      <c r="AC144" s="49"/>
      <c r="AD144" s="50"/>
      <c r="AE144" s="47"/>
      <c r="AF144" s="47"/>
      <c r="AG144"/>
      <c r="AH144"/>
      <c r="AI144"/>
      <c r="AJ144"/>
      <c r="AK144"/>
      <c r="AL144"/>
      <c r="AM144"/>
      <c r="AN144"/>
      <c r="AO144"/>
      <c r="AP144"/>
      <c r="AQ144" t="s">
        <v>513</v>
      </c>
      <c r="AU144">
        <v>140</v>
      </c>
    </row>
    <row r="145" spans="1:47" x14ac:dyDescent="0.2">
      <c r="A145" s="37">
        <v>5597</v>
      </c>
      <c r="B145" s="38" t="s">
        <v>85</v>
      </c>
      <c r="C145" s="39" t="s">
        <v>168</v>
      </c>
      <c r="D145" s="29"/>
      <c r="E145" s="38" t="s">
        <v>514</v>
      </c>
      <c r="F145" s="32" t="s">
        <v>61</v>
      </c>
      <c r="G145" s="47" t="s">
        <v>205</v>
      </c>
      <c r="H145"/>
      <c r="I145" s="32" t="s">
        <v>515</v>
      </c>
      <c r="J145" s="47"/>
      <c r="K145" s="47">
        <f>6*8*2.2</f>
        <v>105.60000000000001</v>
      </c>
      <c r="L145" s="48"/>
      <c r="M145" s="47"/>
      <c r="N145" s="47"/>
      <c r="O145" s="47"/>
      <c r="P145" s="47"/>
      <c r="Q145" s="47"/>
      <c r="R145" s="47"/>
      <c r="S145" s="48">
        <v>1</v>
      </c>
      <c r="T145" s="47"/>
      <c r="U145" s="47"/>
      <c r="V145" s="47"/>
      <c r="W145" s="47"/>
      <c r="X145" s="47"/>
      <c r="Y145" s="47"/>
      <c r="Z145" s="47"/>
      <c r="AA145" s="49"/>
      <c r="AB145" s="49"/>
      <c r="AC145" s="49"/>
      <c r="AD145" s="50"/>
      <c r="AE145" s="47" t="s">
        <v>132</v>
      </c>
      <c r="AF145" s="47">
        <v>190</v>
      </c>
      <c r="AG145"/>
      <c r="AH145"/>
      <c r="AI145"/>
      <c r="AJ145"/>
      <c r="AK145"/>
      <c r="AL145"/>
      <c r="AM145"/>
      <c r="AN145"/>
      <c r="AO145"/>
      <c r="AP145"/>
      <c r="AQ145" t="s">
        <v>516</v>
      </c>
      <c r="AU145">
        <v>141</v>
      </c>
    </row>
    <row r="146" spans="1:47" x14ac:dyDescent="0.2">
      <c r="A146" s="37">
        <v>5597</v>
      </c>
      <c r="B146" s="38" t="s">
        <v>85</v>
      </c>
      <c r="C146" s="39" t="s">
        <v>332</v>
      </c>
      <c r="D146" s="29"/>
      <c r="E146" s="38" t="s">
        <v>517</v>
      </c>
      <c r="F146" s="32" t="s">
        <v>518</v>
      </c>
      <c r="G146" s="47" t="s">
        <v>73</v>
      </c>
      <c r="H146"/>
      <c r="I146" s="32" t="s">
        <v>519</v>
      </c>
      <c r="J146" s="47"/>
      <c r="K146" s="47"/>
      <c r="L146" s="48"/>
      <c r="M146" s="47"/>
      <c r="N146" s="47"/>
      <c r="O146" s="47"/>
      <c r="P146" s="47"/>
      <c r="Q146" s="47"/>
      <c r="R146" s="47"/>
      <c r="S146" s="48"/>
      <c r="T146" s="47">
        <v>1</v>
      </c>
      <c r="U146" s="47"/>
      <c r="V146" s="47"/>
      <c r="W146" s="47"/>
      <c r="X146" s="47"/>
      <c r="Y146" s="47" t="s">
        <v>120</v>
      </c>
      <c r="Z146" s="47" t="s">
        <v>146</v>
      </c>
      <c r="AA146" s="49"/>
      <c r="AB146" s="49"/>
      <c r="AC146" s="49"/>
      <c r="AD146" s="50"/>
      <c r="AE146" s="47" t="s">
        <v>132</v>
      </c>
      <c r="AF146" s="47"/>
      <c r="AG146"/>
      <c r="AH146"/>
      <c r="AI146"/>
      <c r="AJ146"/>
      <c r="AK146"/>
      <c r="AL146"/>
      <c r="AM146"/>
      <c r="AN146"/>
      <c r="AO146"/>
      <c r="AP146"/>
      <c r="AQ146" t="s">
        <v>520</v>
      </c>
      <c r="AU146">
        <v>142</v>
      </c>
    </row>
    <row r="147" spans="1:47" x14ac:dyDescent="0.2">
      <c r="A147" s="37">
        <v>5597</v>
      </c>
      <c r="B147" s="38" t="s">
        <v>85</v>
      </c>
      <c r="C147" s="39" t="s">
        <v>346</v>
      </c>
      <c r="D147" s="29"/>
      <c r="E147" s="38" t="s">
        <v>521</v>
      </c>
      <c r="F147" s="32" t="s">
        <v>522</v>
      </c>
      <c r="G147" s="47" t="s">
        <v>69</v>
      </c>
      <c r="H147"/>
      <c r="I147" s="47" t="s">
        <v>523</v>
      </c>
      <c r="K147" s="47">
        <f>16*8*2.2</f>
        <v>281.60000000000002</v>
      </c>
      <c r="L147" s="48">
        <v>10</v>
      </c>
      <c r="M147" s="47"/>
      <c r="N147" s="47">
        <v>4</v>
      </c>
      <c r="O147" s="47">
        <v>2</v>
      </c>
      <c r="P147" s="47"/>
      <c r="Q147" s="47"/>
      <c r="R147" s="47"/>
      <c r="S147" s="48">
        <v>3</v>
      </c>
      <c r="T147" s="47">
        <v>0</v>
      </c>
      <c r="U147" s="47">
        <v>1</v>
      </c>
      <c r="V147" s="47">
        <v>0</v>
      </c>
      <c r="W147" s="47"/>
      <c r="X147" s="47"/>
      <c r="Y147" s="47" t="s">
        <v>51</v>
      </c>
      <c r="Z147" s="47" t="s">
        <v>146</v>
      </c>
      <c r="AA147" s="49"/>
      <c r="AB147" s="49"/>
      <c r="AC147" s="49"/>
      <c r="AD147" s="50"/>
      <c r="AE147" s="47" t="s">
        <v>214</v>
      </c>
      <c r="AF147" s="47">
        <v>45</v>
      </c>
      <c r="AG147"/>
      <c r="AH147"/>
      <c r="AI147"/>
      <c r="AJ147"/>
      <c r="AK147">
        <v>16</v>
      </c>
      <c r="AL147"/>
      <c r="AM147"/>
      <c r="AN147"/>
      <c r="AO147"/>
      <c r="AP147"/>
      <c r="AQ147" s="32" t="s">
        <v>524</v>
      </c>
      <c r="AU147">
        <v>143</v>
      </c>
    </row>
    <row r="148" spans="1:47" x14ac:dyDescent="0.2">
      <c r="A148" s="37">
        <v>5598</v>
      </c>
      <c r="B148" s="38" t="s">
        <v>45</v>
      </c>
      <c r="C148" s="43" t="s">
        <v>46</v>
      </c>
      <c r="D148" s="29"/>
      <c r="E148" s="38" t="s">
        <v>525</v>
      </c>
      <c r="F148" s="32" t="s">
        <v>526</v>
      </c>
      <c r="G148" s="47" t="s">
        <v>49</v>
      </c>
      <c r="H148"/>
      <c r="I148" s="32" t="s">
        <v>527</v>
      </c>
      <c r="J148" s="47"/>
      <c r="K148" s="47">
        <f>(20*3+2*43)*2.2</f>
        <v>321.20000000000005</v>
      </c>
      <c r="L148" s="48">
        <v>1</v>
      </c>
      <c r="M148" s="47"/>
      <c r="N148" s="47"/>
      <c r="O148" s="47"/>
      <c r="P148" s="47"/>
      <c r="Q148" s="47"/>
      <c r="R148" s="47"/>
      <c r="S148" s="48">
        <v>1</v>
      </c>
      <c r="T148" s="47"/>
      <c r="U148" s="47"/>
      <c r="V148" s="47"/>
      <c r="W148" s="47"/>
      <c r="X148" s="47"/>
      <c r="Y148" s="47" t="s">
        <v>51</v>
      </c>
      <c r="Z148" s="20" t="s">
        <v>52</v>
      </c>
      <c r="AA148" s="49"/>
      <c r="AB148" s="49"/>
      <c r="AC148" s="49"/>
      <c r="AD148" s="50"/>
      <c r="AE148" s="47"/>
      <c r="AF148" s="47">
        <v>250</v>
      </c>
      <c r="AG148"/>
      <c r="AH148"/>
      <c r="AI148"/>
      <c r="AJ148"/>
      <c r="AK148">
        <v>22</v>
      </c>
      <c r="AL148"/>
      <c r="AM148"/>
      <c r="AN148"/>
      <c r="AO148"/>
      <c r="AP148"/>
      <c r="AQ148" s="32" t="s">
        <v>53</v>
      </c>
      <c r="AU148">
        <v>144</v>
      </c>
    </row>
    <row r="149" spans="1:47" x14ac:dyDescent="0.2">
      <c r="A149" s="37">
        <v>5600</v>
      </c>
      <c r="B149" s="38" t="s">
        <v>85</v>
      </c>
      <c r="C149" s="39" t="s">
        <v>332</v>
      </c>
      <c r="D149" s="29"/>
      <c r="E149" s="57" t="s">
        <v>528</v>
      </c>
      <c r="F149" s="31" t="s">
        <v>529</v>
      </c>
      <c r="G149" s="31" t="s">
        <v>205</v>
      </c>
      <c r="Z149" s="47" t="s">
        <v>146</v>
      </c>
      <c r="AE149" s="47" t="s">
        <v>132</v>
      </c>
      <c r="AF149" s="31">
        <v>45</v>
      </c>
      <c r="AQ149" s="32" t="s">
        <v>345</v>
      </c>
      <c r="AU149">
        <v>145</v>
      </c>
    </row>
    <row r="150" spans="1:47" x14ac:dyDescent="0.2">
      <c r="A150" s="37">
        <v>5600</v>
      </c>
      <c r="B150" s="38" t="s">
        <v>85</v>
      </c>
      <c r="C150" s="39" t="s">
        <v>346</v>
      </c>
      <c r="D150" s="45"/>
      <c r="E150" s="57" t="s">
        <v>530</v>
      </c>
      <c r="F150" s="31" t="s">
        <v>531</v>
      </c>
      <c r="G150" s="31" t="s">
        <v>69</v>
      </c>
      <c r="I150" s="31" t="s">
        <v>532</v>
      </c>
      <c r="K150" s="31">
        <f>4*43*2.2</f>
        <v>378.40000000000003</v>
      </c>
      <c r="L150" s="33">
        <v>8</v>
      </c>
      <c r="N150" s="31">
        <v>2</v>
      </c>
      <c r="O150" s="31">
        <v>2</v>
      </c>
      <c r="R150" s="31">
        <v>7</v>
      </c>
      <c r="S150" s="33">
        <v>4</v>
      </c>
      <c r="T150" s="31">
        <v>0</v>
      </c>
      <c r="U150" s="31">
        <v>1</v>
      </c>
      <c r="V150" s="31">
        <v>0</v>
      </c>
      <c r="Y150" s="47" t="s">
        <v>51</v>
      </c>
      <c r="Z150" s="47" t="s">
        <v>146</v>
      </c>
      <c r="AA150" s="34">
        <v>0.38194444444444442</v>
      </c>
      <c r="AE150" s="47" t="s">
        <v>214</v>
      </c>
      <c r="AF150" s="31">
        <v>40</v>
      </c>
      <c r="AQ150" s="32" t="s">
        <v>533</v>
      </c>
      <c r="AU150">
        <v>146</v>
      </c>
    </row>
    <row r="151" spans="1:47" x14ac:dyDescent="0.2">
      <c r="A151" s="37">
        <v>5607</v>
      </c>
      <c r="B151" s="38" t="s">
        <v>85</v>
      </c>
      <c r="C151" s="39" t="s">
        <v>332</v>
      </c>
      <c r="D151" s="45"/>
      <c r="E151" s="38" t="s">
        <v>534</v>
      </c>
      <c r="Z151" s="47" t="s">
        <v>146</v>
      </c>
      <c r="AE151" s="47" t="s">
        <v>132</v>
      </c>
      <c r="AF151" s="31">
        <v>40</v>
      </c>
      <c r="AQ151" s="32" t="s">
        <v>345</v>
      </c>
      <c r="AU151">
        <v>147</v>
      </c>
    </row>
    <row r="152" spans="1:47" x14ac:dyDescent="0.2">
      <c r="A152" s="37">
        <v>5607</v>
      </c>
      <c r="B152" s="38" t="s">
        <v>85</v>
      </c>
      <c r="C152" s="39" t="s">
        <v>346</v>
      </c>
      <c r="D152" s="45"/>
      <c r="E152" s="38" t="s">
        <v>535</v>
      </c>
      <c r="F152" s="31" t="s">
        <v>150</v>
      </c>
      <c r="G152" s="31" t="s">
        <v>49</v>
      </c>
      <c r="I152" s="31" t="s">
        <v>536</v>
      </c>
      <c r="K152" s="31">
        <f>10*8*2.2</f>
        <v>176</v>
      </c>
      <c r="L152" s="33">
        <v>6</v>
      </c>
      <c r="M152" s="31">
        <v>2</v>
      </c>
      <c r="N152" s="31">
        <v>2</v>
      </c>
      <c r="P152" s="31">
        <v>1</v>
      </c>
      <c r="S152" s="33">
        <v>2</v>
      </c>
      <c r="T152" s="31">
        <v>0</v>
      </c>
      <c r="U152" s="31">
        <v>0</v>
      </c>
      <c r="V152" s="31">
        <v>0</v>
      </c>
      <c r="Y152" s="47" t="s">
        <v>51</v>
      </c>
      <c r="Z152" s="47" t="s">
        <v>146</v>
      </c>
      <c r="AA152" s="34">
        <v>0.48125000000000001</v>
      </c>
      <c r="AE152" s="31" t="s">
        <v>537</v>
      </c>
      <c r="AF152" s="31">
        <v>80</v>
      </c>
      <c r="AK152" s="32">
        <v>10</v>
      </c>
      <c r="AQ152" s="32" t="s">
        <v>538</v>
      </c>
      <c r="AU152">
        <v>148</v>
      </c>
    </row>
    <row r="153" spans="1:47" x14ac:dyDescent="0.2">
      <c r="A153" s="37">
        <v>5608</v>
      </c>
      <c r="B153" s="38" t="s">
        <v>85</v>
      </c>
      <c r="C153" s="39" t="s">
        <v>539</v>
      </c>
      <c r="D153" s="45"/>
      <c r="E153" s="38" t="s">
        <v>540</v>
      </c>
      <c r="F153" s="31" t="s">
        <v>278</v>
      </c>
      <c r="G153" s="31" t="s">
        <v>49</v>
      </c>
      <c r="I153" s="31" t="s">
        <v>541</v>
      </c>
      <c r="K153" s="31">
        <f>10*8*2.2</f>
        <v>176</v>
      </c>
      <c r="L153" s="33">
        <v>4</v>
      </c>
      <c r="M153" s="31">
        <v>1</v>
      </c>
      <c r="N153" s="31">
        <v>1</v>
      </c>
      <c r="S153" s="33">
        <v>2</v>
      </c>
      <c r="T153" s="31">
        <v>0</v>
      </c>
      <c r="U153" s="31">
        <v>0</v>
      </c>
      <c r="V153" s="31">
        <v>0</v>
      </c>
      <c r="Y153" s="47" t="s">
        <v>51</v>
      </c>
      <c r="Z153" s="47" t="s">
        <v>146</v>
      </c>
      <c r="AA153" s="34">
        <v>0.28263888888888888</v>
      </c>
      <c r="AB153" s="34">
        <v>0.38194444444444442</v>
      </c>
      <c r="AC153" s="49">
        <f>AVERAGE(AA153:AB153)</f>
        <v>0.33229166666666665</v>
      </c>
      <c r="AD153" s="50">
        <f>(AB153-AA153)*24</f>
        <v>2.3833333333333329</v>
      </c>
      <c r="AE153" s="31" t="s">
        <v>537</v>
      </c>
      <c r="AF153" s="47">
        <v>60</v>
      </c>
      <c r="AK153" s="32">
        <v>10</v>
      </c>
      <c r="AQ153" s="32" t="s">
        <v>542</v>
      </c>
      <c r="AU153">
        <v>149</v>
      </c>
    </row>
    <row r="154" spans="1:47" x14ac:dyDescent="0.2">
      <c r="A154" s="37">
        <v>5608</v>
      </c>
      <c r="B154" s="38" t="s">
        <v>85</v>
      </c>
      <c r="C154" s="39" t="s">
        <v>543</v>
      </c>
      <c r="D154" s="45"/>
      <c r="E154" s="38" t="s">
        <v>544</v>
      </c>
      <c r="F154" s="31" t="s">
        <v>545</v>
      </c>
      <c r="G154" s="31" t="s">
        <v>69</v>
      </c>
      <c r="I154" s="31" t="s">
        <v>546</v>
      </c>
      <c r="K154" s="31">
        <f>54*8*2.2</f>
        <v>950.40000000000009</v>
      </c>
      <c r="L154" s="33">
        <v>13</v>
      </c>
      <c r="N154" s="31">
        <v>1</v>
      </c>
      <c r="O154" s="31">
        <v>1</v>
      </c>
      <c r="S154" s="33">
        <v>11</v>
      </c>
      <c r="T154" s="31">
        <v>0</v>
      </c>
      <c r="U154" s="31">
        <v>1</v>
      </c>
      <c r="V154" s="31">
        <v>1</v>
      </c>
      <c r="Y154" s="47" t="s">
        <v>51</v>
      </c>
      <c r="Z154" s="47" t="s">
        <v>146</v>
      </c>
      <c r="AE154" s="31" t="s">
        <v>537</v>
      </c>
      <c r="AF154" s="31">
        <v>45</v>
      </c>
      <c r="AK154" s="32">
        <v>54</v>
      </c>
      <c r="AQ154" s="32" t="s">
        <v>547</v>
      </c>
      <c r="AU154">
        <v>150</v>
      </c>
    </row>
    <row r="155" spans="1:47" x14ac:dyDescent="0.2">
      <c r="A155" s="37">
        <v>5609</v>
      </c>
      <c r="B155" s="38" t="s">
        <v>85</v>
      </c>
      <c r="C155" s="39" t="s">
        <v>548</v>
      </c>
      <c r="D155" s="45"/>
      <c r="E155" s="38" t="s">
        <v>549</v>
      </c>
      <c r="F155" s="31" t="s">
        <v>545</v>
      </c>
      <c r="G155" s="31" t="s">
        <v>69</v>
      </c>
      <c r="I155" s="31" t="s">
        <v>550</v>
      </c>
      <c r="K155" s="31">
        <f>8*8*2.2</f>
        <v>140.80000000000001</v>
      </c>
      <c r="L155" s="33">
        <v>3</v>
      </c>
      <c r="N155" s="31">
        <v>1</v>
      </c>
      <c r="S155" s="33">
        <v>2</v>
      </c>
      <c r="T155" s="47">
        <v>0</v>
      </c>
      <c r="U155" s="47">
        <v>0</v>
      </c>
      <c r="V155" s="47">
        <v>0</v>
      </c>
      <c r="Y155" s="47" t="s">
        <v>51</v>
      </c>
      <c r="Z155" s="47" t="s">
        <v>146</v>
      </c>
      <c r="AA155" s="34">
        <v>0.32291666666666669</v>
      </c>
      <c r="AE155" s="31" t="s">
        <v>537</v>
      </c>
      <c r="AF155" s="31">
        <v>45</v>
      </c>
      <c r="AK155" s="32">
        <v>8</v>
      </c>
      <c r="AQ155" s="32" t="s">
        <v>551</v>
      </c>
      <c r="AU155">
        <v>151</v>
      </c>
    </row>
    <row r="156" spans="1:47" x14ac:dyDescent="0.2">
      <c r="A156" s="37">
        <v>5609</v>
      </c>
      <c r="B156" s="38" t="s">
        <v>85</v>
      </c>
      <c r="C156" s="39" t="s">
        <v>346</v>
      </c>
      <c r="D156" s="45"/>
      <c r="E156" s="38" t="s">
        <v>549</v>
      </c>
      <c r="F156" s="31" t="s">
        <v>545</v>
      </c>
      <c r="G156" s="31" t="s">
        <v>69</v>
      </c>
      <c r="I156" s="31" t="s">
        <v>552</v>
      </c>
      <c r="K156" s="31">
        <f>(22*8+2*10)*2.2</f>
        <v>431.20000000000005</v>
      </c>
      <c r="L156" s="33">
        <v>5</v>
      </c>
      <c r="S156" s="33">
        <v>5</v>
      </c>
      <c r="T156" s="47">
        <v>0</v>
      </c>
      <c r="U156" s="47">
        <v>0</v>
      </c>
      <c r="V156" s="47">
        <v>0</v>
      </c>
      <c r="Y156" s="47" t="s">
        <v>51</v>
      </c>
      <c r="Z156" s="47" t="s">
        <v>146</v>
      </c>
      <c r="AE156" s="31" t="s">
        <v>537</v>
      </c>
      <c r="AF156" s="31">
        <v>45</v>
      </c>
      <c r="AK156" s="32">
        <v>24</v>
      </c>
      <c r="AQ156" s="32" t="s">
        <v>553</v>
      </c>
      <c r="AU156">
        <v>152</v>
      </c>
    </row>
    <row r="157" spans="1:47" x14ac:dyDescent="0.2">
      <c r="A157" s="37">
        <v>5609</v>
      </c>
      <c r="B157" s="38" t="s">
        <v>85</v>
      </c>
      <c r="C157" s="39" t="s">
        <v>346</v>
      </c>
      <c r="D157" s="45"/>
      <c r="E157" s="38" t="s">
        <v>554</v>
      </c>
      <c r="F157" s="31" t="s">
        <v>555</v>
      </c>
      <c r="G157" s="31" t="s">
        <v>69</v>
      </c>
      <c r="I157" s="31" t="s">
        <v>556</v>
      </c>
      <c r="K157" s="31">
        <f>(12*8+10)*2.2</f>
        <v>233.20000000000002</v>
      </c>
      <c r="L157" s="33">
        <v>3</v>
      </c>
      <c r="S157" s="33">
        <v>3</v>
      </c>
      <c r="T157" s="47">
        <v>0</v>
      </c>
      <c r="U157" s="47">
        <v>0</v>
      </c>
      <c r="V157" s="47">
        <v>0</v>
      </c>
      <c r="Y157" s="47" t="s">
        <v>51</v>
      </c>
      <c r="Z157" s="47" t="s">
        <v>146</v>
      </c>
      <c r="AE157" s="31" t="s">
        <v>537</v>
      </c>
      <c r="AF157" s="47">
        <v>45</v>
      </c>
      <c r="AK157" s="32">
        <v>12</v>
      </c>
      <c r="AQ157" s="32" t="s">
        <v>557</v>
      </c>
      <c r="AU157">
        <v>153</v>
      </c>
    </row>
    <row r="158" spans="1:47" x14ac:dyDescent="0.2">
      <c r="A158" s="37">
        <v>5610</v>
      </c>
      <c r="B158" s="38" t="s">
        <v>85</v>
      </c>
      <c r="C158" s="39" t="s">
        <v>346</v>
      </c>
      <c r="D158" s="45"/>
      <c r="E158" s="38" t="s">
        <v>558</v>
      </c>
      <c r="F158" s="31" t="s">
        <v>150</v>
      </c>
      <c r="G158" s="31" t="s">
        <v>49</v>
      </c>
      <c r="I158" s="31" t="s">
        <v>559</v>
      </c>
      <c r="K158" s="31">
        <f>(4*8+5*8+40+5*10)*2.2</f>
        <v>356.40000000000003</v>
      </c>
      <c r="L158" s="33">
        <v>6</v>
      </c>
      <c r="N158" s="31">
        <v>2</v>
      </c>
      <c r="S158" s="33">
        <v>4</v>
      </c>
      <c r="T158" s="31">
        <v>1</v>
      </c>
      <c r="U158" s="31">
        <v>1</v>
      </c>
      <c r="Y158" s="47" t="s">
        <v>51</v>
      </c>
      <c r="Z158" s="47" t="s">
        <v>146</v>
      </c>
      <c r="AA158" s="34">
        <v>0.29375000000000001</v>
      </c>
      <c r="AE158" s="31" t="s">
        <v>537</v>
      </c>
      <c r="AF158" s="31">
        <v>60</v>
      </c>
      <c r="AK158" s="32">
        <v>10</v>
      </c>
      <c r="AQ158" s="32" t="s">
        <v>560</v>
      </c>
      <c r="AU158">
        <v>154</v>
      </c>
    </row>
    <row r="159" spans="1:47" x14ac:dyDescent="0.2">
      <c r="A159" s="37">
        <v>5610</v>
      </c>
      <c r="B159" s="38" t="s">
        <v>85</v>
      </c>
      <c r="C159" s="39" t="s">
        <v>346</v>
      </c>
      <c r="D159" s="45"/>
      <c r="E159" s="38" t="s">
        <v>561</v>
      </c>
      <c r="F159" s="31" t="s">
        <v>150</v>
      </c>
      <c r="G159" s="31" t="s">
        <v>49</v>
      </c>
      <c r="I159" s="31" t="s">
        <v>562</v>
      </c>
      <c r="K159" s="31">
        <f>13*8*2.2</f>
        <v>228.8</v>
      </c>
      <c r="L159" s="33">
        <v>5</v>
      </c>
      <c r="N159" s="31">
        <v>1</v>
      </c>
      <c r="O159" s="31">
        <v>1</v>
      </c>
      <c r="P159" s="31">
        <v>2</v>
      </c>
      <c r="S159" s="33">
        <v>3</v>
      </c>
      <c r="T159" s="47">
        <v>0</v>
      </c>
      <c r="U159" s="47">
        <v>0</v>
      </c>
      <c r="V159" s="47">
        <v>0</v>
      </c>
      <c r="Y159" s="47" t="s">
        <v>120</v>
      </c>
      <c r="Z159" s="47" t="s">
        <v>146</v>
      </c>
      <c r="AE159" s="31" t="s">
        <v>537</v>
      </c>
      <c r="AF159" s="31">
        <v>65</v>
      </c>
      <c r="AK159" s="32">
        <v>13</v>
      </c>
      <c r="AQ159" s="32" t="s">
        <v>563</v>
      </c>
      <c r="AU159">
        <v>155</v>
      </c>
    </row>
    <row r="160" spans="1:47" x14ac:dyDescent="0.2">
      <c r="A160" s="37">
        <v>5610</v>
      </c>
      <c r="B160" s="38" t="s">
        <v>45</v>
      </c>
      <c r="C160" s="43" t="s">
        <v>46</v>
      </c>
      <c r="D160" s="45"/>
      <c r="E160" s="38" t="s">
        <v>564</v>
      </c>
      <c r="F160" s="32" t="s">
        <v>353</v>
      </c>
      <c r="G160" s="47" t="s">
        <v>49</v>
      </c>
      <c r="H160"/>
      <c r="I160" s="32" t="s">
        <v>565</v>
      </c>
      <c r="J160" s="47"/>
      <c r="K160" s="47">
        <f>(20*3+2*43)*2.2</f>
        <v>321.20000000000005</v>
      </c>
      <c r="L160" s="48">
        <v>1</v>
      </c>
      <c r="M160" s="47"/>
      <c r="N160" s="47"/>
      <c r="O160" s="47"/>
      <c r="P160" s="47"/>
      <c r="Q160" s="47"/>
      <c r="R160" s="47"/>
      <c r="S160" s="48">
        <v>1</v>
      </c>
      <c r="T160" s="47"/>
      <c r="U160" s="47"/>
      <c r="V160" s="47"/>
      <c r="W160" s="47"/>
      <c r="X160" s="47"/>
      <c r="Y160" s="47" t="s">
        <v>51</v>
      </c>
      <c r="Z160" s="20" t="s">
        <v>52</v>
      </c>
      <c r="AA160" s="49"/>
      <c r="AB160" s="49"/>
      <c r="AC160" s="49"/>
      <c r="AD160" s="50"/>
      <c r="AE160" s="47"/>
      <c r="AF160" s="47">
        <v>340</v>
      </c>
      <c r="AG160"/>
      <c r="AH160"/>
      <c r="AI160"/>
      <c r="AJ160"/>
      <c r="AK160" s="32">
        <v>22</v>
      </c>
      <c r="AL160"/>
      <c r="AM160"/>
      <c r="AN160"/>
      <c r="AO160"/>
      <c r="AP160"/>
      <c r="AQ160" s="32" t="s">
        <v>566</v>
      </c>
      <c r="AU160">
        <v>156</v>
      </c>
    </row>
    <row r="161" spans="1:47" x14ac:dyDescent="0.2">
      <c r="A161" s="37">
        <v>5611</v>
      </c>
      <c r="B161" s="38" t="s">
        <v>85</v>
      </c>
      <c r="C161" s="39" t="s">
        <v>567</v>
      </c>
      <c r="D161" s="29"/>
      <c r="E161" s="38" t="s">
        <v>568</v>
      </c>
      <c r="F161" s="31" t="s">
        <v>150</v>
      </c>
      <c r="G161" s="47" t="s">
        <v>49</v>
      </c>
      <c r="H161"/>
      <c r="I161" s="31" t="s">
        <v>569</v>
      </c>
      <c r="J161" s="47"/>
      <c r="K161" s="47">
        <f>5*10*2.2</f>
        <v>110.00000000000001</v>
      </c>
      <c r="L161" s="48">
        <v>2</v>
      </c>
      <c r="M161" s="47">
        <v>1</v>
      </c>
      <c r="N161" s="47"/>
      <c r="O161" s="47"/>
      <c r="P161" s="47"/>
      <c r="Q161" s="47"/>
      <c r="R161" s="47"/>
      <c r="S161" s="48">
        <v>1</v>
      </c>
      <c r="T161" s="47">
        <v>0</v>
      </c>
      <c r="U161" s="47">
        <v>0</v>
      </c>
      <c r="V161" s="47">
        <v>0</v>
      </c>
      <c r="W161" s="47"/>
      <c r="X161" s="47"/>
      <c r="Y161" s="47" t="s">
        <v>51</v>
      </c>
      <c r="Z161" s="47" t="s">
        <v>146</v>
      </c>
      <c r="AA161" s="49">
        <v>0.15277777777777776</v>
      </c>
      <c r="AB161" s="49"/>
      <c r="AC161" s="49"/>
      <c r="AD161" s="50"/>
      <c r="AE161" s="31" t="s">
        <v>537</v>
      </c>
      <c r="AF161" s="47">
        <v>65</v>
      </c>
      <c r="AG161"/>
      <c r="AH161"/>
      <c r="AI161"/>
      <c r="AJ161"/>
      <c r="AK161">
        <v>5</v>
      </c>
      <c r="AL161"/>
      <c r="AM161"/>
      <c r="AN161"/>
      <c r="AO161"/>
      <c r="AP161"/>
      <c r="AQ161" s="32" t="s">
        <v>563</v>
      </c>
      <c r="AU161">
        <v>157</v>
      </c>
    </row>
    <row r="162" spans="1:47" x14ac:dyDescent="0.2">
      <c r="A162" s="37">
        <v>5614</v>
      </c>
      <c r="B162" s="38" t="s">
        <v>85</v>
      </c>
      <c r="C162" s="39" t="s">
        <v>346</v>
      </c>
      <c r="D162" s="29" t="s">
        <v>120</v>
      </c>
      <c r="E162" s="38" t="s">
        <v>570</v>
      </c>
      <c r="F162" s="31" t="s">
        <v>545</v>
      </c>
      <c r="G162" s="47" t="s">
        <v>69</v>
      </c>
      <c r="H162"/>
      <c r="I162" s="31" t="s">
        <v>571</v>
      </c>
      <c r="J162" s="47"/>
      <c r="K162" s="47"/>
      <c r="L162" s="48">
        <v>2</v>
      </c>
      <c r="M162" s="47">
        <v>2</v>
      </c>
      <c r="N162" s="47"/>
      <c r="O162" s="47"/>
      <c r="P162" s="47"/>
      <c r="Q162" s="47"/>
      <c r="R162" s="47"/>
      <c r="S162" s="48">
        <v>0</v>
      </c>
      <c r="T162" s="47">
        <v>0</v>
      </c>
      <c r="U162" s="47">
        <v>0</v>
      </c>
      <c r="V162" s="47">
        <v>0</v>
      </c>
      <c r="W162" s="47"/>
      <c r="X162" s="47"/>
      <c r="Y162" s="47" t="s">
        <v>51</v>
      </c>
      <c r="Z162" s="47" t="s">
        <v>146</v>
      </c>
      <c r="AA162" s="49"/>
      <c r="AB162" s="49"/>
      <c r="AC162" s="49"/>
      <c r="AD162" s="50"/>
      <c r="AE162" s="31" t="s">
        <v>537</v>
      </c>
      <c r="AF162" s="47">
        <v>55</v>
      </c>
      <c r="AG162"/>
      <c r="AH162"/>
      <c r="AI162"/>
      <c r="AJ162"/>
      <c r="AK162"/>
      <c r="AL162"/>
      <c r="AM162"/>
      <c r="AN162"/>
      <c r="AO162"/>
      <c r="AP162"/>
      <c r="AQ162" s="32" t="s">
        <v>572</v>
      </c>
      <c r="AU162">
        <v>158</v>
      </c>
    </row>
    <row r="163" spans="1:47" x14ac:dyDescent="0.2">
      <c r="A163" s="37">
        <v>5614</v>
      </c>
      <c r="B163" s="38" t="s">
        <v>85</v>
      </c>
      <c r="C163" s="39" t="s">
        <v>346</v>
      </c>
      <c r="D163" s="29"/>
      <c r="E163" s="38" t="s">
        <v>573</v>
      </c>
      <c r="F163" s="31" t="s">
        <v>545</v>
      </c>
      <c r="G163" s="47" t="s">
        <v>69</v>
      </c>
      <c r="H163"/>
      <c r="I163" s="31" t="s">
        <v>574</v>
      </c>
      <c r="J163" s="47"/>
      <c r="K163" s="47">
        <f>(45*8+1*43+4*10)*2.2</f>
        <v>974.6</v>
      </c>
      <c r="L163" s="48">
        <v>15</v>
      </c>
      <c r="M163" s="47"/>
      <c r="N163" s="47">
        <v>2</v>
      </c>
      <c r="O163" s="47"/>
      <c r="P163" s="47"/>
      <c r="Q163" s="47"/>
      <c r="R163" s="47"/>
      <c r="S163" s="48">
        <v>13</v>
      </c>
      <c r="T163" s="47">
        <v>0</v>
      </c>
      <c r="U163" s="47">
        <v>0</v>
      </c>
      <c r="V163" s="47">
        <v>0</v>
      </c>
      <c r="W163" s="47"/>
      <c r="X163" s="47"/>
      <c r="Y163" s="47" t="s">
        <v>120</v>
      </c>
      <c r="Z163" s="47" t="s">
        <v>146</v>
      </c>
      <c r="AA163" s="49"/>
      <c r="AB163" s="49"/>
      <c r="AC163" s="49"/>
      <c r="AD163" s="50"/>
      <c r="AE163" s="31" t="s">
        <v>537</v>
      </c>
      <c r="AF163" s="47">
        <v>45</v>
      </c>
      <c r="AG163"/>
      <c r="AH163"/>
      <c r="AI163"/>
      <c r="AJ163"/>
      <c r="AK163">
        <v>50</v>
      </c>
      <c r="AL163"/>
      <c r="AM163"/>
      <c r="AN163"/>
      <c r="AO163"/>
      <c r="AP163"/>
      <c r="AQ163" s="32" t="s">
        <v>575</v>
      </c>
      <c r="AU163">
        <v>159</v>
      </c>
    </row>
    <row r="164" spans="1:47" x14ac:dyDescent="0.2">
      <c r="A164" s="37">
        <v>5614</v>
      </c>
      <c r="B164" s="38" t="s">
        <v>85</v>
      </c>
      <c r="C164" s="43" t="s">
        <v>228</v>
      </c>
      <c r="D164" s="29"/>
      <c r="E164" s="38" t="s">
        <v>300</v>
      </c>
      <c r="F164" s="32"/>
      <c r="G164" s="47"/>
      <c r="H164"/>
      <c r="I164" s="32"/>
      <c r="J164" s="47"/>
      <c r="K164" s="47"/>
      <c r="L164" s="48">
        <v>1</v>
      </c>
      <c r="M164" s="47"/>
      <c r="N164" s="47"/>
      <c r="O164" s="47"/>
      <c r="P164" s="47"/>
      <c r="Q164" s="47"/>
      <c r="R164" s="47"/>
      <c r="S164" s="48"/>
      <c r="T164" s="47"/>
      <c r="U164" s="47"/>
      <c r="V164" s="47"/>
      <c r="W164" s="47"/>
      <c r="X164" s="47"/>
      <c r="Y164" s="47"/>
      <c r="Z164" s="47"/>
      <c r="AA164" s="49"/>
      <c r="AB164" s="49"/>
      <c r="AC164" s="49"/>
      <c r="AD164" s="50"/>
      <c r="AE164" s="47" t="s">
        <v>283</v>
      </c>
      <c r="AF164" s="47">
        <v>35</v>
      </c>
      <c r="AG164"/>
      <c r="AH164"/>
      <c r="AI164"/>
      <c r="AJ164"/>
      <c r="AK164"/>
      <c r="AL164"/>
      <c r="AM164"/>
      <c r="AN164"/>
      <c r="AO164"/>
      <c r="AP164"/>
      <c r="AQ164" t="s">
        <v>233</v>
      </c>
      <c r="AU164">
        <v>160</v>
      </c>
    </row>
    <row r="165" spans="1:47" x14ac:dyDescent="0.2">
      <c r="A165" s="37">
        <v>5614</v>
      </c>
      <c r="B165" s="38" t="s">
        <v>85</v>
      </c>
      <c r="C165" s="43" t="s">
        <v>228</v>
      </c>
      <c r="D165" s="29"/>
      <c r="E165" s="38" t="s">
        <v>282</v>
      </c>
      <c r="F165" s="32" t="s">
        <v>576</v>
      </c>
      <c r="G165" s="47"/>
      <c r="H165"/>
      <c r="I165" s="32"/>
      <c r="J165" s="47"/>
      <c r="K165" s="47"/>
      <c r="L165" s="48">
        <v>1</v>
      </c>
      <c r="M165" s="47"/>
      <c r="N165" s="47"/>
      <c r="O165" s="47"/>
      <c r="P165" s="47"/>
      <c r="Q165" s="47"/>
      <c r="R165" s="47"/>
      <c r="S165" s="48"/>
      <c r="T165" s="47"/>
      <c r="U165" s="47"/>
      <c r="V165" s="47"/>
      <c r="W165" s="47"/>
      <c r="X165" s="47"/>
      <c r="Y165" s="47"/>
      <c r="Z165" s="47"/>
      <c r="AA165" s="49"/>
      <c r="AB165" s="49"/>
      <c r="AC165" s="49"/>
      <c r="AD165" s="50"/>
      <c r="AE165" s="47" t="s">
        <v>283</v>
      </c>
      <c r="AF165" s="47">
        <v>45</v>
      </c>
      <c r="AG165"/>
      <c r="AH165"/>
      <c r="AI165"/>
      <c r="AJ165"/>
      <c r="AK165"/>
      <c r="AL165"/>
      <c r="AM165"/>
      <c r="AN165"/>
      <c r="AO165"/>
      <c r="AP165"/>
      <c r="AQ165" t="s">
        <v>233</v>
      </c>
      <c r="AU165">
        <v>161</v>
      </c>
    </row>
    <row r="166" spans="1:47" x14ac:dyDescent="0.2">
      <c r="A166" s="37">
        <v>5615</v>
      </c>
      <c r="B166" s="38" t="s">
        <v>85</v>
      </c>
      <c r="C166" s="39" t="s">
        <v>346</v>
      </c>
      <c r="D166" s="29"/>
      <c r="E166" s="38" t="s">
        <v>577</v>
      </c>
      <c r="F166" s="31" t="s">
        <v>578</v>
      </c>
      <c r="G166" s="31" t="s">
        <v>73</v>
      </c>
      <c r="I166" s="31" t="b">
        <v>1</v>
      </c>
      <c r="J166" s="47" t="b">
        <v>1</v>
      </c>
      <c r="K166" s="47">
        <f>9*43*2.2</f>
        <v>851.40000000000009</v>
      </c>
      <c r="L166" s="48">
        <v>12</v>
      </c>
      <c r="M166" s="47">
        <v>3</v>
      </c>
      <c r="N166" s="47"/>
      <c r="O166" s="47"/>
      <c r="P166" s="47">
        <v>7</v>
      </c>
      <c r="Q166" s="47"/>
      <c r="R166" s="47"/>
      <c r="S166" s="48">
        <v>9</v>
      </c>
      <c r="T166" s="47">
        <v>0</v>
      </c>
      <c r="U166" s="47">
        <v>0</v>
      </c>
      <c r="V166" s="47">
        <v>0</v>
      </c>
      <c r="W166" s="47"/>
      <c r="X166" s="47"/>
      <c r="Y166" s="47" t="s">
        <v>120</v>
      </c>
      <c r="Z166" s="47" t="s">
        <v>146</v>
      </c>
      <c r="AA166" s="49"/>
      <c r="AB166" s="49"/>
      <c r="AC166" s="49"/>
      <c r="AD166" s="50"/>
      <c r="AE166" s="31" t="s">
        <v>537</v>
      </c>
      <c r="AF166" s="47">
        <v>80</v>
      </c>
      <c r="AG166"/>
      <c r="AH166"/>
      <c r="AI166"/>
      <c r="AJ166"/>
      <c r="AK166">
        <v>9</v>
      </c>
      <c r="AL166"/>
      <c r="AM166"/>
      <c r="AN166"/>
      <c r="AO166"/>
      <c r="AP166"/>
      <c r="AQ166" s="32" t="s">
        <v>579</v>
      </c>
      <c r="AR166" s="32" t="s">
        <v>580</v>
      </c>
      <c r="AU166">
        <v>162</v>
      </c>
    </row>
    <row r="167" spans="1:47" x14ac:dyDescent="0.2">
      <c r="A167" s="37">
        <v>5615</v>
      </c>
      <c r="B167" s="38" t="s">
        <v>85</v>
      </c>
      <c r="C167" s="39" t="s">
        <v>346</v>
      </c>
      <c r="D167" s="29"/>
      <c r="E167" s="38" t="s">
        <v>581</v>
      </c>
      <c r="F167" s="31" t="s">
        <v>150</v>
      </c>
      <c r="G167" s="31" t="s">
        <v>49</v>
      </c>
      <c r="I167" s="31" t="b">
        <v>0</v>
      </c>
      <c r="J167" s="47" t="b">
        <v>0</v>
      </c>
      <c r="K167" s="47">
        <f>2*43*2.2</f>
        <v>189.20000000000002</v>
      </c>
      <c r="L167" s="48"/>
      <c r="M167" s="47"/>
      <c r="N167" s="47"/>
      <c r="O167" s="47"/>
      <c r="P167" s="47"/>
      <c r="Q167" s="47"/>
      <c r="R167" s="47"/>
      <c r="S167" s="48">
        <v>2</v>
      </c>
      <c r="T167" s="47">
        <v>0</v>
      </c>
      <c r="U167" s="47">
        <v>0</v>
      </c>
      <c r="V167" s="47">
        <v>0</v>
      </c>
      <c r="W167" s="47"/>
      <c r="X167" s="47"/>
      <c r="Y167" s="47"/>
      <c r="Z167" s="47" t="s">
        <v>146</v>
      </c>
      <c r="AA167" s="49"/>
      <c r="AB167" s="49"/>
      <c r="AC167" s="49"/>
      <c r="AD167" s="50"/>
      <c r="AE167" s="31" t="s">
        <v>537</v>
      </c>
      <c r="AF167" s="47">
        <v>80</v>
      </c>
      <c r="AG167"/>
      <c r="AH167"/>
      <c r="AI167"/>
      <c r="AJ167"/>
      <c r="AK167">
        <v>2</v>
      </c>
      <c r="AL167"/>
      <c r="AM167"/>
      <c r="AN167"/>
      <c r="AO167"/>
      <c r="AP167"/>
      <c r="AQ167" s="32" t="s">
        <v>579</v>
      </c>
      <c r="AR167" s="32" t="s">
        <v>580</v>
      </c>
      <c r="AU167">
        <v>163</v>
      </c>
    </row>
    <row r="168" spans="1:47" x14ac:dyDescent="0.2">
      <c r="A168" s="37">
        <v>5615</v>
      </c>
      <c r="B168" s="38" t="s">
        <v>85</v>
      </c>
      <c r="C168" s="39" t="s">
        <v>346</v>
      </c>
      <c r="D168" s="29"/>
      <c r="E168" s="38" t="s">
        <v>582</v>
      </c>
      <c r="F168" s="31" t="s">
        <v>150</v>
      </c>
      <c r="G168" s="47" t="s">
        <v>49</v>
      </c>
      <c r="H168"/>
      <c r="I168" s="31" t="b">
        <v>0</v>
      </c>
      <c r="J168" s="47" t="b">
        <v>0</v>
      </c>
      <c r="K168" s="47">
        <f>2*43*2.2</f>
        <v>189.20000000000002</v>
      </c>
      <c r="L168" s="48"/>
      <c r="M168" s="47"/>
      <c r="N168" s="47"/>
      <c r="O168" s="47"/>
      <c r="P168" s="47"/>
      <c r="Q168" s="47"/>
      <c r="R168" s="47"/>
      <c r="S168" s="48">
        <v>2</v>
      </c>
      <c r="T168" s="47">
        <v>0</v>
      </c>
      <c r="U168" s="47">
        <v>0</v>
      </c>
      <c r="V168" s="47">
        <v>0</v>
      </c>
      <c r="W168" s="47"/>
      <c r="X168" s="47"/>
      <c r="Y168" s="47"/>
      <c r="Z168" s="47" t="s">
        <v>146</v>
      </c>
      <c r="AA168" s="49"/>
      <c r="AB168" s="49"/>
      <c r="AC168" s="49"/>
      <c r="AD168" s="50"/>
      <c r="AE168" s="31" t="s">
        <v>537</v>
      </c>
      <c r="AF168" s="47">
        <v>55</v>
      </c>
      <c r="AG168"/>
      <c r="AH168"/>
      <c r="AI168"/>
      <c r="AJ168"/>
      <c r="AK168">
        <v>2</v>
      </c>
      <c r="AL168"/>
      <c r="AM168"/>
      <c r="AN168"/>
      <c r="AO168"/>
      <c r="AP168"/>
      <c r="AQ168" s="32" t="s">
        <v>579</v>
      </c>
      <c r="AR168" s="32" t="s">
        <v>580</v>
      </c>
      <c r="AU168">
        <v>164</v>
      </c>
    </row>
    <row r="169" spans="1:47" x14ac:dyDescent="0.2">
      <c r="A169" s="37">
        <v>5615</v>
      </c>
      <c r="B169" s="38" t="s">
        <v>85</v>
      </c>
      <c r="C169" s="39" t="s">
        <v>346</v>
      </c>
      <c r="D169" s="29"/>
      <c r="E169" s="38" t="s">
        <v>583</v>
      </c>
      <c r="F169" s="31" t="s">
        <v>150</v>
      </c>
      <c r="G169" s="47" t="s">
        <v>49</v>
      </c>
      <c r="H169"/>
      <c r="I169" s="31" t="b">
        <v>0</v>
      </c>
      <c r="J169" s="47" t="b">
        <v>0</v>
      </c>
      <c r="K169" s="47">
        <f>43*2.2</f>
        <v>94.600000000000009</v>
      </c>
      <c r="L169" s="48"/>
      <c r="M169" s="47"/>
      <c r="N169" s="47"/>
      <c r="O169" s="47"/>
      <c r="P169" s="47"/>
      <c r="Q169" s="47"/>
      <c r="R169" s="47"/>
      <c r="S169" s="48">
        <v>1</v>
      </c>
      <c r="T169" s="47">
        <v>0</v>
      </c>
      <c r="U169" s="47">
        <v>0</v>
      </c>
      <c r="V169" s="47">
        <v>0</v>
      </c>
      <c r="W169" s="47"/>
      <c r="X169" s="47"/>
      <c r="Y169" s="47"/>
      <c r="Z169" s="47" t="s">
        <v>146</v>
      </c>
      <c r="AA169" s="49"/>
      <c r="AB169" s="49"/>
      <c r="AC169" s="49"/>
      <c r="AD169" s="50"/>
      <c r="AE169" s="31" t="s">
        <v>537</v>
      </c>
      <c r="AF169" s="47">
        <v>60</v>
      </c>
      <c r="AG169"/>
      <c r="AH169"/>
      <c r="AI169"/>
      <c r="AJ169"/>
      <c r="AK169">
        <v>1</v>
      </c>
      <c r="AL169"/>
      <c r="AM169"/>
      <c r="AN169"/>
      <c r="AO169"/>
      <c r="AP169"/>
      <c r="AQ169" s="32" t="s">
        <v>579</v>
      </c>
      <c r="AR169" s="32" t="s">
        <v>580</v>
      </c>
      <c r="AU169">
        <v>165</v>
      </c>
    </row>
    <row r="170" spans="1:47" x14ac:dyDescent="0.2">
      <c r="A170" s="37">
        <v>5615</v>
      </c>
      <c r="B170" s="38" t="s">
        <v>85</v>
      </c>
      <c r="C170" s="39" t="s">
        <v>346</v>
      </c>
      <c r="D170" s="29"/>
      <c r="E170" s="38" t="s">
        <v>573</v>
      </c>
      <c r="F170" s="31" t="s">
        <v>295</v>
      </c>
      <c r="G170" s="47" t="s">
        <v>69</v>
      </c>
      <c r="H170"/>
      <c r="I170" s="31" t="b">
        <v>0</v>
      </c>
      <c r="J170" s="47" t="b">
        <v>0</v>
      </c>
      <c r="K170" s="47">
        <f>3*43*2.2</f>
        <v>283.8</v>
      </c>
      <c r="L170" s="48"/>
      <c r="M170" s="47"/>
      <c r="N170" s="47"/>
      <c r="O170" s="47"/>
      <c r="P170" s="47"/>
      <c r="Q170" s="47"/>
      <c r="R170" s="47"/>
      <c r="S170" s="48">
        <v>3</v>
      </c>
      <c r="T170" s="47">
        <v>0</v>
      </c>
      <c r="U170" s="47">
        <v>0</v>
      </c>
      <c r="V170" s="47">
        <v>0</v>
      </c>
      <c r="W170" s="47"/>
      <c r="X170" s="47"/>
      <c r="Y170" s="47"/>
      <c r="Z170" s="47" t="s">
        <v>146</v>
      </c>
      <c r="AA170" s="49"/>
      <c r="AB170" s="49"/>
      <c r="AC170" s="49"/>
      <c r="AD170" s="50"/>
      <c r="AE170" s="31" t="s">
        <v>537</v>
      </c>
      <c r="AF170" s="47">
        <v>45</v>
      </c>
      <c r="AG170"/>
      <c r="AH170"/>
      <c r="AI170"/>
      <c r="AJ170"/>
      <c r="AK170">
        <v>3</v>
      </c>
      <c r="AL170"/>
      <c r="AM170"/>
      <c r="AN170"/>
      <c r="AO170"/>
      <c r="AP170"/>
      <c r="AQ170" s="32" t="s">
        <v>579</v>
      </c>
      <c r="AR170" s="32" t="s">
        <v>580</v>
      </c>
      <c r="AU170">
        <v>166</v>
      </c>
    </row>
    <row r="171" spans="1:47" x14ac:dyDescent="0.2">
      <c r="A171" s="37">
        <v>5615</v>
      </c>
      <c r="B171" s="38" t="s">
        <v>85</v>
      </c>
      <c r="C171" s="39" t="s">
        <v>346</v>
      </c>
      <c r="D171" s="29"/>
      <c r="E171" s="38" t="s">
        <v>584</v>
      </c>
      <c r="F171" s="31" t="s">
        <v>57</v>
      </c>
      <c r="G171" s="47" t="s">
        <v>49</v>
      </c>
      <c r="H171"/>
      <c r="I171" s="31" t="b">
        <v>0</v>
      </c>
      <c r="J171" s="47" t="b">
        <v>0</v>
      </c>
      <c r="K171" s="47">
        <f>43*2.2</f>
        <v>94.600000000000009</v>
      </c>
      <c r="L171" s="48"/>
      <c r="M171" s="47"/>
      <c r="N171" s="47"/>
      <c r="O171" s="47"/>
      <c r="P171" s="47"/>
      <c r="Q171" s="47"/>
      <c r="R171" s="47"/>
      <c r="S171" s="48">
        <v>1</v>
      </c>
      <c r="T171" s="47">
        <v>0</v>
      </c>
      <c r="U171" s="47">
        <v>0</v>
      </c>
      <c r="V171" s="47">
        <v>0</v>
      </c>
      <c r="W171" s="47"/>
      <c r="X171" s="47"/>
      <c r="Y171" s="47"/>
      <c r="Z171" s="47" t="s">
        <v>146</v>
      </c>
      <c r="AA171" s="49">
        <v>0.6875</v>
      </c>
      <c r="AB171" s="49">
        <v>0.79861111111111116</v>
      </c>
      <c r="AC171" s="49">
        <f>AVERAGE(AA171:AB171)</f>
        <v>0.74305555555555558</v>
      </c>
      <c r="AD171" s="50">
        <f>(AB171-AA171)*24</f>
        <v>2.6666666666666679</v>
      </c>
      <c r="AE171" s="31" t="s">
        <v>537</v>
      </c>
      <c r="AF171" s="47">
        <v>60</v>
      </c>
      <c r="AG171"/>
      <c r="AH171"/>
      <c r="AI171"/>
      <c r="AJ171"/>
      <c r="AK171">
        <v>1</v>
      </c>
      <c r="AL171"/>
      <c r="AM171"/>
      <c r="AN171"/>
      <c r="AO171"/>
      <c r="AP171"/>
      <c r="AQ171" s="32" t="s">
        <v>579</v>
      </c>
      <c r="AR171" s="32" t="s">
        <v>585</v>
      </c>
      <c r="AU171">
        <v>167</v>
      </c>
    </row>
    <row r="172" spans="1:47" x14ac:dyDescent="0.2">
      <c r="A172" s="26">
        <v>5615</v>
      </c>
      <c r="B172" s="27" t="s">
        <v>85</v>
      </c>
      <c r="C172" s="28"/>
      <c r="D172" s="29"/>
      <c r="E172" s="30" t="s">
        <v>586</v>
      </c>
      <c r="H172" s="32">
        <v>1</v>
      </c>
      <c r="I172" s="32" t="s">
        <v>587</v>
      </c>
      <c r="AI172" s="32">
        <v>120</v>
      </c>
      <c r="AO172" s="46" t="s">
        <v>588</v>
      </c>
      <c r="AQ172" s="32" t="s">
        <v>589</v>
      </c>
      <c r="AU172">
        <v>168</v>
      </c>
    </row>
    <row r="173" spans="1:47" x14ac:dyDescent="0.2">
      <c r="A173" s="37">
        <v>5619</v>
      </c>
      <c r="B173" s="38" t="s">
        <v>85</v>
      </c>
      <c r="C173" s="39" t="s">
        <v>346</v>
      </c>
      <c r="D173" s="29"/>
      <c r="E173" s="38" t="s">
        <v>583</v>
      </c>
      <c r="F173" s="31" t="s">
        <v>590</v>
      </c>
      <c r="G173" s="31" t="s">
        <v>49</v>
      </c>
      <c r="H173" s="32"/>
      <c r="I173" s="31" t="s">
        <v>591</v>
      </c>
      <c r="K173" s="31">
        <f>43*2.2</f>
        <v>94.600000000000009</v>
      </c>
      <c r="L173" s="33">
        <v>12</v>
      </c>
      <c r="M173" s="31">
        <v>11</v>
      </c>
      <c r="S173" s="33">
        <v>1</v>
      </c>
      <c r="T173" s="47">
        <v>0</v>
      </c>
      <c r="U173" s="47">
        <v>0</v>
      </c>
      <c r="V173" s="47">
        <v>0</v>
      </c>
      <c r="Y173" s="47" t="s">
        <v>51</v>
      </c>
      <c r="Z173" s="47" t="s">
        <v>146</v>
      </c>
      <c r="AA173" s="34">
        <v>0.27638888888888885</v>
      </c>
      <c r="AB173" s="34">
        <v>0.4</v>
      </c>
      <c r="AC173" s="49">
        <f>AVERAGE(AA173:AB173)</f>
        <v>0.33819444444444446</v>
      </c>
      <c r="AD173" s="50">
        <f>(AB173-AA173)*24</f>
        <v>2.9666666666666681</v>
      </c>
      <c r="AE173" s="31" t="s">
        <v>537</v>
      </c>
      <c r="AF173" s="47">
        <v>60</v>
      </c>
      <c r="AK173" s="32">
        <v>1</v>
      </c>
      <c r="AO173" s="46"/>
      <c r="AQ173" s="32" t="s">
        <v>592</v>
      </c>
      <c r="AR173" s="32" t="s">
        <v>593</v>
      </c>
      <c r="AU173">
        <v>169</v>
      </c>
    </row>
    <row r="174" spans="1:47" x14ac:dyDescent="0.2">
      <c r="A174" s="37">
        <v>5622</v>
      </c>
      <c r="B174" s="38" t="s">
        <v>85</v>
      </c>
      <c r="C174" s="39" t="s">
        <v>346</v>
      </c>
      <c r="D174" s="29"/>
      <c r="E174" s="36" t="s">
        <v>594</v>
      </c>
      <c r="F174" s="31" t="s">
        <v>595</v>
      </c>
      <c r="G174" s="31" t="s">
        <v>73</v>
      </c>
      <c r="H174" s="32"/>
      <c r="I174" s="31" t="b">
        <v>1</v>
      </c>
      <c r="J174" s="31" t="b">
        <v>1</v>
      </c>
      <c r="K174" s="31">
        <f>(4*8+2*43)*2.2</f>
        <v>259.60000000000002</v>
      </c>
      <c r="L174" s="33">
        <v>11</v>
      </c>
      <c r="M174" s="31">
        <v>1</v>
      </c>
      <c r="N174" s="31">
        <v>7</v>
      </c>
      <c r="P174" s="31">
        <v>1</v>
      </c>
      <c r="Q174" s="31">
        <v>1</v>
      </c>
      <c r="S174" s="33">
        <v>3</v>
      </c>
      <c r="T174" s="47">
        <v>0</v>
      </c>
      <c r="U174" s="47">
        <v>0</v>
      </c>
      <c r="V174" s="47">
        <v>0</v>
      </c>
      <c r="Y174" s="47" t="s">
        <v>51</v>
      </c>
      <c r="Z174" s="47" t="s">
        <v>146</v>
      </c>
      <c r="AE174" s="31" t="s">
        <v>537</v>
      </c>
      <c r="AF174" s="31">
        <v>80</v>
      </c>
      <c r="AK174" s="32">
        <v>6</v>
      </c>
      <c r="AO174" s="46"/>
      <c r="AQ174" s="32" t="s">
        <v>596</v>
      </c>
      <c r="AU174">
        <v>170</v>
      </c>
    </row>
    <row r="175" spans="1:47" x14ac:dyDescent="0.2">
      <c r="A175" s="37">
        <v>5622</v>
      </c>
      <c r="B175" s="38" t="s">
        <v>85</v>
      </c>
      <c r="C175" s="39" t="s">
        <v>346</v>
      </c>
      <c r="D175" s="29"/>
      <c r="E175" s="36" t="s">
        <v>597</v>
      </c>
      <c r="F175" s="31" t="s">
        <v>220</v>
      </c>
      <c r="G175" s="31" t="s">
        <v>49</v>
      </c>
      <c r="H175" s="32"/>
      <c r="I175" s="31" t="b">
        <v>0</v>
      </c>
      <c r="J175" s="47" t="b">
        <v>0</v>
      </c>
      <c r="K175" s="31">
        <f>4*8*2.2</f>
        <v>70.400000000000006</v>
      </c>
      <c r="S175" s="33">
        <v>1</v>
      </c>
      <c r="T175" s="47">
        <v>0</v>
      </c>
      <c r="U175" s="47">
        <v>0</v>
      </c>
      <c r="V175" s="47">
        <v>0</v>
      </c>
      <c r="Y175" s="47" t="s">
        <v>51</v>
      </c>
      <c r="Z175" s="47" t="s">
        <v>146</v>
      </c>
      <c r="AE175" s="31" t="s">
        <v>537</v>
      </c>
      <c r="AF175" s="31">
        <v>80</v>
      </c>
      <c r="AK175" s="32">
        <v>4</v>
      </c>
      <c r="AO175" s="46"/>
      <c r="AQ175" s="32" t="s">
        <v>596</v>
      </c>
      <c r="AU175">
        <v>171</v>
      </c>
    </row>
    <row r="176" spans="1:47" x14ac:dyDescent="0.2">
      <c r="A176" s="37">
        <v>5622</v>
      </c>
      <c r="B176" s="38" t="s">
        <v>85</v>
      </c>
      <c r="C176" s="39" t="s">
        <v>346</v>
      </c>
      <c r="D176" s="29"/>
      <c r="E176" s="36" t="s">
        <v>598</v>
      </c>
      <c r="F176" s="31" t="s">
        <v>302</v>
      </c>
      <c r="G176" s="31" t="s">
        <v>69</v>
      </c>
      <c r="H176" s="32"/>
      <c r="I176" s="31" t="b">
        <v>0</v>
      </c>
      <c r="J176" s="47" t="b">
        <v>0</v>
      </c>
      <c r="K176" s="31">
        <f>2*43*2.2</f>
        <v>189.20000000000002</v>
      </c>
      <c r="S176" s="33">
        <v>2</v>
      </c>
      <c r="T176" s="47">
        <v>0</v>
      </c>
      <c r="U176" s="47">
        <v>0</v>
      </c>
      <c r="V176" s="47">
        <v>0</v>
      </c>
      <c r="Y176" s="47" t="s">
        <v>51</v>
      </c>
      <c r="Z176" s="47" t="s">
        <v>146</v>
      </c>
      <c r="AE176" s="31" t="s">
        <v>537</v>
      </c>
      <c r="AF176" s="31">
        <v>45</v>
      </c>
      <c r="AK176" s="32">
        <v>2</v>
      </c>
      <c r="AO176" s="46"/>
      <c r="AQ176" s="32" t="s">
        <v>596</v>
      </c>
      <c r="AR176" s="32" t="s">
        <v>599</v>
      </c>
      <c r="AU176">
        <v>172</v>
      </c>
    </row>
    <row r="177" spans="1:47" x14ac:dyDescent="0.2">
      <c r="A177" s="37">
        <v>5623</v>
      </c>
      <c r="B177" s="38" t="s">
        <v>85</v>
      </c>
      <c r="C177" s="39" t="s">
        <v>346</v>
      </c>
      <c r="D177" s="29"/>
      <c r="E177" s="36" t="s">
        <v>600</v>
      </c>
      <c r="F177" s="31" t="s">
        <v>246</v>
      </c>
      <c r="G177" s="31" t="s">
        <v>49</v>
      </c>
      <c r="H177" s="32"/>
      <c r="I177" s="32" t="s">
        <v>601</v>
      </c>
      <c r="K177" s="31">
        <f>(12*8+4*43)*2.2</f>
        <v>589.6</v>
      </c>
      <c r="L177" s="33">
        <v>9</v>
      </c>
      <c r="M177" s="31">
        <v>1</v>
      </c>
      <c r="N177" s="31">
        <v>1</v>
      </c>
      <c r="S177" s="33">
        <v>7</v>
      </c>
      <c r="T177" s="47">
        <v>0</v>
      </c>
      <c r="U177" s="47">
        <v>0</v>
      </c>
      <c r="V177" s="47">
        <v>0</v>
      </c>
      <c r="Y177" s="47" t="s">
        <v>51</v>
      </c>
      <c r="Z177" s="47" t="s">
        <v>146</v>
      </c>
      <c r="AE177" s="31" t="s">
        <v>537</v>
      </c>
      <c r="AF177" s="31">
        <v>80</v>
      </c>
      <c r="AK177" s="32">
        <v>16</v>
      </c>
      <c r="AO177" s="46"/>
      <c r="AQ177" s="32" t="s">
        <v>602</v>
      </c>
      <c r="AU177">
        <v>173</v>
      </c>
    </row>
    <row r="178" spans="1:47" x14ac:dyDescent="0.2">
      <c r="A178" s="37">
        <v>5623</v>
      </c>
      <c r="B178" s="38" t="s">
        <v>85</v>
      </c>
      <c r="C178" s="39" t="s">
        <v>346</v>
      </c>
      <c r="D178" s="29"/>
      <c r="E178" s="36" t="s">
        <v>603</v>
      </c>
      <c r="F178" s="31" t="s">
        <v>302</v>
      </c>
      <c r="G178" s="31" t="s">
        <v>69</v>
      </c>
      <c r="H178" s="32"/>
      <c r="I178" s="32" t="s">
        <v>604</v>
      </c>
      <c r="K178" s="31">
        <f>4*8*2.2</f>
        <v>70.400000000000006</v>
      </c>
      <c r="L178" s="33">
        <v>1</v>
      </c>
      <c r="S178" s="33">
        <v>1</v>
      </c>
      <c r="T178" s="47">
        <v>0</v>
      </c>
      <c r="U178" s="47">
        <v>0</v>
      </c>
      <c r="V178" s="47">
        <v>0</v>
      </c>
      <c r="Y178" s="47" t="s">
        <v>120</v>
      </c>
      <c r="Z178" s="47" t="s">
        <v>146</v>
      </c>
      <c r="AE178" s="31" t="s">
        <v>537</v>
      </c>
      <c r="AK178" s="32">
        <v>4</v>
      </c>
      <c r="AO178" s="46"/>
      <c r="AQ178" s="32" t="s">
        <v>602</v>
      </c>
      <c r="AU178">
        <v>174</v>
      </c>
    </row>
    <row r="179" spans="1:47" x14ac:dyDescent="0.2">
      <c r="A179" s="37">
        <v>5623</v>
      </c>
      <c r="B179" s="38" t="s">
        <v>45</v>
      </c>
      <c r="C179" s="39" t="s">
        <v>567</v>
      </c>
      <c r="D179" s="29"/>
      <c r="E179" s="36" t="s">
        <v>564</v>
      </c>
      <c r="F179" s="31" t="s">
        <v>150</v>
      </c>
      <c r="G179" s="31" t="s">
        <v>49</v>
      </c>
      <c r="H179" s="32"/>
      <c r="I179" s="32" t="s">
        <v>605</v>
      </c>
      <c r="K179" s="31">
        <f>4*8*2.2</f>
        <v>70.400000000000006</v>
      </c>
      <c r="L179" s="33">
        <v>1</v>
      </c>
      <c r="S179" s="33">
        <v>1</v>
      </c>
      <c r="T179" s="47">
        <v>0</v>
      </c>
      <c r="U179" s="47">
        <v>0</v>
      </c>
      <c r="V179" s="47">
        <v>0</v>
      </c>
      <c r="Y179" s="47" t="s">
        <v>51</v>
      </c>
      <c r="Z179" s="47" t="s">
        <v>146</v>
      </c>
      <c r="AE179" s="31" t="s">
        <v>537</v>
      </c>
      <c r="AF179" s="31">
        <v>65</v>
      </c>
      <c r="AK179" s="32">
        <v>4</v>
      </c>
      <c r="AO179" s="46"/>
      <c r="AQ179" s="32" t="s">
        <v>602</v>
      </c>
      <c r="AU179">
        <v>175</v>
      </c>
    </row>
    <row r="180" spans="1:47" x14ac:dyDescent="0.2">
      <c r="A180" s="37">
        <v>5624</v>
      </c>
      <c r="B180" s="38" t="s">
        <v>85</v>
      </c>
      <c r="C180" s="39" t="s">
        <v>346</v>
      </c>
      <c r="D180" s="29"/>
      <c r="E180" s="36" t="s">
        <v>606</v>
      </c>
      <c r="F180" s="31" t="s">
        <v>150</v>
      </c>
      <c r="G180" s="31" t="s">
        <v>49</v>
      </c>
      <c r="H180" s="32"/>
      <c r="I180" s="32" t="s">
        <v>607</v>
      </c>
      <c r="K180" s="31">
        <f>(3*8+6*43)*2.2</f>
        <v>620.40000000000009</v>
      </c>
      <c r="L180" s="33">
        <v>10</v>
      </c>
      <c r="N180" s="31">
        <v>3</v>
      </c>
      <c r="S180" s="33">
        <v>7</v>
      </c>
      <c r="T180" s="47">
        <v>0</v>
      </c>
      <c r="U180" s="47">
        <v>0</v>
      </c>
      <c r="V180" s="47">
        <v>0</v>
      </c>
      <c r="Y180" s="47" t="s">
        <v>51</v>
      </c>
      <c r="Z180" s="47" t="s">
        <v>146</v>
      </c>
      <c r="AA180" s="34">
        <v>0.22569444444444445</v>
      </c>
      <c r="AB180" s="34">
        <v>0.3354166666666667</v>
      </c>
      <c r="AC180" s="49">
        <f>AVERAGE(AA180:AB180)</f>
        <v>0.28055555555555556</v>
      </c>
      <c r="AD180" s="50">
        <f>(AB180-AA180)*24</f>
        <v>2.6333333333333337</v>
      </c>
      <c r="AE180" s="31" t="s">
        <v>537</v>
      </c>
      <c r="AF180" s="31">
        <v>45</v>
      </c>
      <c r="AK180" s="32">
        <v>9</v>
      </c>
      <c r="AO180" s="46"/>
      <c r="AQ180" s="32" t="s">
        <v>608</v>
      </c>
      <c r="AU180">
        <v>176</v>
      </c>
    </row>
    <row r="181" spans="1:47" x14ac:dyDescent="0.2">
      <c r="A181" s="37">
        <v>5624</v>
      </c>
      <c r="B181" s="38" t="s">
        <v>45</v>
      </c>
      <c r="C181" s="39" t="s">
        <v>346</v>
      </c>
      <c r="D181" s="29"/>
      <c r="E181" s="36" t="s">
        <v>609</v>
      </c>
      <c r="F181" s="31" t="s">
        <v>220</v>
      </c>
      <c r="G181" s="31" t="s">
        <v>49</v>
      </c>
      <c r="H181" s="32"/>
      <c r="I181" s="32" t="s">
        <v>610</v>
      </c>
      <c r="K181" s="31">
        <f>5*8*2.2</f>
        <v>88</v>
      </c>
      <c r="L181" s="33">
        <v>1</v>
      </c>
      <c r="S181" s="33">
        <v>1</v>
      </c>
      <c r="T181" s="47">
        <v>0</v>
      </c>
      <c r="U181" s="47">
        <v>0</v>
      </c>
      <c r="V181" s="47">
        <v>0</v>
      </c>
      <c r="Y181" s="47" t="s">
        <v>51</v>
      </c>
      <c r="Z181" s="47" t="s">
        <v>146</v>
      </c>
      <c r="AA181" s="34">
        <v>0.88194444444444453</v>
      </c>
      <c r="AB181" s="34">
        <v>0.97916666666666663</v>
      </c>
      <c r="AC181" s="49">
        <f>AVERAGE(AA181:AB181)</f>
        <v>0.93055555555555558</v>
      </c>
      <c r="AD181" s="50">
        <f>(AB181-AA181)*24</f>
        <v>2.3333333333333304</v>
      </c>
      <c r="AE181" s="31" t="s">
        <v>537</v>
      </c>
      <c r="AF181" s="31">
        <v>80</v>
      </c>
      <c r="AK181" s="32">
        <v>5</v>
      </c>
      <c r="AO181" s="46"/>
      <c r="AQ181" s="32" t="s">
        <v>611</v>
      </c>
      <c r="AU181">
        <v>177</v>
      </c>
    </row>
    <row r="182" spans="1:47" x14ac:dyDescent="0.2">
      <c r="A182" s="37">
        <v>5624</v>
      </c>
      <c r="B182" s="38" t="s">
        <v>45</v>
      </c>
      <c r="C182" s="39" t="s">
        <v>346</v>
      </c>
      <c r="D182" s="29"/>
      <c r="E182" s="36" t="s">
        <v>612</v>
      </c>
      <c r="F182" s="31" t="s">
        <v>613</v>
      </c>
      <c r="G182" s="31" t="s">
        <v>49</v>
      </c>
      <c r="H182" s="32"/>
      <c r="I182" s="32" t="s">
        <v>614</v>
      </c>
      <c r="K182" s="31">
        <f>43*2.2</f>
        <v>94.600000000000009</v>
      </c>
      <c r="L182" s="33">
        <v>1</v>
      </c>
      <c r="S182" s="33">
        <v>1</v>
      </c>
      <c r="T182" s="47">
        <v>0</v>
      </c>
      <c r="U182" s="47">
        <v>0</v>
      </c>
      <c r="V182" s="47">
        <v>0</v>
      </c>
      <c r="Y182" s="47" t="s">
        <v>51</v>
      </c>
      <c r="Z182" s="47" t="s">
        <v>146</v>
      </c>
      <c r="AA182" s="34">
        <v>0.91180555555555554</v>
      </c>
      <c r="AB182" s="34">
        <v>1.0347222222222221</v>
      </c>
      <c r="AC182" s="49">
        <f>AVERAGE(AA182:AB182)</f>
        <v>0.97326388888888882</v>
      </c>
      <c r="AD182" s="50">
        <f>(AB182-AA182)*24</f>
        <v>2.9499999999999975</v>
      </c>
      <c r="AE182" s="31" t="s">
        <v>537</v>
      </c>
      <c r="AF182" s="31">
        <v>45</v>
      </c>
      <c r="AK182" s="32">
        <v>1</v>
      </c>
      <c r="AO182" s="46"/>
      <c r="AQ182" s="32" t="s">
        <v>611</v>
      </c>
      <c r="AU182">
        <v>178</v>
      </c>
    </row>
    <row r="183" spans="1:47" x14ac:dyDescent="0.2">
      <c r="A183" s="37">
        <v>5625</v>
      </c>
      <c r="B183" s="38" t="s">
        <v>85</v>
      </c>
      <c r="C183" s="39" t="s">
        <v>346</v>
      </c>
      <c r="D183" s="45"/>
      <c r="E183" s="58" t="s">
        <v>615</v>
      </c>
      <c r="F183" s="31" t="s">
        <v>616</v>
      </c>
      <c r="G183" s="31" t="s">
        <v>73</v>
      </c>
      <c r="I183" s="31" t="s">
        <v>617</v>
      </c>
      <c r="K183" s="31">
        <f>12*8*2.2</f>
        <v>211.20000000000002</v>
      </c>
      <c r="L183" s="33">
        <v>7</v>
      </c>
      <c r="N183" s="31">
        <v>4</v>
      </c>
      <c r="S183" s="33">
        <v>3</v>
      </c>
      <c r="T183" s="47">
        <v>0</v>
      </c>
      <c r="U183" s="47">
        <v>0</v>
      </c>
      <c r="V183" s="47">
        <v>0</v>
      </c>
      <c r="Y183" s="47" t="s">
        <v>51</v>
      </c>
      <c r="Z183" s="47" t="s">
        <v>146</v>
      </c>
      <c r="AA183" s="34">
        <v>0.20833333333333334</v>
      </c>
      <c r="AB183" s="34">
        <v>0.31736111111111115</v>
      </c>
      <c r="AC183" s="49">
        <f>AVERAGE(AA183:AB183)</f>
        <v>0.26284722222222223</v>
      </c>
      <c r="AD183" s="50">
        <f>(AB183-AA183)*24</f>
        <v>2.6166666666666671</v>
      </c>
      <c r="AE183" s="31" t="s">
        <v>537</v>
      </c>
      <c r="AF183" s="31">
        <v>60</v>
      </c>
      <c r="AK183" s="32">
        <v>12</v>
      </c>
      <c r="AQ183" s="32" t="s">
        <v>611</v>
      </c>
      <c r="AU183">
        <v>179</v>
      </c>
    </row>
    <row r="184" spans="1:47" x14ac:dyDescent="0.2">
      <c r="A184" s="37">
        <v>5625</v>
      </c>
      <c r="B184" s="38" t="s">
        <v>85</v>
      </c>
      <c r="C184" s="39" t="s">
        <v>346</v>
      </c>
      <c r="D184" s="45"/>
      <c r="E184" s="57" t="s">
        <v>618</v>
      </c>
      <c r="F184" s="31" t="s">
        <v>204</v>
      </c>
      <c r="G184" s="31" t="s">
        <v>205</v>
      </c>
      <c r="I184" s="31" t="s">
        <v>619</v>
      </c>
      <c r="K184" s="31">
        <f>(8*10+12*8)*2.2</f>
        <v>387.20000000000005</v>
      </c>
      <c r="L184" s="33">
        <v>6</v>
      </c>
      <c r="N184" s="31">
        <v>1</v>
      </c>
      <c r="S184" s="33">
        <v>5</v>
      </c>
      <c r="T184" s="31">
        <v>0</v>
      </c>
      <c r="U184" s="31">
        <v>0</v>
      </c>
      <c r="V184" s="31">
        <v>1</v>
      </c>
      <c r="Y184" s="47" t="s">
        <v>120</v>
      </c>
      <c r="Z184" s="47" t="s">
        <v>146</v>
      </c>
      <c r="AA184" s="34">
        <v>0.69444444444444453</v>
      </c>
      <c r="AB184" s="34">
        <v>0.81597222222222221</v>
      </c>
      <c r="AC184" s="34">
        <f>AVERAGE(AA184:AB184)</f>
        <v>0.75520833333333337</v>
      </c>
      <c r="AD184" s="35">
        <f>(AB184-AA184)*24</f>
        <v>2.9166666666666643</v>
      </c>
      <c r="AE184" s="31" t="s">
        <v>537</v>
      </c>
      <c r="AF184" s="31">
        <v>60</v>
      </c>
      <c r="AK184" s="32">
        <v>20</v>
      </c>
      <c r="AQ184" s="32" t="s">
        <v>620</v>
      </c>
      <c r="AU184">
        <v>180</v>
      </c>
    </row>
    <row r="185" spans="1:47" x14ac:dyDescent="0.2">
      <c r="A185" s="37">
        <v>5625</v>
      </c>
      <c r="B185" s="38" t="s">
        <v>85</v>
      </c>
      <c r="C185" s="43" t="s">
        <v>228</v>
      </c>
      <c r="D185" s="45"/>
      <c r="E185" s="38" t="s">
        <v>621</v>
      </c>
      <c r="F185" s="32" t="s">
        <v>61</v>
      </c>
      <c r="H185" s="32"/>
      <c r="I185" s="32" t="s">
        <v>622</v>
      </c>
      <c r="K185" s="47">
        <v>120</v>
      </c>
      <c r="L185" s="33">
        <v>1</v>
      </c>
      <c r="AE185" s="47" t="s">
        <v>283</v>
      </c>
      <c r="AF185" s="31">
        <v>105</v>
      </c>
      <c r="AO185" s="46"/>
      <c r="AQ185" t="s">
        <v>233</v>
      </c>
      <c r="AU185">
        <v>181</v>
      </c>
    </row>
    <row r="186" spans="1:47" x14ac:dyDescent="0.2">
      <c r="A186" s="37">
        <v>5625</v>
      </c>
      <c r="B186" s="38" t="s">
        <v>45</v>
      </c>
      <c r="C186" s="43" t="s">
        <v>46</v>
      </c>
      <c r="D186" s="29"/>
      <c r="E186" s="38" t="s">
        <v>564</v>
      </c>
      <c r="F186" s="32" t="s">
        <v>623</v>
      </c>
      <c r="G186" s="31" t="s">
        <v>49</v>
      </c>
      <c r="H186" s="32"/>
      <c r="I186" s="32" t="s">
        <v>624</v>
      </c>
      <c r="K186" s="47">
        <f>(12*3+4*43)*2.2</f>
        <v>457.6</v>
      </c>
      <c r="L186" s="33">
        <v>1</v>
      </c>
      <c r="S186" s="33">
        <v>1</v>
      </c>
      <c r="Y186" s="31" t="s">
        <v>51</v>
      </c>
      <c r="Z186" s="20" t="s">
        <v>52</v>
      </c>
      <c r="AF186" s="31">
        <v>300</v>
      </c>
      <c r="AK186" s="32">
        <v>16</v>
      </c>
      <c r="AO186" s="46"/>
      <c r="AQ186" s="32" t="s">
        <v>566</v>
      </c>
      <c r="AU186">
        <v>182</v>
      </c>
    </row>
    <row r="187" spans="1:47" x14ac:dyDescent="0.2">
      <c r="A187" s="37">
        <v>5626</v>
      </c>
      <c r="B187" s="38" t="s">
        <v>85</v>
      </c>
      <c r="C187" s="43" t="s">
        <v>142</v>
      </c>
      <c r="D187" s="29"/>
      <c r="E187" s="38" t="s">
        <v>625</v>
      </c>
      <c r="F187" s="32" t="s">
        <v>626</v>
      </c>
      <c r="G187" s="47" t="s">
        <v>627</v>
      </c>
      <c r="H187"/>
      <c r="I187" s="31" t="b">
        <v>1</v>
      </c>
      <c r="J187" s="47" t="b">
        <v>1</v>
      </c>
      <c r="K187" s="47">
        <f>(83*8+4*44)*2.2</f>
        <v>1848.0000000000002</v>
      </c>
      <c r="L187" s="48">
        <v>18</v>
      </c>
      <c r="M187" s="47"/>
      <c r="N187" s="47">
        <v>1</v>
      </c>
      <c r="O187" s="47"/>
      <c r="P187" s="47"/>
      <c r="Q187" s="47"/>
      <c r="R187" s="47"/>
      <c r="S187" s="48">
        <v>17</v>
      </c>
      <c r="T187" s="47">
        <v>1</v>
      </c>
      <c r="U187" s="47">
        <v>0</v>
      </c>
      <c r="V187" s="47">
        <v>0</v>
      </c>
      <c r="W187" s="47"/>
      <c r="X187" s="47"/>
      <c r="Y187" s="47" t="s">
        <v>51</v>
      </c>
      <c r="Z187" s="31" t="s">
        <v>146</v>
      </c>
      <c r="AA187" s="49">
        <v>0.125</v>
      </c>
      <c r="AB187" s="49">
        <v>0.36805555555555558</v>
      </c>
      <c r="AC187" s="49">
        <v>0.26041666666666669</v>
      </c>
      <c r="AD187" s="50">
        <f>(AB187-AA187)*24</f>
        <v>5.8333333333333339</v>
      </c>
      <c r="AE187" s="47" t="s">
        <v>342</v>
      </c>
      <c r="AF187" s="47">
        <v>185</v>
      </c>
      <c r="AG187"/>
      <c r="AH187"/>
      <c r="AI187"/>
      <c r="AJ187"/>
      <c r="AK187" s="32">
        <v>87</v>
      </c>
      <c r="AL187"/>
      <c r="AM187"/>
      <c r="AN187"/>
      <c r="AO187"/>
      <c r="AP187"/>
      <c r="AQ187" t="s">
        <v>628</v>
      </c>
      <c r="AR187" s="32" t="s">
        <v>629</v>
      </c>
      <c r="AU187">
        <v>183</v>
      </c>
    </row>
    <row r="188" spans="1:47" x14ac:dyDescent="0.2">
      <c r="A188" s="37">
        <v>5626</v>
      </c>
      <c r="B188" s="38" t="s">
        <v>85</v>
      </c>
      <c r="C188" s="43" t="s">
        <v>142</v>
      </c>
      <c r="D188" s="29"/>
      <c r="E188" s="38" t="s">
        <v>630</v>
      </c>
      <c r="F188" s="32" t="s">
        <v>626</v>
      </c>
      <c r="G188" s="47" t="s">
        <v>627</v>
      </c>
      <c r="H188"/>
      <c r="I188" s="31" t="b">
        <v>0</v>
      </c>
      <c r="J188" s="47" t="b">
        <v>1</v>
      </c>
      <c r="K188" s="47">
        <f>(2*44+36*8)*2.2</f>
        <v>827.2</v>
      </c>
      <c r="L188" s="48"/>
      <c r="M188" s="47"/>
      <c r="N188" s="47"/>
      <c r="O188" s="47"/>
      <c r="P188" s="47"/>
      <c r="Q188" s="47"/>
      <c r="R188" s="47"/>
      <c r="S188" s="48"/>
      <c r="T188" s="47"/>
      <c r="U188" s="47"/>
      <c r="V188" s="47"/>
      <c r="W188" s="47"/>
      <c r="X188" s="47"/>
      <c r="Y188" s="47" t="s">
        <v>51</v>
      </c>
      <c r="Z188" s="31" t="s">
        <v>146</v>
      </c>
      <c r="AA188" s="49">
        <v>0.125</v>
      </c>
      <c r="AB188" s="49">
        <v>0.36805555555555558</v>
      </c>
      <c r="AC188" s="49">
        <v>0.26041666666666669</v>
      </c>
      <c r="AD188" s="50">
        <f>(AB188-AA188)*24</f>
        <v>5.8333333333333339</v>
      </c>
      <c r="AE188" s="47" t="s">
        <v>342</v>
      </c>
      <c r="AF188" s="47">
        <v>185</v>
      </c>
      <c r="AG188"/>
      <c r="AH188"/>
      <c r="AI188"/>
      <c r="AJ188"/>
      <c r="AK188" s="32">
        <v>38</v>
      </c>
      <c r="AL188"/>
      <c r="AM188"/>
      <c r="AN188"/>
      <c r="AO188"/>
      <c r="AP188"/>
      <c r="AQ188" t="s">
        <v>628</v>
      </c>
      <c r="AR188" s="32" t="s">
        <v>629</v>
      </c>
      <c r="AU188">
        <v>184</v>
      </c>
    </row>
    <row r="189" spans="1:47" x14ac:dyDescent="0.2">
      <c r="A189" s="37">
        <v>5626</v>
      </c>
      <c r="B189" s="38" t="s">
        <v>85</v>
      </c>
      <c r="C189" s="43" t="s">
        <v>142</v>
      </c>
      <c r="D189" s="29"/>
      <c r="E189" s="38" t="s">
        <v>631</v>
      </c>
      <c r="F189" s="32" t="s">
        <v>626</v>
      </c>
      <c r="G189" s="47" t="s">
        <v>627</v>
      </c>
      <c r="H189"/>
      <c r="I189" s="31" t="b">
        <v>0</v>
      </c>
      <c r="J189" s="47" t="b">
        <v>1</v>
      </c>
      <c r="K189" s="47">
        <f>(2*44+47*8)*2.2</f>
        <v>1020.8000000000001</v>
      </c>
      <c r="L189" s="48"/>
      <c r="M189" s="47"/>
      <c r="N189" s="47"/>
      <c r="O189" s="47"/>
      <c r="P189" s="47"/>
      <c r="Q189" s="47"/>
      <c r="R189" s="47"/>
      <c r="S189" s="48"/>
      <c r="T189" s="47"/>
      <c r="U189" s="47"/>
      <c r="V189" s="47"/>
      <c r="W189" s="47"/>
      <c r="X189" s="47"/>
      <c r="Y189" s="47" t="s">
        <v>51</v>
      </c>
      <c r="Z189" s="31" t="s">
        <v>146</v>
      </c>
      <c r="AA189" s="49">
        <v>0.125</v>
      </c>
      <c r="AB189" s="49">
        <v>0.36805555555555558</v>
      </c>
      <c r="AC189" s="49">
        <v>0.26041666666666669</v>
      </c>
      <c r="AD189" s="50">
        <f>(AB189-AA189)*24</f>
        <v>5.8333333333333339</v>
      </c>
      <c r="AE189" s="47" t="s">
        <v>342</v>
      </c>
      <c r="AF189" s="47">
        <v>185</v>
      </c>
      <c r="AG189"/>
      <c r="AH189"/>
      <c r="AI189"/>
      <c r="AJ189"/>
      <c r="AK189" s="32">
        <v>49</v>
      </c>
      <c r="AL189"/>
      <c r="AM189"/>
      <c r="AN189"/>
      <c r="AO189"/>
      <c r="AP189"/>
      <c r="AQ189" t="s">
        <v>628</v>
      </c>
      <c r="AR189" s="32" t="s">
        <v>629</v>
      </c>
      <c r="AU189">
        <v>185</v>
      </c>
    </row>
    <row r="190" spans="1:47" x14ac:dyDescent="0.2">
      <c r="A190" s="26">
        <v>5626</v>
      </c>
      <c r="B190" s="27">
        <v>0.29166666666666669</v>
      </c>
      <c r="C190" s="28"/>
      <c r="D190" s="29"/>
      <c r="E190" s="30" t="s">
        <v>631</v>
      </c>
      <c r="H190" s="32">
        <v>1</v>
      </c>
      <c r="I190" s="32" t="s">
        <v>632</v>
      </c>
      <c r="AG190" s="32">
        <v>19</v>
      </c>
      <c r="AH190" s="32">
        <v>8</v>
      </c>
      <c r="AK190" s="32">
        <v>40</v>
      </c>
      <c r="AL190" s="32">
        <v>0.75</v>
      </c>
      <c r="AO190" s="32" t="s">
        <v>633</v>
      </c>
      <c r="AP190" s="32">
        <v>0.75</v>
      </c>
      <c r="AQ190" s="32">
        <v>463</v>
      </c>
      <c r="AU190">
        <v>186</v>
      </c>
    </row>
    <row r="191" spans="1:47" x14ac:dyDescent="0.2">
      <c r="A191" s="37">
        <v>5628</v>
      </c>
      <c r="B191" s="38" t="s">
        <v>85</v>
      </c>
      <c r="C191" s="39" t="s">
        <v>346</v>
      </c>
      <c r="D191" s="29"/>
      <c r="E191" s="38" t="s">
        <v>634</v>
      </c>
      <c r="F191" s="31" t="s">
        <v>295</v>
      </c>
      <c r="G191" s="31" t="s">
        <v>69</v>
      </c>
      <c r="H191" s="32"/>
      <c r="I191" s="32" t="s">
        <v>635</v>
      </c>
      <c r="K191" s="31">
        <f>(32*8+20*10)*2.2</f>
        <v>1003.2</v>
      </c>
      <c r="L191" s="33">
        <v>14</v>
      </c>
      <c r="N191" s="31">
        <v>4</v>
      </c>
      <c r="S191" s="33">
        <v>10</v>
      </c>
      <c r="T191" s="31">
        <v>0</v>
      </c>
      <c r="U191" s="31">
        <v>1</v>
      </c>
      <c r="V191" s="31">
        <v>0</v>
      </c>
      <c r="Y191" s="47" t="s">
        <v>51</v>
      </c>
      <c r="Z191" s="47" t="s">
        <v>146</v>
      </c>
      <c r="AE191" s="31" t="s">
        <v>537</v>
      </c>
      <c r="AF191" s="47">
        <v>45</v>
      </c>
      <c r="AK191" s="32">
        <v>52</v>
      </c>
      <c r="AQ191" s="32" t="s">
        <v>636</v>
      </c>
      <c r="AU191">
        <v>187</v>
      </c>
    </row>
    <row r="192" spans="1:47" x14ac:dyDescent="0.2">
      <c r="A192" s="37">
        <v>5629</v>
      </c>
      <c r="B192" s="38" t="s">
        <v>85</v>
      </c>
      <c r="C192" s="39" t="s">
        <v>346</v>
      </c>
      <c r="D192" s="29"/>
      <c r="E192" s="38" t="s">
        <v>637</v>
      </c>
      <c r="F192" s="31" t="s">
        <v>295</v>
      </c>
      <c r="G192" s="31" t="s">
        <v>69</v>
      </c>
      <c r="H192" s="32"/>
      <c r="I192" s="32" t="s">
        <v>638</v>
      </c>
      <c r="K192" s="31">
        <f>30*8*2.2</f>
        <v>528</v>
      </c>
      <c r="L192" s="33">
        <v>10</v>
      </c>
      <c r="N192" s="31">
        <v>2</v>
      </c>
      <c r="S192" s="33">
        <v>8</v>
      </c>
      <c r="T192" s="31">
        <v>0</v>
      </c>
      <c r="U192" s="31">
        <v>1</v>
      </c>
      <c r="V192" s="31">
        <v>0</v>
      </c>
      <c r="Y192" s="47" t="s">
        <v>120</v>
      </c>
      <c r="Z192" s="47" t="s">
        <v>146</v>
      </c>
      <c r="AA192" s="34">
        <v>0.70486111111111116</v>
      </c>
      <c r="AB192" s="34">
        <v>0.81597222222222221</v>
      </c>
      <c r="AC192" s="49">
        <f>AVERAGE(AA192:AB192)</f>
        <v>0.76041666666666674</v>
      </c>
      <c r="AD192" s="50">
        <f>(AB192-AA192)*24</f>
        <v>2.6666666666666652</v>
      </c>
      <c r="AE192" s="31" t="s">
        <v>537</v>
      </c>
      <c r="AF192" s="47">
        <v>45</v>
      </c>
      <c r="AK192" s="32">
        <v>30</v>
      </c>
      <c r="AQ192" s="32" t="s">
        <v>639</v>
      </c>
      <c r="AU192">
        <v>188</v>
      </c>
    </row>
    <row r="193" spans="1:47" x14ac:dyDescent="0.2">
      <c r="A193" s="37">
        <v>5630</v>
      </c>
      <c r="B193" s="38" t="s">
        <v>85</v>
      </c>
      <c r="C193" s="39" t="s">
        <v>346</v>
      </c>
      <c r="D193" s="29"/>
      <c r="E193" s="38" t="s">
        <v>637</v>
      </c>
      <c r="F193" s="31" t="s">
        <v>295</v>
      </c>
      <c r="G193" s="31" t="s">
        <v>69</v>
      </c>
      <c r="H193" s="32"/>
      <c r="I193" s="32" t="s">
        <v>640</v>
      </c>
      <c r="K193" s="31">
        <f>(38*8+8*10)*2.2</f>
        <v>844.80000000000007</v>
      </c>
      <c r="L193" s="33">
        <v>10</v>
      </c>
      <c r="S193" s="33">
        <v>10</v>
      </c>
      <c r="T193" s="47">
        <v>0</v>
      </c>
      <c r="U193" s="47">
        <v>0</v>
      </c>
      <c r="V193" s="47">
        <v>0</v>
      </c>
      <c r="Y193" s="47" t="s">
        <v>120</v>
      </c>
      <c r="Z193" s="47" t="s">
        <v>146</v>
      </c>
      <c r="AA193" s="34">
        <v>0.24652777777777779</v>
      </c>
      <c r="AB193" s="34">
        <v>0.34722222222222227</v>
      </c>
      <c r="AC193" s="49">
        <f>AVERAGE(AA193:AB193)</f>
        <v>0.296875</v>
      </c>
      <c r="AD193" s="50">
        <f>(AB193-AA193)*24</f>
        <v>2.4166666666666674</v>
      </c>
      <c r="AE193" s="31" t="s">
        <v>537</v>
      </c>
      <c r="AF193" s="47">
        <v>45</v>
      </c>
      <c r="AK193" s="32">
        <v>46</v>
      </c>
      <c r="AQ193" s="32" t="s">
        <v>641</v>
      </c>
      <c r="AU193">
        <v>189</v>
      </c>
    </row>
    <row r="194" spans="1:47" x14ac:dyDescent="0.2">
      <c r="A194" s="37">
        <v>5630</v>
      </c>
      <c r="B194" s="38" t="s">
        <v>45</v>
      </c>
      <c r="C194" s="43" t="s">
        <v>228</v>
      </c>
      <c r="D194" s="29"/>
      <c r="E194" s="38" t="s">
        <v>642</v>
      </c>
      <c r="F194" s="32" t="s">
        <v>61</v>
      </c>
      <c r="H194" s="32"/>
      <c r="I194" s="32" t="s">
        <v>643</v>
      </c>
      <c r="L194" s="33">
        <v>1</v>
      </c>
      <c r="AE194" s="47" t="s">
        <v>283</v>
      </c>
      <c r="AF194" s="31">
        <v>140</v>
      </c>
      <c r="AQ194" t="s">
        <v>233</v>
      </c>
      <c r="AU194">
        <v>190</v>
      </c>
    </row>
    <row r="195" spans="1:47" x14ac:dyDescent="0.2">
      <c r="A195" s="37">
        <v>5630</v>
      </c>
      <c r="B195" s="38" t="s">
        <v>45</v>
      </c>
      <c r="C195" s="43" t="s">
        <v>228</v>
      </c>
      <c r="D195" s="29"/>
      <c r="E195" s="38" t="s">
        <v>391</v>
      </c>
      <c r="F195" s="32" t="s">
        <v>644</v>
      </c>
      <c r="H195" s="32"/>
      <c r="I195" s="32"/>
      <c r="K195" s="31">
        <v>240</v>
      </c>
      <c r="L195" s="33">
        <v>1</v>
      </c>
      <c r="AE195" s="47" t="s">
        <v>283</v>
      </c>
      <c r="AF195" s="47">
        <v>70</v>
      </c>
      <c r="AQ195" t="s">
        <v>233</v>
      </c>
      <c r="AU195">
        <v>191</v>
      </c>
    </row>
    <row r="196" spans="1:47" x14ac:dyDescent="0.2">
      <c r="A196" s="44">
        <v>5631</v>
      </c>
      <c r="B196" s="42" t="s">
        <v>85</v>
      </c>
      <c r="C196" s="39" t="s">
        <v>346</v>
      </c>
      <c r="D196" s="29"/>
      <c r="E196" s="38" t="s">
        <v>645</v>
      </c>
      <c r="F196" s="31" t="s">
        <v>646</v>
      </c>
      <c r="G196" s="31" t="s">
        <v>69</v>
      </c>
      <c r="H196" s="32"/>
      <c r="I196" s="32" t="s">
        <v>647</v>
      </c>
      <c r="K196" s="31">
        <f>18*8*2.2</f>
        <v>316.8</v>
      </c>
      <c r="L196" s="33">
        <v>5</v>
      </c>
      <c r="N196" s="31">
        <v>1</v>
      </c>
      <c r="S196" s="33">
        <v>4</v>
      </c>
      <c r="T196" s="31">
        <v>0</v>
      </c>
      <c r="U196" s="31">
        <v>1</v>
      </c>
      <c r="V196" s="31">
        <v>0</v>
      </c>
      <c r="Y196" s="47" t="s">
        <v>51</v>
      </c>
      <c r="Z196" s="47" t="s">
        <v>146</v>
      </c>
      <c r="AA196" s="34">
        <v>0.70833333333333337</v>
      </c>
      <c r="AB196" s="34">
        <v>0.79166666666666663</v>
      </c>
      <c r="AC196" s="34">
        <f>AVERAGE(AA196:AB196)</f>
        <v>0.75</v>
      </c>
      <c r="AD196" s="35">
        <f>(AB196-AA196)*24</f>
        <v>1.9999999999999982</v>
      </c>
      <c r="AE196" s="31" t="s">
        <v>537</v>
      </c>
      <c r="AF196" s="31">
        <v>45</v>
      </c>
      <c r="AK196" s="32">
        <v>18</v>
      </c>
      <c r="AQ196" s="32" t="s">
        <v>648</v>
      </c>
      <c r="AU196">
        <v>192</v>
      </c>
    </row>
    <row r="197" spans="1:47" x14ac:dyDescent="0.2">
      <c r="A197" s="44">
        <v>5631</v>
      </c>
      <c r="B197" s="42" t="s">
        <v>45</v>
      </c>
      <c r="C197" s="39" t="s">
        <v>142</v>
      </c>
      <c r="D197" s="29"/>
      <c r="E197" s="38" t="s">
        <v>649</v>
      </c>
      <c r="F197" s="31" t="s">
        <v>650</v>
      </c>
      <c r="G197" s="31" t="s">
        <v>205</v>
      </c>
      <c r="H197" s="32"/>
      <c r="I197" s="32" t="s">
        <v>651</v>
      </c>
      <c r="K197" s="31">
        <f>8*8*2.2</f>
        <v>140.80000000000001</v>
      </c>
      <c r="L197" s="33">
        <v>2</v>
      </c>
      <c r="N197" s="31">
        <v>1</v>
      </c>
      <c r="S197" s="33">
        <v>1</v>
      </c>
      <c r="T197" s="31">
        <v>0</v>
      </c>
      <c r="U197" s="31">
        <v>0</v>
      </c>
      <c r="V197" s="31">
        <v>0</v>
      </c>
      <c r="Y197" s="31" t="s">
        <v>51</v>
      </c>
      <c r="Z197" s="31" t="s">
        <v>146</v>
      </c>
      <c r="AA197" s="34">
        <v>8.3333333333333329E-2</v>
      </c>
      <c r="AE197" s="47" t="s">
        <v>342</v>
      </c>
      <c r="AF197" s="47">
        <v>40</v>
      </c>
      <c r="AK197" s="32">
        <v>8</v>
      </c>
      <c r="AQ197" s="32" t="s">
        <v>652</v>
      </c>
      <c r="AU197">
        <v>193</v>
      </c>
    </row>
    <row r="198" spans="1:47" x14ac:dyDescent="0.2">
      <c r="A198" s="26">
        <v>5631</v>
      </c>
      <c r="B198" s="27">
        <v>0.875</v>
      </c>
      <c r="C198" s="28"/>
      <c r="D198" s="29"/>
      <c r="E198" s="30" t="s">
        <v>653</v>
      </c>
      <c r="H198" s="32">
        <v>1</v>
      </c>
      <c r="I198" s="32" t="s">
        <v>654</v>
      </c>
      <c r="AI198" s="32">
        <v>0</v>
      </c>
      <c r="AK198" s="32">
        <v>6</v>
      </c>
      <c r="AO198" s="32" t="s">
        <v>655</v>
      </c>
      <c r="AQ198" s="32">
        <v>447</v>
      </c>
      <c r="AU198">
        <v>194</v>
      </c>
    </row>
    <row r="199" spans="1:47" x14ac:dyDescent="0.2">
      <c r="A199" s="44">
        <v>5632</v>
      </c>
      <c r="B199" s="42" t="s">
        <v>85</v>
      </c>
      <c r="C199" s="43" t="s">
        <v>142</v>
      </c>
      <c r="D199" s="29"/>
      <c r="E199" s="36" t="s">
        <v>656</v>
      </c>
      <c r="F199" s="31" t="s">
        <v>150</v>
      </c>
      <c r="G199" s="31" t="s">
        <v>49</v>
      </c>
      <c r="H199" s="32"/>
      <c r="I199" s="32" t="s">
        <v>657</v>
      </c>
      <c r="K199" s="31">
        <f>10*8*2.2</f>
        <v>176</v>
      </c>
      <c r="L199" s="33">
        <v>6</v>
      </c>
      <c r="M199" s="31">
        <v>5</v>
      </c>
      <c r="S199" s="33">
        <v>1</v>
      </c>
      <c r="T199" s="31">
        <v>0</v>
      </c>
      <c r="U199" s="31">
        <v>0</v>
      </c>
      <c r="V199" s="31">
        <v>0</v>
      </c>
      <c r="Y199" s="31" t="s">
        <v>51</v>
      </c>
      <c r="Z199" s="31" t="s">
        <v>146</v>
      </c>
      <c r="AA199" s="34">
        <v>0.66666666666666663</v>
      </c>
      <c r="AE199" s="47" t="s">
        <v>342</v>
      </c>
      <c r="AF199" s="31">
        <v>45</v>
      </c>
      <c r="AK199" s="32">
        <v>10</v>
      </c>
      <c r="AQ199" s="32" t="s">
        <v>658</v>
      </c>
      <c r="AU199">
        <v>195</v>
      </c>
    </row>
    <row r="200" spans="1:47" x14ac:dyDescent="0.2">
      <c r="A200" s="44">
        <v>5632</v>
      </c>
      <c r="B200" s="42" t="s">
        <v>85</v>
      </c>
      <c r="C200" s="39" t="s">
        <v>346</v>
      </c>
      <c r="D200" s="29"/>
      <c r="E200" s="36" t="s">
        <v>659</v>
      </c>
      <c r="F200" s="31" t="s">
        <v>545</v>
      </c>
      <c r="G200" s="31" t="s">
        <v>69</v>
      </c>
      <c r="H200" s="32"/>
      <c r="I200" s="32" t="s">
        <v>660</v>
      </c>
      <c r="K200" s="31">
        <f>(8*10+27*8+6*8+1*105)*2.2</f>
        <v>987.80000000000007</v>
      </c>
      <c r="L200" s="33">
        <v>13</v>
      </c>
      <c r="N200" s="31">
        <v>5</v>
      </c>
      <c r="S200" s="33">
        <v>8</v>
      </c>
      <c r="T200" s="47">
        <v>0</v>
      </c>
      <c r="U200" s="47">
        <v>0</v>
      </c>
      <c r="V200" s="47">
        <v>0</v>
      </c>
      <c r="Y200" s="47" t="s">
        <v>51</v>
      </c>
      <c r="Z200" s="47" t="s">
        <v>146</v>
      </c>
      <c r="AA200" s="34">
        <v>0.72083333333333333</v>
      </c>
      <c r="AB200" s="34">
        <v>0.82777777777777783</v>
      </c>
      <c r="AC200" s="34">
        <f>AVERAGE(AA200:AB200)</f>
        <v>0.77430555555555558</v>
      </c>
      <c r="AD200" s="35">
        <f>(AB200-AA200)*24</f>
        <v>2.5666666666666682</v>
      </c>
      <c r="AE200" s="31" t="s">
        <v>537</v>
      </c>
      <c r="AK200" s="32">
        <v>42</v>
      </c>
      <c r="AQ200" s="32" t="s">
        <v>661</v>
      </c>
      <c r="AU200">
        <v>196</v>
      </c>
    </row>
    <row r="201" spans="1:47" x14ac:dyDescent="0.2">
      <c r="A201" s="26">
        <v>5632</v>
      </c>
      <c r="B201" s="27">
        <v>0.5</v>
      </c>
      <c r="C201" s="28"/>
      <c r="D201" s="29"/>
      <c r="E201" s="30" t="s">
        <v>653</v>
      </c>
      <c r="H201" s="32">
        <v>1</v>
      </c>
      <c r="I201" s="32"/>
      <c r="AO201" s="32" t="s">
        <v>655</v>
      </c>
      <c r="AQ201" s="32">
        <v>447</v>
      </c>
      <c r="AU201">
        <v>197</v>
      </c>
    </row>
    <row r="202" spans="1:47" x14ac:dyDescent="0.2">
      <c r="A202" s="37">
        <v>5633</v>
      </c>
      <c r="B202" s="38" t="s">
        <v>85</v>
      </c>
      <c r="C202" s="39" t="s">
        <v>142</v>
      </c>
      <c r="D202" s="29"/>
      <c r="E202" s="38" t="s">
        <v>653</v>
      </c>
      <c r="F202" s="31" t="s">
        <v>662</v>
      </c>
      <c r="G202" s="31" t="s">
        <v>49</v>
      </c>
      <c r="H202" s="32"/>
      <c r="I202" s="32" t="s">
        <v>663</v>
      </c>
      <c r="K202" s="31">
        <f>22*8*2.2</f>
        <v>387.20000000000005</v>
      </c>
      <c r="L202" s="33">
        <v>5</v>
      </c>
      <c r="S202" s="33">
        <v>3</v>
      </c>
      <c r="T202" s="31">
        <v>0</v>
      </c>
      <c r="U202" s="31">
        <v>0</v>
      </c>
      <c r="V202" s="31">
        <v>0</v>
      </c>
      <c r="Y202" s="31" t="s">
        <v>51</v>
      </c>
      <c r="Z202" s="31" t="s">
        <v>146</v>
      </c>
      <c r="AA202" s="34">
        <v>0.25694444444444448</v>
      </c>
      <c r="AE202" s="47" t="s">
        <v>342</v>
      </c>
      <c r="AF202" s="31">
        <v>47</v>
      </c>
      <c r="AK202" s="32">
        <v>22</v>
      </c>
      <c r="AQ202" s="32" t="s">
        <v>664</v>
      </c>
      <c r="AU202">
        <v>198</v>
      </c>
    </row>
    <row r="203" spans="1:47" x14ac:dyDescent="0.2">
      <c r="A203" s="59">
        <v>5633</v>
      </c>
      <c r="B203" s="60" t="s">
        <v>85</v>
      </c>
      <c r="C203" s="61" t="s">
        <v>142</v>
      </c>
      <c r="D203" s="62"/>
      <c r="E203" s="60" t="s">
        <v>665</v>
      </c>
      <c r="F203" s="63" t="s">
        <v>666</v>
      </c>
      <c r="G203" s="63"/>
      <c r="H203" s="64"/>
      <c r="I203" s="65" t="s">
        <v>667</v>
      </c>
      <c r="J203" s="63"/>
      <c r="Z203" s="31" t="s">
        <v>146</v>
      </c>
      <c r="AE203" s="47" t="s">
        <v>342</v>
      </c>
      <c r="AF203" s="31">
        <v>70</v>
      </c>
      <c r="AQ203" s="32" t="s">
        <v>668</v>
      </c>
      <c r="AU203">
        <v>199</v>
      </c>
    </row>
    <row r="204" spans="1:47" x14ac:dyDescent="0.2">
      <c r="A204" s="44">
        <v>5633</v>
      </c>
      <c r="B204" s="42" t="s">
        <v>85</v>
      </c>
      <c r="C204" s="39" t="s">
        <v>346</v>
      </c>
      <c r="D204" s="29"/>
      <c r="E204" s="38" t="s">
        <v>669</v>
      </c>
      <c r="F204" s="31" t="s">
        <v>670</v>
      </c>
      <c r="G204" s="31" t="s">
        <v>69</v>
      </c>
      <c r="H204" s="32"/>
      <c r="I204" s="32" t="s">
        <v>671</v>
      </c>
      <c r="K204" s="31">
        <f>(9*8+4*8+10*10)*2.2</f>
        <v>448.8</v>
      </c>
      <c r="L204" s="33">
        <v>5</v>
      </c>
      <c r="N204" s="31">
        <v>1</v>
      </c>
      <c r="P204" s="31">
        <v>3</v>
      </c>
      <c r="S204" s="33">
        <v>4</v>
      </c>
      <c r="T204" s="47">
        <v>0</v>
      </c>
      <c r="U204" s="47">
        <v>0</v>
      </c>
      <c r="V204" s="47">
        <v>0</v>
      </c>
      <c r="Y204" s="47" t="s">
        <v>51</v>
      </c>
      <c r="Z204" s="47" t="s">
        <v>146</v>
      </c>
      <c r="AA204" s="34">
        <v>0.68055555555555547</v>
      </c>
      <c r="AB204" s="34">
        <v>0.8027777777777777</v>
      </c>
      <c r="AC204" s="34">
        <f>AVERAGE(AA204:AB204)</f>
        <v>0.74166666666666659</v>
      </c>
      <c r="AD204" s="35">
        <f>(AB204-AA204)*24</f>
        <v>2.9333333333333336</v>
      </c>
      <c r="AE204" s="31" t="s">
        <v>537</v>
      </c>
      <c r="AF204" s="31">
        <v>45</v>
      </c>
      <c r="AK204" s="32">
        <v>23</v>
      </c>
      <c r="AQ204" s="32" t="s">
        <v>672</v>
      </c>
      <c r="AU204">
        <v>200</v>
      </c>
    </row>
    <row r="205" spans="1:47" x14ac:dyDescent="0.2">
      <c r="A205" s="37">
        <v>5633</v>
      </c>
      <c r="B205" s="38" t="s">
        <v>85</v>
      </c>
      <c r="C205" s="39" t="s">
        <v>156</v>
      </c>
      <c r="D205" s="29"/>
      <c r="E205" s="38" t="s">
        <v>673</v>
      </c>
      <c r="F205" s="31" t="s">
        <v>493</v>
      </c>
      <c r="G205" s="31" t="s">
        <v>69</v>
      </c>
      <c r="H205" s="32"/>
      <c r="I205" s="32" t="s">
        <v>674</v>
      </c>
      <c r="S205" s="33">
        <v>3</v>
      </c>
      <c r="Z205" s="31" t="s">
        <v>675</v>
      </c>
      <c r="AE205" s="31" t="s">
        <v>676</v>
      </c>
      <c r="AF205" s="31">
        <v>50</v>
      </c>
      <c r="AQ205" s="32" t="s">
        <v>677</v>
      </c>
      <c r="AU205">
        <v>201</v>
      </c>
    </row>
    <row r="206" spans="1:47" x14ac:dyDescent="0.2">
      <c r="A206" s="37">
        <v>5633</v>
      </c>
      <c r="B206" s="38" t="s">
        <v>85</v>
      </c>
      <c r="C206" s="43" t="s">
        <v>228</v>
      </c>
      <c r="D206" s="29"/>
      <c r="E206" s="38" t="s">
        <v>391</v>
      </c>
      <c r="F206" s="31" t="s">
        <v>678</v>
      </c>
      <c r="H206" s="32"/>
      <c r="I206" s="32" t="s">
        <v>679</v>
      </c>
      <c r="L206" s="33">
        <v>1</v>
      </c>
      <c r="AE206" s="47" t="s">
        <v>283</v>
      </c>
      <c r="AF206" s="47">
        <v>70</v>
      </c>
      <c r="AQ206" t="s">
        <v>233</v>
      </c>
      <c r="AU206">
        <v>202</v>
      </c>
    </row>
    <row r="207" spans="1:47" x14ac:dyDescent="0.2">
      <c r="A207" s="37">
        <v>5633</v>
      </c>
      <c r="B207" s="38" t="s">
        <v>45</v>
      </c>
      <c r="C207" s="39" t="s">
        <v>253</v>
      </c>
      <c r="D207" s="29"/>
      <c r="E207" s="38" t="s">
        <v>564</v>
      </c>
      <c r="F207" s="32" t="s">
        <v>150</v>
      </c>
      <c r="G207" s="47"/>
      <c r="H207"/>
      <c r="I207" s="32" t="s">
        <v>680</v>
      </c>
      <c r="J207" s="47"/>
      <c r="K207" s="47"/>
      <c r="L207" s="48"/>
      <c r="M207" s="47"/>
      <c r="N207" s="47"/>
      <c r="O207" s="47"/>
      <c r="P207" s="47"/>
      <c r="Q207" s="47"/>
      <c r="R207" s="47"/>
      <c r="S207" s="48"/>
      <c r="T207" s="47"/>
      <c r="U207" s="47"/>
      <c r="V207" s="47"/>
      <c r="W207" s="47"/>
      <c r="X207" s="47"/>
      <c r="Y207" s="47"/>
      <c r="Z207" s="47"/>
      <c r="AA207" s="49"/>
      <c r="AB207" s="49"/>
      <c r="AC207" s="49"/>
      <c r="AD207" s="50"/>
      <c r="AE207" s="47"/>
      <c r="AF207" s="47"/>
      <c r="AG207"/>
      <c r="AH207"/>
      <c r="AI207"/>
      <c r="AJ207"/>
      <c r="AK207"/>
      <c r="AL207"/>
      <c r="AM207"/>
      <c r="AN207"/>
      <c r="AO207"/>
      <c r="AP207"/>
      <c r="AQ207" t="s">
        <v>681</v>
      </c>
      <c r="AU207">
        <v>203</v>
      </c>
    </row>
    <row r="208" spans="1:47" x14ac:dyDescent="0.2">
      <c r="A208" s="26">
        <v>5633</v>
      </c>
      <c r="B208" s="27"/>
      <c r="C208" s="28"/>
      <c r="D208" s="29"/>
      <c r="E208" s="30" t="s">
        <v>653</v>
      </c>
      <c r="H208" s="32">
        <v>1</v>
      </c>
      <c r="I208" s="32" t="s">
        <v>654</v>
      </c>
      <c r="AI208" s="32">
        <v>0</v>
      </c>
      <c r="AK208" s="32">
        <v>12</v>
      </c>
      <c r="AO208" s="32" t="s">
        <v>655</v>
      </c>
      <c r="AQ208" s="32">
        <v>447</v>
      </c>
      <c r="AU208">
        <v>204</v>
      </c>
    </row>
    <row r="209" spans="1:47" x14ac:dyDescent="0.2">
      <c r="A209" s="37">
        <v>5634</v>
      </c>
      <c r="B209" s="38" t="s">
        <v>85</v>
      </c>
      <c r="C209" s="39" t="s">
        <v>346</v>
      </c>
      <c r="D209" s="29"/>
      <c r="E209" s="38" t="s">
        <v>682</v>
      </c>
      <c r="F209" s="32" t="s">
        <v>683</v>
      </c>
      <c r="G209" s="47" t="s">
        <v>69</v>
      </c>
      <c r="H209"/>
      <c r="I209" s="32" t="s">
        <v>684</v>
      </c>
      <c r="J209" s="47"/>
      <c r="K209" s="47">
        <f>(19*8+15*8+14*10)*2.2</f>
        <v>906.40000000000009</v>
      </c>
      <c r="L209" s="48">
        <v>11</v>
      </c>
      <c r="M209" s="47"/>
      <c r="N209" s="47">
        <v>1</v>
      </c>
      <c r="O209" s="47"/>
      <c r="P209" s="47"/>
      <c r="Q209" s="47"/>
      <c r="R209" s="47"/>
      <c r="S209" s="48">
        <v>10</v>
      </c>
      <c r="T209" s="47">
        <v>0</v>
      </c>
      <c r="U209" s="47">
        <v>0</v>
      </c>
      <c r="V209" s="47">
        <v>0</v>
      </c>
      <c r="W209" s="47"/>
      <c r="X209" s="47"/>
      <c r="Y209" s="47" t="s">
        <v>51</v>
      </c>
      <c r="Z209" s="47" t="s">
        <v>146</v>
      </c>
      <c r="AA209" s="34">
        <v>0.69444444444444453</v>
      </c>
      <c r="AB209" s="34">
        <v>0.80347222222222225</v>
      </c>
      <c r="AC209" s="34">
        <f>AVERAGE(AA209:AB209)</f>
        <v>0.74895833333333339</v>
      </c>
      <c r="AD209" s="35">
        <f>(AB209-AA209)*24</f>
        <v>2.6166666666666654</v>
      </c>
      <c r="AE209" s="31" t="s">
        <v>537</v>
      </c>
      <c r="AF209" s="47">
        <v>50</v>
      </c>
      <c r="AG209"/>
      <c r="AH209"/>
      <c r="AI209"/>
      <c r="AJ209"/>
      <c r="AK209">
        <v>48</v>
      </c>
      <c r="AL209"/>
      <c r="AM209"/>
      <c r="AN209"/>
      <c r="AO209"/>
      <c r="AP209"/>
      <c r="AQ209" s="32" t="s">
        <v>685</v>
      </c>
      <c r="AU209">
        <v>205</v>
      </c>
    </row>
    <row r="210" spans="1:47" x14ac:dyDescent="0.2">
      <c r="A210" s="37">
        <v>5634</v>
      </c>
      <c r="B210" s="38" t="s">
        <v>85</v>
      </c>
      <c r="C210" s="39" t="s">
        <v>346</v>
      </c>
      <c r="D210" s="29"/>
      <c r="E210" s="38" t="s">
        <v>686</v>
      </c>
      <c r="F210" s="32" t="s">
        <v>322</v>
      </c>
      <c r="G210" s="47" t="s">
        <v>49</v>
      </c>
      <c r="H210"/>
      <c r="I210" s="32" t="s">
        <v>687</v>
      </c>
      <c r="J210" s="47"/>
      <c r="K210" s="47">
        <f>4*8*2.2</f>
        <v>70.400000000000006</v>
      </c>
      <c r="L210" s="48">
        <v>1</v>
      </c>
      <c r="M210" s="47"/>
      <c r="N210" s="47"/>
      <c r="O210" s="47"/>
      <c r="P210" s="47"/>
      <c r="Q210" s="47"/>
      <c r="R210" s="47"/>
      <c r="S210" s="48">
        <v>1</v>
      </c>
      <c r="T210" s="47">
        <v>0</v>
      </c>
      <c r="U210" s="47">
        <v>0</v>
      </c>
      <c r="V210" s="47">
        <v>0</v>
      </c>
      <c r="W210" s="47"/>
      <c r="X210" s="47"/>
      <c r="Y210" s="47" t="s">
        <v>51</v>
      </c>
      <c r="Z210" s="47" t="s">
        <v>146</v>
      </c>
      <c r="AA210" s="49">
        <v>0.70416666666666661</v>
      </c>
      <c r="AB210" s="49">
        <v>0.79166666666666663</v>
      </c>
      <c r="AC210" s="49">
        <f>AVERAGE(AA210:AB210)</f>
        <v>0.74791666666666656</v>
      </c>
      <c r="AD210" s="50">
        <f>(AB210-AA210)*24</f>
        <v>2.1000000000000005</v>
      </c>
      <c r="AE210" s="31" t="s">
        <v>537</v>
      </c>
      <c r="AF210" s="47">
        <v>60</v>
      </c>
      <c r="AG210"/>
      <c r="AH210"/>
      <c r="AI210"/>
      <c r="AJ210"/>
      <c r="AK210">
        <v>4</v>
      </c>
      <c r="AL210"/>
      <c r="AM210"/>
      <c r="AN210"/>
      <c r="AO210"/>
      <c r="AP210"/>
      <c r="AQ210" s="32" t="s">
        <v>685</v>
      </c>
      <c r="AU210">
        <v>206</v>
      </c>
    </row>
    <row r="211" spans="1:47" x14ac:dyDescent="0.2">
      <c r="A211" s="37">
        <v>5634</v>
      </c>
      <c r="B211" s="38" t="s">
        <v>45</v>
      </c>
      <c r="C211" s="43" t="s">
        <v>46</v>
      </c>
      <c r="D211" s="29"/>
      <c r="E211" s="38" t="s">
        <v>688</v>
      </c>
      <c r="F211" s="32" t="s">
        <v>83</v>
      </c>
      <c r="G211" s="47" t="s">
        <v>69</v>
      </c>
      <c r="H211"/>
      <c r="I211" s="32" t="s">
        <v>689</v>
      </c>
      <c r="J211" s="47"/>
      <c r="K211" s="47">
        <f>6*43*2.2</f>
        <v>567.6</v>
      </c>
      <c r="L211" s="48">
        <v>1</v>
      </c>
      <c r="M211" s="47"/>
      <c r="N211" s="47"/>
      <c r="O211" s="47"/>
      <c r="P211" s="47"/>
      <c r="Q211" s="47"/>
      <c r="R211" s="47"/>
      <c r="S211" s="48">
        <v>1</v>
      </c>
      <c r="T211" s="47"/>
      <c r="U211" s="47"/>
      <c r="V211" s="47"/>
      <c r="W211" s="47"/>
      <c r="X211" s="47"/>
      <c r="Y211" s="47" t="s">
        <v>51</v>
      </c>
      <c r="Z211" s="20" t="s">
        <v>52</v>
      </c>
      <c r="AA211" s="49"/>
      <c r="AB211" s="49"/>
      <c r="AC211" s="49"/>
      <c r="AD211" s="50"/>
      <c r="AE211" s="47"/>
      <c r="AF211" s="47">
        <v>300</v>
      </c>
      <c r="AG211"/>
      <c r="AH211"/>
      <c r="AI211"/>
      <c r="AJ211"/>
      <c r="AK211">
        <v>6</v>
      </c>
      <c r="AL211"/>
      <c r="AM211"/>
      <c r="AN211"/>
      <c r="AO211"/>
      <c r="AP211"/>
      <c r="AQ211" s="32" t="s">
        <v>566</v>
      </c>
      <c r="AU211">
        <v>207</v>
      </c>
    </row>
    <row r="212" spans="1:47" x14ac:dyDescent="0.2">
      <c r="A212" s="37">
        <v>5634</v>
      </c>
      <c r="B212" s="38"/>
      <c r="C212" s="39" t="s">
        <v>253</v>
      </c>
      <c r="D212" s="29"/>
      <c r="E212" s="38" t="s">
        <v>690</v>
      </c>
      <c r="F212" s="32" t="s">
        <v>691</v>
      </c>
      <c r="G212" s="47"/>
      <c r="H212"/>
      <c r="I212" s="32" t="s">
        <v>692</v>
      </c>
      <c r="J212" s="47"/>
      <c r="K212" s="47"/>
      <c r="L212" s="48"/>
      <c r="M212" s="47"/>
      <c r="N212" s="47"/>
      <c r="O212" s="47"/>
      <c r="P212" s="47"/>
      <c r="Q212" s="47"/>
      <c r="R212" s="47"/>
      <c r="S212" s="48"/>
      <c r="T212" s="47"/>
      <c r="U212" s="47"/>
      <c r="V212" s="47"/>
      <c r="W212" s="47"/>
      <c r="X212" s="47"/>
      <c r="Y212" s="47"/>
      <c r="Z212" s="47"/>
      <c r="AA212" s="49"/>
      <c r="AB212" s="49"/>
      <c r="AC212" s="49"/>
      <c r="AD212" s="50"/>
      <c r="AE212" s="47"/>
      <c r="AF212" s="47"/>
      <c r="AG212"/>
      <c r="AH212"/>
      <c r="AI212"/>
      <c r="AJ212"/>
      <c r="AK212"/>
      <c r="AL212"/>
      <c r="AM212"/>
      <c r="AN212"/>
      <c r="AO212"/>
      <c r="AP212"/>
      <c r="AQ212" t="s">
        <v>681</v>
      </c>
      <c r="AU212">
        <v>208</v>
      </c>
    </row>
    <row r="213" spans="1:47" x14ac:dyDescent="0.2">
      <c r="A213" s="37">
        <v>5634</v>
      </c>
      <c r="B213" s="38"/>
      <c r="C213" s="39" t="s">
        <v>253</v>
      </c>
      <c r="D213" s="29"/>
      <c r="E213" s="38" t="s">
        <v>693</v>
      </c>
      <c r="F213" s="32" t="s">
        <v>694</v>
      </c>
      <c r="G213" s="47"/>
      <c r="H213"/>
      <c r="I213" s="32" t="s">
        <v>695</v>
      </c>
      <c r="J213" s="47"/>
      <c r="K213" s="47"/>
      <c r="L213" s="48"/>
      <c r="M213" s="47"/>
      <c r="N213" s="47"/>
      <c r="O213" s="47"/>
      <c r="P213" s="47"/>
      <c r="Q213" s="47"/>
      <c r="R213" s="47"/>
      <c r="S213" s="48"/>
      <c r="T213" s="47"/>
      <c r="U213" s="47"/>
      <c r="V213" s="47"/>
      <c r="W213" s="47"/>
      <c r="X213" s="47"/>
      <c r="Y213" s="47"/>
      <c r="Z213" s="47"/>
      <c r="AA213" s="49"/>
      <c r="AB213" s="49"/>
      <c r="AC213" s="49"/>
      <c r="AD213" s="50"/>
      <c r="AE213" s="47"/>
      <c r="AF213" s="47"/>
      <c r="AG213"/>
      <c r="AH213"/>
      <c r="AI213"/>
      <c r="AJ213"/>
      <c r="AK213"/>
      <c r="AL213"/>
      <c r="AM213"/>
      <c r="AN213"/>
      <c r="AO213"/>
      <c r="AP213"/>
      <c r="AQ213" t="s">
        <v>681</v>
      </c>
      <c r="AU213">
        <v>209</v>
      </c>
    </row>
    <row r="214" spans="1:47" x14ac:dyDescent="0.2">
      <c r="A214" s="37">
        <v>5636</v>
      </c>
      <c r="B214" s="38" t="s">
        <v>85</v>
      </c>
      <c r="C214" s="39" t="s">
        <v>346</v>
      </c>
      <c r="D214" s="29"/>
      <c r="E214" s="36" t="s">
        <v>696</v>
      </c>
      <c r="F214" s="31" t="s">
        <v>545</v>
      </c>
      <c r="G214" s="47" t="s">
        <v>69</v>
      </c>
      <c r="H214"/>
      <c r="I214" s="32" t="s">
        <v>697</v>
      </c>
      <c r="J214" s="47"/>
      <c r="K214" s="47">
        <f>(34*8+22*10)*2.2</f>
        <v>1082.4000000000001</v>
      </c>
      <c r="L214" s="48">
        <v>11</v>
      </c>
      <c r="M214" s="47"/>
      <c r="N214" s="47"/>
      <c r="O214" s="47"/>
      <c r="P214" s="47"/>
      <c r="Q214" s="47"/>
      <c r="R214" s="47"/>
      <c r="S214" s="48">
        <v>11</v>
      </c>
      <c r="T214" s="47">
        <v>0</v>
      </c>
      <c r="U214" s="47">
        <v>1</v>
      </c>
      <c r="V214" s="47">
        <v>0</v>
      </c>
      <c r="W214" s="47"/>
      <c r="X214" s="47"/>
      <c r="Y214" s="47" t="s">
        <v>51</v>
      </c>
      <c r="Z214" s="47" t="s">
        <v>146</v>
      </c>
      <c r="AA214" s="49">
        <v>0.67500000000000004</v>
      </c>
      <c r="AB214" s="49">
        <v>0.7944444444444444</v>
      </c>
      <c r="AC214" s="49">
        <f>AVERAGE(AA214:AB214)</f>
        <v>0.73472222222222228</v>
      </c>
      <c r="AD214" s="50">
        <f>(AB214-AA214)*24</f>
        <v>2.8666666666666645</v>
      </c>
      <c r="AE214" s="31" t="s">
        <v>537</v>
      </c>
      <c r="AF214" s="31">
        <v>40</v>
      </c>
      <c r="AG214"/>
      <c r="AH214"/>
      <c r="AI214"/>
      <c r="AJ214"/>
      <c r="AK214">
        <v>56</v>
      </c>
      <c r="AL214"/>
      <c r="AM214"/>
      <c r="AN214"/>
      <c r="AO214"/>
      <c r="AP214"/>
      <c r="AQ214" s="32" t="s">
        <v>698</v>
      </c>
      <c r="AU214">
        <v>210</v>
      </c>
    </row>
    <row r="215" spans="1:47" x14ac:dyDescent="0.2">
      <c r="A215" s="37">
        <v>5637</v>
      </c>
      <c r="B215" s="38" t="s">
        <v>85</v>
      </c>
      <c r="C215" s="39" t="s">
        <v>346</v>
      </c>
      <c r="D215" s="29"/>
      <c r="E215" s="36" t="s">
        <v>699</v>
      </c>
      <c r="F215" s="31" t="s">
        <v>646</v>
      </c>
      <c r="G215" s="47" t="s">
        <v>69</v>
      </c>
      <c r="H215"/>
      <c r="I215" s="32" t="s">
        <v>700</v>
      </c>
      <c r="J215" s="47"/>
      <c r="K215" s="47">
        <f>6*8*2.2</f>
        <v>105.60000000000001</v>
      </c>
      <c r="L215" s="48">
        <v>1</v>
      </c>
      <c r="M215" s="47"/>
      <c r="N215" s="47"/>
      <c r="O215" s="47"/>
      <c r="P215" s="47"/>
      <c r="Q215" s="47"/>
      <c r="R215" s="47"/>
      <c r="S215" s="48">
        <v>1</v>
      </c>
      <c r="T215" s="47">
        <v>0</v>
      </c>
      <c r="U215" s="47">
        <v>0</v>
      </c>
      <c r="V215" s="47">
        <v>0</v>
      </c>
      <c r="W215" s="47"/>
      <c r="X215" s="47"/>
      <c r="Y215" s="47" t="s">
        <v>120</v>
      </c>
      <c r="Z215" s="47" t="s">
        <v>146</v>
      </c>
      <c r="AA215" s="49">
        <v>0.71180555555555547</v>
      </c>
      <c r="AB215" s="49">
        <v>0.80555555555555547</v>
      </c>
      <c r="AC215" s="49">
        <f>AVERAGE(AA215:AB215)</f>
        <v>0.75868055555555547</v>
      </c>
      <c r="AD215" s="50">
        <f>(AB215-AA215)*24</f>
        <v>2.25</v>
      </c>
      <c r="AE215" s="31" t="s">
        <v>537</v>
      </c>
      <c r="AF215" s="47">
        <v>50</v>
      </c>
      <c r="AG215"/>
      <c r="AH215"/>
      <c r="AI215"/>
      <c r="AJ215"/>
      <c r="AK215">
        <v>6</v>
      </c>
      <c r="AL215"/>
      <c r="AM215"/>
      <c r="AN215"/>
      <c r="AO215"/>
      <c r="AP215"/>
      <c r="AQ215" s="32" t="s">
        <v>701</v>
      </c>
      <c r="AU215">
        <v>211</v>
      </c>
    </row>
    <row r="216" spans="1:47" x14ac:dyDescent="0.2">
      <c r="A216" s="37">
        <v>5637</v>
      </c>
      <c r="B216" s="38" t="s">
        <v>85</v>
      </c>
      <c r="C216" s="39" t="s">
        <v>346</v>
      </c>
      <c r="D216" s="29"/>
      <c r="E216" s="36" t="s">
        <v>702</v>
      </c>
      <c r="F216" s="31" t="s">
        <v>545</v>
      </c>
      <c r="G216" s="47" t="s">
        <v>69</v>
      </c>
      <c r="H216"/>
      <c r="I216" s="32" t="s">
        <v>703</v>
      </c>
      <c r="J216" s="47"/>
      <c r="K216" s="47">
        <f>(12*8+16*10)*2.2</f>
        <v>563.20000000000005</v>
      </c>
      <c r="L216" s="48">
        <v>11</v>
      </c>
      <c r="M216" s="47"/>
      <c r="N216" s="47">
        <v>5</v>
      </c>
      <c r="O216" s="47"/>
      <c r="P216" s="47"/>
      <c r="Q216" s="47"/>
      <c r="R216" s="47"/>
      <c r="S216" s="48">
        <v>6</v>
      </c>
      <c r="T216" s="47">
        <v>0</v>
      </c>
      <c r="U216" s="47">
        <v>1</v>
      </c>
      <c r="V216" s="47">
        <v>0</v>
      </c>
      <c r="W216" s="47"/>
      <c r="X216" s="47"/>
      <c r="Y216" s="47" t="s">
        <v>51</v>
      </c>
      <c r="Z216" s="47" t="s">
        <v>146</v>
      </c>
      <c r="AA216" s="49">
        <v>0.70833333333333337</v>
      </c>
      <c r="AB216" s="49">
        <v>0.82291666666666663</v>
      </c>
      <c r="AC216" s="49">
        <f>AVERAGE(AA216:AB216)</f>
        <v>0.765625</v>
      </c>
      <c r="AD216" s="50">
        <f>(AB216-AA216)*24</f>
        <v>2.7499999999999982</v>
      </c>
      <c r="AE216" s="31" t="s">
        <v>537</v>
      </c>
      <c r="AF216" s="31">
        <v>40</v>
      </c>
      <c r="AG216"/>
      <c r="AH216"/>
      <c r="AI216"/>
      <c r="AJ216"/>
      <c r="AK216">
        <v>28</v>
      </c>
      <c r="AL216"/>
      <c r="AM216"/>
      <c r="AN216"/>
      <c r="AO216"/>
      <c r="AP216"/>
      <c r="AQ216" s="32" t="s">
        <v>701</v>
      </c>
      <c r="AU216">
        <v>212</v>
      </c>
    </row>
    <row r="217" spans="1:47" x14ac:dyDescent="0.2">
      <c r="A217" s="37">
        <v>5637</v>
      </c>
      <c r="B217" s="38" t="s">
        <v>85</v>
      </c>
      <c r="C217" s="43" t="s">
        <v>228</v>
      </c>
      <c r="D217" s="29"/>
      <c r="E217" s="38" t="s">
        <v>704</v>
      </c>
      <c r="F217" s="32" t="s">
        <v>705</v>
      </c>
      <c r="G217" s="47"/>
      <c r="H217"/>
      <c r="I217" s="32" t="s">
        <v>706</v>
      </c>
      <c r="J217" s="47"/>
      <c r="K217" s="47"/>
      <c r="L217" s="48">
        <v>2</v>
      </c>
      <c r="M217" s="47"/>
      <c r="N217" s="47"/>
      <c r="O217" s="47"/>
      <c r="P217" s="47"/>
      <c r="Q217" s="47"/>
      <c r="R217" s="47"/>
      <c r="S217" s="48">
        <v>1</v>
      </c>
      <c r="T217" s="47"/>
      <c r="U217" s="47"/>
      <c r="V217" s="47"/>
      <c r="W217" s="47"/>
      <c r="X217" s="47"/>
      <c r="Y217" s="47"/>
      <c r="Z217" s="47"/>
      <c r="AA217" s="49"/>
      <c r="AB217" s="49"/>
      <c r="AC217" s="49"/>
      <c r="AD217" s="50"/>
      <c r="AE217" s="47" t="s">
        <v>283</v>
      </c>
      <c r="AF217" s="31">
        <v>150</v>
      </c>
      <c r="AG217"/>
      <c r="AH217"/>
      <c r="AI217"/>
      <c r="AJ217"/>
      <c r="AK217"/>
      <c r="AL217"/>
      <c r="AM217"/>
      <c r="AN217"/>
      <c r="AO217"/>
      <c r="AP217"/>
      <c r="AQ217" t="s">
        <v>233</v>
      </c>
      <c r="AU217">
        <v>213</v>
      </c>
    </row>
    <row r="218" spans="1:47" x14ac:dyDescent="0.2">
      <c r="A218" s="37">
        <v>5643</v>
      </c>
      <c r="B218" s="38" t="s">
        <v>85</v>
      </c>
      <c r="C218" s="39" t="s">
        <v>346</v>
      </c>
      <c r="D218" s="29"/>
      <c r="E218" s="38" t="s">
        <v>707</v>
      </c>
      <c r="F218" s="31" t="s">
        <v>708</v>
      </c>
      <c r="G218" s="47" t="s">
        <v>73</v>
      </c>
      <c r="H218"/>
      <c r="I218" s="32" t="b">
        <v>1</v>
      </c>
      <c r="J218" s="47" t="b">
        <v>1</v>
      </c>
      <c r="K218" s="47">
        <f>704+88+88+106</f>
        <v>986</v>
      </c>
      <c r="L218" s="48">
        <v>13</v>
      </c>
      <c r="M218" s="47"/>
      <c r="N218" s="47">
        <v>3</v>
      </c>
      <c r="O218" s="47"/>
      <c r="P218" s="47"/>
      <c r="Q218" s="47">
        <v>3</v>
      </c>
      <c r="R218" s="47"/>
      <c r="S218" s="48">
        <v>10</v>
      </c>
      <c r="T218" s="47">
        <v>0</v>
      </c>
      <c r="U218" s="47">
        <v>0</v>
      </c>
      <c r="V218" s="47">
        <v>0</v>
      </c>
      <c r="W218" s="47"/>
      <c r="X218" s="47"/>
      <c r="Y218" s="47" t="s">
        <v>51</v>
      </c>
      <c r="Z218" s="47" t="s">
        <v>146</v>
      </c>
      <c r="AA218" s="49">
        <v>0.17916666666666667</v>
      </c>
      <c r="AB218" s="49">
        <v>0.31944444444444448</v>
      </c>
      <c r="AC218" s="49">
        <f t="shared" ref="AC218:AC223" si="0">AVERAGE(AA218:AB218)</f>
        <v>0.24930555555555556</v>
      </c>
      <c r="AD218" s="50">
        <f t="shared" ref="AD218:AD223" si="1">(AB218-AA218)*24</f>
        <v>3.3666666666666671</v>
      </c>
      <c r="AE218" s="31" t="s">
        <v>537</v>
      </c>
      <c r="AF218" s="47">
        <v>60</v>
      </c>
      <c r="AG218"/>
      <c r="AH218"/>
      <c r="AI218"/>
      <c r="AJ218"/>
      <c r="AK218">
        <v>47</v>
      </c>
      <c r="AL218"/>
      <c r="AM218"/>
      <c r="AN218"/>
      <c r="AO218"/>
      <c r="AP218"/>
      <c r="AQ218" s="32" t="s">
        <v>709</v>
      </c>
      <c r="AR218" s="32" t="s">
        <v>710</v>
      </c>
      <c r="AU218">
        <v>214</v>
      </c>
    </row>
    <row r="219" spans="1:47" x14ac:dyDescent="0.2">
      <c r="A219" s="37">
        <v>5643</v>
      </c>
      <c r="B219" s="38" t="s">
        <v>85</v>
      </c>
      <c r="C219" s="39" t="s">
        <v>346</v>
      </c>
      <c r="D219" s="29"/>
      <c r="E219" s="38" t="s">
        <v>618</v>
      </c>
      <c r="F219" s="31" t="s">
        <v>204</v>
      </c>
      <c r="G219" s="47" t="s">
        <v>205</v>
      </c>
      <c r="H219"/>
      <c r="I219" s="32" t="b">
        <v>0</v>
      </c>
      <c r="J219" s="47" t="b">
        <v>0</v>
      </c>
      <c r="K219" s="47">
        <f>(5*8+28*10)*2.2</f>
        <v>704</v>
      </c>
      <c r="L219" s="48">
        <v>7</v>
      </c>
      <c r="M219" s="47"/>
      <c r="N219" s="47"/>
      <c r="O219" s="47"/>
      <c r="P219" s="47"/>
      <c r="Q219" s="47"/>
      <c r="R219" s="47"/>
      <c r="S219" s="48">
        <v>7</v>
      </c>
      <c r="T219" s="47">
        <v>0</v>
      </c>
      <c r="U219" s="47">
        <v>0</v>
      </c>
      <c r="V219" s="47">
        <v>0</v>
      </c>
      <c r="W219" s="47"/>
      <c r="X219" s="47"/>
      <c r="Y219" s="47" t="s">
        <v>51</v>
      </c>
      <c r="Z219" s="47" t="s">
        <v>146</v>
      </c>
      <c r="AA219" s="49">
        <v>0.17916666666666667</v>
      </c>
      <c r="AB219" s="49">
        <v>0.31944444444444448</v>
      </c>
      <c r="AC219" s="49">
        <f t="shared" si="0"/>
        <v>0.24930555555555556</v>
      </c>
      <c r="AD219" s="50">
        <f t="shared" si="1"/>
        <v>3.3666666666666671</v>
      </c>
      <c r="AE219" s="31" t="s">
        <v>537</v>
      </c>
      <c r="AF219" s="47">
        <v>60</v>
      </c>
      <c r="AG219"/>
      <c r="AH219"/>
      <c r="AI219"/>
      <c r="AJ219"/>
      <c r="AK219">
        <v>33</v>
      </c>
      <c r="AL219"/>
      <c r="AM219"/>
      <c r="AN219"/>
      <c r="AO219"/>
      <c r="AP219"/>
      <c r="AQ219" s="32" t="s">
        <v>709</v>
      </c>
      <c r="AU219">
        <v>215</v>
      </c>
    </row>
    <row r="220" spans="1:47" x14ac:dyDescent="0.2">
      <c r="A220" s="37">
        <v>5643</v>
      </c>
      <c r="B220" s="38" t="s">
        <v>85</v>
      </c>
      <c r="C220" s="39" t="s">
        <v>346</v>
      </c>
      <c r="D220" s="29"/>
      <c r="E220" s="38" t="s">
        <v>711</v>
      </c>
      <c r="F220" s="31" t="s">
        <v>302</v>
      </c>
      <c r="G220" s="47" t="s">
        <v>69</v>
      </c>
      <c r="H220"/>
      <c r="I220" s="32" t="b">
        <v>0</v>
      </c>
      <c r="J220" s="47" t="b">
        <v>0</v>
      </c>
      <c r="K220" s="47">
        <f>4*10*2.2</f>
        <v>88</v>
      </c>
      <c r="L220" s="48">
        <v>1</v>
      </c>
      <c r="M220" s="47"/>
      <c r="N220" s="47"/>
      <c r="O220" s="47"/>
      <c r="P220" s="47"/>
      <c r="Q220" s="47">
        <v>1</v>
      </c>
      <c r="R220" s="47"/>
      <c r="S220" s="48">
        <v>1</v>
      </c>
      <c r="T220" s="47">
        <v>0</v>
      </c>
      <c r="U220" s="47">
        <v>0</v>
      </c>
      <c r="V220" s="47">
        <v>0</v>
      </c>
      <c r="W220" s="47"/>
      <c r="X220" s="47"/>
      <c r="Y220" s="47" t="s">
        <v>51</v>
      </c>
      <c r="Z220" s="47" t="s">
        <v>146</v>
      </c>
      <c r="AA220" s="49">
        <v>0.17916666666666667</v>
      </c>
      <c r="AB220" s="49">
        <v>0.31944444444444448</v>
      </c>
      <c r="AC220" s="49">
        <f t="shared" si="0"/>
        <v>0.24930555555555556</v>
      </c>
      <c r="AD220" s="50">
        <f t="shared" si="1"/>
        <v>3.3666666666666671</v>
      </c>
      <c r="AE220" s="31" t="s">
        <v>537</v>
      </c>
      <c r="AF220" s="47">
        <v>45</v>
      </c>
      <c r="AG220"/>
      <c r="AH220"/>
      <c r="AI220"/>
      <c r="AJ220"/>
      <c r="AK220">
        <v>4</v>
      </c>
      <c r="AL220"/>
      <c r="AM220"/>
      <c r="AN220"/>
      <c r="AO220"/>
      <c r="AP220"/>
      <c r="AQ220" s="32" t="s">
        <v>709</v>
      </c>
      <c r="AU220">
        <v>216</v>
      </c>
    </row>
    <row r="221" spans="1:47" x14ac:dyDescent="0.2">
      <c r="A221" s="37">
        <v>5643</v>
      </c>
      <c r="B221" s="38" t="s">
        <v>85</v>
      </c>
      <c r="C221" s="39" t="s">
        <v>346</v>
      </c>
      <c r="D221" s="29"/>
      <c r="E221" s="38" t="s">
        <v>712</v>
      </c>
      <c r="F221" s="31" t="s">
        <v>302</v>
      </c>
      <c r="G221" s="47" t="s">
        <v>69</v>
      </c>
      <c r="H221"/>
      <c r="I221" s="32" t="b">
        <v>0</v>
      </c>
      <c r="J221" s="47" t="b">
        <v>0</v>
      </c>
      <c r="K221" s="47">
        <f>4*10*2.2</f>
        <v>88</v>
      </c>
      <c r="L221" s="48">
        <v>1</v>
      </c>
      <c r="M221" s="47"/>
      <c r="N221" s="47"/>
      <c r="O221" s="47"/>
      <c r="P221" s="47"/>
      <c r="Q221" s="47">
        <v>1</v>
      </c>
      <c r="R221" s="47"/>
      <c r="S221" s="48">
        <v>1</v>
      </c>
      <c r="T221" s="47">
        <v>0</v>
      </c>
      <c r="U221" s="47">
        <v>0</v>
      </c>
      <c r="V221" s="47">
        <v>0</v>
      </c>
      <c r="W221" s="47"/>
      <c r="X221" s="47"/>
      <c r="Y221" s="47" t="s">
        <v>51</v>
      </c>
      <c r="Z221" s="47" t="s">
        <v>146</v>
      </c>
      <c r="AA221" s="49">
        <v>0.17916666666666667</v>
      </c>
      <c r="AB221" s="49">
        <v>0.31944444444444448</v>
      </c>
      <c r="AC221" s="49">
        <f t="shared" si="0"/>
        <v>0.24930555555555556</v>
      </c>
      <c r="AD221" s="50">
        <f t="shared" si="1"/>
        <v>3.3666666666666671</v>
      </c>
      <c r="AE221" s="31" t="s">
        <v>537</v>
      </c>
      <c r="AF221" s="47">
        <v>45</v>
      </c>
      <c r="AG221"/>
      <c r="AH221"/>
      <c r="AI221"/>
      <c r="AJ221"/>
      <c r="AK221">
        <v>4</v>
      </c>
      <c r="AL221"/>
      <c r="AM221"/>
      <c r="AN221"/>
      <c r="AO221"/>
      <c r="AP221"/>
      <c r="AQ221" s="32" t="s">
        <v>709</v>
      </c>
      <c r="AU221">
        <v>217</v>
      </c>
    </row>
    <row r="222" spans="1:47" x14ac:dyDescent="0.2">
      <c r="A222" s="37">
        <v>5643</v>
      </c>
      <c r="B222" s="38" t="s">
        <v>85</v>
      </c>
      <c r="C222" s="39" t="s">
        <v>346</v>
      </c>
      <c r="D222" s="29"/>
      <c r="E222" s="38" t="s">
        <v>713</v>
      </c>
      <c r="F222" s="31" t="s">
        <v>714</v>
      </c>
      <c r="G222" s="47" t="s">
        <v>49</v>
      </c>
      <c r="H222"/>
      <c r="I222" s="32" t="b">
        <v>0</v>
      </c>
      <c r="J222" s="47" t="b">
        <v>0</v>
      </c>
      <c r="K222" s="47">
        <f>(3*8+3*8)*2.2</f>
        <v>105.60000000000001</v>
      </c>
      <c r="L222" s="48">
        <v>1</v>
      </c>
      <c r="M222" s="47"/>
      <c r="N222" s="47"/>
      <c r="O222" s="47"/>
      <c r="P222" s="47"/>
      <c r="Q222" s="47">
        <v>1</v>
      </c>
      <c r="R222" s="47"/>
      <c r="S222" s="48">
        <v>1</v>
      </c>
      <c r="T222" s="47">
        <v>0</v>
      </c>
      <c r="U222" s="47">
        <v>0</v>
      </c>
      <c r="V222" s="47">
        <v>0</v>
      </c>
      <c r="W222" s="47"/>
      <c r="X222" s="47"/>
      <c r="Y222" s="47" t="s">
        <v>51</v>
      </c>
      <c r="Z222" s="47" t="s">
        <v>146</v>
      </c>
      <c r="AA222" s="49">
        <v>0.17916666666666667</v>
      </c>
      <c r="AB222" s="49">
        <v>0.31944444444444448</v>
      </c>
      <c r="AC222" s="49">
        <f t="shared" si="0"/>
        <v>0.24930555555555556</v>
      </c>
      <c r="AD222" s="50">
        <f t="shared" si="1"/>
        <v>3.3666666666666671</v>
      </c>
      <c r="AE222" s="31" t="s">
        <v>537</v>
      </c>
      <c r="AF222" s="47"/>
      <c r="AG222"/>
      <c r="AH222"/>
      <c r="AI222"/>
      <c r="AJ222"/>
      <c r="AK222">
        <v>6</v>
      </c>
      <c r="AL222"/>
      <c r="AM222"/>
      <c r="AN222"/>
      <c r="AO222"/>
      <c r="AP222"/>
      <c r="AQ222" s="32" t="s">
        <v>709</v>
      </c>
      <c r="AR222" s="32" t="s">
        <v>715</v>
      </c>
      <c r="AU222">
        <v>218</v>
      </c>
    </row>
    <row r="223" spans="1:47" x14ac:dyDescent="0.2">
      <c r="A223" s="37">
        <v>5645</v>
      </c>
      <c r="B223" s="38" t="s">
        <v>85</v>
      </c>
      <c r="C223" s="39" t="s">
        <v>346</v>
      </c>
      <c r="D223" s="29"/>
      <c r="E223" s="38" t="s">
        <v>716</v>
      </c>
      <c r="F223" s="31" t="s">
        <v>545</v>
      </c>
      <c r="G223" s="47" t="s">
        <v>69</v>
      </c>
      <c r="H223"/>
      <c r="I223" s="32" t="s">
        <v>717</v>
      </c>
      <c r="J223" s="47"/>
      <c r="K223" s="47">
        <f>(4*8+49*8+16*10)*2.2</f>
        <v>1284.8000000000002</v>
      </c>
      <c r="L223" s="48">
        <v>15</v>
      </c>
      <c r="M223" s="47"/>
      <c r="N223" s="47">
        <v>2</v>
      </c>
      <c r="O223" s="47"/>
      <c r="P223" s="47"/>
      <c r="Q223" s="47"/>
      <c r="R223" s="47"/>
      <c r="S223" s="48">
        <v>13</v>
      </c>
      <c r="T223" s="47">
        <v>0</v>
      </c>
      <c r="U223" s="47">
        <v>0</v>
      </c>
      <c r="V223" s="47">
        <v>1</v>
      </c>
      <c r="W223" s="47"/>
      <c r="X223" s="47"/>
      <c r="Y223" s="47" t="s">
        <v>51</v>
      </c>
      <c r="Z223" s="47" t="s">
        <v>146</v>
      </c>
      <c r="AA223" s="49">
        <v>0.71111111111111114</v>
      </c>
      <c r="AB223" s="49">
        <v>0.82638888888888884</v>
      </c>
      <c r="AC223" s="49">
        <f t="shared" si="0"/>
        <v>0.76875000000000004</v>
      </c>
      <c r="AD223" s="50">
        <f t="shared" si="1"/>
        <v>2.7666666666666648</v>
      </c>
      <c r="AE223" s="31" t="s">
        <v>537</v>
      </c>
      <c r="AF223" s="47">
        <v>45</v>
      </c>
      <c r="AG223"/>
      <c r="AH223"/>
      <c r="AI223"/>
      <c r="AJ223"/>
      <c r="AK223">
        <v>69</v>
      </c>
      <c r="AL223"/>
      <c r="AM223"/>
      <c r="AN223"/>
      <c r="AO223"/>
      <c r="AP223"/>
      <c r="AQ223" s="32" t="s">
        <v>718</v>
      </c>
      <c r="AU223">
        <v>219</v>
      </c>
    </row>
    <row r="224" spans="1:47" x14ac:dyDescent="0.2">
      <c r="A224" s="37">
        <v>5645</v>
      </c>
      <c r="B224" s="38" t="s">
        <v>85</v>
      </c>
      <c r="C224" s="39" t="s">
        <v>719</v>
      </c>
      <c r="D224" s="29"/>
      <c r="E224" s="38" t="s">
        <v>720</v>
      </c>
      <c r="F224" s="31" t="s">
        <v>721</v>
      </c>
      <c r="G224" s="47" t="s">
        <v>722</v>
      </c>
      <c r="H224"/>
      <c r="I224" s="32" t="s">
        <v>723</v>
      </c>
      <c r="J224" s="47"/>
      <c r="K224" s="47">
        <f>(121*8+3*43)*2.2</f>
        <v>2413.4</v>
      </c>
      <c r="L224" s="48">
        <v>23</v>
      </c>
      <c r="M224" s="47"/>
      <c r="N224" s="47">
        <v>3</v>
      </c>
      <c r="O224" s="47"/>
      <c r="P224" s="47"/>
      <c r="Q224" s="47"/>
      <c r="R224" s="47"/>
      <c r="S224" s="48">
        <v>20</v>
      </c>
      <c r="T224" s="47">
        <v>2</v>
      </c>
      <c r="U224" s="47">
        <v>0</v>
      </c>
      <c r="V224" s="47">
        <v>0</v>
      </c>
      <c r="W224" s="47"/>
      <c r="X224" s="47"/>
      <c r="Y224" s="47" t="s">
        <v>120</v>
      </c>
      <c r="Z224" s="47" t="s">
        <v>146</v>
      </c>
      <c r="AA224" s="49">
        <v>0.125</v>
      </c>
      <c r="AB224" s="49"/>
      <c r="AC224" s="49"/>
      <c r="AD224" s="50"/>
      <c r="AE224" s="47"/>
      <c r="AF224" s="47"/>
      <c r="AG224"/>
      <c r="AH224"/>
      <c r="AI224"/>
      <c r="AJ224"/>
      <c r="AK224">
        <v>124</v>
      </c>
      <c r="AL224"/>
      <c r="AM224"/>
      <c r="AN224"/>
      <c r="AO224"/>
      <c r="AP224"/>
      <c r="AQ224" t="s">
        <v>724</v>
      </c>
      <c r="AU224">
        <v>220</v>
      </c>
    </row>
    <row r="225" spans="1:47" x14ac:dyDescent="0.2">
      <c r="A225" s="37">
        <v>5645</v>
      </c>
      <c r="B225" s="38" t="s">
        <v>45</v>
      </c>
      <c r="C225" s="43" t="s">
        <v>46</v>
      </c>
      <c r="D225" s="29"/>
      <c r="E225" s="38" t="s">
        <v>725</v>
      </c>
      <c r="F225" s="32" t="s">
        <v>726</v>
      </c>
      <c r="G225" s="47" t="s">
        <v>49</v>
      </c>
      <c r="H225"/>
      <c r="I225" s="32" t="s">
        <v>727</v>
      </c>
      <c r="J225" s="47"/>
      <c r="K225" s="47">
        <f>(12*3+4*43)*2.2</f>
        <v>457.6</v>
      </c>
      <c r="L225" s="48">
        <v>1</v>
      </c>
      <c r="M225" s="47"/>
      <c r="N225" s="47"/>
      <c r="O225" s="47"/>
      <c r="P225" s="47"/>
      <c r="Q225" s="47"/>
      <c r="R225" s="47"/>
      <c r="S225" s="48">
        <v>1</v>
      </c>
      <c r="T225" s="47"/>
      <c r="U225" s="47"/>
      <c r="V225" s="47"/>
      <c r="W225" s="47"/>
      <c r="X225" s="47"/>
      <c r="Y225" s="47" t="s">
        <v>51</v>
      </c>
      <c r="Z225" s="20" t="s">
        <v>52</v>
      </c>
      <c r="AA225" s="49"/>
      <c r="AB225" s="49"/>
      <c r="AC225" s="49"/>
      <c r="AD225" s="50"/>
      <c r="AE225" s="47"/>
      <c r="AF225" s="47">
        <v>260</v>
      </c>
      <c r="AG225"/>
      <c r="AH225"/>
      <c r="AI225"/>
      <c r="AJ225"/>
      <c r="AK225">
        <v>16</v>
      </c>
      <c r="AL225"/>
      <c r="AM225"/>
      <c r="AN225"/>
      <c r="AO225"/>
      <c r="AP225"/>
      <c r="AQ225" s="32" t="s">
        <v>566</v>
      </c>
      <c r="AU225">
        <v>221</v>
      </c>
    </row>
    <row r="226" spans="1:47" x14ac:dyDescent="0.2">
      <c r="A226" s="26">
        <v>5645</v>
      </c>
      <c r="B226" s="27" t="s">
        <v>85</v>
      </c>
      <c r="C226" s="28"/>
      <c r="D226" s="29"/>
      <c r="E226" s="30" t="s">
        <v>720</v>
      </c>
      <c r="H226" s="32">
        <v>1</v>
      </c>
      <c r="I226" s="32" t="s">
        <v>728</v>
      </c>
      <c r="AG226" s="32">
        <v>30</v>
      </c>
      <c r="AH226" s="32">
        <v>55</v>
      </c>
      <c r="AQ226" s="32">
        <v>460</v>
      </c>
      <c r="AU226">
        <v>222</v>
      </c>
    </row>
    <row r="227" spans="1:47" x14ac:dyDescent="0.2">
      <c r="A227" s="37">
        <v>5646</v>
      </c>
      <c r="B227" s="38" t="s">
        <v>85</v>
      </c>
      <c r="C227" s="39" t="s">
        <v>729</v>
      </c>
      <c r="D227" s="29"/>
      <c r="E227" s="38" t="s">
        <v>711</v>
      </c>
      <c r="F227" s="31" t="s">
        <v>545</v>
      </c>
      <c r="G227" s="31" t="s">
        <v>69</v>
      </c>
      <c r="I227" s="31" t="s">
        <v>730</v>
      </c>
      <c r="K227" s="19">
        <f>(4*8+5*8+6*10)*2.2</f>
        <v>290.40000000000003</v>
      </c>
      <c r="L227" s="33">
        <v>5</v>
      </c>
      <c r="N227" s="31">
        <v>2</v>
      </c>
      <c r="S227" s="33">
        <v>3</v>
      </c>
      <c r="T227" s="47">
        <v>0</v>
      </c>
      <c r="U227" s="47">
        <v>0</v>
      </c>
      <c r="V227" s="47">
        <v>0</v>
      </c>
      <c r="Y227" s="47" t="s">
        <v>51</v>
      </c>
      <c r="Z227" s="47" t="s">
        <v>146</v>
      </c>
      <c r="AA227" s="34">
        <v>0.45833333333333331</v>
      </c>
      <c r="AB227" s="34">
        <v>0.52777777777777779</v>
      </c>
      <c r="AC227" s="49">
        <f>AVERAGE(AA227:AB227)</f>
        <v>0.49305555555555558</v>
      </c>
      <c r="AD227" s="50">
        <f>(AB227-AA227)*24</f>
        <v>1.6666666666666674</v>
      </c>
      <c r="AE227" s="31" t="s">
        <v>537</v>
      </c>
      <c r="AF227" s="47">
        <v>45</v>
      </c>
      <c r="AK227" s="32">
        <v>15</v>
      </c>
      <c r="AQ227" s="32" t="s">
        <v>731</v>
      </c>
      <c r="AU227">
        <v>223</v>
      </c>
    </row>
    <row r="228" spans="1:47" x14ac:dyDescent="0.2">
      <c r="A228" s="37">
        <v>5646</v>
      </c>
      <c r="B228" s="38" t="s">
        <v>85</v>
      </c>
      <c r="C228" s="39" t="s">
        <v>732</v>
      </c>
      <c r="D228" s="29"/>
      <c r="E228" s="38" t="s">
        <v>733</v>
      </c>
      <c r="F228" s="31" t="s">
        <v>545</v>
      </c>
      <c r="G228" s="31" t="s">
        <v>69</v>
      </c>
      <c r="I228" s="31" t="s">
        <v>734</v>
      </c>
      <c r="K228" s="19">
        <f>(4*8+7*8+34*10)*2.2</f>
        <v>941.6</v>
      </c>
      <c r="L228" s="33">
        <v>10</v>
      </c>
      <c r="O228" s="31">
        <v>1</v>
      </c>
      <c r="R228" s="31">
        <v>3</v>
      </c>
      <c r="S228" s="33">
        <v>9</v>
      </c>
      <c r="T228" s="47">
        <v>0</v>
      </c>
      <c r="U228" s="47">
        <v>0</v>
      </c>
      <c r="V228" s="47">
        <v>0</v>
      </c>
      <c r="Y228" s="47" t="s">
        <v>51</v>
      </c>
      <c r="Z228" s="47" t="s">
        <v>146</v>
      </c>
      <c r="AA228" s="34">
        <v>0.46527777777777773</v>
      </c>
      <c r="AB228" s="34">
        <v>0.57152777777777775</v>
      </c>
      <c r="AC228" s="49">
        <f>AVERAGE(AA228:AB228)</f>
        <v>0.51840277777777777</v>
      </c>
      <c r="AD228" s="50">
        <f>(AB228-AA228)*24</f>
        <v>2.5500000000000003</v>
      </c>
      <c r="AE228" s="31" t="s">
        <v>537</v>
      </c>
      <c r="AK228" s="32">
        <v>45</v>
      </c>
      <c r="AQ228" s="32" t="s">
        <v>731</v>
      </c>
      <c r="AU228">
        <v>224</v>
      </c>
    </row>
    <row r="229" spans="1:47" x14ac:dyDescent="0.2">
      <c r="A229" s="37">
        <v>5646</v>
      </c>
      <c r="B229" s="38" t="s">
        <v>85</v>
      </c>
      <c r="C229" s="39" t="s">
        <v>346</v>
      </c>
      <c r="D229" s="29"/>
      <c r="E229" s="38" t="s">
        <v>735</v>
      </c>
      <c r="F229" s="31" t="s">
        <v>736</v>
      </c>
      <c r="G229" s="31" t="s">
        <v>69</v>
      </c>
      <c r="I229" s="31" t="s">
        <v>737</v>
      </c>
      <c r="K229" s="19">
        <f>(23*8+33*10+2*10)*2.2</f>
        <v>1174.8000000000002</v>
      </c>
      <c r="L229" s="33">
        <v>13</v>
      </c>
      <c r="N229" s="31">
        <v>2</v>
      </c>
      <c r="S229" s="33">
        <v>11</v>
      </c>
      <c r="T229" s="47">
        <v>0</v>
      </c>
      <c r="U229" s="47">
        <v>0</v>
      </c>
      <c r="V229" s="47">
        <v>0</v>
      </c>
      <c r="Y229" s="47" t="s">
        <v>51</v>
      </c>
      <c r="Z229" s="47" t="s">
        <v>146</v>
      </c>
      <c r="AA229" s="34">
        <v>0.69791666666666663</v>
      </c>
      <c r="AB229" s="34">
        <v>0.79652777777777783</v>
      </c>
      <c r="AC229" s="34">
        <f>AVERAGE(AA229:AB229)</f>
        <v>0.74722222222222223</v>
      </c>
      <c r="AD229" s="35">
        <f>(AB229-AA229)*24</f>
        <v>2.3666666666666689</v>
      </c>
      <c r="AE229" s="31" t="s">
        <v>537</v>
      </c>
      <c r="AF229" s="31">
        <v>45</v>
      </c>
      <c r="AK229" s="32">
        <v>56</v>
      </c>
      <c r="AQ229" s="32" t="s">
        <v>738</v>
      </c>
      <c r="AU229">
        <v>225</v>
      </c>
    </row>
    <row r="230" spans="1:47" x14ac:dyDescent="0.2">
      <c r="A230" s="37">
        <v>5647</v>
      </c>
      <c r="B230" s="38" t="s">
        <v>85</v>
      </c>
      <c r="C230" s="39" t="s">
        <v>346</v>
      </c>
      <c r="D230" s="29"/>
      <c r="E230" s="38" t="s">
        <v>739</v>
      </c>
      <c r="F230" s="31" t="s">
        <v>740</v>
      </c>
      <c r="G230" s="31" t="s">
        <v>73</v>
      </c>
      <c r="I230" s="31" t="s">
        <v>741</v>
      </c>
      <c r="K230" s="31">
        <f>(15*8+11*8+29*10+1*10)*2.2</f>
        <v>1117.6000000000001</v>
      </c>
      <c r="L230" s="33">
        <v>11</v>
      </c>
      <c r="S230" s="33">
        <v>11</v>
      </c>
      <c r="T230" s="47">
        <v>0</v>
      </c>
      <c r="U230" s="47">
        <v>0</v>
      </c>
      <c r="V230" s="47">
        <v>0</v>
      </c>
      <c r="Y230" s="47" t="s">
        <v>51</v>
      </c>
      <c r="Z230" s="47" t="s">
        <v>146</v>
      </c>
      <c r="AA230" s="34">
        <v>0.58333333333333337</v>
      </c>
      <c r="AB230" s="34">
        <v>0.69791666666666663</v>
      </c>
      <c r="AC230" s="34">
        <f>AVERAGE(AA230:AB230)</f>
        <v>0.640625</v>
      </c>
      <c r="AD230" s="35">
        <f>(AB230-AA230)*24</f>
        <v>2.7499999999999982</v>
      </c>
      <c r="AE230" s="31" t="s">
        <v>537</v>
      </c>
      <c r="AF230" s="31">
        <v>50</v>
      </c>
      <c r="AK230" s="32">
        <v>55</v>
      </c>
      <c r="AQ230" s="32" t="s">
        <v>742</v>
      </c>
      <c r="AU230">
        <v>226</v>
      </c>
    </row>
    <row r="231" spans="1:47" x14ac:dyDescent="0.2">
      <c r="A231" s="37">
        <v>5647</v>
      </c>
      <c r="B231" s="38" t="s">
        <v>85</v>
      </c>
      <c r="C231" s="39" t="s">
        <v>156</v>
      </c>
      <c r="D231" s="29"/>
      <c r="E231" s="38" t="s">
        <v>321</v>
      </c>
      <c r="F231" s="31" t="s">
        <v>743</v>
      </c>
      <c r="G231" s="31" t="s">
        <v>49</v>
      </c>
      <c r="H231" s="32"/>
      <c r="I231" s="32"/>
      <c r="K231" s="19"/>
      <c r="Z231" s="31" t="s">
        <v>675</v>
      </c>
      <c r="AE231" s="31" t="s">
        <v>676</v>
      </c>
      <c r="AF231" s="31">
        <v>30</v>
      </c>
      <c r="AQ231" s="32" t="s">
        <v>744</v>
      </c>
      <c r="AU231">
        <v>227</v>
      </c>
    </row>
    <row r="232" spans="1:47" x14ac:dyDescent="0.2">
      <c r="A232" s="37">
        <v>5647</v>
      </c>
      <c r="B232" s="38" t="s">
        <v>85</v>
      </c>
      <c r="C232" s="43" t="s">
        <v>228</v>
      </c>
      <c r="D232" s="29"/>
      <c r="E232" s="38" t="s">
        <v>745</v>
      </c>
      <c r="F232" s="32" t="s">
        <v>705</v>
      </c>
      <c r="H232" s="32"/>
      <c r="I232" s="32" t="s">
        <v>746</v>
      </c>
      <c r="K232" s="31">
        <v>200</v>
      </c>
      <c r="L232" s="33">
        <v>1</v>
      </c>
      <c r="AE232" s="47" t="s">
        <v>283</v>
      </c>
      <c r="AF232" s="31">
        <v>150</v>
      </c>
      <c r="AQ232" t="s">
        <v>233</v>
      </c>
      <c r="AU232">
        <v>228</v>
      </c>
    </row>
    <row r="233" spans="1:47" x14ac:dyDescent="0.2">
      <c r="A233" s="37">
        <v>5647</v>
      </c>
      <c r="B233" s="38" t="s">
        <v>85</v>
      </c>
      <c r="C233" s="43" t="s">
        <v>228</v>
      </c>
      <c r="D233" s="29"/>
      <c r="E233" s="38" t="s">
        <v>642</v>
      </c>
      <c r="F233" s="32" t="s">
        <v>61</v>
      </c>
      <c r="H233" s="32"/>
      <c r="I233" s="32" t="s">
        <v>746</v>
      </c>
      <c r="K233" s="31">
        <v>160</v>
      </c>
      <c r="L233" s="33">
        <v>1</v>
      </c>
      <c r="AE233" s="47" t="s">
        <v>283</v>
      </c>
      <c r="AF233" s="31">
        <v>140</v>
      </c>
      <c r="AQ233" t="s">
        <v>233</v>
      </c>
      <c r="AU233">
        <v>229</v>
      </c>
    </row>
    <row r="234" spans="1:47" x14ac:dyDescent="0.2">
      <c r="A234" s="37">
        <v>5648</v>
      </c>
      <c r="B234" s="38" t="s">
        <v>85</v>
      </c>
      <c r="C234" s="39" t="s">
        <v>346</v>
      </c>
      <c r="D234" s="29"/>
      <c r="E234" s="36" t="s">
        <v>747</v>
      </c>
      <c r="F234" s="31" t="s">
        <v>748</v>
      </c>
      <c r="G234" s="31" t="s">
        <v>73</v>
      </c>
      <c r="H234" s="32"/>
      <c r="I234" s="32" t="s">
        <v>749</v>
      </c>
      <c r="K234" s="31">
        <f>(5*8+16*10+35*8)*2.2</f>
        <v>1056</v>
      </c>
      <c r="L234" s="33">
        <v>12</v>
      </c>
      <c r="N234" s="31">
        <v>2</v>
      </c>
      <c r="S234" s="33">
        <v>10</v>
      </c>
      <c r="T234" s="47">
        <v>0</v>
      </c>
      <c r="U234" s="47">
        <v>0</v>
      </c>
      <c r="V234" s="47">
        <v>0</v>
      </c>
      <c r="Y234" s="47" t="s">
        <v>51</v>
      </c>
      <c r="Z234" s="47" t="s">
        <v>146</v>
      </c>
      <c r="AA234" s="34">
        <v>0.7</v>
      </c>
      <c r="AB234" s="34">
        <v>0.80069444444444438</v>
      </c>
      <c r="AC234" s="34">
        <f>AVERAGE(AA234:AB234)</f>
        <v>0.75034722222222217</v>
      </c>
      <c r="AD234" s="35">
        <f>(AB234-AA234)*24</f>
        <v>2.4166666666666661</v>
      </c>
      <c r="AE234" s="31" t="s">
        <v>537</v>
      </c>
      <c r="AF234" s="31">
        <v>40</v>
      </c>
      <c r="AK234" s="32">
        <v>56</v>
      </c>
      <c r="AQ234" s="32" t="s">
        <v>750</v>
      </c>
      <c r="AU234">
        <v>230</v>
      </c>
    </row>
    <row r="235" spans="1:47" x14ac:dyDescent="0.2">
      <c r="A235" s="37">
        <v>5648</v>
      </c>
      <c r="B235" s="38" t="s">
        <v>45</v>
      </c>
      <c r="C235" s="43" t="s">
        <v>46</v>
      </c>
      <c r="D235" s="29"/>
      <c r="E235" s="38" t="s">
        <v>582</v>
      </c>
      <c r="F235" s="32" t="s">
        <v>743</v>
      </c>
      <c r="G235" s="47" t="s">
        <v>49</v>
      </c>
      <c r="H235"/>
      <c r="I235" s="32" t="s">
        <v>751</v>
      </c>
      <c r="J235" s="47"/>
      <c r="K235" s="47">
        <f>(12*3+4*43)*2.2</f>
        <v>457.6</v>
      </c>
      <c r="L235" s="48">
        <v>1</v>
      </c>
      <c r="M235" s="47"/>
      <c r="N235" s="47"/>
      <c r="O235" s="47"/>
      <c r="P235" s="47"/>
      <c r="Q235" s="47"/>
      <c r="R235" s="47"/>
      <c r="S235" s="48">
        <v>1</v>
      </c>
      <c r="T235" s="47"/>
      <c r="U235" s="47"/>
      <c r="V235" s="47"/>
      <c r="W235" s="47"/>
      <c r="X235" s="47"/>
      <c r="Y235" s="47" t="s">
        <v>51</v>
      </c>
      <c r="Z235" s="20" t="s">
        <v>52</v>
      </c>
      <c r="AA235" s="49"/>
      <c r="AB235" s="49"/>
      <c r="AC235" s="49"/>
      <c r="AD235" s="50"/>
      <c r="AE235" s="47"/>
      <c r="AF235" s="47">
        <v>260</v>
      </c>
      <c r="AG235"/>
      <c r="AH235"/>
      <c r="AI235"/>
      <c r="AJ235"/>
      <c r="AK235">
        <v>16</v>
      </c>
      <c r="AL235"/>
      <c r="AM235"/>
      <c r="AN235"/>
      <c r="AO235"/>
      <c r="AP235"/>
      <c r="AQ235" s="32" t="s">
        <v>566</v>
      </c>
      <c r="AU235">
        <v>231</v>
      </c>
    </row>
    <row r="236" spans="1:47" x14ac:dyDescent="0.2">
      <c r="A236" s="37">
        <v>5649</v>
      </c>
      <c r="B236" s="38" t="s">
        <v>85</v>
      </c>
      <c r="C236" s="39" t="s">
        <v>346</v>
      </c>
      <c r="D236" s="29"/>
      <c r="E236" s="38" t="s">
        <v>752</v>
      </c>
      <c r="F236" s="32" t="s">
        <v>753</v>
      </c>
      <c r="G236" s="47" t="s">
        <v>69</v>
      </c>
      <c r="H236"/>
      <c r="I236" s="32" t="s">
        <v>754</v>
      </c>
      <c r="J236" s="47"/>
      <c r="K236" s="47">
        <f>(11*8+14*10)*2.2</f>
        <v>501.6</v>
      </c>
      <c r="L236" s="48">
        <v>10</v>
      </c>
      <c r="M236" s="47">
        <v>1</v>
      </c>
      <c r="N236" s="47">
        <v>2</v>
      </c>
      <c r="O236" s="47">
        <v>2</v>
      </c>
      <c r="P236" s="47"/>
      <c r="Q236" s="47"/>
      <c r="R236" s="47"/>
      <c r="S236" s="48">
        <v>5</v>
      </c>
      <c r="T236" s="47">
        <v>0</v>
      </c>
      <c r="U236" s="47">
        <v>0</v>
      </c>
      <c r="V236" s="47">
        <v>0</v>
      </c>
      <c r="W236" s="47"/>
      <c r="X236" s="47"/>
      <c r="Y236" s="47" t="s">
        <v>51</v>
      </c>
      <c r="Z236" s="47" t="s">
        <v>146</v>
      </c>
      <c r="AA236" s="49">
        <v>0.56597222222222221</v>
      </c>
      <c r="AB236" s="49">
        <v>0.62916666666666665</v>
      </c>
      <c r="AC236" s="49">
        <f>AVERAGE(AA236:AB236)</f>
        <v>0.59756944444444438</v>
      </c>
      <c r="AD236" s="50">
        <f>(AB236-AA236)*24</f>
        <v>1.5166666666666666</v>
      </c>
      <c r="AE236" s="31" t="s">
        <v>537</v>
      </c>
      <c r="AF236" s="47">
        <v>45</v>
      </c>
      <c r="AG236"/>
      <c r="AH236"/>
      <c r="AI236"/>
      <c r="AJ236"/>
      <c r="AK236">
        <v>25</v>
      </c>
      <c r="AL236"/>
      <c r="AM236"/>
      <c r="AN236"/>
      <c r="AO236"/>
      <c r="AP236"/>
      <c r="AQ236" s="32" t="s">
        <v>755</v>
      </c>
      <c r="AU236">
        <v>232</v>
      </c>
    </row>
    <row r="237" spans="1:47" x14ac:dyDescent="0.2">
      <c r="A237" s="37">
        <v>5649</v>
      </c>
      <c r="B237" s="38" t="s">
        <v>45</v>
      </c>
      <c r="C237" s="43" t="s">
        <v>46</v>
      </c>
      <c r="D237" s="29"/>
      <c r="E237" s="38" t="s">
        <v>432</v>
      </c>
      <c r="F237" s="32" t="s">
        <v>743</v>
      </c>
      <c r="G237" s="47" t="s">
        <v>49</v>
      </c>
      <c r="H237"/>
      <c r="I237" s="32" t="s">
        <v>756</v>
      </c>
      <c r="J237" s="47"/>
      <c r="K237" s="47"/>
      <c r="L237" s="48">
        <v>1</v>
      </c>
      <c r="M237" s="47"/>
      <c r="N237" s="47"/>
      <c r="O237" s="47"/>
      <c r="P237" s="47"/>
      <c r="Q237" s="47"/>
      <c r="R237" s="47"/>
      <c r="S237" s="48">
        <v>1</v>
      </c>
      <c r="T237" s="47"/>
      <c r="U237" s="47"/>
      <c r="V237" s="47"/>
      <c r="W237" s="47"/>
      <c r="X237" s="47"/>
      <c r="Y237" s="47" t="s">
        <v>51</v>
      </c>
      <c r="Z237" s="20" t="s">
        <v>52</v>
      </c>
      <c r="AA237" s="49"/>
      <c r="AB237" s="49"/>
      <c r="AC237" s="49"/>
      <c r="AD237" s="50"/>
      <c r="AE237" s="47"/>
      <c r="AF237" s="47">
        <v>85</v>
      </c>
      <c r="AG237"/>
      <c r="AH237"/>
      <c r="AI237"/>
      <c r="AJ237"/>
      <c r="AK237"/>
      <c r="AL237"/>
      <c r="AM237"/>
      <c r="AN237"/>
      <c r="AO237"/>
      <c r="AP237"/>
      <c r="AQ237" s="32" t="s">
        <v>566</v>
      </c>
      <c r="AU237">
        <v>233</v>
      </c>
    </row>
    <row r="238" spans="1:47" x14ac:dyDescent="0.2">
      <c r="A238" s="37">
        <v>5651</v>
      </c>
      <c r="B238" s="38" t="s">
        <v>85</v>
      </c>
      <c r="C238" s="39" t="s">
        <v>539</v>
      </c>
      <c r="D238" s="29"/>
      <c r="E238" s="38" t="s">
        <v>757</v>
      </c>
      <c r="F238" s="32" t="s">
        <v>758</v>
      </c>
      <c r="G238" s="47" t="s">
        <v>73</v>
      </c>
      <c r="H238"/>
      <c r="I238" s="32" t="s">
        <v>759</v>
      </c>
      <c r="J238" s="47"/>
      <c r="K238" s="47">
        <f>(6*8+16*10+18*8)*2.2</f>
        <v>774.40000000000009</v>
      </c>
      <c r="L238" s="48">
        <v>7</v>
      </c>
      <c r="M238" s="47"/>
      <c r="N238" s="47"/>
      <c r="O238" s="47"/>
      <c r="P238" s="47"/>
      <c r="Q238" s="47"/>
      <c r="R238" s="47"/>
      <c r="S238" s="48">
        <v>7</v>
      </c>
      <c r="T238" s="47">
        <v>0</v>
      </c>
      <c r="U238" s="47">
        <v>0</v>
      </c>
      <c r="V238" s="47">
        <v>0</v>
      </c>
      <c r="W238" s="47"/>
      <c r="X238" s="47"/>
      <c r="Y238" s="47" t="s">
        <v>51</v>
      </c>
      <c r="Z238" s="47" t="s">
        <v>146</v>
      </c>
      <c r="AA238" s="49">
        <v>0.17847222222222223</v>
      </c>
      <c r="AB238" s="49">
        <v>0.28541666666666665</v>
      </c>
      <c r="AC238" s="49">
        <f>AVERAGE(AA238:AB238)</f>
        <v>0.23194444444444445</v>
      </c>
      <c r="AD238" s="50">
        <f>(AB238-AA238)*24</f>
        <v>2.5666666666666664</v>
      </c>
      <c r="AE238" s="31" t="s">
        <v>537</v>
      </c>
      <c r="AF238" s="47">
        <v>55</v>
      </c>
      <c r="AG238"/>
      <c r="AH238"/>
      <c r="AI238"/>
      <c r="AJ238"/>
      <c r="AK238">
        <v>40</v>
      </c>
      <c r="AL238"/>
      <c r="AM238"/>
      <c r="AN238"/>
      <c r="AO238"/>
      <c r="AP238"/>
      <c r="AQ238" s="32" t="s">
        <v>760</v>
      </c>
      <c r="AU238">
        <v>234</v>
      </c>
    </row>
    <row r="239" spans="1:47" x14ac:dyDescent="0.2">
      <c r="A239" s="37">
        <v>5651</v>
      </c>
      <c r="B239" s="38" t="s">
        <v>85</v>
      </c>
      <c r="C239" s="39" t="s">
        <v>567</v>
      </c>
      <c r="D239" s="29"/>
      <c r="E239" s="38" t="s">
        <v>761</v>
      </c>
      <c r="F239" s="32" t="s">
        <v>762</v>
      </c>
      <c r="G239" s="47" t="s">
        <v>205</v>
      </c>
      <c r="H239"/>
      <c r="I239" s="32" t="s">
        <v>763</v>
      </c>
      <c r="J239" s="47"/>
      <c r="K239" s="47">
        <f>(12*8+10*10)*2.2</f>
        <v>431.20000000000005</v>
      </c>
      <c r="L239" s="48">
        <v>5</v>
      </c>
      <c r="M239" s="47"/>
      <c r="N239" s="47">
        <v>1</v>
      </c>
      <c r="O239" s="47"/>
      <c r="P239" s="47"/>
      <c r="Q239" s="47">
        <v>1</v>
      </c>
      <c r="R239" s="47"/>
      <c r="S239" s="48">
        <v>4</v>
      </c>
      <c r="T239" s="47">
        <v>0</v>
      </c>
      <c r="U239" s="47">
        <v>0</v>
      </c>
      <c r="V239" s="47">
        <v>0</v>
      </c>
      <c r="W239" s="47"/>
      <c r="X239" s="47"/>
      <c r="Y239" s="47" t="s">
        <v>51</v>
      </c>
      <c r="Z239" s="47" t="s">
        <v>146</v>
      </c>
      <c r="AA239" s="49">
        <v>0.18958333333333333</v>
      </c>
      <c r="AB239" s="49">
        <v>0.29930555555555555</v>
      </c>
      <c r="AC239" s="49">
        <f>AVERAGE(AA239:AB239)</f>
        <v>0.24444444444444444</v>
      </c>
      <c r="AD239" s="50">
        <f>(AB239-AA239)*24</f>
        <v>2.6333333333333333</v>
      </c>
      <c r="AE239" s="31" t="s">
        <v>537</v>
      </c>
      <c r="AF239" s="47">
        <v>45</v>
      </c>
      <c r="AG239"/>
      <c r="AH239"/>
      <c r="AI239"/>
      <c r="AJ239"/>
      <c r="AK239">
        <v>22</v>
      </c>
      <c r="AL239"/>
      <c r="AM239"/>
      <c r="AN239"/>
      <c r="AO239"/>
      <c r="AP239"/>
      <c r="AQ239" s="32" t="s">
        <v>760</v>
      </c>
      <c r="AU239">
        <v>235</v>
      </c>
    </row>
    <row r="240" spans="1:47" x14ac:dyDescent="0.2">
      <c r="A240" s="37">
        <v>5652</v>
      </c>
      <c r="B240" s="38" t="s">
        <v>85</v>
      </c>
      <c r="C240" s="39" t="s">
        <v>346</v>
      </c>
      <c r="D240" s="29"/>
      <c r="E240" s="36" t="s">
        <v>702</v>
      </c>
      <c r="F240" s="31" t="s">
        <v>170</v>
      </c>
      <c r="G240" s="47" t="s">
        <v>69</v>
      </c>
      <c r="H240"/>
      <c r="I240" s="32" t="s">
        <v>764</v>
      </c>
      <c r="J240" s="47"/>
      <c r="K240" s="47">
        <f>(8*8+10*10+24*8)*2.2</f>
        <v>783.2</v>
      </c>
      <c r="L240" s="48">
        <v>10</v>
      </c>
      <c r="M240" s="47">
        <v>1</v>
      </c>
      <c r="N240" s="47"/>
      <c r="O240" s="47">
        <v>1</v>
      </c>
      <c r="P240" s="47"/>
      <c r="Q240" s="47"/>
      <c r="R240" s="47"/>
      <c r="S240" s="48">
        <v>8</v>
      </c>
      <c r="T240" s="47">
        <v>0</v>
      </c>
      <c r="U240" s="47">
        <v>0</v>
      </c>
      <c r="V240" s="47">
        <v>0</v>
      </c>
      <c r="W240" s="47"/>
      <c r="X240" s="47"/>
      <c r="Y240" s="47" t="s">
        <v>120</v>
      </c>
      <c r="Z240" s="47" t="s">
        <v>146</v>
      </c>
      <c r="AA240" s="49">
        <v>0.72916666666666663</v>
      </c>
      <c r="AB240" s="49">
        <v>0.85138888888888886</v>
      </c>
      <c r="AC240" s="49">
        <f>AVERAGE(AA240:AB240)</f>
        <v>0.79027777777777775</v>
      </c>
      <c r="AD240" s="50">
        <f>(AB240-AA240)*24</f>
        <v>2.9333333333333336</v>
      </c>
      <c r="AE240" s="31" t="s">
        <v>537</v>
      </c>
      <c r="AF240" s="31">
        <v>40</v>
      </c>
      <c r="AG240"/>
      <c r="AH240"/>
      <c r="AI240"/>
      <c r="AJ240"/>
      <c r="AK240">
        <v>42</v>
      </c>
      <c r="AL240"/>
      <c r="AM240"/>
      <c r="AN240"/>
      <c r="AO240"/>
      <c r="AP240"/>
      <c r="AQ240" s="32" t="s">
        <v>765</v>
      </c>
      <c r="AU240">
        <v>236</v>
      </c>
    </row>
    <row r="241" spans="1:47" x14ac:dyDescent="0.2">
      <c r="A241" s="37">
        <v>5663</v>
      </c>
      <c r="B241" s="38" t="s">
        <v>85</v>
      </c>
      <c r="C241" s="43" t="s">
        <v>228</v>
      </c>
      <c r="D241" s="29"/>
      <c r="E241" s="38" t="s">
        <v>391</v>
      </c>
      <c r="F241" s="31" t="s">
        <v>678</v>
      </c>
      <c r="H241" s="32"/>
      <c r="I241" s="32" t="s">
        <v>766</v>
      </c>
      <c r="L241" s="33">
        <v>1</v>
      </c>
      <c r="M241" s="47"/>
      <c r="N241" s="47"/>
      <c r="O241" s="47"/>
      <c r="P241" s="47"/>
      <c r="Q241" s="47"/>
      <c r="R241" s="47"/>
      <c r="S241" s="48"/>
      <c r="T241" s="47"/>
      <c r="U241" s="47"/>
      <c r="V241" s="47"/>
      <c r="W241" s="47"/>
      <c r="X241" s="47"/>
      <c r="Y241" s="47"/>
      <c r="Z241" s="47"/>
      <c r="AA241" s="49"/>
      <c r="AB241" s="49"/>
      <c r="AC241" s="49"/>
      <c r="AD241" s="50"/>
      <c r="AE241" s="47" t="s">
        <v>283</v>
      </c>
      <c r="AF241" s="47">
        <v>70</v>
      </c>
      <c r="AG241"/>
      <c r="AH241"/>
      <c r="AI241"/>
      <c r="AJ241"/>
      <c r="AK241"/>
      <c r="AL241"/>
      <c r="AM241"/>
      <c r="AN241"/>
      <c r="AO241"/>
      <c r="AP241"/>
      <c r="AQ241" t="s">
        <v>233</v>
      </c>
      <c r="AU241">
        <v>237</v>
      </c>
    </row>
    <row r="242" spans="1:47" x14ac:dyDescent="0.2">
      <c r="A242" s="37">
        <v>5673</v>
      </c>
      <c r="B242" s="38" t="s">
        <v>85</v>
      </c>
      <c r="C242" s="39" t="s">
        <v>142</v>
      </c>
      <c r="D242" s="29"/>
      <c r="E242" s="38" t="s">
        <v>767</v>
      </c>
      <c r="F242" s="32" t="s">
        <v>768</v>
      </c>
      <c r="G242" s="31" t="s">
        <v>73</v>
      </c>
      <c r="H242" s="32"/>
      <c r="I242" s="32" t="s">
        <v>769</v>
      </c>
      <c r="K242" s="31">
        <f>95*8*2.2</f>
        <v>1672.0000000000002</v>
      </c>
      <c r="L242" s="33">
        <v>20</v>
      </c>
      <c r="M242" s="31">
        <v>3</v>
      </c>
      <c r="S242" s="33">
        <v>17</v>
      </c>
      <c r="T242" s="31">
        <v>0</v>
      </c>
      <c r="U242" s="31">
        <v>1</v>
      </c>
      <c r="V242" s="31">
        <v>0</v>
      </c>
      <c r="Y242" s="31" t="s">
        <v>51</v>
      </c>
      <c r="Z242" s="31" t="s">
        <v>146</v>
      </c>
      <c r="AA242" s="34">
        <v>0.125</v>
      </c>
      <c r="AE242" s="47" t="s">
        <v>342</v>
      </c>
      <c r="AF242" s="47">
        <v>45</v>
      </c>
      <c r="AK242" s="32">
        <v>95</v>
      </c>
      <c r="AQ242" s="32" t="s">
        <v>770</v>
      </c>
      <c r="AU242">
        <v>238</v>
      </c>
    </row>
    <row r="243" spans="1:47" x14ac:dyDescent="0.2">
      <c r="A243" s="37">
        <v>5673</v>
      </c>
      <c r="B243" s="38" t="s">
        <v>85</v>
      </c>
      <c r="C243" s="39" t="s">
        <v>346</v>
      </c>
      <c r="D243" s="29"/>
      <c r="E243" s="38" t="s">
        <v>767</v>
      </c>
      <c r="F243" s="32" t="s">
        <v>150</v>
      </c>
      <c r="G243" s="31" t="s">
        <v>49</v>
      </c>
      <c r="H243" s="32"/>
      <c r="I243" s="32" t="s">
        <v>771</v>
      </c>
      <c r="K243" s="31">
        <f>(12*8+5*10+59*8)*2.2</f>
        <v>1359.6000000000001</v>
      </c>
      <c r="L243" s="33">
        <v>15</v>
      </c>
      <c r="N243" s="31">
        <v>1</v>
      </c>
      <c r="O243" s="31">
        <v>1</v>
      </c>
      <c r="S243" s="33">
        <v>13</v>
      </c>
      <c r="T243" s="47">
        <v>0</v>
      </c>
      <c r="U243" s="47">
        <v>0</v>
      </c>
      <c r="V243" s="47">
        <v>0</v>
      </c>
      <c r="Y243" s="31" t="s">
        <v>51</v>
      </c>
      <c r="Z243" s="47" t="s">
        <v>146</v>
      </c>
      <c r="AA243" s="34">
        <v>0.1388888888888889</v>
      </c>
      <c r="AB243" s="34">
        <v>0.30555555555555552</v>
      </c>
      <c r="AC243" s="34">
        <f>AVERAGE(AA243:AB243)</f>
        <v>0.22222222222222221</v>
      </c>
      <c r="AD243" s="35">
        <f>(AB243-AA243)*24</f>
        <v>3.9999999999999991</v>
      </c>
      <c r="AE243" s="31" t="s">
        <v>342</v>
      </c>
      <c r="AF243" s="47">
        <v>45</v>
      </c>
      <c r="AK243" s="32">
        <v>76</v>
      </c>
      <c r="AQ243" s="32" t="s">
        <v>772</v>
      </c>
      <c r="AU243">
        <v>239</v>
      </c>
    </row>
    <row r="244" spans="1:47" x14ac:dyDescent="0.2">
      <c r="A244" s="37">
        <v>5676</v>
      </c>
      <c r="B244" s="38"/>
      <c r="C244" s="39" t="s">
        <v>253</v>
      </c>
      <c r="D244" s="29"/>
      <c r="E244" s="38" t="s">
        <v>773</v>
      </c>
      <c r="F244" s="32" t="s">
        <v>246</v>
      </c>
      <c r="G244" s="47"/>
      <c r="H244"/>
      <c r="I244" s="32"/>
      <c r="J244" s="47"/>
      <c r="K244" s="47"/>
      <c r="L244" s="48"/>
      <c r="M244" s="47"/>
      <c r="N244" s="47"/>
      <c r="O244" s="47"/>
      <c r="P244" s="47"/>
      <c r="Q244" s="47"/>
      <c r="R244" s="47"/>
      <c r="S244" s="48"/>
      <c r="T244" s="47"/>
      <c r="U244" s="47"/>
      <c r="V244" s="47"/>
      <c r="W244" s="47"/>
      <c r="X244" s="47"/>
      <c r="Y244" s="47"/>
      <c r="Z244" s="47"/>
      <c r="AA244" s="49"/>
      <c r="AB244" s="49"/>
      <c r="AC244" s="49"/>
      <c r="AD244" s="50"/>
      <c r="AE244" s="47"/>
      <c r="AF244" s="47"/>
      <c r="AG244"/>
      <c r="AH244"/>
      <c r="AI244"/>
      <c r="AJ244"/>
      <c r="AK244"/>
      <c r="AL244"/>
      <c r="AM244"/>
      <c r="AN244"/>
      <c r="AO244"/>
      <c r="AP244"/>
      <c r="AQ244" s="32" t="s">
        <v>774</v>
      </c>
      <c r="AU244">
        <v>240</v>
      </c>
    </row>
    <row r="245" spans="1:47" x14ac:dyDescent="0.2">
      <c r="A245" s="37">
        <v>5676</v>
      </c>
      <c r="B245" s="38"/>
      <c r="C245" s="39" t="s">
        <v>253</v>
      </c>
      <c r="D245" s="29"/>
      <c r="E245" s="38" t="s">
        <v>775</v>
      </c>
      <c r="F245" s="32" t="s">
        <v>776</v>
      </c>
      <c r="G245" s="47"/>
      <c r="H245"/>
      <c r="I245" s="32"/>
      <c r="J245" s="47"/>
      <c r="K245" s="47"/>
      <c r="L245" s="48"/>
      <c r="M245" s="47"/>
      <c r="N245" s="47"/>
      <c r="O245" s="47"/>
      <c r="P245" s="47"/>
      <c r="Q245" s="47"/>
      <c r="R245" s="47"/>
      <c r="S245" s="48"/>
      <c r="T245" s="47"/>
      <c r="U245" s="47"/>
      <c r="V245" s="47"/>
      <c r="W245" s="47"/>
      <c r="X245" s="47"/>
      <c r="Y245" s="47"/>
      <c r="Z245" s="47"/>
      <c r="AA245" s="49"/>
      <c r="AB245" s="49"/>
      <c r="AC245" s="49"/>
      <c r="AD245" s="50"/>
      <c r="AE245" s="47"/>
      <c r="AF245" s="47"/>
      <c r="AG245"/>
      <c r="AH245"/>
      <c r="AI245"/>
      <c r="AJ245"/>
      <c r="AK245"/>
      <c r="AL245"/>
      <c r="AM245"/>
      <c r="AN245"/>
      <c r="AO245"/>
      <c r="AP245"/>
      <c r="AQ245" s="32" t="s">
        <v>777</v>
      </c>
      <c r="AU245">
        <v>241</v>
      </c>
    </row>
    <row r="246" spans="1:47" s="67" customFormat="1" x14ac:dyDescent="0.2">
      <c r="A246" s="59">
        <v>5679</v>
      </c>
      <c r="B246" s="60" t="s">
        <v>45</v>
      </c>
      <c r="C246" s="61" t="s">
        <v>253</v>
      </c>
      <c r="D246" s="62"/>
      <c r="E246" s="60" t="s">
        <v>778</v>
      </c>
      <c r="F246" s="64" t="s">
        <v>779</v>
      </c>
      <c r="G246" s="66"/>
      <c r="I246" s="65" t="s">
        <v>780</v>
      </c>
      <c r="J246" s="66"/>
      <c r="K246" s="66"/>
      <c r="L246" s="68"/>
      <c r="M246" s="66"/>
      <c r="N246" s="66"/>
      <c r="O246" s="66"/>
      <c r="P246" s="66"/>
      <c r="Q246" s="66"/>
      <c r="R246" s="66"/>
      <c r="S246" s="68"/>
      <c r="T246" s="66"/>
      <c r="U246" s="66"/>
      <c r="V246" s="66"/>
      <c r="W246" s="66"/>
      <c r="X246" s="66"/>
      <c r="Y246" s="66"/>
      <c r="Z246" s="66"/>
      <c r="AA246" s="69"/>
      <c r="AB246" s="69"/>
      <c r="AC246" s="69"/>
      <c r="AD246" s="70"/>
      <c r="AE246" s="66"/>
      <c r="AF246" s="66"/>
      <c r="AQ246" s="64" t="s">
        <v>774</v>
      </c>
      <c r="AR246" s="64"/>
      <c r="AU246">
        <v>242</v>
      </c>
    </row>
    <row r="247" spans="1:47" x14ac:dyDescent="0.2">
      <c r="A247" s="37">
        <v>5679</v>
      </c>
      <c r="B247" s="38"/>
      <c r="C247" s="39" t="s">
        <v>253</v>
      </c>
      <c r="D247" s="29"/>
      <c r="E247" s="38" t="s">
        <v>321</v>
      </c>
      <c r="F247" s="32" t="s">
        <v>150</v>
      </c>
      <c r="G247" s="47"/>
      <c r="H247"/>
      <c r="I247" s="32" t="s">
        <v>781</v>
      </c>
      <c r="J247" s="47"/>
      <c r="K247" s="47"/>
      <c r="L247" s="48"/>
      <c r="M247" s="47"/>
      <c r="N247" s="47"/>
      <c r="O247" s="47"/>
      <c r="P247" s="47"/>
      <c r="Q247" s="47"/>
      <c r="R247" s="47"/>
      <c r="S247" s="48"/>
      <c r="T247" s="47"/>
      <c r="U247" s="47"/>
      <c r="V247" s="47"/>
      <c r="W247" s="47"/>
      <c r="X247" s="47"/>
      <c r="Y247" s="47"/>
      <c r="Z247" s="47"/>
      <c r="AA247" s="49"/>
      <c r="AB247" s="49"/>
      <c r="AC247" s="49"/>
      <c r="AD247" s="50"/>
      <c r="AE247" s="47"/>
      <c r="AF247" s="47"/>
      <c r="AG247"/>
      <c r="AH247"/>
      <c r="AI247"/>
      <c r="AJ247"/>
      <c r="AK247"/>
      <c r="AL247"/>
      <c r="AM247"/>
      <c r="AN247"/>
      <c r="AO247"/>
      <c r="AP247"/>
      <c r="AQ247" s="32" t="s">
        <v>774</v>
      </c>
      <c r="AU247">
        <v>243</v>
      </c>
    </row>
    <row r="248" spans="1:47" x14ac:dyDescent="0.2">
      <c r="A248" s="37">
        <v>5680</v>
      </c>
      <c r="B248" s="38" t="s">
        <v>85</v>
      </c>
      <c r="C248" s="39" t="s">
        <v>134</v>
      </c>
      <c r="D248" s="29"/>
      <c r="E248" s="38" t="s">
        <v>782</v>
      </c>
      <c r="F248" s="32" t="s">
        <v>150</v>
      </c>
      <c r="G248" s="47" t="s">
        <v>49</v>
      </c>
      <c r="H248"/>
      <c r="I248" s="32" t="s">
        <v>783</v>
      </c>
      <c r="J248" s="47"/>
      <c r="K248" s="47">
        <f>(8*43+8*8)*2.2</f>
        <v>897.6</v>
      </c>
      <c r="L248" s="48">
        <v>4</v>
      </c>
      <c r="M248" s="47"/>
      <c r="N248" s="47"/>
      <c r="O248" s="47"/>
      <c r="P248" s="47"/>
      <c r="Q248" s="47"/>
      <c r="R248" s="47"/>
      <c r="S248" s="48">
        <v>4</v>
      </c>
      <c r="T248" s="47">
        <v>0</v>
      </c>
      <c r="U248" s="47">
        <v>0</v>
      </c>
      <c r="V248" s="47">
        <v>0</v>
      </c>
      <c r="W248" s="47">
        <f>2250*39.37/12</f>
        <v>7381.875</v>
      </c>
      <c r="X248" s="47"/>
      <c r="Y248" s="47" t="s">
        <v>51</v>
      </c>
      <c r="Z248" s="47" t="s">
        <v>675</v>
      </c>
      <c r="AA248" s="49">
        <v>0.17013888888888887</v>
      </c>
      <c r="AB248" s="49">
        <v>0.25694444444444448</v>
      </c>
      <c r="AC248" s="49">
        <f>AVERAGE(AA248:AB248)</f>
        <v>0.21354166666666669</v>
      </c>
      <c r="AD248" s="50">
        <f>(AB248-AA248)*24</f>
        <v>2.0833333333333348</v>
      </c>
      <c r="AE248" s="71" t="s">
        <v>132</v>
      </c>
      <c r="AF248" s="47">
        <v>60</v>
      </c>
      <c r="AG248"/>
      <c r="AH248"/>
      <c r="AI248"/>
      <c r="AJ248"/>
      <c r="AK248">
        <v>16</v>
      </c>
      <c r="AL248"/>
      <c r="AM248"/>
      <c r="AN248"/>
      <c r="AO248"/>
      <c r="AP248"/>
      <c r="AQ248" t="s">
        <v>784</v>
      </c>
      <c r="AU248">
        <v>244</v>
      </c>
    </row>
    <row r="249" spans="1:47" x14ac:dyDescent="0.2">
      <c r="A249" s="37">
        <v>5680</v>
      </c>
      <c r="B249" s="38" t="s">
        <v>85</v>
      </c>
      <c r="C249" s="39" t="s">
        <v>134</v>
      </c>
      <c r="D249" s="29"/>
      <c r="E249" s="38" t="s">
        <v>782</v>
      </c>
      <c r="F249" s="32" t="s">
        <v>150</v>
      </c>
      <c r="G249" s="47" t="s">
        <v>49</v>
      </c>
      <c r="H249"/>
      <c r="I249" s="32" t="s">
        <v>785</v>
      </c>
      <c r="J249" s="47"/>
      <c r="K249" s="47">
        <f>(4*43+4*8)*2.2</f>
        <v>448.8</v>
      </c>
      <c r="L249" s="48">
        <v>6</v>
      </c>
      <c r="M249" s="47"/>
      <c r="N249" s="47">
        <v>4</v>
      </c>
      <c r="O249" s="47"/>
      <c r="P249" s="47"/>
      <c r="Q249" s="47"/>
      <c r="R249" s="47"/>
      <c r="S249" s="48">
        <v>2</v>
      </c>
      <c r="T249" s="47">
        <v>0</v>
      </c>
      <c r="U249" s="47">
        <v>0</v>
      </c>
      <c r="V249" s="47">
        <v>0</v>
      </c>
      <c r="W249" s="47">
        <f>1850*39.37/12</f>
        <v>6069.541666666667</v>
      </c>
      <c r="X249" s="47"/>
      <c r="Y249" s="47" t="s">
        <v>120</v>
      </c>
      <c r="Z249" s="47" t="s">
        <v>675</v>
      </c>
      <c r="AA249" s="49">
        <v>0.70486111111111116</v>
      </c>
      <c r="AB249" s="49">
        <v>0.8125</v>
      </c>
      <c r="AC249" s="49">
        <f>AVERAGE(AA249:AB249)</f>
        <v>0.75868055555555558</v>
      </c>
      <c r="AD249" s="50">
        <f>(AB249-AA249)*24</f>
        <v>2.5833333333333321</v>
      </c>
      <c r="AE249" s="71" t="s">
        <v>132</v>
      </c>
      <c r="AF249" s="47">
        <v>60</v>
      </c>
      <c r="AG249"/>
      <c r="AH249"/>
      <c r="AI249"/>
      <c r="AJ249"/>
      <c r="AK249">
        <v>8</v>
      </c>
      <c r="AL249"/>
      <c r="AM249"/>
      <c r="AN249"/>
      <c r="AO249"/>
      <c r="AP249"/>
      <c r="AQ249" t="s">
        <v>786</v>
      </c>
      <c r="AU249">
        <v>245</v>
      </c>
    </row>
    <row r="250" spans="1:47" x14ac:dyDescent="0.2">
      <c r="A250" s="37">
        <v>5680</v>
      </c>
      <c r="B250" s="38" t="s">
        <v>85</v>
      </c>
      <c r="C250" s="39" t="s">
        <v>787</v>
      </c>
      <c r="D250" s="29"/>
      <c r="E250" s="38" t="s">
        <v>788</v>
      </c>
      <c r="F250" s="32" t="s">
        <v>150</v>
      </c>
      <c r="G250" s="47" t="s">
        <v>49</v>
      </c>
      <c r="H250"/>
      <c r="I250" s="31" t="b">
        <v>1</v>
      </c>
      <c r="J250" s="47" t="b">
        <v>1</v>
      </c>
      <c r="K250" s="47"/>
      <c r="L250" s="48">
        <v>31</v>
      </c>
      <c r="M250" s="47"/>
      <c r="N250" s="47"/>
      <c r="O250" s="47"/>
      <c r="P250" s="47"/>
      <c r="Q250" s="47"/>
      <c r="R250" s="47"/>
      <c r="S250" s="48"/>
      <c r="T250" s="47"/>
      <c r="U250" s="47"/>
      <c r="V250" s="47"/>
      <c r="W250" s="47"/>
      <c r="X250" s="47"/>
      <c r="Y250" s="47" t="s">
        <v>120</v>
      </c>
      <c r="Z250" s="47"/>
      <c r="AA250" s="49"/>
      <c r="AB250" s="49"/>
      <c r="AC250" s="49"/>
      <c r="AD250" s="50"/>
      <c r="AE250" s="47"/>
      <c r="AF250" s="47"/>
      <c r="AG250"/>
      <c r="AH250"/>
      <c r="AI250"/>
      <c r="AJ250"/>
      <c r="AK250"/>
      <c r="AL250"/>
      <c r="AM250"/>
      <c r="AN250"/>
      <c r="AO250"/>
      <c r="AP250"/>
      <c r="AQ250" s="32" t="s">
        <v>789</v>
      </c>
      <c r="AR250" s="32" t="s">
        <v>790</v>
      </c>
      <c r="AU250">
        <v>246</v>
      </c>
    </row>
    <row r="251" spans="1:47" x14ac:dyDescent="0.2">
      <c r="A251" s="37">
        <v>5680</v>
      </c>
      <c r="B251" s="38" t="s">
        <v>85</v>
      </c>
      <c r="C251" s="39" t="s">
        <v>142</v>
      </c>
      <c r="D251" s="29"/>
      <c r="E251" s="38" t="s">
        <v>788</v>
      </c>
      <c r="F251" s="32" t="s">
        <v>150</v>
      </c>
      <c r="G251" s="47" t="s">
        <v>49</v>
      </c>
      <c r="H251"/>
      <c r="I251" s="31" t="b">
        <v>0</v>
      </c>
      <c r="J251" s="47" t="b">
        <v>1</v>
      </c>
      <c r="K251" s="47">
        <f>71*8*2.2</f>
        <v>1249.6000000000001</v>
      </c>
      <c r="L251" s="48">
        <v>13</v>
      </c>
      <c r="M251" s="47"/>
      <c r="N251" s="47"/>
      <c r="O251" s="47"/>
      <c r="P251" s="47"/>
      <c r="Q251" s="47"/>
      <c r="R251" s="47"/>
      <c r="S251" s="48">
        <v>11</v>
      </c>
      <c r="T251" s="47">
        <v>0</v>
      </c>
      <c r="U251" s="47">
        <v>0</v>
      </c>
      <c r="V251" s="47">
        <v>0</v>
      </c>
      <c r="W251" s="47"/>
      <c r="X251" s="47"/>
      <c r="Y251" s="47" t="s">
        <v>120</v>
      </c>
      <c r="Z251" s="31" t="s">
        <v>146</v>
      </c>
      <c r="AA251" s="49">
        <v>0.69444444444444453</v>
      </c>
      <c r="AB251" s="49"/>
      <c r="AC251" s="49"/>
      <c r="AD251" s="50"/>
      <c r="AE251" s="47" t="s">
        <v>342</v>
      </c>
      <c r="AF251" s="47">
        <v>55</v>
      </c>
      <c r="AG251"/>
      <c r="AH251"/>
      <c r="AI251"/>
      <c r="AJ251"/>
      <c r="AK251">
        <v>71</v>
      </c>
      <c r="AL251"/>
      <c r="AM251"/>
      <c r="AN251"/>
      <c r="AO251"/>
      <c r="AP251"/>
      <c r="AQ251" s="32" t="s">
        <v>791</v>
      </c>
      <c r="AR251" s="32" t="s">
        <v>792</v>
      </c>
      <c r="AU251">
        <v>247</v>
      </c>
    </row>
    <row r="252" spans="1:47" x14ac:dyDescent="0.2">
      <c r="A252" s="37">
        <v>5680</v>
      </c>
      <c r="B252" s="38" t="s">
        <v>85</v>
      </c>
      <c r="C252" s="39" t="s">
        <v>346</v>
      </c>
      <c r="D252" s="29"/>
      <c r="E252" s="38" t="s">
        <v>793</v>
      </c>
      <c r="F252" s="32" t="s">
        <v>794</v>
      </c>
      <c r="G252" s="47" t="s">
        <v>49</v>
      </c>
      <c r="H252"/>
      <c r="I252" s="31" t="b">
        <v>0</v>
      </c>
      <c r="J252" s="47" t="b">
        <v>1</v>
      </c>
      <c r="K252" s="47">
        <f>(21*8+18*8+9*7.25)*2.2</f>
        <v>829.95</v>
      </c>
      <c r="L252" s="48">
        <v>10</v>
      </c>
      <c r="M252" s="47"/>
      <c r="N252" s="47">
        <v>1</v>
      </c>
      <c r="O252" s="47"/>
      <c r="P252" s="47"/>
      <c r="Q252" s="47">
        <v>1</v>
      </c>
      <c r="R252" s="47"/>
      <c r="S252" s="48">
        <v>9</v>
      </c>
      <c r="T252" s="47">
        <v>0</v>
      </c>
      <c r="U252" s="47">
        <v>0</v>
      </c>
      <c r="V252" s="47">
        <v>0</v>
      </c>
      <c r="W252" s="47"/>
      <c r="X252" s="47"/>
      <c r="Y252" s="47" t="s">
        <v>120</v>
      </c>
      <c r="Z252" s="47" t="s">
        <v>146</v>
      </c>
      <c r="AA252" s="49">
        <v>0.6875</v>
      </c>
      <c r="AB252" s="49">
        <v>0.8</v>
      </c>
      <c r="AC252" s="49">
        <f>AVERAGE(AA252:AB252)</f>
        <v>0.74375000000000002</v>
      </c>
      <c r="AD252" s="50">
        <f>(AB252-AA252)*24</f>
        <v>2.7000000000000011</v>
      </c>
      <c r="AE252" s="31" t="s">
        <v>342</v>
      </c>
      <c r="AF252" s="47">
        <v>55</v>
      </c>
      <c r="AG252"/>
      <c r="AH252"/>
      <c r="AI252"/>
      <c r="AJ252"/>
      <c r="AK252">
        <v>48</v>
      </c>
      <c r="AL252"/>
      <c r="AM252"/>
      <c r="AN252"/>
      <c r="AO252"/>
      <c r="AP252"/>
      <c r="AQ252" s="32" t="s">
        <v>795</v>
      </c>
      <c r="AR252" s="32" t="s">
        <v>796</v>
      </c>
      <c r="AU252">
        <v>248</v>
      </c>
    </row>
    <row r="253" spans="1:47" x14ac:dyDescent="0.2">
      <c r="A253" s="37">
        <v>5681</v>
      </c>
      <c r="B253" s="38" t="s">
        <v>85</v>
      </c>
      <c r="C253" s="39" t="s">
        <v>134</v>
      </c>
      <c r="D253" s="29" t="s">
        <v>120</v>
      </c>
      <c r="E253" s="38" t="s">
        <v>782</v>
      </c>
      <c r="F253" s="32" t="s">
        <v>150</v>
      </c>
      <c r="G253" s="47" t="s">
        <v>49</v>
      </c>
      <c r="H253"/>
      <c r="I253" s="32" t="s">
        <v>797</v>
      </c>
      <c r="J253" s="47"/>
      <c r="K253" s="47">
        <v>0</v>
      </c>
      <c r="L253" s="48">
        <v>4</v>
      </c>
      <c r="M253" s="47">
        <v>4</v>
      </c>
      <c r="N253" s="47"/>
      <c r="O253" s="47"/>
      <c r="P253" s="47"/>
      <c r="Q253" s="47"/>
      <c r="R253" s="47"/>
      <c r="S253" s="48">
        <v>0</v>
      </c>
      <c r="T253" s="47">
        <v>0</v>
      </c>
      <c r="U253" s="47">
        <v>0</v>
      </c>
      <c r="V253" s="47">
        <v>0</v>
      </c>
      <c r="W253" s="47"/>
      <c r="X253" s="47"/>
      <c r="Y253" s="47" t="s">
        <v>51</v>
      </c>
      <c r="Z253" s="47" t="s">
        <v>675</v>
      </c>
      <c r="AA253" s="49">
        <v>0.18402777777777779</v>
      </c>
      <c r="AB253" s="49">
        <v>0.33333333333333331</v>
      </c>
      <c r="AC253" s="49"/>
      <c r="AD253" s="50">
        <f>(AB253-AA253)*24</f>
        <v>3.5833333333333326</v>
      </c>
      <c r="AE253" s="71"/>
      <c r="AF253" s="47">
        <v>60</v>
      </c>
      <c r="AG253"/>
      <c r="AH253"/>
      <c r="AI253"/>
      <c r="AJ253"/>
      <c r="AK253">
        <v>0</v>
      </c>
      <c r="AL253"/>
      <c r="AM253"/>
      <c r="AN253"/>
      <c r="AO253"/>
      <c r="AP253"/>
      <c r="AQ253" t="s">
        <v>798</v>
      </c>
      <c r="AU253">
        <v>249</v>
      </c>
    </row>
    <row r="254" spans="1:47" x14ac:dyDescent="0.2">
      <c r="A254" s="37">
        <v>5682</v>
      </c>
      <c r="B254" s="38"/>
      <c r="C254" s="39" t="s">
        <v>253</v>
      </c>
      <c r="D254" s="29"/>
      <c r="E254" s="38" t="s">
        <v>799</v>
      </c>
      <c r="F254" s="32" t="s">
        <v>150</v>
      </c>
      <c r="G254" s="47"/>
      <c r="H254"/>
      <c r="I254" s="32" t="s">
        <v>800</v>
      </c>
      <c r="J254" s="47"/>
      <c r="K254" s="47"/>
      <c r="L254" s="48"/>
      <c r="M254" s="47"/>
      <c r="N254" s="47"/>
      <c r="O254" s="47"/>
      <c r="P254" s="47"/>
      <c r="Q254" s="47"/>
      <c r="R254" s="47"/>
      <c r="S254" s="48"/>
      <c r="T254" s="47"/>
      <c r="U254" s="47"/>
      <c r="V254" s="47"/>
      <c r="W254" s="47"/>
      <c r="X254" s="47"/>
      <c r="Y254" s="47"/>
      <c r="Z254" s="47"/>
      <c r="AA254" s="49"/>
      <c r="AB254" s="49"/>
      <c r="AC254" s="49"/>
      <c r="AD254" s="50"/>
      <c r="AE254" s="47"/>
      <c r="AF254" s="47"/>
      <c r="AG254"/>
      <c r="AH254"/>
      <c r="AI254"/>
      <c r="AJ254"/>
      <c r="AK254"/>
      <c r="AL254"/>
      <c r="AM254"/>
      <c r="AN254"/>
      <c r="AO254"/>
      <c r="AP254"/>
      <c r="AQ254" s="32" t="s">
        <v>774</v>
      </c>
      <c r="AU254">
        <v>250</v>
      </c>
    </row>
    <row r="255" spans="1:47" x14ac:dyDescent="0.2">
      <c r="A255" s="37">
        <v>5687</v>
      </c>
      <c r="B255" s="38" t="s">
        <v>45</v>
      </c>
      <c r="C255" s="39" t="s">
        <v>253</v>
      </c>
      <c r="D255" s="29"/>
      <c r="E255" s="38" t="s">
        <v>801</v>
      </c>
      <c r="F255" s="32" t="s">
        <v>802</v>
      </c>
      <c r="G255" s="47"/>
      <c r="H255"/>
      <c r="I255" s="32"/>
      <c r="J255" s="47"/>
      <c r="K255" s="47"/>
      <c r="L255" s="48"/>
      <c r="M255" s="47"/>
      <c r="N255" s="47"/>
      <c r="O255" s="47"/>
      <c r="P255" s="47"/>
      <c r="Q255" s="47"/>
      <c r="R255" s="47"/>
      <c r="S255" s="48"/>
      <c r="T255" s="47"/>
      <c r="U255" s="47"/>
      <c r="V255" s="47"/>
      <c r="W255" s="47"/>
      <c r="X255" s="47"/>
      <c r="Y255" s="47"/>
      <c r="Z255" s="47"/>
      <c r="AA255" s="49"/>
      <c r="AB255" s="49"/>
      <c r="AC255" s="49"/>
      <c r="AD255" s="50"/>
      <c r="AE255" s="47"/>
      <c r="AF255" s="47"/>
      <c r="AG255"/>
      <c r="AH255"/>
      <c r="AI255"/>
      <c r="AJ255"/>
      <c r="AK255"/>
      <c r="AL255"/>
      <c r="AM255"/>
      <c r="AN255"/>
      <c r="AO255"/>
      <c r="AP255"/>
      <c r="AQ255" t="s">
        <v>803</v>
      </c>
      <c r="AU255">
        <v>251</v>
      </c>
    </row>
    <row r="256" spans="1:47" x14ac:dyDescent="0.2">
      <c r="A256" s="37">
        <v>5687</v>
      </c>
      <c r="B256" s="38"/>
      <c r="C256" s="39" t="s">
        <v>253</v>
      </c>
      <c r="D256" s="29"/>
      <c r="E256" s="38" t="s">
        <v>804</v>
      </c>
      <c r="F256" s="32" t="s">
        <v>805</v>
      </c>
      <c r="G256" s="47"/>
      <c r="H256"/>
      <c r="I256" s="32"/>
      <c r="J256" s="47"/>
      <c r="K256" s="47"/>
      <c r="L256" s="48"/>
      <c r="M256" s="47"/>
      <c r="N256" s="47"/>
      <c r="O256" s="47"/>
      <c r="P256" s="47"/>
      <c r="Q256" s="47"/>
      <c r="R256" s="47"/>
      <c r="S256" s="48"/>
      <c r="T256" s="47"/>
      <c r="U256" s="47"/>
      <c r="V256" s="47"/>
      <c r="W256" s="47"/>
      <c r="X256" s="47"/>
      <c r="Y256" s="47"/>
      <c r="Z256" s="47"/>
      <c r="AA256" s="49"/>
      <c r="AB256" s="49"/>
      <c r="AC256" s="49"/>
      <c r="AD256" s="50"/>
      <c r="AE256" s="47"/>
      <c r="AF256" s="47"/>
      <c r="AG256"/>
      <c r="AH256"/>
      <c r="AI256"/>
      <c r="AJ256"/>
      <c r="AK256"/>
      <c r="AL256"/>
      <c r="AM256"/>
      <c r="AN256"/>
      <c r="AO256"/>
      <c r="AP256"/>
      <c r="AQ256" t="s">
        <v>803</v>
      </c>
      <c r="AU256">
        <v>252</v>
      </c>
    </row>
    <row r="257" spans="1:47" x14ac:dyDescent="0.2">
      <c r="A257" s="37">
        <v>5687</v>
      </c>
      <c r="B257" s="38"/>
      <c r="C257" s="39" t="s">
        <v>253</v>
      </c>
      <c r="D257" s="29"/>
      <c r="E257" s="38" t="s">
        <v>806</v>
      </c>
      <c r="F257" s="32" t="s">
        <v>83</v>
      </c>
      <c r="G257" s="47"/>
      <c r="H257"/>
      <c r="I257" s="32"/>
      <c r="J257" s="47"/>
      <c r="K257" s="47"/>
      <c r="L257" s="48"/>
      <c r="M257" s="47"/>
      <c r="N257" s="47"/>
      <c r="O257" s="47"/>
      <c r="P257" s="47"/>
      <c r="Q257" s="47"/>
      <c r="R257" s="47"/>
      <c r="S257" s="48"/>
      <c r="T257" s="47"/>
      <c r="U257" s="47"/>
      <c r="V257" s="47"/>
      <c r="W257" s="47"/>
      <c r="X257" s="47"/>
      <c r="Y257" s="47"/>
      <c r="Z257" s="47"/>
      <c r="AA257" s="49"/>
      <c r="AB257" s="49"/>
      <c r="AC257" s="49"/>
      <c r="AD257" s="50"/>
      <c r="AE257" s="47"/>
      <c r="AF257" s="47"/>
      <c r="AG257"/>
      <c r="AH257"/>
      <c r="AI257"/>
      <c r="AJ257"/>
      <c r="AK257"/>
      <c r="AL257"/>
      <c r="AM257"/>
      <c r="AN257"/>
      <c r="AO257"/>
      <c r="AP257"/>
      <c r="AQ257" t="s">
        <v>803</v>
      </c>
      <c r="AU257">
        <v>253</v>
      </c>
    </row>
    <row r="258" spans="1:47" x14ac:dyDescent="0.2">
      <c r="A258" s="37">
        <v>5687</v>
      </c>
      <c r="B258" s="38"/>
      <c r="C258" s="39" t="s">
        <v>253</v>
      </c>
      <c r="D258" s="29"/>
      <c r="E258" s="38" t="s">
        <v>807</v>
      </c>
      <c r="F258" s="32" t="s">
        <v>808</v>
      </c>
      <c r="G258" s="47"/>
      <c r="H258"/>
      <c r="I258" s="32"/>
      <c r="J258" s="47"/>
      <c r="K258" s="47"/>
      <c r="L258" s="48"/>
      <c r="M258" s="47"/>
      <c r="N258" s="47"/>
      <c r="O258" s="47"/>
      <c r="P258" s="47"/>
      <c r="Q258" s="47"/>
      <c r="R258" s="47"/>
      <c r="S258" s="48"/>
      <c r="T258" s="47"/>
      <c r="U258" s="47"/>
      <c r="V258" s="47"/>
      <c r="W258" s="47"/>
      <c r="X258" s="47"/>
      <c r="Y258" s="47"/>
      <c r="Z258" s="47"/>
      <c r="AA258" s="49"/>
      <c r="AB258" s="49"/>
      <c r="AC258" s="49"/>
      <c r="AD258" s="50"/>
      <c r="AE258" s="47"/>
      <c r="AF258" s="47"/>
      <c r="AG258"/>
      <c r="AH258"/>
      <c r="AI258"/>
      <c r="AJ258"/>
      <c r="AK258"/>
      <c r="AL258"/>
      <c r="AM258"/>
      <c r="AN258"/>
      <c r="AO258"/>
      <c r="AP258"/>
      <c r="AQ258" t="s">
        <v>803</v>
      </c>
      <c r="AU258">
        <v>254</v>
      </c>
    </row>
    <row r="259" spans="1:47" x14ac:dyDescent="0.2">
      <c r="A259" s="37">
        <v>5687</v>
      </c>
      <c r="B259" s="38"/>
      <c r="C259" s="39" t="s">
        <v>253</v>
      </c>
      <c r="D259" s="29"/>
      <c r="E259" s="38" t="s">
        <v>809</v>
      </c>
      <c r="F259" s="32" t="s">
        <v>810</v>
      </c>
      <c r="G259" s="47"/>
      <c r="H259"/>
      <c r="I259" s="32"/>
      <c r="J259" s="47"/>
      <c r="K259" s="47"/>
      <c r="L259" s="48"/>
      <c r="M259" s="47"/>
      <c r="N259" s="47"/>
      <c r="O259" s="47"/>
      <c r="P259" s="47"/>
      <c r="Q259" s="47"/>
      <c r="R259" s="47"/>
      <c r="S259" s="48"/>
      <c r="T259" s="47"/>
      <c r="U259" s="47"/>
      <c r="V259" s="47"/>
      <c r="W259" s="47"/>
      <c r="X259" s="47"/>
      <c r="Y259" s="47"/>
      <c r="Z259" s="47"/>
      <c r="AA259" s="49"/>
      <c r="AB259" s="49"/>
      <c r="AC259" s="49"/>
      <c r="AD259" s="50"/>
      <c r="AE259" s="47"/>
      <c r="AF259" s="47"/>
      <c r="AG259"/>
      <c r="AH259"/>
      <c r="AI259"/>
      <c r="AJ259"/>
      <c r="AK259"/>
      <c r="AL259"/>
      <c r="AM259"/>
      <c r="AN259"/>
      <c r="AO259"/>
      <c r="AP259"/>
      <c r="AQ259" t="s">
        <v>803</v>
      </c>
      <c r="AU259">
        <v>255</v>
      </c>
    </row>
    <row r="260" spans="1:47" x14ac:dyDescent="0.2">
      <c r="A260" s="37">
        <v>5687</v>
      </c>
      <c r="B260" s="38"/>
      <c r="C260" s="39" t="s">
        <v>253</v>
      </c>
      <c r="D260" s="29"/>
      <c r="E260" s="38" t="s">
        <v>811</v>
      </c>
      <c r="F260" s="32" t="s">
        <v>150</v>
      </c>
      <c r="G260" s="47"/>
      <c r="H260"/>
      <c r="I260" s="32"/>
      <c r="J260" s="47"/>
      <c r="K260" s="47"/>
      <c r="L260" s="48"/>
      <c r="M260" s="47"/>
      <c r="N260" s="47"/>
      <c r="O260" s="47"/>
      <c r="P260" s="47"/>
      <c r="Q260" s="47"/>
      <c r="R260" s="47"/>
      <c r="S260" s="48"/>
      <c r="T260" s="47"/>
      <c r="U260" s="47"/>
      <c r="V260" s="47"/>
      <c r="W260" s="47"/>
      <c r="X260" s="47"/>
      <c r="Y260" s="47"/>
      <c r="Z260" s="47"/>
      <c r="AA260" s="49"/>
      <c r="AB260" s="49"/>
      <c r="AC260" s="49"/>
      <c r="AD260" s="50"/>
      <c r="AE260" s="47"/>
      <c r="AF260" s="47"/>
      <c r="AG260"/>
      <c r="AH260"/>
      <c r="AI260"/>
      <c r="AJ260"/>
      <c r="AK260"/>
      <c r="AL260"/>
      <c r="AM260"/>
      <c r="AN260"/>
      <c r="AO260"/>
      <c r="AP260"/>
      <c r="AQ260" t="s">
        <v>803</v>
      </c>
      <c r="AU260">
        <v>256</v>
      </c>
    </row>
    <row r="261" spans="1:47" x14ac:dyDescent="0.2">
      <c r="A261" s="37">
        <v>5688</v>
      </c>
      <c r="B261" s="38" t="s">
        <v>85</v>
      </c>
      <c r="C261" s="39" t="s">
        <v>253</v>
      </c>
      <c r="D261" s="29"/>
      <c r="E261" s="38" t="s">
        <v>812</v>
      </c>
      <c r="F261" s="32" t="s">
        <v>813</v>
      </c>
      <c r="G261" s="47"/>
      <c r="H261"/>
      <c r="I261" s="32" t="s">
        <v>814</v>
      </c>
      <c r="J261" s="47"/>
      <c r="K261" s="47"/>
      <c r="L261" s="48"/>
      <c r="M261" s="47"/>
      <c r="N261" s="47"/>
      <c r="O261" s="47"/>
      <c r="P261" s="47"/>
      <c r="Q261" s="47"/>
      <c r="R261" s="47"/>
      <c r="S261" s="48"/>
      <c r="T261" s="47"/>
      <c r="U261" s="47"/>
      <c r="V261" s="47"/>
      <c r="W261" s="47"/>
      <c r="X261" s="47"/>
      <c r="Y261" s="47"/>
      <c r="Z261" s="47"/>
      <c r="AA261" s="49"/>
      <c r="AB261" s="49"/>
      <c r="AC261" s="49"/>
      <c r="AD261" s="50"/>
      <c r="AE261" s="47"/>
      <c r="AF261" s="47"/>
      <c r="AG261"/>
      <c r="AH261"/>
      <c r="AI261"/>
      <c r="AJ261"/>
      <c r="AK261"/>
      <c r="AL261"/>
      <c r="AM261"/>
      <c r="AN261"/>
      <c r="AO261"/>
      <c r="AP261"/>
      <c r="AQ261" t="s">
        <v>803</v>
      </c>
      <c r="AU261">
        <v>257</v>
      </c>
    </row>
    <row r="262" spans="1:47" x14ac:dyDescent="0.2">
      <c r="A262" s="37">
        <v>5688</v>
      </c>
      <c r="B262" s="38" t="s">
        <v>85</v>
      </c>
      <c r="C262" s="39" t="s">
        <v>253</v>
      </c>
      <c r="D262" s="29"/>
      <c r="E262" s="38" t="s">
        <v>815</v>
      </c>
      <c r="F262" s="32" t="s">
        <v>150</v>
      </c>
      <c r="G262" s="47"/>
      <c r="H262"/>
      <c r="I262" s="32" t="s">
        <v>816</v>
      </c>
      <c r="J262" s="47"/>
      <c r="K262" s="47"/>
      <c r="L262" s="48"/>
      <c r="M262" s="47"/>
      <c r="N262" s="47"/>
      <c r="O262" s="47"/>
      <c r="P262" s="47"/>
      <c r="Q262" s="47"/>
      <c r="R262" s="47"/>
      <c r="S262" s="48"/>
      <c r="T262" s="47"/>
      <c r="U262" s="47"/>
      <c r="V262" s="47"/>
      <c r="W262" s="47"/>
      <c r="X262" s="47"/>
      <c r="Y262" s="47"/>
      <c r="Z262" s="47"/>
      <c r="AA262" s="49"/>
      <c r="AB262" s="49"/>
      <c r="AC262" s="49"/>
      <c r="AD262" s="50"/>
      <c r="AE262" s="47"/>
      <c r="AF262" s="47"/>
      <c r="AG262"/>
      <c r="AH262"/>
      <c r="AI262"/>
      <c r="AJ262"/>
      <c r="AK262"/>
      <c r="AL262"/>
      <c r="AM262"/>
      <c r="AN262"/>
      <c r="AO262"/>
      <c r="AP262"/>
      <c r="AQ262" t="s">
        <v>803</v>
      </c>
      <c r="AU262">
        <v>258</v>
      </c>
    </row>
    <row r="263" spans="1:47" x14ac:dyDescent="0.2">
      <c r="A263" s="37">
        <v>5688</v>
      </c>
      <c r="B263" s="38" t="s">
        <v>85</v>
      </c>
      <c r="C263" s="39" t="s">
        <v>253</v>
      </c>
      <c r="D263" s="29"/>
      <c r="E263" s="38" t="s">
        <v>817</v>
      </c>
      <c r="F263" s="32" t="s">
        <v>818</v>
      </c>
      <c r="G263" s="47"/>
      <c r="H263"/>
      <c r="I263" s="32" t="s">
        <v>816</v>
      </c>
      <c r="J263" s="47"/>
      <c r="K263" s="47"/>
      <c r="L263" s="48"/>
      <c r="M263" s="47"/>
      <c r="N263" s="47"/>
      <c r="O263" s="47"/>
      <c r="P263" s="47"/>
      <c r="Q263" s="47"/>
      <c r="R263" s="47"/>
      <c r="S263" s="48"/>
      <c r="T263" s="47"/>
      <c r="U263" s="47"/>
      <c r="V263" s="47"/>
      <c r="W263" s="47"/>
      <c r="X263" s="47"/>
      <c r="Y263" s="47"/>
      <c r="Z263" s="47"/>
      <c r="AA263" s="49"/>
      <c r="AB263" s="49"/>
      <c r="AC263" s="49"/>
      <c r="AD263" s="50"/>
      <c r="AE263" s="47"/>
      <c r="AF263" s="47"/>
      <c r="AG263"/>
      <c r="AH263"/>
      <c r="AI263"/>
      <c r="AJ263"/>
      <c r="AK263"/>
      <c r="AL263"/>
      <c r="AM263"/>
      <c r="AN263"/>
      <c r="AO263"/>
      <c r="AP263"/>
      <c r="AQ263" t="s">
        <v>803</v>
      </c>
      <c r="AU263">
        <v>259</v>
      </c>
    </row>
    <row r="264" spans="1:47" x14ac:dyDescent="0.2">
      <c r="A264" s="37">
        <v>5688</v>
      </c>
      <c r="B264" s="38"/>
      <c r="C264" s="39" t="s">
        <v>253</v>
      </c>
      <c r="D264" s="29"/>
      <c r="E264" s="38" t="s">
        <v>325</v>
      </c>
      <c r="F264" s="32" t="s">
        <v>150</v>
      </c>
      <c r="G264" s="47"/>
      <c r="H264"/>
      <c r="I264" s="32"/>
      <c r="J264" s="47"/>
      <c r="K264" s="47"/>
      <c r="L264" s="48"/>
      <c r="M264" s="47"/>
      <c r="N264" s="47"/>
      <c r="O264" s="47"/>
      <c r="P264" s="47"/>
      <c r="Q264" s="47"/>
      <c r="R264" s="47"/>
      <c r="S264" s="48"/>
      <c r="T264" s="47"/>
      <c r="U264" s="47"/>
      <c r="V264" s="47"/>
      <c r="W264" s="47"/>
      <c r="X264" s="47"/>
      <c r="Y264" s="47"/>
      <c r="Z264" s="47"/>
      <c r="AA264" s="49"/>
      <c r="AB264" s="49"/>
      <c r="AC264" s="49"/>
      <c r="AD264" s="50"/>
      <c r="AE264" s="47"/>
      <c r="AF264" s="47"/>
      <c r="AG264"/>
      <c r="AH264"/>
      <c r="AI264"/>
      <c r="AJ264"/>
      <c r="AK264"/>
      <c r="AL264"/>
      <c r="AM264"/>
      <c r="AN264"/>
      <c r="AO264"/>
      <c r="AP264"/>
      <c r="AQ264" t="s">
        <v>803</v>
      </c>
      <c r="AU264">
        <v>260</v>
      </c>
    </row>
    <row r="265" spans="1:47" x14ac:dyDescent="0.2">
      <c r="A265" s="37">
        <v>5688</v>
      </c>
      <c r="B265" s="38"/>
      <c r="C265" s="39" t="s">
        <v>253</v>
      </c>
      <c r="D265" s="29"/>
      <c r="E265" s="38" t="s">
        <v>819</v>
      </c>
      <c r="F265" s="32" t="s">
        <v>150</v>
      </c>
      <c r="G265" s="47"/>
      <c r="H265"/>
      <c r="I265" s="32" t="s">
        <v>820</v>
      </c>
      <c r="J265" s="47"/>
      <c r="K265" s="47"/>
      <c r="L265" s="48"/>
      <c r="M265" s="47"/>
      <c r="N265" s="47"/>
      <c r="O265" s="47"/>
      <c r="P265" s="47"/>
      <c r="Q265" s="47"/>
      <c r="R265" s="47"/>
      <c r="S265" s="48"/>
      <c r="T265" s="47"/>
      <c r="U265" s="47"/>
      <c r="V265" s="47"/>
      <c r="W265" s="47"/>
      <c r="X265" s="47"/>
      <c r="Y265" s="47"/>
      <c r="Z265" s="47"/>
      <c r="AA265" s="49"/>
      <c r="AB265" s="49"/>
      <c r="AC265" s="49"/>
      <c r="AD265" s="50"/>
      <c r="AE265" s="47"/>
      <c r="AF265" s="47"/>
      <c r="AG265"/>
      <c r="AH265"/>
      <c r="AI265"/>
      <c r="AJ265"/>
      <c r="AK265"/>
      <c r="AL265"/>
      <c r="AM265"/>
      <c r="AN265"/>
      <c r="AO265"/>
      <c r="AP265"/>
      <c r="AQ265" t="s">
        <v>803</v>
      </c>
      <c r="AU265">
        <v>261</v>
      </c>
    </row>
    <row r="266" spans="1:47" x14ac:dyDescent="0.2">
      <c r="A266" s="37">
        <v>5689</v>
      </c>
      <c r="B266" s="38" t="s">
        <v>45</v>
      </c>
      <c r="C266" s="39" t="s">
        <v>134</v>
      </c>
      <c r="D266" s="29"/>
      <c r="E266" s="38" t="s">
        <v>821</v>
      </c>
      <c r="F266" s="32" t="s">
        <v>802</v>
      </c>
      <c r="G266" s="47" t="s">
        <v>627</v>
      </c>
      <c r="H266"/>
      <c r="I266" s="32" t="s">
        <v>822</v>
      </c>
      <c r="J266" s="47"/>
      <c r="K266" s="47">
        <f>(2*43+2*8)*2.2</f>
        <v>224.4</v>
      </c>
      <c r="L266" s="48">
        <v>1</v>
      </c>
      <c r="M266" s="47"/>
      <c r="N266" s="47"/>
      <c r="O266" s="47"/>
      <c r="P266" s="47"/>
      <c r="Q266" s="47"/>
      <c r="R266" s="47"/>
      <c r="S266" s="48">
        <v>1</v>
      </c>
      <c r="T266" s="47">
        <v>0</v>
      </c>
      <c r="U266" s="47">
        <v>0</v>
      </c>
      <c r="V266" s="47">
        <v>0</v>
      </c>
      <c r="W266" s="47">
        <f>1200*39.37/12</f>
        <v>3937</v>
      </c>
      <c r="X266" s="47"/>
      <c r="Y266" s="47" t="s">
        <v>51</v>
      </c>
      <c r="Z266" s="47" t="s">
        <v>675</v>
      </c>
      <c r="AA266" s="49">
        <v>0.875</v>
      </c>
      <c r="AB266" s="49">
        <v>0.95138888888888884</v>
      </c>
      <c r="AC266" s="49">
        <f>AVERAGE(AA266:AB266)</f>
        <v>0.91319444444444442</v>
      </c>
      <c r="AD266" s="50">
        <f>(AB266-AA266)*24</f>
        <v>1.8333333333333321</v>
      </c>
      <c r="AE266" s="71" t="s">
        <v>132</v>
      </c>
      <c r="AF266" s="47">
        <v>35</v>
      </c>
      <c r="AG266"/>
      <c r="AH266"/>
      <c r="AI266"/>
      <c r="AJ266"/>
      <c r="AK266">
        <v>4</v>
      </c>
      <c r="AL266"/>
      <c r="AM266"/>
      <c r="AN266"/>
      <c r="AO266"/>
      <c r="AP266"/>
      <c r="AQ266" t="s">
        <v>823</v>
      </c>
      <c r="AU266">
        <v>262</v>
      </c>
    </row>
    <row r="267" spans="1:47" x14ac:dyDescent="0.2">
      <c r="A267" s="37">
        <v>5689</v>
      </c>
      <c r="B267" s="38" t="s">
        <v>45</v>
      </c>
      <c r="C267" s="39" t="s">
        <v>134</v>
      </c>
      <c r="D267" s="29"/>
      <c r="E267" s="38" t="s">
        <v>824</v>
      </c>
      <c r="F267" s="52" t="s">
        <v>150</v>
      </c>
      <c r="G267" s="47" t="s">
        <v>49</v>
      </c>
      <c r="H267"/>
      <c r="I267" s="32" t="s">
        <v>825</v>
      </c>
      <c r="J267" s="47"/>
      <c r="K267" s="47">
        <f>(6*43+6*8)*2.2</f>
        <v>673.2</v>
      </c>
      <c r="L267" s="48">
        <v>10</v>
      </c>
      <c r="M267" s="47"/>
      <c r="N267" s="47">
        <v>7</v>
      </c>
      <c r="O267" s="47"/>
      <c r="P267" s="47"/>
      <c r="Q267" s="47"/>
      <c r="R267" s="47"/>
      <c r="S267" s="48">
        <v>3</v>
      </c>
      <c r="T267" s="47">
        <v>0</v>
      </c>
      <c r="U267" s="47">
        <v>0</v>
      </c>
      <c r="V267" s="47">
        <v>0</v>
      </c>
      <c r="W267" s="47">
        <f>2300*39.37/12</f>
        <v>7545.916666666667</v>
      </c>
      <c r="X267" s="47"/>
      <c r="Y267" s="47" t="s">
        <v>51</v>
      </c>
      <c r="Z267" s="47" t="s">
        <v>675</v>
      </c>
      <c r="AA267" s="49">
        <v>0.14930555555555555</v>
      </c>
      <c r="AB267" s="49">
        <v>0.27291666666666664</v>
      </c>
      <c r="AC267" s="49">
        <f>AVERAGE(AA267:AB267)</f>
        <v>0.21111111111111108</v>
      </c>
      <c r="AD267" s="50">
        <f>(AB267-AA267)*24</f>
        <v>2.9666666666666659</v>
      </c>
      <c r="AE267" s="71" t="s">
        <v>132</v>
      </c>
      <c r="AF267" s="47">
        <v>83</v>
      </c>
      <c r="AG267"/>
      <c r="AH267"/>
      <c r="AI267"/>
      <c r="AJ267"/>
      <c r="AK267">
        <v>12</v>
      </c>
      <c r="AL267"/>
      <c r="AM267"/>
      <c r="AN267"/>
      <c r="AO267"/>
      <c r="AP267"/>
      <c r="AQ267" t="s">
        <v>826</v>
      </c>
      <c r="AU267">
        <v>263</v>
      </c>
    </row>
    <row r="268" spans="1:47" x14ac:dyDescent="0.2">
      <c r="A268" s="37">
        <v>5690</v>
      </c>
      <c r="B268" s="38" t="s">
        <v>85</v>
      </c>
      <c r="C268" s="39" t="s">
        <v>142</v>
      </c>
      <c r="D268" s="29"/>
      <c r="E268" s="38" t="s">
        <v>812</v>
      </c>
      <c r="F268" s="32" t="s">
        <v>827</v>
      </c>
      <c r="G268" s="47" t="s">
        <v>459</v>
      </c>
      <c r="H268"/>
      <c r="I268" s="32" t="s">
        <v>828</v>
      </c>
      <c r="J268" s="47"/>
      <c r="K268" s="47">
        <f>(45*8+1*8)*2.2</f>
        <v>809.6</v>
      </c>
      <c r="L268" s="48">
        <v>22</v>
      </c>
      <c r="M268" s="47">
        <v>14</v>
      </c>
      <c r="N268" s="47"/>
      <c r="O268" s="47"/>
      <c r="P268" s="47"/>
      <c r="Q268" s="47"/>
      <c r="R268" s="47"/>
      <c r="S268" s="48">
        <v>8</v>
      </c>
      <c r="T268" s="47">
        <v>0</v>
      </c>
      <c r="U268" s="47">
        <v>0</v>
      </c>
      <c r="V268" s="47">
        <v>0</v>
      </c>
      <c r="W268" s="47"/>
      <c r="X268" s="47"/>
      <c r="Y268" s="47" t="s">
        <v>51</v>
      </c>
      <c r="Z268" s="31" t="s">
        <v>146</v>
      </c>
      <c r="AA268" s="49">
        <v>0.3</v>
      </c>
      <c r="AB268" s="49"/>
      <c r="AC268" s="49"/>
      <c r="AD268" s="50"/>
      <c r="AE268" s="47" t="s">
        <v>342</v>
      </c>
      <c r="AF268" s="47">
        <v>120</v>
      </c>
      <c r="AG268"/>
      <c r="AH268"/>
      <c r="AI268"/>
      <c r="AJ268"/>
      <c r="AK268">
        <v>45</v>
      </c>
      <c r="AL268"/>
      <c r="AM268"/>
      <c r="AN268"/>
      <c r="AO268"/>
      <c r="AP268"/>
      <c r="AQ268" t="s">
        <v>829</v>
      </c>
      <c r="AU268">
        <v>264</v>
      </c>
    </row>
    <row r="269" spans="1:47" x14ac:dyDescent="0.2">
      <c r="A269" s="37">
        <v>5690</v>
      </c>
      <c r="B269" s="38" t="s">
        <v>85</v>
      </c>
      <c r="C269" s="39" t="s">
        <v>346</v>
      </c>
      <c r="D269" s="29"/>
      <c r="E269" s="38" t="s">
        <v>830</v>
      </c>
      <c r="F269" s="32" t="s">
        <v>831</v>
      </c>
      <c r="G269" s="47" t="s">
        <v>73</v>
      </c>
      <c r="H269"/>
      <c r="I269" s="32" t="s">
        <v>832</v>
      </c>
      <c r="J269" s="47"/>
      <c r="K269" s="47">
        <f>(11*8+37*8)*2.2</f>
        <v>844.80000000000007</v>
      </c>
      <c r="L269" s="48">
        <v>16</v>
      </c>
      <c r="M269" s="47">
        <v>7</v>
      </c>
      <c r="N269" s="47"/>
      <c r="O269" s="47"/>
      <c r="P269" s="47">
        <v>2</v>
      </c>
      <c r="Q269" s="47"/>
      <c r="R269" s="47"/>
      <c r="S269" s="48">
        <v>9</v>
      </c>
      <c r="T269" s="47">
        <v>0</v>
      </c>
      <c r="U269" s="47">
        <v>0</v>
      </c>
      <c r="V269" s="47">
        <v>1</v>
      </c>
      <c r="W269" s="47"/>
      <c r="X269" s="47"/>
      <c r="Y269" s="47" t="s">
        <v>120</v>
      </c>
      <c r="Z269" s="47" t="s">
        <v>146</v>
      </c>
      <c r="AA269" s="49">
        <v>0.26250000000000001</v>
      </c>
      <c r="AB269" s="49">
        <v>0.46111111111111108</v>
      </c>
      <c r="AC269" s="49">
        <f>AVERAGE(AA269:AB269)</f>
        <v>0.36180555555555555</v>
      </c>
      <c r="AD269" s="50">
        <f>(AB269-AA269)*24</f>
        <v>4.7666666666666657</v>
      </c>
      <c r="AE269" s="31" t="s">
        <v>342</v>
      </c>
      <c r="AF269" s="47">
        <v>120</v>
      </c>
      <c r="AG269"/>
      <c r="AH269"/>
      <c r="AI269"/>
      <c r="AJ269"/>
      <c r="AK269">
        <v>48</v>
      </c>
      <c r="AL269"/>
      <c r="AM269"/>
      <c r="AN269"/>
      <c r="AO269"/>
      <c r="AP269"/>
      <c r="AQ269" t="s">
        <v>833</v>
      </c>
      <c r="AU269">
        <v>265</v>
      </c>
    </row>
    <row r="270" spans="1:47" x14ac:dyDescent="0.2">
      <c r="A270" s="37">
        <v>5690</v>
      </c>
      <c r="B270" s="38" t="s">
        <v>85</v>
      </c>
      <c r="C270" s="39" t="s">
        <v>332</v>
      </c>
      <c r="D270" s="29"/>
      <c r="E270" s="38" t="s">
        <v>834</v>
      </c>
      <c r="F270" s="32" t="s">
        <v>835</v>
      </c>
      <c r="G270" s="47" t="s">
        <v>69</v>
      </c>
      <c r="H270"/>
      <c r="I270" s="32" t="s">
        <v>836</v>
      </c>
      <c r="J270" s="47"/>
      <c r="K270" s="47"/>
      <c r="L270" s="48"/>
      <c r="M270" s="47"/>
      <c r="N270" s="47"/>
      <c r="O270" s="47"/>
      <c r="P270" s="47"/>
      <c r="Q270" s="47"/>
      <c r="R270" s="47"/>
      <c r="S270" s="48"/>
      <c r="T270" s="47"/>
      <c r="U270" s="47"/>
      <c r="V270" s="47"/>
      <c r="W270" s="47"/>
      <c r="X270" s="47"/>
      <c r="Y270" s="47"/>
      <c r="Z270" s="47" t="s">
        <v>146</v>
      </c>
      <c r="AA270" s="49"/>
      <c r="AB270" s="49"/>
      <c r="AC270" s="49"/>
      <c r="AD270" s="50"/>
      <c r="AE270" s="47" t="s">
        <v>342</v>
      </c>
      <c r="AF270" s="47">
        <v>85</v>
      </c>
      <c r="AG270"/>
      <c r="AH270"/>
      <c r="AI270"/>
      <c r="AJ270"/>
      <c r="AK270"/>
      <c r="AL270"/>
      <c r="AM270"/>
      <c r="AN270"/>
      <c r="AO270"/>
      <c r="AP270"/>
      <c r="AQ270" t="s">
        <v>335</v>
      </c>
      <c r="AU270">
        <v>266</v>
      </c>
    </row>
    <row r="271" spans="1:47" x14ac:dyDescent="0.2">
      <c r="A271" s="26">
        <v>5690</v>
      </c>
      <c r="B271" s="27">
        <v>0.45833333333333331</v>
      </c>
      <c r="C271" s="28"/>
      <c r="D271" s="29"/>
      <c r="E271" s="30" t="s">
        <v>631</v>
      </c>
      <c r="H271" s="32">
        <v>0</v>
      </c>
      <c r="I271" s="32" t="s">
        <v>837</v>
      </c>
      <c r="AG271" s="32">
        <v>0</v>
      </c>
      <c r="AH271" s="32">
        <v>0</v>
      </c>
      <c r="AI271" s="32">
        <v>0</v>
      </c>
      <c r="AK271" s="32">
        <v>0</v>
      </c>
      <c r="AL271" s="32">
        <v>0.67</v>
      </c>
      <c r="AP271" s="32">
        <v>0.67</v>
      </c>
      <c r="AQ271" s="32">
        <v>464</v>
      </c>
      <c r="AU271">
        <v>267</v>
      </c>
    </row>
    <row r="272" spans="1:47" x14ac:dyDescent="0.2">
      <c r="A272" s="37">
        <v>5690</v>
      </c>
      <c r="B272" s="38" t="s">
        <v>45</v>
      </c>
      <c r="C272" s="39" t="s">
        <v>134</v>
      </c>
      <c r="D272" s="29"/>
      <c r="E272" s="38" t="s">
        <v>325</v>
      </c>
      <c r="F272" s="52" t="s">
        <v>838</v>
      </c>
      <c r="G272" s="47" t="s">
        <v>73</v>
      </c>
      <c r="H272"/>
      <c r="I272" s="32" t="b">
        <v>1</v>
      </c>
      <c r="J272" s="47" t="b">
        <v>1</v>
      </c>
      <c r="K272" s="47">
        <f>(8*43+8*8)*2.2</f>
        <v>897.6</v>
      </c>
      <c r="L272" s="48">
        <v>6</v>
      </c>
      <c r="M272" s="47"/>
      <c r="N272" s="47">
        <v>2</v>
      </c>
      <c r="O272" s="47"/>
      <c r="P272" s="47"/>
      <c r="Q272" s="47"/>
      <c r="R272" s="47"/>
      <c r="S272" s="48">
        <v>4</v>
      </c>
      <c r="T272" s="47">
        <v>1</v>
      </c>
      <c r="U272" s="47">
        <v>0</v>
      </c>
      <c r="V272" s="47">
        <v>0</v>
      </c>
      <c r="W272" s="47">
        <f>2250*39.37/12</f>
        <v>7381.875</v>
      </c>
      <c r="X272" s="47"/>
      <c r="Y272" s="47" t="s">
        <v>51</v>
      </c>
      <c r="Z272" s="47" t="s">
        <v>675</v>
      </c>
      <c r="AA272" s="49">
        <v>0.13194444444444445</v>
      </c>
      <c r="AB272" s="49">
        <v>0.2673611111111111</v>
      </c>
      <c r="AC272" s="49">
        <f>AVERAGE(AA272:AB272)</f>
        <v>0.19965277777777779</v>
      </c>
      <c r="AD272" s="50">
        <f>(AB272-AA272)*24</f>
        <v>3.25</v>
      </c>
      <c r="AE272" s="71" t="s">
        <v>132</v>
      </c>
      <c r="AF272" s="47">
        <v>83</v>
      </c>
      <c r="AG272"/>
      <c r="AH272"/>
      <c r="AI272"/>
      <c r="AJ272"/>
      <c r="AK272">
        <v>16</v>
      </c>
      <c r="AL272"/>
      <c r="AM272"/>
      <c r="AN272"/>
      <c r="AO272"/>
      <c r="AP272"/>
      <c r="AQ272" t="s">
        <v>839</v>
      </c>
      <c r="AR272" s="32" t="s">
        <v>840</v>
      </c>
      <c r="AU272">
        <v>268</v>
      </c>
    </row>
    <row r="273" spans="1:47" x14ac:dyDescent="0.2">
      <c r="A273" s="37">
        <v>5690</v>
      </c>
      <c r="B273" s="38" t="s">
        <v>45</v>
      </c>
      <c r="C273" s="39" t="s">
        <v>134</v>
      </c>
      <c r="D273" s="29"/>
      <c r="E273" s="38" t="s">
        <v>325</v>
      </c>
      <c r="F273" s="32" t="s">
        <v>150</v>
      </c>
      <c r="G273" s="47" t="s">
        <v>49</v>
      </c>
      <c r="H273"/>
      <c r="I273" s="32" t="b">
        <v>0</v>
      </c>
      <c r="J273" s="47" t="b">
        <v>0</v>
      </c>
      <c r="K273" s="47">
        <f>(4*43+4*8)*2.2</f>
        <v>448.8</v>
      </c>
      <c r="L273" s="48"/>
      <c r="M273" s="47"/>
      <c r="N273" s="47"/>
      <c r="O273" s="47"/>
      <c r="P273" s="47"/>
      <c r="Q273" s="47"/>
      <c r="R273" s="47"/>
      <c r="S273" s="48">
        <v>2</v>
      </c>
      <c r="T273" s="47"/>
      <c r="U273" s="47"/>
      <c r="V273" s="47"/>
      <c r="W273" s="47">
        <f>2250*39.37/12</f>
        <v>7381.875</v>
      </c>
      <c r="X273" s="47"/>
      <c r="Y273" s="47" t="s">
        <v>51</v>
      </c>
      <c r="Z273" s="47" t="s">
        <v>675</v>
      </c>
      <c r="AA273" s="49">
        <v>0.13194444444444445</v>
      </c>
      <c r="AB273" s="49">
        <v>0.2673611111111111</v>
      </c>
      <c r="AC273" s="49">
        <f>AVERAGE(AA273:AB273)</f>
        <v>0.19965277777777779</v>
      </c>
      <c r="AD273" s="50">
        <f>(AB273-AA273)*24</f>
        <v>3.25</v>
      </c>
      <c r="AE273" s="71" t="s">
        <v>132</v>
      </c>
      <c r="AF273" s="47">
        <v>83</v>
      </c>
      <c r="AG273"/>
      <c r="AH273"/>
      <c r="AI273"/>
      <c r="AJ273"/>
      <c r="AK273">
        <v>8</v>
      </c>
      <c r="AL273"/>
      <c r="AM273"/>
      <c r="AN273"/>
      <c r="AO273"/>
      <c r="AP273"/>
      <c r="AQ273" t="s">
        <v>839</v>
      </c>
      <c r="AU273">
        <v>269</v>
      </c>
    </row>
    <row r="274" spans="1:47" x14ac:dyDescent="0.2">
      <c r="A274" s="37">
        <v>5690</v>
      </c>
      <c r="B274" s="38" t="s">
        <v>45</v>
      </c>
      <c r="C274" s="39" t="s">
        <v>134</v>
      </c>
      <c r="D274" s="29"/>
      <c r="E274" s="38" t="s">
        <v>325</v>
      </c>
      <c r="F274" s="32" t="s">
        <v>841</v>
      </c>
      <c r="G274" s="47" t="s">
        <v>459</v>
      </c>
      <c r="H274"/>
      <c r="I274" s="32" t="b">
        <v>0</v>
      </c>
      <c r="J274" s="47" t="b">
        <v>0</v>
      </c>
      <c r="K274" s="47">
        <f>(4*43+4*8)*2.2</f>
        <v>448.8</v>
      </c>
      <c r="L274" s="48"/>
      <c r="M274" s="47"/>
      <c r="N274" s="47"/>
      <c r="O274" s="47"/>
      <c r="P274" s="47"/>
      <c r="Q274" s="47"/>
      <c r="R274" s="47"/>
      <c r="S274" s="48">
        <v>2</v>
      </c>
      <c r="T274" s="47"/>
      <c r="U274" s="47"/>
      <c r="V274" s="47"/>
      <c r="W274" s="47">
        <f>2250*39.37/12</f>
        <v>7381.875</v>
      </c>
      <c r="X274" s="47"/>
      <c r="Y274" s="47" t="s">
        <v>51</v>
      </c>
      <c r="Z274" s="47" t="s">
        <v>675</v>
      </c>
      <c r="AA274" s="49">
        <v>0.13194444444444445</v>
      </c>
      <c r="AB274" s="49">
        <v>0.2673611111111111</v>
      </c>
      <c r="AC274" s="49">
        <f>AVERAGE(AA274:AB274)</f>
        <v>0.19965277777777779</v>
      </c>
      <c r="AD274" s="50">
        <f>(AB274-AA274)*24</f>
        <v>3.25</v>
      </c>
      <c r="AE274" s="71" t="s">
        <v>132</v>
      </c>
      <c r="AF274" s="47">
        <v>83</v>
      </c>
      <c r="AG274"/>
      <c r="AH274"/>
      <c r="AI274"/>
      <c r="AJ274"/>
      <c r="AK274">
        <v>8</v>
      </c>
      <c r="AL274"/>
      <c r="AM274"/>
      <c r="AN274"/>
      <c r="AO274"/>
      <c r="AP274"/>
      <c r="AQ274" t="s">
        <v>839</v>
      </c>
      <c r="AU274">
        <v>270</v>
      </c>
    </row>
    <row r="275" spans="1:47" x14ac:dyDescent="0.2">
      <c r="A275" s="37">
        <v>5691</v>
      </c>
      <c r="B275" s="38" t="s">
        <v>85</v>
      </c>
      <c r="C275" s="39" t="s">
        <v>142</v>
      </c>
      <c r="D275" s="29"/>
      <c r="E275" s="38" t="s">
        <v>842</v>
      </c>
      <c r="F275" s="32" t="s">
        <v>843</v>
      </c>
      <c r="G275" s="47" t="s">
        <v>205</v>
      </c>
      <c r="H275"/>
      <c r="I275" s="32" t="s">
        <v>844</v>
      </c>
      <c r="J275" s="47"/>
      <c r="K275" s="47">
        <f>(7+6)*8*2.2</f>
        <v>228.8</v>
      </c>
      <c r="L275" s="48">
        <v>3</v>
      </c>
      <c r="M275" s="47"/>
      <c r="N275" s="47"/>
      <c r="O275" s="47"/>
      <c r="P275" s="47"/>
      <c r="Q275" s="47"/>
      <c r="R275" s="47"/>
      <c r="S275" s="48">
        <v>2</v>
      </c>
      <c r="T275" s="47">
        <v>1</v>
      </c>
      <c r="U275" s="47">
        <v>0</v>
      </c>
      <c r="V275" s="47">
        <v>0</v>
      </c>
      <c r="W275" s="47"/>
      <c r="X275" s="47"/>
      <c r="Y275" s="47" t="s">
        <v>120</v>
      </c>
      <c r="Z275" s="31" t="s">
        <v>146</v>
      </c>
      <c r="AA275" s="49">
        <v>0.71875</v>
      </c>
      <c r="AB275" s="49"/>
      <c r="AC275" s="49"/>
      <c r="AD275" s="50"/>
      <c r="AE275" s="47" t="s">
        <v>342</v>
      </c>
      <c r="AF275" s="47">
        <v>90</v>
      </c>
      <c r="AG275"/>
      <c r="AH275"/>
      <c r="AI275"/>
      <c r="AJ275"/>
      <c r="AK275">
        <v>13</v>
      </c>
      <c r="AL275"/>
      <c r="AM275"/>
      <c r="AN275"/>
      <c r="AO275"/>
      <c r="AP275"/>
      <c r="AQ275" t="s">
        <v>845</v>
      </c>
      <c r="AU275">
        <v>271</v>
      </c>
    </row>
    <row r="276" spans="1:47" x14ac:dyDescent="0.2">
      <c r="A276" s="37">
        <v>5691</v>
      </c>
      <c r="B276" s="38" t="s">
        <v>85</v>
      </c>
      <c r="C276" s="39" t="s">
        <v>332</v>
      </c>
      <c r="D276" s="29"/>
      <c r="E276" s="38" t="s">
        <v>846</v>
      </c>
      <c r="F276" s="32" t="s">
        <v>847</v>
      </c>
      <c r="G276" s="47"/>
      <c r="H276"/>
      <c r="I276" s="32"/>
      <c r="J276" s="47"/>
      <c r="K276" s="47"/>
      <c r="L276" s="48">
        <v>4</v>
      </c>
      <c r="M276" s="47"/>
      <c r="N276" s="47"/>
      <c r="O276" s="47"/>
      <c r="P276" s="47"/>
      <c r="Q276" s="47"/>
      <c r="R276" s="47"/>
      <c r="S276" s="48">
        <v>4</v>
      </c>
      <c r="T276" s="47"/>
      <c r="U276" s="47"/>
      <c r="V276" s="47"/>
      <c r="W276" s="47"/>
      <c r="X276" s="47"/>
      <c r="Y276" s="47"/>
      <c r="Z276" s="47" t="s">
        <v>146</v>
      </c>
      <c r="AA276" s="49"/>
      <c r="AB276" s="49"/>
      <c r="AC276" s="49"/>
      <c r="AD276" s="50"/>
      <c r="AE276" s="47" t="s">
        <v>342</v>
      </c>
      <c r="AF276" s="47">
        <v>35</v>
      </c>
      <c r="AG276"/>
      <c r="AH276"/>
      <c r="AI276"/>
      <c r="AJ276"/>
      <c r="AK276"/>
      <c r="AL276"/>
      <c r="AM276"/>
      <c r="AN276"/>
      <c r="AO276"/>
      <c r="AP276"/>
      <c r="AQ276" t="s">
        <v>848</v>
      </c>
      <c r="AU276">
        <v>272</v>
      </c>
    </row>
    <row r="277" spans="1:47" x14ac:dyDescent="0.2">
      <c r="A277" s="37">
        <v>5691</v>
      </c>
      <c r="B277" s="38"/>
      <c r="C277" s="39" t="s">
        <v>253</v>
      </c>
      <c r="D277" s="29"/>
      <c r="E277" s="38" t="s">
        <v>849</v>
      </c>
      <c r="F277" s="32" t="s">
        <v>150</v>
      </c>
      <c r="G277" s="47"/>
      <c r="H277"/>
      <c r="I277" s="32" t="s">
        <v>850</v>
      </c>
      <c r="J277" s="47"/>
      <c r="K277" s="47"/>
      <c r="L277" s="48"/>
      <c r="M277" s="47"/>
      <c r="N277" s="47"/>
      <c r="O277" s="47"/>
      <c r="P277" s="47"/>
      <c r="Q277" s="47"/>
      <c r="R277" s="47"/>
      <c r="S277" s="48"/>
      <c r="T277" s="47"/>
      <c r="U277" s="47"/>
      <c r="V277" s="47"/>
      <c r="W277" s="47"/>
      <c r="X277" s="47"/>
      <c r="Y277" s="47"/>
      <c r="Z277" s="47"/>
      <c r="AA277" s="49"/>
      <c r="AB277" s="49"/>
      <c r="AC277" s="49"/>
      <c r="AD277" s="50"/>
      <c r="AE277" s="47"/>
      <c r="AF277" s="47"/>
      <c r="AG277"/>
      <c r="AH277"/>
      <c r="AI277"/>
      <c r="AJ277"/>
      <c r="AK277"/>
      <c r="AL277"/>
      <c r="AM277"/>
      <c r="AN277"/>
      <c r="AO277"/>
      <c r="AP277"/>
      <c r="AQ277"/>
      <c r="AU277">
        <v>273</v>
      </c>
    </row>
    <row r="278" spans="1:47" x14ac:dyDescent="0.2">
      <c r="A278" s="37">
        <v>5692</v>
      </c>
      <c r="B278" s="51">
        <v>8.3333333333333329E-2</v>
      </c>
      <c r="C278" s="39" t="s">
        <v>851</v>
      </c>
      <c r="D278" s="29"/>
      <c r="E278" s="38" t="s">
        <v>852</v>
      </c>
      <c r="F278" s="32" t="s">
        <v>170</v>
      </c>
      <c r="G278" s="47"/>
      <c r="H278"/>
      <c r="I278" s="32" t="s">
        <v>853</v>
      </c>
      <c r="J278" s="47"/>
      <c r="K278" s="47">
        <f>1260*2.2</f>
        <v>2772</v>
      </c>
      <c r="L278" s="48">
        <v>12</v>
      </c>
      <c r="M278" s="47"/>
      <c r="N278" s="47">
        <v>1</v>
      </c>
      <c r="O278" s="47"/>
      <c r="P278" s="47"/>
      <c r="Q278" s="47"/>
      <c r="R278" s="47"/>
      <c r="S278" s="48">
        <v>11</v>
      </c>
      <c r="T278" s="47">
        <v>0</v>
      </c>
      <c r="U278" s="47"/>
      <c r="V278" s="47"/>
      <c r="W278" s="47">
        <f>3.28*1900</f>
        <v>6232</v>
      </c>
      <c r="X278" s="47"/>
      <c r="Y278" s="47"/>
      <c r="Z278" s="47"/>
      <c r="AA278" s="49"/>
      <c r="AB278" s="49"/>
      <c r="AC278" s="49"/>
      <c r="AD278" s="50"/>
      <c r="AE278" s="47"/>
      <c r="AF278" s="47"/>
      <c r="AG278"/>
      <c r="AH278"/>
      <c r="AI278"/>
      <c r="AJ278"/>
      <c r="AK278"/>
      <c r="AL278"/>
      <c r="AM278"/>
      <c r="AN278"/>
      <c r="AO278"/>
      <c r="AP278"/>
      <c r="AQ278" t="s">
        <v>854</v>
      </c>
      <c r="AU278">
        <v>274</v>
      </c>
    </row>
    <row r="279" spans="1:47" x14ac:dyDescent="0.2">
      <c r="A279" s="37">
        <v>5695</v>
      </c>
      <c r="B279" s="38" t="s">
        <v>85</v>
      </c>
      <c r="C279" s="39" t="s">
        <v>253</v>
      </c>
      <c r="D279" s="29"/>
      <c r="E279" s="38" t="s">
        <v>855</v>
      </c>
      <c r="F279" s="32" t="s">
        <v>856</v>
      </c>
      <c r="G279" s="47"/>
      <c r="H279"/>
      <c r="I279" s="32" t="s">
        <v>206</v>
      </c>
      <c r="J279" s="47"/>
      <c r="K279" s="47"/>
      <c r="L279" s="48"/>
      <c r="M279" s="47"/>
      <c r="N279" s="47"/>
      <c r="O279" s="47"/>
      <c r="P279" s="47"/>
      <c r="Q279" s="47"/>
      <c r="R279" s="47"/>
      <c r="S279" s="48"/>
      <c r="T279" s="47"/>
      <c r="U279" s="47"/>
      <c r="V279" s="47"/>
      <c r="W279" s="47"/>
      <c r="X279" s="47"/>
      <c r="Y279" s="47"/>
      <c r="Z279" s="47"/>
      <c r="AA279" s="49"/>
      <c r="AB279" s="49"/>
      <c r="AC279" s="49"/>
      <c r="AD279" s="50"/>
      <c r="AE279" s="47"/>
      <c r="AF279" s="47"/>
      <c r="AG279"/>
      <c r="AH279"/>
      <c r="AI279"/>
      <c r="AJ279"/>
      <c r="AK279"/>
      <c r="AL279"/>
      <c r="AM279"/>
      <c r="AN279"/>
      <c r="AO279"/>
      <c r="AP279"/>
      <c r="AQ279" t="s">
        <v>803</v>
      </c>
      <c r="AU279">
        <v>275</v>
      </c>
    </row>
    <row r="280" spans="1:47" x14ac:dyDescent="0.2">
      <c r="A280" s="37">
        <v>5695</v>
      </c>
      <c r="B280" s="38" t="s">
        <v>85</v>
      </c>
      <c r="C280" s="39" t="s">
        <v>253</v>
      </c>
      <c r="D280" s="29"/>
      <c r="E280" s="38" t="s">
        <v>857</v>
      </c>
      <c r="F280" s="32" t="s">
        <v>57</v>
      </c>
      <c r="G280" s="47"/>
      <c r="H280"/>
      <c r="I280" s="32" t="s">
        <v>206</v>
      </c>
      <c r="J280" s="47"/>
      <c r="K280" s="47"/>
      <c r="L280" s="48"/>
      <c r="M280" s="47"/>
      <c r="N280" s="47"/>
      <c r="O280" s="47"/>
      <c r="P280" s="47"/>
      <c r="Q280" s="47"/>
      <c r="R280" s="47"/>
      <c r="S280" s="48"/>
      <c r="T280" s="47"/>
      <c r="U280" s="47"/>
      <c r="V280" s="47"/>
      <c r="W280" s="47"/>
      <c r="X280" s="47"/>
      <c r="Y280" s="47"/>
      <c r="Z280" s="47"/>
      <c r="AA280" s="49"/>
      <c r="AB280" s="49"/>
      <c r="AC280" s="49"/>
      <c r="AD280" s="50"/>
      <c r="AE280" s="47"/>
      <c r="AF280" s="47"/>
      <c r="AG280"/>
      <c r="AH280"/>
      <c r="AI280"/>
      <c r="AJ280"/>
      <c r="AK280"/>
      <c r="AL280"/>
      <c r="AM280"/>
      <c r="AN280"/>
      <c r="AO280"/>
      <c r="AP280"/>
      <c r="AQ280" t="s">
        <v>803</v>
      </c>
      <c r="AU280">
        <v>276</v>
      </c>
    </row>
    <row r="281" spans="1:47" x14ac:dyDescent="0.2">
      <c r="A281" s="37">
        <v>5697</v>
      </c>
      <c r="B281" s="38"/>
      <c r="C281" s="39" t="s">
        <v>253</v>
      </c>
      <c r="D281" s="29"/>
      <c r="E281" s="38" t="s">
        <v>858</v>
      </c>
      <c r="F281" s="32" t="s">
        <v>859</v>
      </c>
      <c r="G281" s="47"/>
      <c r="H281"/>
      <c r="I281" s="32" t="s">
        <v>860</v>
      </c>
      <c r="J281" s="47"/>
      <c r="K281" s="47"/>
      <c r="L281" s="48"/>
      <c r="M281" s="47"/>
      <c r="N281" s="47"/>
      <c r="O281" s="47"/>
      <c r="P281" s="47"/>
      <c r="Q281" s="47"/>
      <c r="R281" s="47"/>
      <c r="S281" s="48"/>
      <c r="T281" s="47"/>
      <c r="U281" s="47"/>
      <c r="V281" s="47"/>
      <c r="W281" s="47"/>
      <c r="X281" s="47"/>
      <c r="Y281" s="47"/>
      <c r="Z281" s="47"/>
      <c r="AA281" s="49"/>
      <c r="AB281" s="49"/>
      <c r="AC281" s="49"/>
      <c r="AD281" s="50"/>
      <c r="AE281" s="47"/>
      <c r="AF281" s="47"/>
      <c r="AG281"/>
      <c r="AH281"/>
      <c r="AI281"/>
      <c r="AJ281"/>
      <c r="AK281"/>
      <c r="AL281"/>
      <c r="AM281"/>
      <c r="AN281"/>
      <c r="AO281"/>
      <c r="AP281"/>
      <c r="AQ281" t="s">
        <v>803</v>
      </c>
      <c r="AU281">
        <v>277</v>
      </c>
    </row>
    <row r="282" spans="1:47" x14ac:dyDescent="0.2">
      <c r="A282" s="37">
        <v>5700</v>
      </c>
      <c r="B282" s="38" t="s">
        <v>85</v>
      </c>
      <c r="C282" s="39" t="s">
        <v>142</v>
      </c>
      <c r="D282" s="29"/>
      <c r="E282" s="38" t="s">
        <v>858</v>
      </c>
      <c r="F282" s="32" t="s">
        <v>150</v>
      </c>
      <c r="G282" s="47" t="s">
        <v>49</v>
      </c>
      <c r="H282"/>
      <c r="I282" s="32" t="s">
        <v>861</v>
      </c>
      <c r="J282" s="47"/>
      <c r="K282" s="47">
        <f>(60*8+4*43)*2.2</f>
        <v>1434.4</v>
      </c>
      <c r="L282" s="48">
        <v>23</v>
      </c>
      <c r="M282" s="47">
        <v>10</v>
      </c>
      <c r="N282" s="47"/>
      <c r="O282" s="47"/>
      <c r="P282" s="47"/>
      <c r="Q282" s="47"/>
      <c r="R282" s="47"/>
      <c r="S282" s="48">
        <v>13</v>
      </c>
      <c r="T282" s="47">
        <v>0</v>
      </c>
      <c r="U282" s="47">
        <v>0</v>
      </c>
      <c r="V282" s="47">
        <v>0</v>
      </c>
      <c r="W282" s="47"/>
      <c r="X282" s="47"/>
      <c r="Y282" s="47" t="s">
        <v>51</v>
      </c>
      <c r="Z282" s="31" t="s">
        <v>146</v>
      </c>
      <c r="AA282" s="49">
        <v>0.18194444444444444</v>
      </c>
      <c r="AB282" s="49">
        <v>0.3611111111111111</v>
      </c>
      <c r="AC282" s="49">
        <f>AVERAGE(AA282:AB282)</f>
        <v>0.27152777777777776</v>
      </c>
      <c r="AD282" s="50">
        <f>(AB282-AA282)*24</f>
        <v>4.3</v>
      </c>
      <c r="AE282" s="47" t="s">
        <v>342</v>
      </c>
      <c r="AF282" s="47">
        <v>80</v>
      </c>
      <c r="AG282"/>
      <c r="AH282"/>
      <c r="AI282"/>
      <c r="AJ282"/>
      <c r="AK282">
        <v>64</v>
      </c>
      <c r="AL282"/>
      <c r="AM282"/>
      <c r="AN282"/>
      <c r="AO282"/>
      <c r="AP282"/>
      <c r="AQ282" t="s">
        <v>862</v>
      </c>
      <c r="AU282">
        <v>278</v>
      </c>
    </row>
    <row r="283" spans="1:47" x14ac:dyDescent="0.2">
      <c r="A283" s="37">
        <v>5700</v>
      </c>
      <c r="B283" s="38" t="s">
        <v>85</v>
      </c>
      <c r="C283" s="39" t="s">
        <v>346</v>
      </c>
      <c r="D283" s="29"/>
      <c r="E283" s="38" t="s">
        <v>863</v>
      </c>
      <c r="F283" s="32" t="s">
        <v>246</v>
      </c>
      <c r="G283" s="47" t="s">
        <v>49</v>
      </c>
      <c r="H283"/>
      <c r="I283" s="31" t="b">
        <v>1</v>
      </c>
      <c r="J283" s="47" t="b">
        <v>1</v>
      </c>
      <c r="K283" s="47">
        <f>739+70</f>
        <v>809</v>
      </c>
      <c r="L283" s="48">
        <v>14</v>
      </c>
      <c r="M283" s="47"/>
      <c r="N283" s="47">
        <v>5</v>
      </c>
      <c r="O283" s="47"/>
      <c r="P283" s="47">
        <v>1</v>
      </c>
      <c r="Q283" s="47"/>
      <c r="R283" s="47"/>
      <c r="S283" s="48">
        <v>9</v>
      </c>
      <c r="T283" s="47">
        <v>0</v>
      </c>
      <c r="U283" s="47">
        <v>0</v>
      </c>
      <c r="V283" s="47">
        <v>0</v>
      </c>
      <c r="W283" s="47"/>
      <c r="X283" s="47"/>
      <c r="Y283" s="47" t="s">
        <v>51</v>
      </c>
      <c r="Z283" s="47" t="s">
        <v>146</v>
      </c>
      <c r="AA283" s="49">
        <v>0.19444444444444445</v>
      </c>
      <c r="AB283" s="49">
        <v>0.35902777777777778</v>
      </c>
      <c r="AC283" s="49">
        <f>AVERAGE(AA283:AB283)</f>
        <v>0.27673611111111113</v>
      </c>
      <c r="AD283" s="50">
        <f>(AB283-AA283)*24</f>
        <v>3.95</v>
      </c>
      <c r="AE283" s="31" t="s">
        <v>342</v>
      </c>
      <c r="AF283" s="47">
        <v>80</v>
      </c>
      <c r="AG283"/>
      <c r="AH283"/>
      <c r="AI283"/>
      <c r="AJ283"/>
      <c r="AK283">
        <f>42+4</f>
        <v>46</v>
      </c>
      <c r="AL283"/>
      <c r="AM283"/>
      <c r="AN283"/>
      <c r="AO283"/>
      <c r="AP283"/>
      <c r="AQ283" t="s">
        <v>864</v>
      </c>
      <c r="AR283" s="32" t="s">
        <v>865</v>
      </c>
      <c r="AU283">
        <v>279</v>
      </c>
    </row>
    <row r="284" spans="1:47" x14ac:dyDescent="0.2">
      <c r="A284" s="37">
        <v>5700</v>
      </c>
      <c r="B284" s="38" t="s">
        <v>85</v>
      </c>
      <c r="C284" s="39" t="s">
        <v>346</v>
      </c>
      <c r="D284" s="29"/>
      <c r="E284" s="38" t="s">
        <v>858</v>
      </c>
      <c r="F284" s="32" t="s">
        <v>150</v>
      </c>
      <c r="G284" s="47" t="s">
        <v>49</v>
      </c>
      <c r="H284"/>
      <c r="I284" s="31" t="b">
        <v>0</v>
      </c>
      <c r="J284" s="47" t="b">
        <v>0</v>
      </c>
      <c r="K284" s="47">
        <f>(36*8+6*8)*2.2</f>
        <v>739.2</v>
      </c>
      <c r="L284" s="48"/>
      <c r="M284" s="47"/>
      <c r="N284" s="47"/>
      <c r="O284" s="47"/>
      <c r="P284" s="47"/>
      <c r="Q284" s="47"/>
      <c r="R284" s="47"/>
      <c r="S284" s="48">
        <v>8</v>
      </c>
      <c r="T284" s="47">
        <v>0</v>
      </c>
      <c r="U284" s="47">
        <v>0</v>
      </c>
      <c r="V284" s="47">
        <v>0</v>
      </c>
      <c r="W284" s="47"/>
      <c r="X284" s="47"/>
      <c r="Y284" s="47" t="s">
        <v>51</v>
      </c>
      <c r="Z284" s="47" t="s">
        <v>146</v>
      </c>
      <c r="AA284" s="49">
        <v>0.19444444444444445</v>
      </c>
      <c r="AB284" s="49">
        <v>0.35902777777777778</v>
      </c>
      <c r="AC284" s="49">
        <f>AVERAGE(AA284:AB284)</f>
        <v>0.27673611111111113</v>
      </c>
      <c r="AD284" s="50">
        <f>(AB284-AA284)*24</f>
        <v>3.95</v>
      </c>
      <c r="AE284" s="31" t="s">
        <v>342</v>
      </c>
      <c r="AF284" s="47">
        <v>80</v>
      </c>
      <c r="AG284"/>
      <c r="AH284"/>
      <c r="AI284"/>
      <c r="AJ284"/>
      <c r="AK284">
        <v>42</v>
      </c>
      <c r="AL284"/>
      <c r="AM284"/>
      <c r="AN284"/>
      <c r="AO284"/>
      <c r="AP284"/>
      <c r="AQ284" t="s">
        <v>864</v>
      </c>
      <c r="AR284" s="32" t="s">
        <v>866</v>
      </c>
      <c r="AU284">
        <v>280</v>
      </c>
    </row>
    <row r="285" spans="1:47" x14ac:dyDescent="0.2">
      <c r="A285" s="37">
        <v>5700</v>
      </c>
      <c r="B285" s="38" t="s">
        <v>85</v>
      </c>
      <c r="C285" s="39" t="s">
        <v>346</v>
      </c>
      <c r="D285" s="29"/>
      <c r="E285" s="38" t="s">
        <v>867</v>
      </c>
      <c r="F285" s="32" t="s">
        <v>150</v>
      </c>
      <c r="G285" s="47" t="s">
        <v>49</v>
      </c>
      <c r="H285"/>
      <c r="I285" s="31" t="b">
        <v>0</v>
      </c>
      <c r="J285" s="47" t="b">
        <v>0</v>
      </c>
      <c r="K285" s="47">
        <f>4*8*2.2</f>
        <v>70.400000000000006</v>
      </c>
      <c r="L285" s="48"/>
      <c r="M285" s="47"/>
      <c r="N285" s="47"/>
      <c r="O285" s="47"/>
      <c r="P285" s="47">
        <v>1</v>
      </c>
      <c r="Q285" s="47"/>
      <c r="R285" s="47"/>
      <c r="S285" s="48">
        <v>1</v>
      </c>
      <c r="T285" s="47">
        <v>0</v>
      </c>
      <c r="U285" s="47">
        <v>0</v>
      </c>
      <c r="V285" s="47">
        <v>0</v>
      </c>
      <c r="W285" s="47"/>
      <c r="X285" s="47"/>
      <c r="Y285" s="47" t="s">
        <v>51</v>
      </c>
      <c r="Z285" s="47" t="s">
        <v>146</v>
      </c>
      <c r="AA285" s="49">
        <v>0.2076388888888889</v>
      </c>
      <c r="AB285" s="49">
        <v>0.3520833333333333</v>
      </c>
      <c r="AC285" s="49">
        <f>AVERAGE(AA285:AB285)</f>
        <v>0.27986111111111112</v>
      </c>
      <c r="AD285" s="50">
        <f>(AB285-AA285)*24</f>
        <v>3.4666666666666659</v>
      </c>
      <c r="AE285" s="31" t="s">
        <v>342</v>
      </c>
      <c r="AF285" s="47">
        <v>90</v>
      </c>
      <c r="AG285"/>
      <c r="AH285"/>
      <c r="AI285"/>
      <c r="AJ285"/>
      <c r="AK285">
        <v>4</v>
      </c>
      <c r="AL285"/>
      <c r="AM285"/>
      <c r="AN285"/>
      <c r="AO285"/>
      <c r="AP285"/>
      <c r="AQ285" t="s">
        <v>864</v>
      </c>
      <c r="AR285" s="32" t="s">
        <v>868</v>
      </c>
      <c r="AU285">
        <v>281</v>
      </c>
    </row>
    <row r="286" spans="1:47" x14ac:dyDescent="0.2">
      <c r="A286" s="26">
        <v>5700</v>
      </c>
      <c r="B286" s="27">
        <v>0.33333333333333331</v>
      </c>
      <c r="C286" s="28"/>
      <c r="D286" s="29"/>
      <c r="E286" s="30" t="s">
        <v>869</v>
      </c>
      <c r="H286" s="32">
        <v>1</v>
      </c>
      <c r="I286" s="32" t="s">
        <v>870</v>
      </c>
      <c r="AG286" s="32">
        <v>1</v>
      </c>
      <c r="AH286" s="32">
        <v>0</v>
      </c>
      <c r="AI286" s="32">
        <v>28468</v>
      </c>
      <c r="AK286" s="32">
        <v>38</v>
      </c>
      <c r="AP286" s="32">
        <f>1/6</f>
        <v>0.16666666666666666</v>
      </c>
      <c r="AQ286" s="32" t="s">
        <v>871</v>
      </c>
      <c r="AU286">
        <v>282</v>
      </c>
    </row>
    <row r="287" spans="1:47" x14ac:dyDescent="0.2">
      <c r="A287" s="26">
        <v>5700</v>
      </c>
      <c r="B287" s="27" t="s">
        <v>85</v>
      </c>
      <c r="C287" s="28"/>
      <c r="D287" s="29"/>
      <c r="E287" s="30" t="s">
        <v>858</v>
      </c>
      <c r="H287" s="32">
        <v>1</v>
      </c>
      <c r="I287" s="32"/>
      <c r="AG287" s="32">
        <v>13</v>
      </c>
      <c r="AH287" s="32">
        <v>43</v>
      </c>
      <c r="AI287" s="32">
        <v>140000</v>
      </c>
      <c r="AQ287" s="32">
        <v>438</v>
      </c>
      <c r="AU287">
        <v>283</v>
      </c>
    </row>
    <row r="288" spans="1:47" x14ac:dyDescent="0.2">
      <c r="A288" s="26">
        <v>5700</v>
      </c>
      <c r="B288" s="27" t="s">
        <v>85</v>
      </c>
      <c r="C288" s="28"/>
      <c r="D288" s="29"/>
      <c r="E288" s="72" t="s">
        <v>872</v>
      </c>
      <c r="H288" s="32">
        <v>1</v>
      </c>
      <c r="I288" s="32" t="s">
        <v>873</v>
      </c>
      <c r="AI288" s="32">
        <v>0</v>
      </c>
      <c r="AK288" s="32">
        <v>1</v>
      </c>
      <c r="AO288" s="73" t="s">
        <v>858</v>
      </c>
      <c r="AQ288" s="32">
        <v>439</v>
      </c>
      <c r="AU288">
        <v>284</v>
      </c>
    </row>
    <row r="289" spans="1:47" x14ac:dyDescent="0.2">
      <c r="A289" s="26">
        <v>5700</v>
      </c>
      <c r="B289" s="27"/>
      <c r="C289" s="28"/>
      <c r="D289" s="29"/>
      <c r="E289" s="30" t="s">
        <v>867</v>
      </c>
      <c r="H289" s="32">
        <v>1</v>
      </c>
      <c r="I289" s="32" t="s">
        <v>874</v>
      </c>
      <c r="AK289" s="32">
        <v>6</v>
      </c>
      <c r="AM289" s="32">
        <v>2000</v>
      </c>
      <c r="AO289" s="46" t="s">
        <v>875</v>
      </c>
      <c r="AP289" s="46"/>
      <c r="AQ289" s="32">
        <v>452</v>
      </c>
      <c r="AU289">
        <v>285</v>
      </c>
    </row>
    <row r="290" spans="1:47" x14ac:dyDescent="0.2">
      <c r="A290" s="37">
        <v>5705</v>
      </c>
      <c r="B290" s="38" t="s">
        <v>85</v>
      </c>
      <c r="C290" s="39" t="s">
        <v>876</v>
      </c>
      <c r="D290" s="29"/>
      <c r="E290" s="38" t="s">
        <v>877</v>
      </c>
      <c r="F290" s="32" t="s">
        <v>878</v>
      </c>
      <c r="G290" s="47" t="s">
        <v>69</v>
      </c>
      <c r="H290"/>
      <c r="I290" s="32" t="s">
        <v>879</v>
      </c>
      <c r="J290" s="47"/>
      <c r="K290" s="47">
        <f>108*8*2.2</f>
        <v>1900.8000000000002</v>
      </c>
      <c r="L290" s="48">
        <v>21</v>
      </c>
      <c r="M290" s="47"/>
      <c r="N290" s="47"/>
      <c r="O290" s="47"/>
      <c r="P290" s="47"/>
      <c r="Q290" s="47"/>
      <c r="R290" s="47"/>
      <c r="S290" s="48">
        <v>19</v>
      </c>
      <c r="T290" s="47">
        <v>0</v>
      </c>
      <c r="U290" s="47">
        <v>0</v>
      </c>
      <c r="V290" s="47">
        <v>0</v>
      </c>
      <c r="W290" s="47"/>
      <c r="X290" s="47"/>
      <c r="Y290" s="47" t="s">
        <v>51</v>
      </c>
      <c r="Z290" s="47" t="s">
        <v>146</v>
      </c>
      <c r="AA290" s="49">
        <v>0.69791666666666663</v>
      </c>
      <c r="AB290" s="49">
        <v>0.8125</v>
      </c>
      <c r="AC290" s="49">
        <f>AVERAGE(AA290:AB290)</f>
        <v>0.75520833333333326</v>
      </c>
      <c r="AD290" s="50">
        <f>(AB290-AA290)*24</f>
        <v>2.7500000000000009</v>
      </c>
      <c r="AE290" s="47"/>
      <c r="AF290" s="47"/>
      <c r="AG290"/>
      <c r="AH290"/>
      <c r="AI290"/>
      <c r="AJ290"/>
      <c r="AK290" s="32">
        <v>108</v>
      </c>
      <c r="AL290"/>
      <c r="AM290"/>
      <c r="AN290"/>
      <c r="AO290"/>
      <c r="AP290"/>
      <c r="AQ290" t="s">
        <v>880</v>
      </c>
      <c r="AU290">
        <v>286</v>
      </c>
    </row>
    <row r="291" spans="1:47" x14ac:dyDescent="0.2">
      <c r="A291" s="37">
        <v>5711</v>
      </c>
      <c r="B291" s="38" t="s">
        <v>85</v>
      </c>
      <c r="C291" s="39" t="s">
        <v>142</v>
      </c>
      <c r="D291" s="29" t="s">
        <v>120</v>
      </c>
      <c r="E291" s="38" t="s">
        <v>881</v>
      </c>
      <c r="F291" s="32"/>
      <c r="G291" s="47"/>
      <c r="H291"/>
      <c r="I291" s="32" t="s">
        <v>882</v>
      </c>
      <c r="J291" s="47"/>
      <c r="K291" s="47">
        <v>0</v>
      </c>
      <c r="L291" s="48">
        <v>24</v>
      </c>
      <c r="M291" s="47">
        <v>24</v>
      </c>
      <c r="N291" s="47"/>
      <c r="O291" s="47"/>
      <c r="P291" s="47"/>
      <c r="Q291" s="47"/>
      <c r="R291" s="47"/>
      <c r="S291" s="48"/>
      <c r="T291" s="47"/>
      <c r="U291" s="47"/>
      <c r="V291" s="47"/>
      <c r="W291" s="47"/>
      <c r="X291" s="47"/>
      <c r="Y291" s="47" t="s">
        <v>51</v>
      </c>
      <c r="Z291" s="31" t="s">
        <v>146</v>
      </c>
      <c r="AA291" s="49">
        <v>0.25</v>
      </c>
      <c r="AB291" s="49"/>
      <c r="AC291" s="49"/>
      <c r="AD291" s="50"/>
      <c r="AE291" s="47" t="s">
        <v>342</v>
      </c>
      <c r="AF291" s="47"/>
      <c r="AG291"/>
      <c r="AH291"/>
      <c r="AI291"/>
      <c r="AJ291"/>
      <c r="AK291" s="32">
        <v>0</v>
      </c>
      <c r="AL291"/>
      <c r="AM291"/>
      <c r="AN291"/>
      <c r="AO291"/>
      <c r="AP291"/>
      <c r="AQ291" t="s">
        <v>883</v>
      </c>
      <c r="AU291">
        <v>287</v>
      </c>
    </row>
    <row r="292" spans="1:47" x14ac:dyDescent="0.2">
      <c r="A292" s="37">
        <v>5711</v>
      </c>
      <c r="B292" s="38" t="s">
        <v>85</v>
      </c>
      <c r="C292" s="39" t="s">
        <v>346</v>
      </c>
      <c r="D292" s="29"/>
      <c r="E292" s="38" t="s">
        <v>884</v>
      </c>
      <c r="F292" s="32" t="s">
        <v>688</v>
      </c>
      <c r="G292" s="47"/>
      <c r="H292"/>
      <c r="I292" s="32" t="s">
        <v>885</v>
      </c>
      <c r="J292" s="47"/>
      <c r="K292" s="47">
        <f>5*8*2.2</f>
        <v>88</v>
      </c>
      <c r="L292" s="48">
        <v>14</v>
      </c>
      <c r="M292" s="47">
        <v>11</v>
      </c>
      <c r="N292" s="47">
        <v>2</v>
      </c>
      <c r="O292" s="47"/>
      <c r="P292" s="47">
        <v>1</v>
      </c>
      <c r="Q292" s="47"/>
      <c r="R292" s="47"/>
      <c r="S292" s="48">
        <v>1</v>
      </c>
      <c r="T292" s="47">
        <v>0</v>
      </c>
      <c r="U292" s="47">
        <v>2</v>
      </c>
      <c r="V292" s="47">
        <v>0</v>
      </c>
      <c r="W292" s="47"/>
      <c r="X292" s="47"/>
      <c r="Y292" s="47" t="s">
        <v>51</v>
      </c>
      <c r="Z292" s="47" t="s">
        <v>146</v>
      </c>
      <c r="AA292" s="49">
        <v>0.27430555555555552</v>
      </c>
      <c r="AB292" s="49">
        <v>0.36805555555555558</v>
      </c>
      <c r="AC292" s="49">
        <f>AVERAGE(AA292:AB292)</f>
        <v>0.32118055555555558</v>
      </c>
      <c r="AD292" s="50">
        <f>(AB292-AA292)*24</f>
        <v>2.2500000000000013</v>
      </c>
      <c r="AE292" s="31" t="s">
        <v>342</v>
      </c>
      <c r="AF292" s="47"/>
      <c r="AG292"/>
      <c r="AH292"/>
      <c r="AI292"/>
      <c r="AJ292"/>
      <c r="AK292">
        <v>5</v>
      </c>
      <c r="AL292"/>
      <c r="AM292"/>
      <c r="AN292"/>
      <c r="AO292"/>
      <c r="AP292"/>
      <c r="AQ292" t="s">
        <v>886</v>
      </c>
      <c r="AU292">
        <v>288</v>
      </c>
    </row>
    <row r="293" spans="1:47" x14ac:dyDescent="0.2">
      <c r="A293" s="37">
        <v>5712</v>
      </c>
      <c r="B293" s="38" t="s">
        <v>85</v>
      </c>
      <c r="C293" s="39" t="s">
        <v>134</v>
      </c>
      <c r="D293" s="29"/>
      <c r="E293" s="38" t="s">
        <v>887</v>
      </c>
      <c r="F293" s="32" t="s">
        <v>888</v>
      </c>
      <c r="G293" s="47" t="s">
        <v>73</v>
      </c>
      <c r="H293"/>
      <c r="I293" s="32" t="s">
        <v>889</v>
      </c>
      <c r="J293" s="47"/>
      <c r="K293" s="47">
        <f>(2*43+8*8)*2.2</f>
        <v>330</v>
      </c>
      <c r="L293" s="48">
        <v>5</v>
      </c>
      <c r="M293" s="47">
        <v>1</v>
      </c>
      <c r="N293" s="47">
        <v>2</v>
      </c>
      <c r="O293" s="47"/>
      <c r="P293" s="47"/>
      <c r="Q293" s="47"/>
      <c r="R293" s="47"/>
      <c r="S293" s="48">
        <v>2</v>
      </c>
      <c r="T293" s="47">
        <v>0</v>
      </c>
      <c r="U293" s="47">
        <v>0</v>
      </c>
      <c r="V293" s="47">
        <v>0</v>
      </c>
      <c r="W293" s="47">
        <f>2500*39.37/12</f>
        <v>8202.0833333333339</v>
      </c>
      <c r="X293" s="47"/>
      <c r="Y293" s="47" t="s">
        <v>51</v>
      </c>
      <c r="Z293" s="47" t="s">
        <v>675</v>
      </c>
      <c r="AA293" s="49">
        <v>0.16666666666666666</v>
      </c>
      <c r="AB293" s="49">
        <v>0.26041666666666669</v>
      </c>
      <c r="AC293" s="49">
        <f>AVERAGE(AA293:AB293)</f>
        <v>0.21354166666666669</v>
      </c>
      <c r="AD293" s="50">
        <f>(AB293-AA293)*24</f>
        <v>2.2500000000000009</v>
      </c>
      <c r="AE293" s="71" t="s">
        <v>132</v>
      </c>
      <c r="AF293" s="47"/>
      <c r="AG293"/>
      <c r="AH293"/>
      <c r="AI293"/>
      <c r="AJ293"/>
      <c r="AK293">
        <v>10</v>
      </c>
      <c r="AL293"/>
      <c r="AM293"/>
      <c r="AN293"/>
      <c r="AO293"/>
      <c r="AP293"/>
      <c r="AQ293" t="s">
        <v>890</v>
      </c>
      <c r="AU293">
        <v>289</v>
      </c>
    </row>
    <row r="294" spans="1:47" x14ac:dyDescent="0.2">
      <c r="A294" s="37">
        <v>5713</v>
      </c>
      <c r="B294" s="38" t="s">
        <v>85</v>
      </c>
      <c r="C294" s="39" t="s">
        <v>253</v>
      </c>
      <c r="D294" s="29"/>
      <c r="E294" s="38" t="s">
        <v>891</v>
      </c>
      <c r="F294" s="32" t="s">
        <v>246</v>
      </c>
      <c r="G294" s="47"/>
      <c r="H294"/>
      <c r="I294" s="32" t="s">
        <v>892</v>
      </c>
      <c r="J294" s="47"/>
      <c r="K294" s="47"/>
      <c r="L294" s="48"/>
      <c r="M294" s="47"/>
      <c r="N294" s="47"/>
      <c r="O294" s="47"/>
      <c r="P294" s="47"/>
      <c r="Q294" s="47"/>
      <c r="R294" s="47"/>
      <c r="S294" s="48"/>
      <c r="T294" s="47"/>
      <c r="U294" s="47"/>
      <c r="V294" s="47"/>
      <c r="W294" s="47"/>
      <c r="X294" s="47"/>
      <c r="Y294" s="47"/>
      <c r="Z294" s="47"/>
      <c r="AA294" s="49"/>
      <c r="AB294" s="49"/>
      <c r="AC294" s="49"/>
      <c r="AD294" s="50"/>
      <c r="AE294" s="47"/>
      <c r="AF294" s="47"/>
      <c r="AG294"/>
      <c r="AH294"/>
      <c r="AI294"/>
      <c r="AJ294"/>
      <c r="AK294"/>
      <c r="AL294"/>
      <c r="AM294"/>
      <c r="AN294"/>
      <c r="AO294"/>
      <c r="AP294"/>
      <c r="AQ294" s="32" t="s">
        <v>893</v>
      </c>
      <c r="AU294">
        <v>290</v>
      </c>
    </row>
    <row r="295" spans="1:47" x14ac:dyDescent="0.2">
      <c r="A295" s="37">
        <v>5713</v>
      </c>
      <c r="B295" s="38"/>
      <c r="C295" s="39" t="s">
        <v>253</v>
      </c>
      <c r="D295" s="29"/>
      <c r="E295" s="38" t="s">
        <v>894</v>
      </c>
      <c r="F295" s="32" t="s">
        <v>895</v>
      </c>
      <c r="G295" s="47"/>
      <c r="H295"/>
      <c r="I295" s="32" t="s">
        <v>896</v>
      </c>
      <c r="J295" s="47"/>
      <c r="K295" s="47"/>
      <c r="L295" s="48"/>
      <c r="M295" s="47"/>
      <c r="N295" s="47"/>
      <c r="O295" s="47"/>
      <c r="P295" s="47"/>
      <c r="Q295" s="47"/>
      <c r="R295" s="47"/>
      <c r="S295" s="48"/>
      <c r="T295" s="47"/>
      <c r="U295" s="47"/>
      <c r="V295" s="47"/>
      <c r="W295" s="47"/>
      <c r="X295" s="47"/>
      <c r="Y295" s="47"/>
      <c r="Z295" s="47"/>
      <c r="AA295" s="49"/>
      <c r="AB295" s="49"/>
      <c r="AC295" s="49"/>
      <c r="AD295" s="50"/>
      <c r="AE295" s="47"/>
      <c r="AF295" s="47"/>
      <c r="AG295"/>
      <c r="AH295"/>
      <c r="AI295"/>
      <c r="AJ295"/>
      <c r="AK295"/>
      <c r="AL295"/>
      <c r="AM295"/>
      <c r="AN295"/>
      <c r="AO295"/>
      <c r="AP295"/>
      <c r="AQ295" t="s">
        <v>897</v>
      </c>
      <c r="AU295">
        <v>291</v>
      </c>
    </row>
    <row r="296" spans="1:47" x14ac:dyDescent="0.2">
      <c r="A296" s="37">
        <v>5714</v>
      </c>
      <c r="B296" s="38"/>
      <c r="C296" s="39" t="s">
        <v>253</v>
      </c>
      <c r="D296" s="29"/>
      <c r="E296" s="38" t="s">
        <v>898</v>
      </c>
      <c r="F296" s="32" t="s">
        <v>107</v>
      </c>
      <c r="G296" s="47"/>
      <c r="H296"/>
      <c r="I296" s="32" t="s">
        <v>899</v>
      </c>
      <c r="J296" s="47"/>
      <c r="K296" s="47"/>
      <c r="L296" s="48"/>
      <c r="M296" s="47"/>
      <c r="N296" s="47"/>
      <c r="O296" s="47"/>
      <c r="P296" s="47"/>
      <c r="Q296" s="47"/>
      <c r="R296" s="47"/>
      <c r="S296" s="48"/>
      <c r="T296" s="47"/>
      <c r="U296" s="47"/>
      <c r="V296" s="47"/>
      <c r="W296" s="47"/>
      <c r="X296" s="47"/>
      <c r="Y296" s="47"/>
      <c r="Z296" s="47"/>
      <c r="AA296" s="49"/>
      <c r="AB296" s="49"/>
      <c r="AC296" s="49"/>
      <c r="AD296" s="50"/>
      <c r="AE296" s="47"/>
      <c r="AF296" s="47"/>
      <c r="AG296"/>
      <c r="AH296"/>
      <c r="AI296"/>
      <c r="AJ296"/>
      <c r="AK296"/>
      <c r="AL296"/>
      <c r="AM296"/>
      <c r="AN296"/>
      <c r="AO296"/>
      <c r="AP296"/>
      <c r="AQ296" t="s">
        <v>900</v>
      </c>
      <c r="AU296">
        <v>292</v>
      </c>
    </row>
    <row r="297" spans="1:47" x14ac:dyDescent="0.2">
      <c r="A297" s="37">
        <v>5715</v>
      </c>
      <c r="B297" s="38" t="s">
        <v>85</v>
      </c>
      <c r="C297" s="39" t="s">
        <v>134</v>
      </c>
      <c r="D297" s="29"/>
      <c r="E297" s="38" t="s">
        <v>901</v>
      </c>
      <c r="F297" s="74" t="s">
        <v>748</v>
      </c>
      <c r="G297" s="47" t="s">
        <v>73</v>
      </c>
      <c r="H297"/>
      <c r="I297" s="32" t="s">
        <v>902</v>
      </c>
      <c r="J297" s="47"/>
      <c r="K297" s="47">
        <f>(6*43+12*8)*2.2</f>
        <v>778.80000000000007</v>
      </c>
      <c r="L297" s="48">
        <v>4</v>
      </c>
      <c r="M297" s="47"/>
      <c r="N297" s="47"/>
      <c r="O297" s="47"/>
      <c r="P297" s="47"/>
      <c r="Q297" s="47"/>
      <c r="R297" s="47"/>
      <c r="S297" s="48">
        <v>4</v>
      </c>
      <c r="T297" s="47">
        <v>0</v>
      </c>
      <c r="U297" s="47">
        <v>0</v>
      </c>
      <c r="V297" s="47">
        <v>0</v>
      </c>
      <c r="W297" s="47">
        <f>AVERAGE(1600,2250,2350,2600)*39.37/12</f>
        <v>7217.833333333333</v>
      </c>
      <c r="X297" s="47"/>
      <c r="Y297" s="47" t="s">
        <v>51</v>
      </c>
      <c r="Z297" s="47" t="s">
        <v>675</v>
      </c>
      <c r="AA297" s="49">
        <v>0.30555555555555552</v>
      </c>
      <c r="AB297" s="49">
        <v>0.38750000000000001</v>
      </c>
      <c r="AC297" s="49">
        <f>AVERAGE(AA297:AB297)</f>
        <v>0.34652777777777777</v>
      </c>
      <c r="AD297" s="50">
        <f>(AB297-AA297)*24</f>
        <v>1.9666666666666677</v>
      </c>
      <c r="AE297" s="71" t="s">
        <v>132</v>
      </c>
      <c r="AF297" s="47">
        <v>30</v>
      </c>
      <c r="AG297"/>
      <c r="AH297"/>
      <c r="AI297"/>
      <c r="AJ297"/>
      <c r="AK297">
        <v>18</v>
      </c>
      <c r="AL297"/>
      <c r="AM297"/>
      <c r="AN297"/>
      <c r="AO297"/>
      <c r="AP297"/>
      <c r="AQ297" t="s">
        <v>903</v>
      </c>
      <c r="AU297">
        <v>293</v>
      </c>
    </row>
    <row r="298" spans="1:47" x14ac:dyDescent="0.2">
      <c r="A298" s="37">
        <v>5715</v>
      </c>
      <c r="B298" s="38" t="s">
        <v>45</v>
      </c>
      <c r="C298" s="39" t="s">
        <v>134</v>
      </c>
      <c r="D298" s="29"/>
      <c r="E298" s="38" t="s">
        <v>904</v>
      </c>
      <c r="F298" s="74" t="s">
        <v>220</v>
      </c>
      <c r="G298" s="47" t="s">
        <v>49</v>
      </c>
      <c r="H298"/>
      <c r="I298" s="32" t="s">
        <v>905</v>
      </c>
      <c r="J298" s="47"/>
      <c r="K298" s="47">
        <f>6*8*2.2</f>
        <v>105.60000000000001</v>
      </c>
      <c r="L298" s="48">
        <v>1</v>
      </c>
      <c r="M298" s="47"/>
      <c r="N298" s="47"/>
      <c r="O298" s="47"/>
      <c r="P298" s="47"/>
      <c r="Q298" s="47"/>
      <c r="R298" s="47"/>
      <c r="S298" s="48">
        <v>1</v>
      </c>
      <c r="T298" s="47">
        <v>0</v>
      </c>
      <c r="U298" s="47">
        <v>0</v>
      </c>
      <c r="V298" s="47">
        <v>0</v>
      </c>
      <c r="W298" s="47">
        <f>2000*39.37/12</f>
        <v>6561.666666666667</v>
      </c>
      <c r="X298" s="47"/>
      <c r="Y298" s="47" t="s">
        <v>51</v>
      </c>
      <c r="Z298" s="47" t="s">
        <v>675</v>
      </c>
      <c r="AA298" s="49">
        <v>0.875</v>
      </c>
      <c r="AB298" s="49">
        <v>0.97916666666666663</v>
      </c>
      <c r="AC298" s="49">
        <f>AVERAGE(AA298:AB298)</f>
        <v>0.92708333333333326</v>
      </c>
      <c r="AD298" s="50">
        <f>(AB298-AA298)*24</f>
        <v>2.4999999999999991</v>
      </c>
      <c r="AE298" s="71" t="s">
        <v>132</v>
      </c>
      <c r="AF298" s="47">
        <v>58</v>
      </c>
      <c r="AG298"/>
      <c r="AH298"/>
      <c r="AI298"/>
      <c r="AJ298"/>
      <c r="AK298">
        <v>6</v>
      </c>
      <c r="AL298"/>
      <c r="AM298"/>
      <c r="AN298"/>
      <c r="AO298"/>
      <c r="AP298"/>
      <c r="AQ298" t="s">
        <v>906</v>
      </c>
      <c r="AU298">
        <v>294</v>
      </c>
    </row>
    <row r="299" spans="1:47" x14ac:dyDescent="0.2">
      <c r="A299" s="37">
        <v>5715</v>
      </c>
      <c r="B299" s="38"/>
      <c r="C299" s="39" t="s">
        <v>253</v>
      </c>
      <c r="D299" s="29"/>
      <c r="E299" s="38" t="s">
        <v>907</v>
      </c>
      <c r="F299" s="32" t="s">
        <v>107</v>
      </c>
      <c r="G299" s="47"/>
      <c r="H299"/>
      <c r="I299" s="32"/>
      <c r="J299" s="47"/>
      <c r="K299" s="47"/>
      <c r="L299" s="48"/>
      <c r="M299" s="47"/>
      <c r="N299" s="47"/>
      <c r="O299" s="47"/>
      <c r="P299" s="47"/>
      <c r="Q299" s="47"/>
      <c r="R299" s="47"/>
      <c r="S299" s="48"/>
      <c r="T299" s="47"/>
      <c r="U299" s="47"/>
      <c r="V299" s="47"/>
      <c r="W299" s="47"/>
      <c r="X299" s="47"/>
      <c r="Y299" s="47"/>
      <c r="Z299" s="47"/>
      <c r="AA299" s="49"/>
      <c r="AB299" s="49"/>
      <c r="AC299" s="49"/>
      <c r="AD299" s="50"/>
      <c r="AE299" s="47"/>
      <c r="AF299" s="47"/>
      <c r="AG299"/>
      <c r="AH299"/>
      <c r="AI299"/>
      <c r="AJ299"/>
      <c r="AK299"/>
      <c r="AL299"/>
      <c r="AM299"/>
      <c r="AN299"/>
      <c r="AO299"/>
      <c r="AP299"/>
      <c r="AQ299" t="s">
        <v>900</v>
      </c>
      <c r="AU299">
        <v>295</v>
      </c>
    </row>
    <row r="300" spans="1:47" x14ac:dyDescent="0.2">
      <c r="A300" s="37">
        <v>5716</v>
      </c>
      <c r="B300" s="38" t="s">
        <v>85</v>
      </c>
      <c r="C300" s="39" t="s">
        <v>253</v>
      </c>
      <c r="D300" s="29"/>
      <c r="E300" s="38" t="s">
        <v>908</v>
      </c>
      <c r="F300" s="32" t="s">
        <v>107</v>
      </c>
      <c r="G300" s="47"/>
      <c r="H300"/>
      <c r="I300" s="32" t="s">
        <v>909</v>
      </c>
      <c r="J300" s="47"/>
      <c r="K300" s="47"/>
      <c r="L300" s="48"/>
      <c r="M300" s="47"/>
      <c r="N300" s="47"/>
      <c r="O300" s="47"/>
      <c r="P300" s="47"/>
      <c r="Q300" s="47"/>
      <c r="R300" s="47"/>
      <c r="S300" s="48"/>
      <c r="T300" s="47"/>
      <c r="U300" s="47"/>
      <c r="V300" s="47"/>
      <c r="W300" s="47"/>
      <c r="X300" s="47"/>
      <c r="Y300" s="47"/>
      <c r="Z300" s="47"/>
      <c r="AA300" s="49"/>
      <c r="AB300" s="49"/>
      <c r="AC300" s="49"/>
      <c r="AD300" s="50"/>
      <c r="AE300" s="47"/>
      <c r="AF300" s="47"/>
      <c r="AG300"/>
      <c r="AH300"/>
      <c r="AI300"/>
      <c r="AJ300"/>
      <c r="AK300"/>
      <c r="AL300"/>
      <c r="AM300"/>
      <c r="AN300"/>
      <c r="AO300"/>
      <c r="AP300"/>
      <c r="AQ300" s="32" t="s">
        <v>893</v>
      </c>
      <c r="AU300">
        <v>296</v>
      </c>
    </row>
    <row r="301" spans="1:47" x14ac:dyDescent="0.2">
      <c r="A301" s="37">
        <v>5716</v>
      </c>
      <c r="B301" s="38" t="s">
        <v>85</v>
      </c>
      <c r="C301" s="39" t="s">
        <v>910</v>
      </c>
      <c r="D301" s="29"/>
      <c r="E301" s="38" t="s">
        <v>911</v>
      </c>
      <c r="F301" s="75" t="s">
        <v>912</v>
      </c>
      <c r="G301" s="47"/>
      <c r="H301"/>
      <c r="I301" s="32" t="s">
        <v>913</v>
      </c>
      <c r="J301" s="47"/>
      <c r="K301" s="47"/>
      <c r="L301" s="48">
        <v>62</v>
      </c>
      <c r="M301" s="47"/>
      <c r="N301" s="47"/>
      <c r="O301" s="47"/>
      <c r="P301" s="47"/>
      <c r="Q301" s="47"/>
      <c r="R301" s="47"/>
      <c r="S301" s="48"/>
      <c r="T301" s="47"/>
      <c r="U301" s="47"/>
      <c r="V301" s="47"/>
      <c r="W301" s="47"/>
      <c r="X301" s="47"/>
      <c r="Y301" s="47"/>
      <c r="Z301" s="47"/>
      <c r="AA301" s="49"/>
      <c r="AB301" s="49"/>
      <c r="AC301" s="49"/>
      <c r="AD301" s="50"/>
      <c r="AE301" s="47"/>
      <c r="AF301" s="47"/>
      <c r="AG301"/>
      <c r="AH301"/>
      <c r="AI301"/>
      <c r="AJ301"/>
      <c r="AK301"/>
      <c r="AL301"/>
      <c r="AM301"/>
      <c r="AN301"/>
      <c r="AO301"/>
      <c r="AP301"/>
      <c r="AQ301" t="s">
        <v>914</v>
      </c>
      <c r="AU301">
        <v>297</v>
      </c>
    </row>
    <row r="302" spans="1:47" x14ac:dyDescent="0.2">
      <c r="A302" s="37">
        <v>5716</v>
      </c>
      <c r="B302" s="38" t="s">
        <v>85</v>
      </c>
      <c r="C302" s="39" t="s">
        <v>142</v>
      </c>
      <c r="D302" s="29"/>
      <c r="E302" s="38" t="s">
        <v>911</v>
      </c>
      <c r="F302" s="76" t="s">
        <v>915</v>
      </c>
      <c r="G302" s="47" t="s">
        <v>481</v>
      </c>
      <c r="H302"/>
      <c r="I302" s="32" t="s">
        <v>916</v>
      </c>
      <c r="J302" s="47"/>
      <c r="K302" s="47">
        <f>(53*8+15*43)*2.2</f>
        <v>2351.8000000000002</v>
      </c>
      <c r="L302" s="48">
        <v>26</v>
      </c>
      <c r="M302" s="47"/>
      <c r="N302" s="47"/>
      <c r="O302" s="47"/>
      <c r="P302" s="47"/>
      <c r="Q302" s="47"/>
      <c r="R302" s="47"/>
      <c r="S302" s="48">
        <v>21</v>
      </c>
      <c r="T302" s="47">
        <v>0</v>
      </c>
      <c r="U302" s="47">
        <v>0</v>
      </c>
      <c r="V302" s="47">
        <v>0</v>
      </c>
      <c r="W302" s="47"/>
      <c r="X302" s="47"/>
      <c r="Y302" s="47" t="s">
        <v>51</v>
      </c>
      <c r="Z302" s="31" t="s">
        <v>146</v>
      </c>
      <c r="AA302" s="49"/>
      <c r="AB302" s="49">
        <v>0.44444444444444442</v>
      </c>
      <c r="AC302" s="49"/>
      <c r="AD302" s="50"/>
      <c r="AE302" s="47" t="s">
        <v>342</v>
      </c>
      <c r="AF302" s="47">
        <v>80</v>
      </c>
      <c r="AG302"/>
      <c r="AH302"/>
      <c r="AI302"/>
      <c r="AJ302"/>
      <c r="AK302">
        <v>68</v>
      </c>
      <c r="AL302"/>
      <c r="AM302"/>
      <c r="AN302"/>
      <c r="AO302"/>
      <c r="AP302"/>
      <c r="AQ302" t="s">
        <v>883</v>
      </c>
      <c r="AU302">
        <v>298</v>
      </c>
    </row>
    <row r="303" spans="1:47" x14ac:dyDescent="0.2">
      <c r="A303" s="37">
        <v>5716</v>
      </c>
      <c r="B303" s="38" t="s">
        <v>85</v>
      </c>
      <c r="C303" s="39" t="s">
        <v>346</v>
      </c>
      <c r="D303" s="29"/>
      <c r="E303" s="38" t="s">
        <v>917</v>
      </c>
      <c r="F303" s="32" t="s">
        <v>918</v>
      </c>
      <c r="G303" s="47" t="s">
        <v>481</v>
      </c>
      <c r="H303"/>
      <c r="I303" s="31" t="b">
        <v>1</v>
      </c>
      <c r="J303" s="47" t="b">
        <v>1</v>
      </c>
      <c r="K303" s="47">
        <f>(35*8+15*8)*2.2</f>
        <v>880.00000000000011</v>
      </c>
      <c r="L303" s="48">
        <v>11</v>
      </c>
      <c r="M303" s="47"/>
      <c r="N303" s="47">
        <v>1</v>
      </c>
      <c r="O303" s="47"/>
      <c r="P303" s="47"/>
      <c r="Q303" s="47"/>
      <c r="R303" s="47">
        <v>1</v>
      </c>
      <c r="S303" s="48">
        <v>10</v>
      </c>
      <c r="T303" s="47">
        <v>0</v>
      </c>
      <c r="U303" s="47">
        <v>0</v>
      </c>
      <c r="V303" s="47">
        <v>1</v>
      </c>
      <c r="W303" s="47"/>
      <c r="X303" s="47"/>
      <c r="Y303" s="47" t="s">
        <v>51</v>
      </c>
      <c r="Z303" s="47" t="s">
        <v>146</v>
      </c>
      <c r="AA303" s="49">
        <v>0.31111111111111112</v>
      </c>
      <c r="AB303" s="49">
        <v>0.51041666666666663</v>
      </c>
      <c r="AC303" s="49">
        <f>AVERAGE(AA303:AB303)</f>
        <v>0.41076388888888887</v>
      </c>
      <c r="AD303" s="50">
        <f>(AB303-AA303)*24</f>
        <v>4.7833333333333323</v>
      </c>
      <c r="AE303" s="31" t="s">
        <v>342</v>
      </c>
      <c r="AF303" s="47">
        <v>80</v>
      </c>
      <c r="AG303"/>
      <c r="AH303"/>
      <c r="AI303"/>
      <c r="AJ303"/>
      <c r="AK303">
        <v>50</v>
      </c>
      <c r="AL303"/>
      <c r="AM303"/>
      <c r="AN303"/>
      <c r="AO303"/>
      <c r="AP303"/>
      <c r="AQ303" t="s">
        <v>919</v>
      </c>
      <c r="AR303" s="32" t="s">
        <v>920</v>
      </c>
      <c r="AU303">
        <v>299</v>
      </c>
    </row>
    <row r="304" spans="1:47" x14ac:dyDescent="0.2">
      <c r="A304" s="37">
        <v>5716</v>
      </c>
      <c r="B304" s="38" t="s">
        <v>85</v>
      </c>
      <c r="C304" s="39" t="s">
        <v>346</v>
      </c>
      <c r="D304" s="29"/>
      <c r="E304" s="38" t="s">
        <v>911</v>
      </c>
      <c r="F304" s="32" t="s">
        <v>921</v>
      </c>
      <c r="G304" s="47" t="s">
        <v>481</v>
      </c>
      <c r="H304"/>
      <c r="I304" s="31" t="b">
        <v>0</v>
      </c>
      <c r="J304" s="47" t="b">
        <v>0</v>
      </c>
      <c r="K304" s="47">
        <f>(35*8+10*8)*2.2</f>
        <v>792.00000000000011</v>
      </c>
      <c r="L304" s="48"/>
      <c r="M304" s="47"/>
      <c r="N304" s="47"/>
      <c r="O304" s="47"/>
      <c r="P304" s="47"/>
      <c r="Q304" s="47"/>
      <c r="R304" s="47"/>
      <c r="S304" s="48">
        <v>9</v>
      </c>
      <c r="T304" s="47"/>
      <c r="U304" s="47"/>
      <c r="V304" s="47"/>
      <c r="W304" s="47"/>
      <c r="X304" s="47"/>
      <c r="Y304" s="47" t="s">
        <v>51</v>
      </c>
      <c r="Z304" s="47" t="s">
        <v>146</v>
      </c>
      <c r="AA304" s="49">
        <v>0.31111111111111112</v>
      </c>
      <c r="AB304" s="49">
        <v>0.51041666666666663</v>
      </c>
      <c r="AC304" s="49">
        <f>AVERAGE(AA304:AB304)</f>
        <v>0.41076388888888887</v>
      </c>
      <c r="AD304" s="50">
        <f>(AB304-AA304)*24</f>
        <v>4.7833333333333323</v>
      </c>
      <c r="AE304" s="31" t="s">
        <v>342</v>
      </c>
      <c r="AF304" s="47">
        <v>80</v>
      </c>
      <c r="AG304"/>
      <c r="AH304"/>
      <c r="AI304"/>
      <c r="AJ304"/>
      <c r="AK304">
        <v>45</v>
      </c>
      <c r="AL304"/>
      <c r="AM304"/>
      <c r="AN304"/>
      <c r="AO304"/>
      <c r="AP304"/>
      <c r="AQ304" t="s">
        <v>919</v>
      </c>
      <c r="AU304">
        <v>300</v>
      </c>
    </row>
    <row r="305" spans="1:47" x14ac:dyDescent="0.2">
      <c r="A305" s="37">
        <v>5716</v>
      </c>
      <c r="B305" s="38" t="s">
        <v>85</v>
      </c>
      <c r="C305" s="39" t="s">
        <v>346</v>
      </c>
      <c r="D305" s="29"/>
      <c r="E305" s="38" t="s">
        <v>922</v>
      </c>
      <c r="F305" s="32" t="s">
        <v>923</v>
      </c>
      <c r="G305" s="47" t="s">
        <v>73</v>
      </c>
      <c r="H305"/>
      <c r="I305" s="31" t="b">
        <v>0</v>
      </c>
      <c r="J305" s="47" t="b">
        <v>0</v>
      </c>
      <c r="K305" s="47">
        <f>5*8*2.2</f>
        <v>88</v>
      </c>
      <c r="L305" s="48"/>
      <c r="M305" s="47"/>
      <c r="N305" s="47"/>
      <c r="O305" s="47"/>
      <c r="P305" s="47"/>
      <c r="Q305" s="47"/>
      <c r="R305" s="47">
        <v>1</v>
      </c>
      <c r="S305" s="48">
        <v>1</v>
      </c>
      <c r="T305" s="47"/>
      <c r="U305" s="47"/>
      <c r="V305" s="47"/>
      <c r="W305" s="47"/>
      <c r="X305" s="47"/>
      <c r="Y305" s="47" t="s">
        <v>51</v>
      </c>
      <c r="Z305" s="47" t="s">
        <v>146</v>
      </c>
      <c r="AA305" s="49">
        <v>0.31111111111111112</v>
      </c>
      <c r="AB305" s="49">
        <v>0.51041666666666663</v>
      </c>
      <c r="AC305" s="49">
        <f>AVERAGE(AA305:AB305)</f>
        <v>0.41076388888888887</v>
      </c>
      <c r="AD305" s="50">
        <f>(AB305-AA305)*24</f>
        <v>4.7833333333333323</v>
      </c>
      <c r="AE305" s="31" t="s">
        <v>342</v>
      </c>
      <c r="AF305" s="47">
        <v>20</v>
      </c>
      <c r="AG305"/>
      <c r="AH305"/>
      <c r="AI305"/>
      <c r="AJ305"/>
      <c r="AK305">
        <v>5</v>
      </c>
      <c r="AL305"/>
      <c r="AM305"/>
      <c r="AN305"/>
      <c r="AO305"/>
      <c r="AP305"/>
      <c r="AQ305" t="s">
        <v>919</v>
      </c>
      <c r="AR305" s="32" t="s">
        <v>924</v>
      </c>
      <c r="AU305">
        <v>301</v>
      </c>
    </row>
    <row r="306" spans="1:47" x14ac:dyDescent="0.2">
      <c r="A306" s="37">
        <v>5716</v>
      </c>
      <c r="B306" s="38" t="s">
        <v>85</v>
      </c>
      <c r="C306" s="39" t="s">
        <v>134</v>
      </c>
      <c r="D306" s="29"/>
      <c r="E306" s="38" t="s">
        <v>901</v>
      </c>
      <c r="F306" s="74" t="s">
        <v>748</v>
      </c>
      <c r="G306" s="47" t="s">
        <v>73</v>
      </c>
      <c r="H306"/>
      <c r="I306" s="31" t="s">
        <v>925</v>
      </c>
      <c r="J306" s="47"/>
      <c r="K306" s="47">
        <f>(6*43+12*8)*2.2</f>
        <v>778.80000000000007</v>
      </c>
      <c r="L306" s="48">
        <v>6</v>
      </c>
      <c r="M306" s="47"/>
      <c r="N306" s="47">
        <v>1</v>
      </c>
      <c r="O306" s="47"/>
      <c r="P306" s="47"/>
      <c r="Q306" s="47"/>
      <c r="R306" s="47"/>
      <c r="S306" s="48">
        <v>5</v>
      </c>
      <c r="T306" s="47">
        <v>0</v>
      </c>
      <c r="U306" s="47">
        <v>0</v>
      </c>
      <c r="V306" s="47">
        <v>1</v>
      </c>
      <c r="W306" s="47">
        <f>2450*39.37/12</f>
        <v>8038.041666666667</v>
      </c>
      <c r="X306" s="47"/>
      <c r="Y306" s="47" t="s">
        <v>51</v>
      </c>
      <c r="Z306" s="47" t="s">
        <v>675</v>
      </c>
      <c r="AA306" s="49">
        <v>0.21527777777777779</v>
      </c>
      <c r="AB306" s="49">
        <v>0.2951388888888889</v>
      </c>
      <c r="AC306" s="49">
        <f>AVERAGE(AA306:AB306)</f>
        <v>0.25520833333333337</v>
      </c>
      <c r="AD306" s="50">
        <f>(AB306-AA306)*24</f>
        <v>1.9166666666666665</v>
      </c>
      <c r="AE306" s="71" t="s">
        <v>132</v>
      </c>
      <c r="AF306" s="47">
        <v>30</v>
      </c>
      <c r="AG306"/>
      <c r="AH306"/>
      <c r="AI306"/>
      <c r="AJ306"/>
      <c r="AK306">
        <v>18</v>
      </c>
      <c r="AL306"/>
      <c r="AM306"/>
      <c r="AN306"/>
      <c r="AO306"/>
      <c r="AP306"/>
      <c r="AQ306" t="s">
        <v>926</v>
      </c>
      <c r="AU306">
        <v>302</v>
      </c>
    </row>
    <row r="307" spans="1:47" x14ac:dyDescent="0.2">
      <c r="A307" s="37">
        <v>5716</v>
      </c>
      <c r="B307" s="38" t="s">
        <v>45</v>
      </c>
      <c r="C307" s="39" t="s">
        <v>927</v>
      </c>
      <c r="D307" s="29"/>
      <c r="E307" s="38" t="s">
        <v>852</v>
      </c>
      <c r="F307" s="32" t="s">
        <v>170</v>
      </c>
      <c r="G307" s="47"/>
      <c r="H307"/>
      <c r="I307" s="32" t="s">
        <v>928</v>
      </c>
      <c r="J307" s="47"/>
      <c r="K307" s="47"/>
      <c r="L307" s="48"/>
      <c r="M307" s="47"/>
      <c r="N307" s="47"/>
      <c r="O307" s="47"/>
      <c r="P307" s="47"/>
      <c r="Q307" s="47"/>
      <c r="R307" s="47"/>
      <c r="S307" s="48"/>
      <c r="T307" s="47"/>
      <c r="U307" s="47"/>
      <c r="V307" s="47"/>
      <c r="W307" s="47"/>
      <c r="X307" s="47"/>
      <c r="Y307" s="47"/>
      <c r="Z307" s="47"/>
      <c r="AF307" s="47"/>
      <c r="AG307"/>
      <c r="AH307"/>
      <c r="AI307"/>
      <c r="AJ307"/>
      <c r="AK307"/>
      <c r="AL307"/>
      <c r="AM307"/>
      <c r="AN307"/>
      <c r="AO307"/>
      <c r="AP307"/>
      <c r="AQ307" t="s">
        <v>929</v>
      </c>
      <c r="AU307">
        <v>303</v>
      </c>
    </row>
    <row r="308" spans="1:47" x14ac:dyDescent="0.2">
      <c r="A308" s="37">
        <v>5716</v>
      </c>
      <c r="B308" s="38" t="s">
        <v>45</v>
      </c>
      <c r="C308" s="39" t="s">
        <v>156</v>
      </c>
      <c r="D308" s="29"/>
      <c r="E308" s="38" t="s">
        <v>930</v>
      </c>
      <c r="F308" s="32" t="s">
        <v>246</v>
      </c>
      <c r="G308" s="47"/>
      <c r="H308"/>
      <c r="I308" s="32" t="s">
        <v>931</v>
      </c>
      <c r="J308" s="47"/>
      <c r="K308" s="47"/>
      <c r="L308" s="48"/>
      <c r="M308" s="47"/>
      <c r="N308" s="47"/>
      <c r="O308" s="47"/>
      <c r="P308" s="47"/>
      <c r="Q308" s="47"/>
      <c r="R308" s="47"/>
      <c r="S308" s="48">
        <v>3</v>
      </c>
      <c r="T308" s="47"/>
      <c r="U308" s="47"/>
      <c r="V308" s="47"/>
      <c r="W308" s="47"/>
      <c r="X308" s="47"/>
      <c r="Y308" s="47"/>
      <c r="Z308" s="31" t="s">
        <v>675</v>
      </c>
      <c r="AE308" s="31" t="s">
        <v>932</v>
      </c>
      <c r="AF308" s="47">
        <v>45</v>
      </c>
      <c r="AG308"/>
      <c r="AH308"/>
      <c r="AI308"/>
      <c r="AJ308"/>
      <c r="AK308"/>
      <c r="AL308"/>
      <c r="AM308"/>
      <c r="AN308"/>
      <c r="AO308"/>
      <c r="AP308"/>
      <c r="AQ308" t="s">
        <v>933</v>
      </c>
      <c r="AU308">
        <v>304</v>
      </c>
    </row>
    <row r="309" spans="1:47" x14ac:dyDescent="0.2">
      <c r="A309" s="37">
        <v>5716</v>
      </c>
      <c r="B309" s="38" t="s">
        <v>45</v>
      </c>
      <c r="C309" s="38" t="s">
        <v>134</v>
      </c>
      <c r="D309" s="29" t="s">
        <v>120</v>
      </c>
      <c r="E309" s="38" t="s">
        <v>934</v>
      </c>
      <c r="F309" s="74" t="s">
        <v>748</v>
      </c>
      <c r="G309" s="47"/>
      <c r="H309"/>
      <c r="I309" s="31" t="s">
        <v>935</v>
      </c>
      <c r="J309" s="47"/>
      <c r="K309" s="47">
        <v>0</v>
      </c>
      <c r="L309" s="48">
        <v>1</v>
      </c>
      <c r="M309" s="47">
        <v>1</v>
      </c>
      <c r="N309" s="47"/>
      <c r="O309" s="47"/>
      <c r="P309" s="47"/>
      <c r="Q309" s="47"/>
      <c r="R309" s="47"/>
      <c r="S309" s="48">
        <v>0</v>
      </c>
      <c r="T309" s="47"/>
      <c r="U309" s="47"/>
      <c r="V309" s="47"/>
      <c r="W309" s="47"/>
      <c r="X309" s="47"/>
      <c r="Y309" s="47" t="s">
        <v>51</v>
      </c>
      <c r="Z309" s="47" t="s">
        <v>675</v>
      </c>
      <c r="AA309" s="49">
        <v>0.875</v>
      </c>
      <c r="AB309" s="49">
        <v>0.89236111111111116</v>
      </c>
      <c r="AC309" s="49"/>
      <c r="AD309" s="50">
        <f>(AB309-AA309)*24</f>
        <v>0.41666666666666785</v>
      </c>
      <c r="AE309" s="71" t="s">
        <v>132</v>
      </c>
      <c r="AF309" s="47"/>
      <c r="AG309"/>
      <c r="AH309"/>
      <c r="AI309"/>
      <c r="AJ309"/>
      <c r="AK309">
        <v>0</v>
      </c>
      <c r="AL309"/>
      <c r="AM309"/>
      <c r="AN309"/>
      <c r="AO309"/>
      <c r="AP309"/>
      <c r="AQ309" t="s">
        <v>936</v>
      </c>
      <c r="AU309">
        <v>305</v>
      </c>
    </row>
    <row r="310" spans="1:47" x14ac:dyDescent="0.2">
      <c r="A310" s="37">
        <v>5716</v>
      </c>
      <c r="B310" s="38"/>
      <c r="C310" s="39" t="s">
        <v>253</v>
      </c>
      <c r="D310" s="29"/>
      <c r="E310" s="38" t="s">
        <v>937</v>
      </c>
      <c r="F310" s="32" t="s">
        <v>107</v>
      </c>
      <c r="G310" s="47"/>
      <c r="H310"/>
      <c r="I310" s="32"/>
      <c r="J310" s="47"/>
      <c r="K310" s="47"/>
      <c r="L310" s="48"/>
      <c r="M310" s="47"/>
      <c r="N310" s="47"/>
      <c r="O310" s="47"/>
      <c r="P310" s="47"/>
      <c r="Q310" s="47"/>
      <c r="R310" s="47"/>
      <c r="S310" s="48"/>
      <c r="T310" s="47"/>
      <c r="U310" s="47"/>
      <c r="V310" s="47"/>
      <c r="W310" s="47"/>
      <c r="X310" s="47"/>
      <c r="Y310" s="47"/>
      <c r="Z310" s="47"/>
      <c r="AA310" s="49"/>
      <c r="AB310" s="49"/>
      <c r="AC310" s="49"/>
      <c r="AD310" s="50"/>
      <c r="AE310" s="47"/>
      <c r="AF310" s="47"/>
      <c r="AG310"/>
      <c r="AH310"/>
      <c r="AI310"/>
      <c r="AJ310"/>
      <c r="AK310"/>
      <c r="AL310"/>
      <c r="AM310"/>
      <c r="AN310"/>
      <c r="AO310"/>
      <c r="AP310"/>
      <c r="AQ310" t="s">
        <v>900</v>
      </c>
      <c r="AU310">
        <v>306</v>
      </c>
    </row>
    <row r="311" spans="1:47" x14ac:dyDescent="0.2">
      <c r="A311" s="37">
        <v>5717</v>
      </c>
      <c r="B311" s="38" t="s">
        <v>85</v>
      </c>
      <c r="C311" s="39" t="s">
        <v>253</v>
      </c>
      <c r="D311" s="29"/>
      <c r="E311" s="38" t="s">
        <v>938</v>
      </c>
      <c r="F311" s="76" t="s">
        <v>246</v>
      </c>
      <c r="G311" s="47"/>
      <c r="H311"/>
      <c r="I311" s="32"/>
      <c r="J311" s="47"/>
      <c r="K311" s="47"/>
      <c r="L311" s="48"/>
      <c r="M311" s="47"/>
      <c r="N311" s="47"/>
      <c r="O311" s="47"/>
      <c r="P311" s="47"/>
      <c r="Q311" s="47"/>
      <c r="R311" s="47"/>
      <c r="S311" s="48"/>
      <c r="T311" s="47"/>
      <c r="U311" s="47"/>
      <c r="V311" s="47"/>
      <c r="W311" s="47"/>
      <c r="X311" s="47"/>
      <c r="Y311" s="47"/>
      <c r="Z311" s="47"/>
      <c r="AA311" s="49"/>
      <c r="AB311" s="49"/>
      <c r="AC311" s="49"/>
      <c r="AD311" s="50"/>
      <c r="AE311" s="47"/>
      <c r="AF311" s="47"/>
      <c r="AG311"/>
      <c r="AH311"/>
      <c r="AI311"/>
      <c r="AJ311"/>
      <c r="AK311"/>
      <c r="AL311"/>
      <c r="AM311"/>
      <c r="AN311"/>
      <c r="AO311"/>
      <c r="AP311"/>
      <c r="AQ311" s="32" t="s">
        <v>893</v>
      </c>
      <c r="AU311">
        <v>307</v>
      </c>
    </row>
    <row r="312" spans="1:47" x14ac:dyDescent="0.2">
      <c r="A312" s="37">
        <v>5717</v>
      </c>
      <c r="B312" s="38" t="s">
        <v>85</v>
      </c>
      <c r="C312" s="39" t="s">
        <v>156</v>
      </c>
      <c r="D312" s="29"/>
      <c r="E312" s="38" t="s">
        <v>939</v>
      </c>
      <c r="F312" s="76" t="s">
        <v>144</v>
      </c>
      <c r="G312" s="47"/>
      <c r="H312"/>
      <c r="I312" s="32" t="s">
        <v>940</v>
      </c>
      <c r="J312" s="47"/>
      <c r="K312" s="47"/>
      <c r="L312" s="48"/>
      <c r="M312" s="47"/>
      <c r="N312" s="47"/>
      <c r="O312" s="47"/>
      <c r="P312" s="47"/>
      <c r="Q312" s="47"/>
      <c r="R312" s="47"/>
      <c r="S312" s="48">
        <v>4</v>
      </c>
      <c r="T312" s="47"/>
      <c r="U312" s="47"/>
      <c r="V312" s="47"/>
      <c r="W312" s="47"/>
      <c r="X312" s="47"/>
      <c r="Y312" s="47"/>
      <c r="Z312" s="31" t="s">
        <v>675</v>
      </c>
      <c r="AA312" s="49"/>
      <c r="AB312" s="49"/>
      <c r="AC312" s="49"/>
      <c r="AD312" s="50"/>
      <c r="AE312" s="31" t="s">
        <v>932</v>
      </c>
      <c r="AF312" s="47">
        <v>50</v>
      </c>
      <c r="AG312"/>
      <c r="AH312"/>
      <c r="AI312"/>
      <c r="AJ312"/>
      <c r="AK312"/>
      <c r="AL312"/>
      <c r="AM312"/>
      <c r="AN312"/>
      <c r="AO312"/>
      <c r="AP312"/>
      <c r="AQ312" t="s">
        <v>744</v>
      </c>
      <c r="AU312">
        <v>308</v>
      </c>
    </row>
    <row r="313" spans="1:47" x14ac:dyDescent="0.2">
      <c r="A313" s="37">
        <v>5717</v>
      </c>
      <c r="B313" s="38" t="s">
        <v>85</v>
      </c>
      <c r="C313" s="39" t="s">
        <v>228</v>
      </c>
      <c r="D313" s="29"/>
      <c r="E313" s="38" t="s">
        <v>941</v>
      </c>
      <c r="F313" s="76" t="s">
        <v>678</v>
      </c>
      <c r="G313" s="47"/>
      <c r="H313"/>
      <c r="I313" s="32" t="s">
        <v>942</v>
      </c>
      <c r="J313" s="47"/>
      <c r="K313" s="47"/>
      <c r="L313" s="48">
        <v>1</v>
      </c>
      <c r="M313" s="47"/>
      <c r="N313" s="47"/>
      <c r="O313" s="47"/>
      <c r="P313" s="47"/>
      <c r="Q313" s="47"/>
      <c r="R313" s="47"/>
      <c r="S313" s="48"/>
      <c r="T313" s="47"/>
      <c r="U313" s="47"/>
      <c r="V313" s="47"/>
      <c r="W313" s="47"/>
      <c r="X313" s="47"/>
      <c r="Y313" s="47"/>
      <c r="Z313" s="47"/>
      <c r="AA313" s="49"/>
      <c r="AB313" s="49"/>
      <c r="AC313" s="49"/>
      <c r="AD313" s="50"/>
      <c r="AE313" s="47" t="s">
        <v>283</v>
      </c>
      <c r="AF313" s="47">
        <v>45</v>
      </c>
      <c r="AG313"/>
      <c r="AH313"/>
      <c r="AI313"/>
      <c r="AJ313"/>
      <c r="AK313"/>
      <c r="AL313"/>
      <c r="AM313"/>
      <c r="AN313"/>
      <c r="AO313"/>
      <c r="AP313"/>
      <c r="AQ313" t="s">
        <v>233</v>
      </c>
      <c r="AU313">
        <v>309</v>
      </c>
    </row>
    <row r="314" spans="1:47" x14ac:dyDescent="0.2">
      <c r="A314" s="77">
        <v>5717</v>
      </c>
      <c r="B314" s="78" t="s">
        <v>45</v>
      </c>
      <c r="C314" s="79" t="s">
        <v>134</v>
      </c>
      <c r="D314" s="80"/>
      <c r="E314" s="78" t="s">
        <v>801</v>
      </c>
      <c r="F314" s="81" t="s">
        <v>943</v>
      </c>
      <c r="G314" s="82" t="s">
        <v>627</v>
      </c>
      <c r="H314" s="83"/>
      <c r="I314" s="84" t="s">
        <v>944</v>
      </c>
      <c r="J314" s="47"/>
      <c r="K314" s="47">
        <f>6*8*2.2</f>
        <v>105.60000000000001</v>
      </c>
      <c r="L314" s="48">
        <v>1</v>
      </c>
      <c r="M314" s="47"/>
      <c r="N314" s="47"/>
      <c r="O314" s="47"/>
      <c r="P314" s="47"/>
      <c r="Q314" s="47"/>
      <c r="R314" s="47"/>
      <c r="S314" s="48">
        <v>1</v>
      </c>
      <c r="T314" s="47">
        <v>0</v>
      </c>
      <c r="U314" s="47">
        <v>0</v>
      </c>
      <c r="V314" s="47">
        <v>0</v>
      </c>
      <c r="W314" s="47">
        <f>500*39.37/12</f>
        <v>1640.4166666666667</v>
      </c>
      <c r="X314" s="47"/>
      <c r="Y314" s="47" t="s">
        <v>51</v>
      </c>
      <c r="Z314" s="47" t="s">
        <v>675</v>
      </c>
      <c r="AA314" s="49">
        <v>0.86458333333333337</v>
      </c>
      <c r="AB314" s="49">
        <v>0.94791666666666663</v>
      </c>
      <c r="AC314" s="49">
        <f>AVERAGE(AA314:AB314)</f>
        <v>0.90625</v>
      </c>
      <c r="AD314" s="50">
        <f>(AB314-AA314)*24</f>
        <v>1.9999999999999982</v>
      </c>
      <c r="AE314" s="71" t="s">
        <v>132</v>
      </c>
      <c r="AF314" s="47">
        <v>35</v>
      </c>
      <c r="AG314"/>
      <c r="AH314"/>
      <c r="AI314"/>
      <c r="AJ314"/>
      <c r="AK314">
        <v>6</v>
      </c>
      <c r="AL314"/>
      <c r="AM314"/>
      <c r="AN314"/>
      <c r="AO314" t="s">
        <v>945</v>
      </c>
      <c r="AP314"/>
      <c r="AQ314" t="s">
        <v>946</v>
      </c>
      <c r="AU314">
        <v>310</v>
      </c>
    </row>
    <row r="315" spans="1:47" x14ac:dyDescent="0.2">
      <c r="A315" s="37">
        <v>5717</v>
      </c>
      <c r="B315" s="38"/>
      <c r="C315" s="39" t="s">
        <v>253</v>
      </c>
      <c r="D315" s="29"/>
      <c r="E315" s="38" t="s">
        <v>947</v>
      </c>
      <c r="F315" s="32" t="s">
        <v>107</v>
      </c>
      <c r="G315" s="47"/>
      <c r="H315"/>
      <c r="I315" s="32"/>
      <c r="J315" s="47"/>
      <c r="K315" s="47"/>
      <c r="L315" s="48"/>
      <c r="M315" s="47"/>
      <c r="N315" s="47"/>
      <c r="O315" s="47"/>
      <c r="P315" s="47"/>
      <c r="Q315" s="47"/>
      <c r="R315" s="47"/>
      <c r="S315" s="48"/>
      <c r="T315" s="47"/>
      <c r="U315" s="47"/>
      <c r="V315" s="47"/>
      <c r="W315" s="47"/>
      <c r="X315" s="47"/>
      <c r="Y315" s="47"/>
      <c r="Z315" s="47"/>
      <c r="AA315" s="49"/>
      <c r="AB315" s="49"/>
      <c r="AC315" s="49"/>
      <c r="AD315" s="50"/>
      <c r="AE315" s="47"/>
      <c r="AF315" s="47"/>
      <c r="AG315"/>
      <c r="AH315"/>
      <c r="AI315"/>
      <c r="AJ315"/>
      <c r="AK315"/>
      <c r="AL315"/>
      <c r="AM315"/>
      <c r="AN315"/>
      <c r="AO315"/>
      <c r="AP315"/>
      <c r="AQ315" t="s">
        <v>900</v>
      </c>
      <c r="AU315">
        <v>311</v>
      </c>
    </row>
    <row r="316" spans="1:47" x14ac:dyDescent="0.2">
      <c r="A316" s="37">
        <v>5718</v>
      </c>
      <c r="B316" s="38" t="s">
        <v>85</v>
      </c>
      <c r="C316" s="39" t="s">
        <v>134</v>
      </c>
      <c r="D316" s="29"/>
      <c r="E316" s="38" t="s">
        <v>948</v>
      </c>
      <c r="F316" s="32" t="s">
        <v>949</v>
      </c>
      <c r="G316" s="47" t="s">
        <v>459</v>
      </c>
      <c r="H316"/>
      <c r="I316" s="32" t="s">
        <v>950</v>
      </c>
      <c r="J316" s="47"/>
      <c r="K316" s="47">
        <f>(4*43+14*8)*2.2</f>
        <v>624.80000000000007</v>
      </c>
      <c r="L316" s="48">
        <v>6</v>
      </c>
      <c r="M316" s="47">
        <v>1</v>
      </c>
      <c r="N316" s="47"/>
      <c r="O316" s="47"/>
      <c r="P316" s="47"/>
      <c r="Q316" s="47">
        <v>1</v>
      </c>
      <c r="R316" s="47"/>
      <c r="S316" s="48">
        <v>5</v>
      </c>
      <c r="T316" s="47">
        <v>0</v>
      </c>
      <c r="U316" s="47">
        <v>0</v>
      </c>
      <c r="V316" s="47">
        <v>0</v>
      </c>
      <c r="W316" s="47">
        <f>1900*39.37/12</f>
        <v>6233.583333333333</v>
      </c>
      <c r="X316" s="47"/>
      <c r="Y316" s="47" t="s">
        <v>51</v>
      </c>
      <c r="Z316" s="47" t="s">
        <v>675</v>
      </c>
      <c r="AA316" s="49">
        <v>0.19791666666666666</v>
      </c>
      <c r="AB316" s="49">
        <v>0.29305555555555557</v>
      </c>
      <c r="AC316" s="49">
        <f>AVERAGE(AA316:AB316)</f>
        <v>0.24548611111111113</v>
      </c>
      <c r="AD316" s="50">
        <f>(AB316-AA316)*24</f>
        <v>2.2833333333333341</v>
      </c>
      <c r="AE316" s="71" t="s">
        <v>132</v>
      </c>
      <c r="AF316" s="47">
        <v>55</v>
      </c>
      <c r="AG316"/>
      <c r="AH316"/>
      <c r="AI316"/>
      <c r="AJ316"/>
      <c r="AK316">
        <v>18</v>
      </c>
      <c r="AL316"/>
      <c r="AM316"/>
      <c r="AN316"/>
      <c r="AO316"/>
      <c r="AP316"/>
      <c r="AQ316" t="s">
        <v>951</v>
      </c>
      <c r="AU316">
        <v>312</v>
      </c>
    </row>
    <row r="317" spans="1:47" x14ac:dyDescent="0.2">
      <c r="A317" s="37">
        <v>5719</v>
      </c>
      <c r="B317" s="38" t="s">
        <v>85</v>
      </c>
      <c r="C317" s="39" t="s">
        <v>253</v>
      </c>
      <c r="D317" s="29"/>
      <c r="E317" s="38" t="s">
        <v>952</v>
      </c>
      <c r="F317" s="32" t="s">
        <v>150</v>
      </c>
      <c r="G317" s="47"/>
      <c r="H317"/>
      <c r="I317" s="32"/>
      <c r="J317" s="47"/>
      <c r="K317" s="47"/>
      <c r="L317" s="48"/>
      <c r="M317" s="47"/>
      <c r="N317" s="47"/>
      <c r="O317" s="47"/>
      <c r="P317" s="47"/>
      <c r="Q317" s="47"/>
      <c r="R317" s="47"/>
      <c r="S317" s="48"/>
      <c r="T317" s="47"/>
      <c r="U317" s="47"/>
      <c r="V317" s="47"/>
      <c r="W317" s="47"/>
      <c r="X317" s="47"/>
      <c r="Y317" s="47"/>
      <c r="Z317" s="47"/>
      <c r="AA317" s="49"/>
      <c r="AB317" s="49"/>
      <c r="AC317" s="49"/>
      <c r="AD317" s="50"/>
      <c r="AE317" s="47"/>
      <c r="AF317" s="47"/>
      <c r="AG317"/>
      <c r="AH317"/>
      <c r="AI317"/>
      <c r="AJ317"/>
      <c r="AK317"/>
      <c r="AL317"/>
      <c r="AM317"/>
      <c r="AN317"/>
      <c r="AO317"/>
      <c r="AP317"/>
      <c r="AQ317" s="32" t="s">
        <v>893</v>
      </c>
      <c r="AU317">
        <v>313</v>
      </c>
    </row>
    <row r="318" spans="1:47" x14ac:dyDescent="0.2">
      <c r="A318" s="37">
        <v>5719</v>
      </c>
      <c r="B318" s="38"/>
      <c r="C318" s="39" t="s">
        <v>253</v>
      </c>
      <c r="D318" s="29"/>
      <c r="E318" s="38" t="s">
        <v>953</v>
      </c>
      <c r="F318" s="32" t="s">
        <v>107</v>
      </c>
      <c r="G318" s="47"/>
      <c r="H318"/>
      <c r="I318" s="32" t="s">
        <v>954</v>
      </c>
      <c r="J318" s="47"/>
      <c r="K318" s="47"/>
      <c r="L318" s="48"/>
      <c r="M318" s="47"/>
      <c r="N318" s="47"/>
      <c r="O318" s="47"/>
      <c r="P318" s="47"/>
      <c r="Q318" s="47"/>
      <c r="R318" s="47"/>
      <c r="S318" s="48"/>
      <c r="T318" s="47"/>
      <c r="U318" s="47"/>
      <c r="V318" s="47"/>
      <c r="W318" s="47"/>
      <c r="X318" s="47"/>
      <c r="Y318" s="47"/>
      <c r="Z318" s="47"/>
      <c r="AA318" s="49"/>
      <c r="AB318" s="49"/>
      <c r="AC318" s="49"/>
      <c r="AD318" s="50"/>
      <c r="AE318" s="47"/>
      <c r="AF318" s="47"/>
      <c r="AG318"/>
      <c r="AH318"/>
      <c r="AI318"/>
      <c r="AJ318"/>
      <c r="AK318"/>
      <c r="AL318"/>
      <c r="AM318"/>
      <c r="AN318"/>
      <c r="AO318"/>
      <c r="AP318"/>
      <c r="AQ318" t="s">
        <v>900</v>
      </c>
      <c r="AU318">
        <v>314</v>
      </c>
    </row>
    <row r="319" spans="1:47" x14ac:dyDescent="0.2">
      <c r="A319" s="37">
        <v>5720</v>
      </c>
      <c r="B319" s="38"/>
      <c r="C319" s="85" t="s">
        <v>253</v>
      </c>
      <c r="D319" s="29"/>
      <c r="E319" s="38" t="s">
        <v>955</v>
      </c>
      <c r="F319" s="32" t="s">
        <v>150</v>
      </c>
      <c r="G319" s="47"/>
      <c r="H319"/>
      <c r="I319" s="32"/>
      <c r="J319" s="47"/>
      <c r="K319" s="47"/>
      <c r="L319" s="48"/>
      <c r="M319" s="47"/>
      <c r="N319" s="47"/>
      <c r="O319" s="47"/>
      <c r="P319" s="47"/>
      <c r="Q319" s="47"/>
      <c r="R319" s="47"/>
      <c r="S319" s="48"/>
      <c r="T319" s="47"/>
      <c r="U319" s="47"/>
      <c r="V319" s="47"/>
      <c r="W319" s="47"/>
      <c r="X319" s="47"/>
      <c r="Y319" s="47"/>
      <c r="Z319" s="47"/>
      <c r="AA319" s="49"/>
      <c r="AB319" s="49"/>
      <c r="AC319" s="49"/>
      <c r="AD319" s="50"/>
      <c r="AE319" s="47"/>
      <c r="AF319" s="47"/>
      <c r="AG319"/>
      <c r="AH319"/>
      <c r="AI319"/>
      <c r="AJ319"/>
      <c r="AK319"/>
      <c r="AL319"/>
      <c r="AM319"/>
      <c r="AN319"/>
      <c r="AO319"/>
      <c r="AP319"/>
      <c r="AQ319"/>
      <c r="AU319">
        <v>315</v>
      </c>
    </row>
    <row r="320" spans="1:47" x14ac:dyDescent="0.2">
      <c r="A320" s="37">
        <v>5720</v>
      </c>
      <c r="B320" s="38"/>
      <c r="C320" s="39" t="s">
        <v>253</v>
      </c>
      <c r="D320" s="29"/>
      <c r="E320" s="38" t="s">
        <v>956</v>
      </c>
      <c r="F320" s="32" t="s">
        <v>776</v>
      </c>
      <c r="G320" s="47"/>
      <c r="H320"/>
      <c r="I320" s="32"/>
      <c r="J320" s="47"/>
      <c r="K320" s="47"/>
      <c r="L320" s="48"/>
      <c r="M320" s="47"/>
      <c r="N320" s="47"/>
      <c r="O320" s="47"/>
      <c r="P320" s="47"/>
      <c r="Q320" s="47"/>
      <c r="R320" s="47"/>
      <c r="S320" s="48"/>
      <c r="T320" s="47"/>
      <c r="U320" s="47"/>
      <c r="V320" s="47"/>
      <c r="W320" s="47"/>
      <c r="X320" s="47"/>
      <c r="Y320" s="47"/>
      <c r="Z320" s="47"/>
      <c r="AA320" s="49"/>
      <c r="AB320" s="49"/>
      <c r="AC320" s="49"/>
      <c r="AD320" s="50"/>
      <c r="AE320" s="47"/>
      <c r="AF320" s="47"/>
      <c r="AG320"/>
      <c r="AH320"/>
      <c r="AI320"/>
      <c r="AJ320"/>
      <c r="AK320"/>
      <c r="AL320"/>
      <c r="AM320"/>
      <c r="AN320"/>
      <c r="AO320"/>
      <c r="AP320"/>
      <c r="AQ320"/>
      <c r="AU320">
        <v>316</v>
      </c>
    </row>
    <row r="321" spans="1:47" x14ac:dyDescent="0.2">
      <c r="A321" s="37">
        <v>5727</v>
      </c>
      <c r="B321" s="38"/>
      <c r="C321" s="39" t="s">
        <v>253</v>
      </c>
      <c r="D321" s="29"/>
      <c r="E321" s="38" t="s">
        <v>153</v>
      </c>
      <c r="F321" s="32" t="s">
        <v>107</v>
      </c>
      <c r="G321" s="47"/>
      <c r="H321"/>
      <c r="I321" s="32" t="s">
        <v>957</v>
      </c>
      <c r="J321" s="47"/>
      <c r="K321" s="47"/>
      <c r="L321" s="48"/>
      <c r="M321" s="47"/>
      <c r="N321" s="47"/>
      <c r="O321" s="47"/>
      <c r="P321" s="47"/>
      <c r="Q321" s="47"/>
      <c r="R321" s="47"/>
      <c r="S321" s="48"/>
      <c r="T321" s="47"/>
      <c r="U321" s="47"/>
      <c r="V321" s="47"/>
      <c r="W321" s="47"/>
      <c r="X321" s="47"/>
      <c r="Y321" s="47"/>
      <c r="Z321" s="47"/>
      <c r="AA321" s="49"/>
      <c r="AB321" s="49"/>
      <c r="AC321" s="49"/>
      <c r="AD321" s="50"/>
      <c r="AE321" s="47"/>
      <c r="AF321" s="47"/>
      <c r="AG321"/>
      <c r="AH321"/>
      <c r="AI321"/>
      <c r="AJ321"/>
      <c r="AK321"/>
      <c r="AL321"/>
      <c r="AM321"/>
      <c r="AN321"/>
      <c r="AO321"/>
      <c r="AP321"/>
      <c r="AQ321" t="s">
        <v>900</v>
      </c>
      <c r="AU321">
        <v>317</v>
      </c>
    </row>
    <row r="322" spans="1:47" x14ac:dyDescent="0.2">
      <c r="A322" s="37">
        <v>5728</v>
      </c>
      <c r="B322" s="38" t="s">
        <v>85</v>
      </c>
      <c r="C322" s="39" t="s">
        <v>958</v>
      </c>
      <c r="D322" s="29"/>
      <c r="E322" s="38" t="s">
        <v>858</v>
      </c>
      <c r="F322" s="32" t="s">
        <v>959</v>
      </c>
      <c r="G322" s="47" t="s">
        <v>459</v>
      </c>
      <c r="H322"/>
      <c r="I322" s="32" t="s">
        <v>960</v>
      </c>
      <c r="J322" s="47"/>
      <c r="K322" s="47"/>
      <c r="L322" s="48">
        <v>62</v>
      </c>
      <c r="M322" s="47"/>
      <c r="N322" s="47"/>
      <c r="O322" s="47"/>
      <c r="P322" s="47"/>
      <c r="Q322" s="47"/>
      <c r="R322" s="47"/>
      <c r="S322" s="48"/>
      <c r="T322" s="47"/>
      <c r="U322" s="47"/>
      <c r="V322" s="47"/>
      <c r="W322" s="47"/>
      <c r="X322" s="47"/>
      <c r="Y322" s="47" t="s">
        <v>120</v>
      </c>
      <c r="Z322" s="47"/>
      <c r="AA322" s="49"/>
      <c r="AB322" s="49"/>
      <c r="AC322" s="49"/>
      <c r="AD322" s="50"/>
      <c r="AE322" s="47"/>
      <c r="AF322" s="47"/>
      <c r="AG322"/>
      <c r="AH322"/>
      <c r="AI322"/>
      <c r="AJ322"/>
      <c r="AK322"/>
      <c r="AL322"/>
      <c r="AM322"/>
      <c r="AN322"/>
      <c r="AO322"/>
      <c r="AP322"/>
      <c r="AQ322" t="s">
        <v>961</v>
      </c>
      <c r="AU322">
        <v>318</v>
      </c>
    </row>
    <row r="323" spans="1:47" x14ac:dyDescent="0.2">
      <c r="A323" s="37">
        <v>5728</v>
      </c>
      <c r="B323" s="38" t="s">
        <v>85</v>
      </c>
      <c r="C323" s="39" t="s">
        <v>142</v>
      </c>
      <c r="D323" s="29"/>
      <c r="E323" s="38" t="s">
        <v>962</v>
      </c>
      <c r="F323" s="32" t="s">
        <v>963</v>
      </c>
      <c r="G323" s="47" t="s">
        <v>459</v>
      </c>
      <c r="H323"/>
      <c r="I323" s="32" t="b">
        <v>1</v>
      </c>
      <c r="J323" s="47" t="b">
        <v>1</v>
      </c>
      <c r="K323" s="47">
        <f>((93+14)*8+(8+1)*43)*2.2</f>
        <v>2734.6000000000004</v>
      </c>
      <c r="L323" s="48">
        <v>26</v>
      </c>
      <c r="M323" s="47"/>
      <c r="N323" s="47"/>
      <c r="O323" s="47"/>
      <c r="P323" s="47"/>
      <c r="Q323" s="47"/>
      <c r="R323" s="47"/>
      <c r="S323" s="48">
        <f>20+3</f>
        <v>23</v>
      </c>
      <c r="T323" s="47">
        <v>0</v>
      </c>
      <c r="U323" s="47">
        <v>0</v>
      </c>
      <c r="V323" s="47">
        <v>0</v>
      </c>
      <c r="W323" s="47"/>
      <c r="X323" s="47"/>
      <c r="Y323" s="47" t="s">
        <v>120</v>
      </c>
      <c r="Z323" s="31" t="s">
        <v>146</v>
      </c>
      <c r="AA323" s="49">
        <v>0.28125</v>
      </c>
      <c r="AB323" s="49">
        <v>0.44791666666666669</v>
      </c>
      <c r="AC323" s="49">
        <f t="shared" ref="AC323:AC329" si="2">AVERAGE(AA323:AB323)</f>
        <v>0.36458333333333337</v>
      </c>
      <c r="AD323" s="50">
        <f t="shared" ref="AD323:AD329" si="3">(AB323-AA323)*24</f>
        <v>4</v>
      </c>
      <c r="AE323" s="47" t="s">
        <v>342</v>
      </c>
      <c r="AF323" s="47">
        <v>80</v>
      </c>
      <c r="AG323"/>
      <c r="AH323"/>
      <c r="AI323"/>
      <c r="AJ323"/>
      <c r="AK323">
        <f>102+15</f>
        <v>117</v>
      </c>
      <c r="AL323"/>
      <c r="AM323"/>
      <c r="AN323"/>
      <c r="AO323"/>
      <c r="AP323"/>
      <c r="AQ323" t="s">
        <v>964</v>
      </c>
      <c r="AR323" s="32" t="s">
        <v>965</v>
      </c>
      <c r="AU323">
        <v>319</v>
      </c>
    </row>
    <row r="324" spans="1:47" x14ac:dyDescent="0.2">
      <c r="A324" s="37">
        <v>5728</v>
      </c>
      <c r="B324" s="38" t="s">
        <v>85</v>
      </c>
      <c r="C324" s="39" t="s">
        <v>142</v>
      </c>
      <c r="D324" s="29"/>
      <c r="E324" s="38" t="s">
        <v>858</v>
      </c>
      <c r="F324" s="32" t="s">
        <v>959</v>
      </c>
      <c r="G324" s="47" t="s">
        <v>459</v>
      </c>
      <c r="H324"/>
      <c r="I324" s="31" t="b">
        <v>0</v>
      </c>
      <c r="J324" s="47" t="b">
        <v>0</v>
      </c>
      <c r="K324" s="47">
        <f>(93*8+8*43)*2.2</f>
        <v>2393.6000000000004</v>
      </c>
      <c r="L324" s="48"/>
      <c r="M324" s="47"/>
      <c r="N324" s="47"/>
      <c r="O324" s="47"/>
      <c r="P324" s="47"/>
      <c r="Q324" s="47"/>
      <c r="R324" s="47"/>
      <c r="S324" s="48">
        <v>20</v>
      </c>
      <c r="T324" s="47">
        <v>0</v>
      </c>
      <c r="U324" s="47">
        <v>0</v>
      </c>
      <c r="V324" s="47">
        <v>0</v>
      </c>
      <c r="W324" s="47"/>
      <c r="X324" s="47"/>
      <c r="Y324" s="47" t="s">
        <v>120</v>
      </c>
      <c r="Z324" s="31" t="s">
        <v>146</v>
      </c>
      <c r="AA324" s="49">
        <v>0.28125</v>
      </c>
      <c r="AB324" s="49">
        <v>0.44791666666666669</v>
      </c>
      <c r="AC324" s="49">
        <f t="shared" si="2"/>
        <v>0.36458333333333337</v>
      </c>
      <c r="AD324" s="50">
        <f t="shared" si="3"/>
        <v>4</v>
      </c>
      <c r="AE324" s="47" t="s">
        <v>342</v>
      </c>
      <c r="AF324" s="47">
        <v>80</v>
      </c>
      <c r="AG324"/>
      <c r="AH324"/>
      <c r="AI324"/>
      <c r="AJ324"/>
      <c r="AK324">
        <v>102</v>
      </c>
      <c r="AL324"/>
      <c r="AM324"/>
      <c r="AN324"/>
      <c r="AO324"/>
      <c r="AP324"/>
      <c r="AQ324" t="s">
        <v>964</v>
      </c>
      <c r="AR324" s="32" t="s">
        <v>966</v>
      </c>
      <c r="AU324">
        <v>320</v>
      </c>
    </row>
    <row r="325" spans="1:47" x14ac:dyDescent="0.2">
      <c r="A325" s="37">
        <v>5728</v>
      </c>
      <c r="B325" s="38" t="s">
        <v>85</v>
      </c>
      <c r="C325" s="39" t="s">
        <v>142</v>
      </c>
      <c r="D325" s="29"/>
      <c r="E325" s="38" t="s">
        <v>153</v>
      </c>
      <c r="F325" s="32" t="s">
        <v>967</v>
      </c>
      <c r="G325" s="47" t="s">
        <v>459</v>
      </c>
      <c r="H325"/>
      <c r="I325" s="31" t="b">
        <v>0</v>
      </c>
      <c r="J325" s="47" t="b">
        <v>0</v>
      </c>
      <c r="K325" s="47">
        <f>(14*8+1*43)*2.2</f>
        <v>341</v>
      </c>
      <c r="L325" s="48"/>
      <c r="M325" s="47"/>
      <c r="N325" s="47"/>
      <c r="O325" s="47"/>
      <c r="P325" s="47"/>
      <c r="Q325" s="47"/>
      <c r="R325" s="47"/>
      <c r="S325" s="48">
        <v>3</v>
      </c>
      <c r="T325" s="47">
        <v>0</v>
      </c>
      <c r="U325" s="47">
        <v>0</v>
      </c>
      <c r="V325" s="47">
        <v>0</v>
      </c>
      <c r="W325" s="47"/>
      <c r="X325" s="47"/>
      <c r="Y325" s="47" t="s">
        <v>120</v>
      </c>
      <c r="Z325" s="31" t="s">
        <v>146</v>
      </c>
      <c r="AA325" s="49">
        <v>0.28125</v>
      </c>
      <c r="AB325" s="49">
        <v>0.44791666666666669</v>
      </c>
      <c r="AC325" s="49">
        <f t="shared" si="2"/>
        <v>0.36458333333333337</v>
      </c>
      <c r="AD325" s="50">
        <f t="shared" si="3"/>
        <v>4</v>
      </c>
      <c r="AE325" s="47" t="s">
        <v>342</v>
      </c>
      <c r="AF325" s="47">
        <v>40</v>
      </c>
      <c r="AG325"/>
      <c r="AH325"/>
      <c r="AI325"/>
      <c r="AJ325"/>
      <c r="AK325">
        <v>15</v>
      </c>
      <c r="AL325"/>
      <c r="AM325"/>
      <c r="AN325"/>
      <c r="AO325"/>
      <c r="AP325"/>
      <c r="AQ325" t="s">
        <v>964</v>
      </c>
      <c r="AR325" s="32" t="s">
        <v>966</v>
      </c>
      <c r="AU325">
        <v>321</v>
      </c>
    </row>
    <row r="326" spans="1:47" x14ac:dyDescent="0.2">
      <c r="A326" s="37">
        <v>5728</v>
      </c>
      <c r="B326" s="38" t="s">
        <v>85</v>
      </c>
      <c r="C326" s="39" t="s">
        <v>346</v>
      </c>
      <c r="D326" s="29"/>
      <c r="E326" s="38" t="s">
        <v>968</v>
      </c>
      <c r="F326" s="32" t="s">
        <v>969</v>
      </c>
      <c r="G326" s="47" t="s">
        <v>459</v>
      </c>
      <c r="H326"/>
      <c r="I326" s="32" t="b">
        <v>1</v>
      </c>
      <c r="J326" s="47" t="b">
        <v>1</v>
      </c>
      <c r="K326" s="47">
        <f>30*8*2.2</f>
        <v>528</v>
      </c>
      <c r="L326" s="48">
        <v>9</v>
      </c>
      <c r="M326" s="47"/>
      <c r="N326" s="47">
        <v>2</v>
      </c>
      <c r="O326" s="47"/>
      <c r="P326" s="47"/>
      <c r="Q326" s="47">
        <v>2</v>
      </c>
      <c r="R326" s="47"/>
      <c r="S326" s="48">
        <v>6</v>
      </c>
      <c r="T326" s="47">
        <v>1</v>
      </c>
      <c r="U326" s="47">
        <v>0</v>
      </c>
      <c r="V326" s="47">
        <v>0</v>
      </c>
      <c r="W326" s="47"/>
      <c r="X326" s="47"/>
      <c r="Y326" s="47" t="s">
        <v>51</v>
      </c>
      <c r="Z326" s="47" t="s">
        <v>146</v>
      </c>
      <c r="AA326" s="49">
        <v>0.28680555555555554</v>
      </c>
      <c r="AB326" s="49">
        <v>0.42708333333333331</v>
      </c>
      <c r="AC326" s="49">
        <f t="shared" si="2"/>
        <v>0.3569444444444444</v>
      </c>
      <c r="AD326" s="50">
        <f t="shared" si="3"/>
        <v>3.3666666666666667</v>
      </c>
      <c r="AE326" s="31" t="s">
        <v>342</v>
      </c>
      <c r="AF326" s="47">
        <v>80</v>
      </c>
      <c r="AG326"/>
      <c r="AH326"/>
      <c r="AI326"/>
      <c r="AJ326"/>
      <c r="AK326">
        <v>30</v>
      </c>
      <c r="AL326"/>
      <c r="AM326"/>
      <c r="AN326"/>
      <c r="AO326"/>
      <c r="AP326"/>
      <c r="AQ326" t="s">
        <v>970</v>
      </c>
      <c r="AR326" s="32" t="s">
        <v>971</v>
      </c>
      <c r="AU326">
        <v>322</v>
      </c>
    </row>
    <row r="327" spans="1:47" x14ac:dyDescent="0.2">
      <c r="A327" s="37">
        <v>5728</v>
      </c>
      <c r="B327" s="38" t="s">
        <v>85</v>
      </c>
      <c r="C327" s="39" t="s">
        <v>346</v>
      </c>
      <c r="D327" s="29"/>
      <c r="E327" s="38" t="s">
        <v>972</v>
      </c>
      <c r="F327" s="32" t="s">
        <v>921</v>
      </c>
      <c r="G327" s="47" t="s">
        <v>459</v>
      </c>
      <c r="H327"/>
      <c r="I327" s="31" t="b">
        <v>0</v>
      </c>
      <c r="J327" s="47" t="b">
        <v>0</v>
      </c>
      <c r="K327" s="47">
        <f>20*8*2.2</f>
        <v>352</v>
      </c>
      <c r="L327" s="48"/>
      <c r="M327" s="47"/>
      <c r="N327" s="47"/>
      <c r="O327" s="47"/>
      <c r="P327" s="47"/>
      <c r="Q327" s="47"/>
      <c r="R327" s="47"/>
      <c r="S327" s="48">
        <v>4</v>
      </c>
      <c r="T327" s="47"/>
      <c r="U327" s="47"/>
      <c r="V327" s="47"/>
      <c r="W327" s="47"/>
      <c r="X327" s="47"/>
      <c r="Y327" s="47" t="s">
        <v>51</v>
      </c>
      <c r="Z327" s="47" t="s">
        <v>146</v>
      </c>
      <c r="AA327" s="49">
        <v>0.28680555555555554</v>
      </c>
      <c r="AB327" s="49">
        <v>0.42708333333333331</v>
      </c>
      <c r="AC327" s="49">
        <f t="shared" si="2"/>
        <v>0.3569444444444444</v>
      </c>
      <c r="AD327" s="50">
        <f t="shared" si="3"/>
        <v>3.3666666666666667</v>
      </c>
      <c r="AE327" s="31" t="s">
        <v>342</v>
      </c>
      <c r="AF327" s="47">
        <v>80</v>
      </c>
      <c r="AG327"/>
      <c r="AH327"/>
      <c r="AI327"/>
      <c r="AJ327"/>
      <c r="AK327">
        <v>20</v>
      </c>
      <c r="AL327"/>
      <c r="AM327"/>
      <c r="AN327"/>
      <c r="AO327"/>
      <c r="AP327"/>
      <c r="AQ327" t="s">
        <v>970</v>
      </c>
      <c r="AU327">
        <v>323</v>
      </c>
    </row>
    <row r="328" spans="1:47" x14ac:dyDescent="0.2">
      <c r="A328" s="37">
        <v>5728</v>
      </c>
      <c r="B328" s="38" t="s">
        <v>85</v>
      </c>
      <c r="C328" s="39" t="s">
        <v>346</v>
      </c>
      <c r="D328" s="29"/>
      <c r="E328" s="38" t="s">
        <v>973</v>
      </c>
      <c r="F328" s="32" t="s">
        <v>150</v>
      </c>
      <c r="G328" s="47" t="s">
        <v>49</v>
      </c>
      <c r="H328"/>
      <c r="I328" s="31" t="b">
        <v>0</v>
      </c>
      <c r="J328" s="47" t="b">
        <v>0</v>
      </c>
      <c r="K328" s="47">
        <f>5*8*2.2</f>
        <v>88</v>
      </c>
      <c r="L328" s="48"/>
      <c r="M328" s="47"/>
      <c r="N328" s="47"/>
      <c r="O328" s="47"/>
      <c r="P328" s="47"/>
      <c r="Q328" s="47">
        <v>1</v>
      </c>
      <c r="R328" s="47"/>
      <c r="S328" s="48">
        <v>1</v>
      </c>
      <c r="T328" s="47"/>
      <c r="U328" s="47"/>
      <c r="V328" s="47"/>
      <c r="W328" s="47"/>
      <c r="X328" s="47"/>
      <c r="Y328" s="47" t="s">
        <v>51</v>
      </c>
      <c r="Z328" s="47" t="s">
        <v>146</v>
      </c>
      <c r="AA328" s="49">
        <v>0.28680555555555554</v>
      </c>
      <c r="AB328" s="49">
        <v>0.39583333333333331</v>
      </c>
      <c r="AC328" s="49">
        <f t="shared" si="2"/>
        <v>0.3413194444444444</v>
      </c>
      <c r="AD328" s="50">
        <f t="shared" si="3"/>
        <v>2.6166666666666667</v>
      </c>
      <c r="AE328" s="31" t="s">
        <v>342</v>
      </c>
      <c r="AF328" s="47">
        <v>35</v>
      </c>
      <c r="AG328"/>
      <c r="AH328"/>
      <c r="AI328"/>
      <c r="AJ328"/>
      <c r="AK328">
        <v>5</v>
      </c>
      <c r="AL328"/>
      <c r="AM328"/>
      <c r="AN328"/>
      <c r="AO328"/>
      <c r="AP328"/>
      <c r="AQ328" t="s">
        <v>970</v>
      </c>
      <c r="AR328" s="32" t="s">
        <v>974</v>
      </c>
      <c r="AU328">
        <v>324</v>
      </c>
    </row>
    <row r="329" spans="1:47" x14ac:dyDescent="0.2">
      <c r="A329" s="37">
        <v>5728</v>
      </c>
      <c r="B329" s="38" t="s">
        <v>85</v>
      </c>
      <c r="C329" s="39" t="s">
        <v>346</v>
      </c>
      <c r="D329" s="29"/>
      <c r="E329" s="38" t="s">
        <v>975</v>
      </c>
      <c r="F329" s="32" t="s">
        <v>150</v>
      </c>
      <c r="G329" s="47" t="s">
        <v>49</v>
      </c>
      <c r="H329"/>
      <c r="I329" s="31" t="b">
        <v>0</v>
      </c>
      <c r="J329" s="47" t="b">
        <v>0</v>
      </c>
      <c r="K329" s="47">
        <f>5*8*2.2</f>
        <v>88</v>
      </c>
      <c r="L329" s="48"/>
      <c r="M329" s="47"/>
      <c r="N329" s="47"/>
      <c r="O329" s="47"/>
      <c r="P329" s="47"/>
      <c r="Q329" s="47">
        <v>1</v>
      </c>
      <c r="R329" s="47"/>
      <c r="S329" s="48">
        <v>1</v>
      </c>
      <c r="T329" s="47"/>
      <c r="U329" s="47"/>
      <c r="V329" s="47"/>
      <c r="W329" s="47"/>
      <c r="X329" s="47"/>
      <c r="Y329" s="47" t="s">
        <v>51</v>
      </c>
      <c r="Z329" s="47" t="s">
        <v>146</v>
      </c>
      <c r="AA329" s="49">
        <v>0.30208333333333331</v>
      </c>
      <c r="AB329" s="49">
        <v>0.3923611111111111</v>
      </c>
      <c r="AC329" s="49">
        <f t="shared" si="2"/>
        <v>0.34722222222222221</v>
      </c>
      <c r="AD329" s="50">
        <f t="shared" si="3"/>
        <v>2.166666666666667</v>
      </c>
      <c r="AE329" s="31" t="s">
        <v>342</v>
      </c>
      <c r="AF329" s="47">
        <v>25</v>
      </c>
      <c r="AG329"/>
      <c r="AH329"/>
      <c r="AI329"/>
      <c r="AJ329"/>
      <c r="AK329">
        <v>5</v>
      </c>
      <c r="AL329"/>
      <c r="AM329"/>
      <c r="AN329"/>
      <c r="AO329"/>
      <c r="AP329"/>
      <c r="AQ329" t="s">
        <v>970</v>
      </c>
      <c r="AR329" s="32" t="s">
        <v>976</v>
      </c>
      <c r="AU329">
        <v>325</v>
      </c>
    </row>
    <row r="330" spans="1:47" x14ac:dyDescent="0.2">
      <c r="A330" s="37">
        <v>5728</v>
      </c>
      <c r="B330" s="38" t="s">
        <v>45</v>
      </c>
      <c r="C330" s="43" t="s">
        <v>46</v>
      </c>
      <c r="D330" s="29"/>
      <c r="E330" s="38" t="s">
        <v>977</v>
      </c>
      <c r="F330" s="32" t="s">
        <v>978</v>
      </c>
      <c r="G330" s="47" t="s">
        <v>49</v>
      </c>
      <c r="H330"/>
      <c r="I330" s="32" t="s">
        <v>979</v>
      </c>
      <c r="J330" s="47"/>
      <c r="K330" s="47">
        <f>(12*3+4*43)*2.2</f>
        <v>457.6</v>
      </c>
      <c r="L330" s="48">
        <v>1</v>
      </c>
      <c r="M330" s="47"/>
      <c r="N330" s="47"/>
      <c r="O330" s="47"/>
      <c r="P330" s="47"/>
      <c r="Q330" s="47"/>
      <c r="R330" s="47"/>
      <c r="S330" s="48">
        <v>1</v>
      </c>
      <c r="T330" s="47"/>
      <c r="U330" s="47"/>
      <c r="V330" s="47"/>
      <c r="W330" s="47"/>
      <c r="X330" s="47"/>
      <c r="Y330" s="47" t="s">
        <v>51</v>
      </c>
      <c r="Z330" s="20" t="s">
        <v>52</v>
      </c>
      <c r="AA330" s="49"/>
      <c r="AB330" s="49"/>
      <c r="AC330" s="49"/>
      <c r="AD330" s="50"/>
      <c r="AE330" s="47"/>
      <c r="AF330" s="47">
        <v>190</v>
      </c>
      <c r="AG330"/>
      <c r="AH330"/>
      <c r="AI330"/>
      <c r="AJ330"/>
      <c r="AK330">
        <v>16</v>
      </c>
      <c r="AL330"/>
      <c r="AM330"/>
      <c r="AN330"/>
      <c r="AO330"/>
      <c r="AP330"/>
      <c r="AQ330" s="32" t="s">
        <v>566</v>
      </c>
      <c r="AU330">
        <v>326</v>
      </c>
    </row>
    <row r="331" spans="1:47" x14ac:dyDescent="0.2">
      <c r="A331" s="37">
        <v>5728</v>
      </c>
      <c r="B331" s="38"/>
      <c r="C331" s="39" t="s">
        <v>253</v>
      </c>
      <c r="D331" s="29"/>
      <c r="E331" s="38" t="s">
        <v>980</v>
      </c>
      <c r="F331" s="32" t="s">
        <v>107</v>
      </c>
      <c r="G331" s="47"/>
      <c r="H331"/>
      <c r="I331" s="32"/>
      <c r="J331" s="47"/>
      <c r="K331" s="47"/>
      <c r="L331" s="48"/>
      <c r="M331" s="47"/>
      <c r="N331" s="47"/>
      <c r="O331" s="47"/>
      <c r="P331" s="47"/>
      <c r="Q331" s="47"/>
      <c r="R331" s="47"/>
      <c r="S331" s="48"/>
      <c r="T331" s="47"/>
      <c r="U331" s="47"/>
      <c r="V331" s="47"/>
      <c r="W331" s="47"/>
      <c r="X331" s="47"/>
      <c r="Y331" s="47"/>
      <c r="Z331" s="47"/>
      <c r="AA331" s="49"/>
      <c r="AB331" s="49"/>
      <c r="AC331" s="49"/>
      <c r="AD331" s="50"/>
      <c r="AE331" s="47"/>
      <c r="AF331" s="47"/>
      <c r="AG331"/>
      <c r="AH331"/>
      <c r="AI331"/>
      <c r="AJ331"/>
      <c r="AK331"/>
      <c r="AL331"/>
      <c r="AM331"/>
      <c r="AN331"/>
      <c r="AO331"/>
      <c r="AP331"/>
      <c r="AQ331" t="s">
        <v>900</v>
      </c>
      <c r="AU331">
        <v>327</v>
      </c>
    </row>
    <row r="332" spans="1:47" x14ac:dyDescent="0.2">
      <c r="A332" s="26">
        <v>5728</v>
      </c>
      <c r="B332" s="27" t="s">
        <v>85</v>
      </c>
      <c r="C332" s="28"/>
      <c r="D332" s="29"/>
      <c r="E332" s="72" t="s">
        <v>872</v>
      </c>
      <c r="H332" s="32">
        <v>1</v>
      </c>
      <c r="I332" s="32" t="s">
        <v>981</v>
      </c>
      <c r="AI332" s="32">
        <v>0</v>
      </c>
      <c r="AK332" s="32">
        <v>4</v>
      </c>
      <c r="AO332" s="73" t="s">
        <v>858</v>
      </c>
      <c r="AQ332" s="32">
        <v>439</v>
      </c>
      <c r="AU332">
        <v>328</v>
      </c>
    </row>
    <row r="333" spans="1:47" x14ac:dyDescent="0.2">
      <c r="A333" s="26">
        <v>5728</v>
      </c>
      <c r="B333" s="27" t="s">
        <v>85</v>
      </c>
      <c r="C333" s="28"/>
      <c r="D333" s="29"/>
      <c r="E333" s="30" t="s">
        <v>858</v>
      </c>
      <c r="H333" s="32">
        <v>1</v>
      </c>
      <c r="I333" s="32" t="s">
        <v>982</v>
      </c>
      <c r="AG333" s="32">
        <v>5</v>
      </c>
      <c r="AH333" s="32">
        <v>10</v>
      </c>
      <c r="AI333" s="32">
        <v>700000</v>
      </c>
      <c r="AQ333" s="32">
        <v>438</v>
      </c>
      <c r="AU333">
        <v>329</v>
      </c>
    </row>
    <row r="334" spans="1:47" x14ac:dyDescent="0.2">
      <c r="A334" s="37">
        <v>5729</v>
      </c>
      <c r="B334" s="38" t="s">
        <v>85</v>
      </c>
      <c r="C334" s="39" t="s">
        <v>134</v>
      </c>
      <c r="D334" s="29"/>
      <c r="E334" s="38" t="s">
        <v>983</v>
      </c>
      <c r="F334" s="32" t="s">
        <v>984</v>
      </c>
      <c r="G334" s="47" t="s">
        <v>722</v>
      </c>
      <c r="H334"/>
      <c r="I334" s="32" t="s">
        <v>985</v>
      </c>
      <c r="J334" s="47"/>
      <c r="K334" s="47">
        <f>(6*43+6*8)*2.2</f>
        <v>673.2</v>
      </c>
      <c r="L334" s="48">
        <v>5</v>
      </c>
      <c r="M334" s="47"/>
      <c r="N334" s="47"/>
      <c r="O334" s="47"/>
      <c r="P334" s="47"/>
      <c r="Q334" s="47">
        <v>1</v>
      </c>
      <c r="R334" s="47"/>
      <c r="S334" s="48">
        <v>5</v>
      </c>
      <c r="T334" s="47">
        <v>0</v>
      </c>
      <c r="U334" s="47">
        <v>0</v>
      </c>
      <c r="V334" s="47">
        <v>0</v>
      </c>
      <c r="W334" s="47">
        <f>2050*39.37/12</f>
        <v>6725.708333333333</v>
      </c>
      <c r="X334" s="47"/>
      <c r="Y334" s="47" t="s">
        <v>51</v>
      </c>
      <c r="Z334" s="47" t="s">
        <v>675</v>
      </c>
      <c r="AA334" s="49">
        <v>0.27777777777777779</v>
      </c>
      <c r="AB334" s="49">
        <v>0.39027777777777778</v>
      </c>
      <c r="AC334" s="49">
        <f>AVERAGE(AA334:AB334)</f>
        <v>0.33402777777777781</v>
      </c>
      <c r="AD334" s="50">
        <f>(AB334-AA334)*24</f>
        <v>2.6999999999999997</v>
      </c>
      <c r="AE334" s="71" t="s">
        <v>132</v>
      </c>
      <c r="AF334" s="47">
        <v>83</v>
      </c>
      <c r="AG334"/>
      <c r="AH334"/>
      <c r="AI334"/>
      <c r="AJ334"/>
      <c r="AK334" s="32">
        <v>12</v>
      </c>
      <c r="AL334"/>
      <c r="AM334"/>
      <c r="AN334"/>
      <c r="AO334"/>
      <c r="AP334"/>
      <c r="AQ334" t="s">
        <v>986</v>
      </c>
      <c r="AU334">
        <v>330</v>
      </c>
    </row>
    <row r="335" spans="1:47" x14ac:dyDescent="0.2">
      <c r="A335" s="37">
        <v>5729</v>
      </c>
      <c r="B335" s="38" t="s">
        <v>85</v>
      </c>
      <c r="C335" s="39" t="s">
        <v>228</v>
      </c>
      <c r="D335" s="29"/>
      <c r="E335" s="38" t="s">
        <v>987</v>
      </c>
      <c r="F335" s="32" t="s">
        <v>988</v>
      </c>
      <c r="G335" s="47"/>
      <c r="H335"/>
      <c r="I335" s="32"/>
      <c r="J335" s="47"/>
      <c r="K335" s="47"/>
      <c r="L335" s="48">
        <v>6</v>
      </c>
      <c r="M335" s="47"/>
      <c r="N335" s="47"/>
      <c r="O335" s="47"/>
      <c r="P335" s="47"/>
      <c r="Q335" s="47"/>
      <c r="R335" s="47"/>
      <c r="S335" s="48"/>
      <c r="T335" s="47"/>
      <c r="U335" s="47"/>
      <c r="V335" s="47"/>
      <c r="W335" s="47"/>
      <c r="X335" s="47"/>
      <c r="Y335" s="47"/>
      <c r="Z335" s="47"/>
      <c r="AA335" s="49"/>
      <c r="AB335" s="49"/>
      <c r="AC335" s="49"/>
      <c r="AD335" s="50"/>
      <c r="AE335" s="47" t="s">
        <v>283</v>
      </c>
      <c r="AF335" s="47">
        <v>45</v>
      </c>
      <c r="AG335"/>
      <c r="AH335"/>
      <c r="AI335"/>
      <c r="AJ335"/>
      <c r="AK335"/>
      <c r="AL335"/>
      <c r="AM335"/>
      <c r="AN335"/>
      <c r="AO335"/>
      <c r="AP335"/>
      <c r="AQ335" t="s">
        <v>233</v>
      </c>
      <c r="AU335">
        <v>331</v>
      </c>
    </row>
    <row r="336" spans="1:47" x14ac:dyDescent="0.2">
      <c r="A336" s="37">
        <v>5729</v>
      </c>
      <c r="B336" s="38"/>
      <c r="C336" s="39" t="s">
        <v>253</v>
      </c>
      <c r="D336" s="29"/>
      <c r="E336" s="38" t="s">
        <v>989</v>
      </c>
      <c r="F336" s="32" t="s">
        <v>246</v>
      </c>
      <c r="G336" s="47"/>
      <c r="H336"/>
      <c r="I336" s="32"/>
      <c r="J336" s="47"/>
      <c r="K336" s="47"/>
      <c r="L336" s="48"/>
      <c r="M336" s="47"/>
      <c r="N336" s="47"/>
      <c r="O336" s="47"/>
      <c r="P336" s="47"/>
      <c r="Q336" s="47"/>
      <c r="R336" s="47"/>
      <c r="S336" s="48"/>
      <c r="T336" s="47"/>
      <c r="U336" s="47"/>
      <c r="V336" s="47"/>
      <c r="W336" s="47"/>
      <c r="X336" s="47"/>
      <c r="Y336" s="47"/>
      <c r="Z336" s="47"/>
      <c r="AA336" s="49"/>
      <c r="AB336" s="49"/>
      <c r="AC336" s="49"/>
      <c r="AD336" s="50"/>
      <c r="AE336" s="47"/>
      <c r="AF336" s="47"/>
      <c r="AG336"/>
      <c r="AH336"/>
      <c r="AI336"/>
      <c r="AJ336"/>
      <c r="AK336"/>
      <c r="AL336"/>
      <c r="AM336"/>
      <c r="AN336"/>
      <c r="AO336"/>
      <c r="AP336"/>
      <c r="AQ336"/>
      <c r="AU336">
        <v>332</v>
      </c>
    </row>
    <row r="337" spans="1:47" x14ac:dyDescent="0.2">
      <c r="A337" s="37">
        <v>5729</v>
      </c>
      <c r="B337" s="38"/>
      <c r="C337" s="39" t="s">
        <v>253</v>
      </c>
      <c r="D337" s="29"/>
      <c r="E337" s="38" t="s">
        <v>990</v>
      </c>
      <c r="F337" s="32" t="s">
        <v>107</v>
      </c>
      <c r="G337" s="47"/>
      <c r="H337"/>
      <c r="I337" s="32"/>
      <c r="J337" s="47"/>
      <c r="K337" s="47"/>
      <c r="L337" s="48"/>
      <c r="M337" s="47"/>
      <c r="N337" s="47"/>
      <c r="O337" s="47"/>
      <c r="P337" s="47"/>
      <c r="Q337" s="47"/>
      <c r="R337" s="47"/>
      <c r="S337" s="48"/>
      <c r="T337" s="47"/>
      <c r="U337" s="47"/>
      <c r="V337" s="47"/>
      <c r="W337" s="47"/>
      <c r="X337" s="47"/>
      <c r="Y337" s="47"/>
      <c r="Z337" s="47"/>
      <c r="AA337" s="49"/>
      <c r="AB337" s="49"/>
      <c r="AC337" s="49"/>
      <c r="AD337" s="50"/>
      <c r="AE337" s="47"/>
      <c r="AF337" s="47"/>
      <c r="AG337"/>
      <c r="AH337"/>
      <c r="AI337"/>
      <c r="AJ337"/>
      <c r="AK337"/>
      <c r="AL337"/>
      <c r="AM337"/>
      <c r="AN337"/>
      <c r="AO337"/>
      <c r="AP337"/>
      <c r="AQ337" t="s">
        <v>900</v>
      </c>
      <c r="AU337">
        <v>333</v>
      </c>
    </row>
    <row r="338" spans="1:47" x14ac:dyDescent="0.2">
      <c r="A338" s="37">
        <v>5730</v>
      </c>
      <c r="B338" s="38" t="s">
        <v>45</v>
      </c>
      <c r="C338" s="43" t="s">
        <v>46</v>
      </c>
      <c r="D338" s="29"/>
      <c r="E338" s="38" t="s">
        <v>991</v>
      </c>
      <c r="F338" s="32" t="s">
        <v>992</v>
      </c>
      <c r="G338" s="47" t="s">
        <v>73</v>
      </c>
      <c r="H338"/>
      <c r="I338" s="32" t="s">
        <v>751</v>
      </c>
      <c r="J338" s="47"/>
      <c r="K338" s="47">
        <f>(12*3+4*43)*2.2</f>
        <v>457.6</v>
      </c>
      <c r="L338" s="48">
        <v>1</v>
      </c>
      <c r="M338" s="47"/>
      <c r="N338" s="47"/>
      <c r="O338" s="47"/>
      <c r="P338" s="47"/>
      <c r="Q338" s="47"/>
      <c r="R338" s="47"/>
      <c r="S338" s="48">
        <v>1</v>
      </c>
      <c r="T338" s="47"/>
      <c r="U338" s="47"/>
      <c r="V338" s="47"/>
      <c r="W338" s="47"/>
      <c r="X338" s="47"/>
      <c r="Y338" s="47" t="s">
        <v>51</v>
      </c>
      <c r="Z338" s="20" t="s">
        <v>52</v>
      </c>
      <c r="AA338" s="49"/>
      <c r="AB338" s="49"/>
      <c r="AC338" s="49"/>
      <c r="AD338" s="50"/>
      <c r="AE338" s="47"/>
      <c r="AF338" s="47">
        <v>160</v>
      </c>
      <c r="AG338"/>
      <c r="AH338"/>
      <c r="AI338"/>
      <c r="AJ338"/>
      <c r="AK338">
        <v>16</v>
      </c>
      <c r="AL338"/>
      <c r="AM338"/>
      <c r="AN338"/>
      <c r="AO338"/>
      <c r="AP338"/>
      <c r="AQ338" s="32" t="s">
        <v>566</v>
      </c>
      <c r="AU338">
        <v>334</v>
      </c>
    </row>
    <row r="339" spans="1:47" x14ac:dyDescent="0.2">
      <c r="A339" s="37">
        <v>5730</v>
      </c>
      <c r="B339" s="38"/>
      <c r="C339" s="39" t="s">
        <v>253</v>
      </c>
      <c r="D339" s="29"/>
      <c r="E339" s="38" t="s">
        <v>993</v>
      </c>
      <c r="F339" s="32" t="s">
        <v>107</v>
      </c>
      <c r="G339" s="47"/>
      <c r="H339"/>
      <c r="I339" s="32"/>
      <c r="J339" s="47"/>
      <c r="K339" s="47"/>
      <c r="L339" s="48"/>
      <c r="M339" s="47"/>
      <c r="N339" s="47"/>
      <c r="O339" s="47"/>
      <c r="P339" s="47"/>
      <c r="Q339" s="47"/>
      <c r="R339" s="47"/>
      <c r="S339" s="48"/>
      <c r="T339" s="47"/>
      <c r="U339" s="47"/>
      <c r="V339" s="47"/>
      <c r="W339" s="47"/>
      <c r="X339" s="47"/>
      <c r="Y339" s="47"/>
      <c r="Z339" s="47"/>
      <c r="AA339" s="49"/>
      <c r="AB339" s="49"/>
      <c r="AC339" s="49"/>
      <c r="AD339" s="50"/>
      <c r="AE339" s="47"/>
      <c r="AF339" s="47"/>
      <c r="AG339"/>
      <c r="AH339"/>
      <c r="AI339"/>
      <c r="AJ339"/>
      <c r="AK339"/>
      <c r="AL339"/>
      <c r="AM339"/>
      <c r="AN339"/>
      <c r="AO339"/>
      <c r="AP339"/>
      <c r="AQ339" t="s">
        <v>900</v>
      </c>
      <c r="AU339">
        <v>335</v>
      </c>
    </row>
    <row r="340" spans="1:47" x14ac:dyDescent="0.2">
      <c r="A340" s="37">
        <v>5731</v>
      </c>
      <c r="B340" s="51">
        <v>0.91666666666666663</v>
      </c>
      <c r="C340" s="43" t="s">
        <v>994</v>
      </c>
      <c r="D340" s="29"/>
      <c r="E340" s="38" t="s">
        <v>995</v>
      </c>
      <c r="F340" s="32" t="s">
        <v>996</v>
      </c>
      <c r="G340" s="47"/>
      <c r="H340"/>
      <c r="I340" s="32" t="s">
        <v>997</v>
      </c>
      <c r="J340" s="47"/>
      <c r="K340" s="47"/>
      <c r="L340" s="48"/>
      <c r="M340" s="47"/>
      <c r="N340" s="47"/>
      <c r="O340" s="47"/>
      <c r="P340" s="47"/>
      <c r="Q340" s="47"/>
      <c r="R340" s="47"/>
      <c r="S340" s="48"/>
      <c r="T340" s="47"/>
      <c r="U340" s="47"/>
      <c r="V340" s="47"/>
      <c r="W340" s="47"/>
      <c r="X340" s="47"/>
      <c r="Y340" s="47"/>
      <c r="Z340" s="47"/>
      <c r="AA340" s="49"/>
      <c r="AB340" s="49"/>
      <c r="AC340" s="49"/>
      <c r="AD340" s="50"/>
      <c r="AE340" s="47"/>
      <c r="AF340" s="47"/>
      <c r="AG340"/>
      <c r="AH340"/>
      <c r="AI340"/>
      <c r="AJ340"/>
      <c r="AK340"/>
      <c r="AL340"/>
      <c r="AM340"/>
      <c r="AN340"/>
      <c r="AO340"/>
      <c r="AP340"/>
      <c r="AQ340" s="32" t="s">
        <v>998</v>
      </c>
      <c r="AU340">
        <v>336</v>
      </c>
    </row>
    <row r="341" spans="1:47" x14ac:dyDescent="0.2">
      <c r="A341" s="86">
        <v>5732</v>
      </c>
      <c r="B341" s="87" t="s">
        <v>85</v>
      </c>
      <c r="C341" s="88" t="s">
        <v>134</v>
      </c>
      <c r="D341" s="89"/>
      <c r="E341" s="87" t="s">
        <v>999</v>
      </c>
      <c r="F341" s="32" t="s">
        <v>1000</v>
      </c>
      <c r="G341" s="47" t="s">
        <v>73</v>
      </c>
      <c r="H341"/>
      <c r="I341" s="32" t="s">
        <v>1001</v>
      </c>
      <c r="J341" s="47"/>
      <c r="K341" s="47">
        <f>(6*43+6*8)*2.2</f>
        <v>673.2</v>
      </c>
      <c r="L341" s="48">
        <v>4</v>
      </c>
      <c r="M341" s="47"/>
      <c r="N341" s="47"/>
      <c r="O341" s="47">
        <v>1</v>
      </c>
      <c r="P341" s="47"/>
      <c r="Q341" s="47"/>
      <c r="R341" s="47"/>
      <c r="S341" s="48">
        <v>3</v>
      </c>
      <c r="T341" s="47">
        <v>0</v>
      </c>
      <c r="U341" s="47">
        <v>0</v>
      </c>
      <c r="V341" s="47">
        <v>0</v>
      </c>
      <c r="W341" s="47">
        <f>AVERAGE(1900,1900,1500)*39.37/12</f>
        <v>5796.1388888888896</v>
      </c>
      <c r="X341" s="47"/>
      <c r="Y341" s="47" t="s">
        <v>51</v>
      </c>
      <c r="Z341" s="47" t="s">
        <v>675</v>
      </c>
      <c r="AA341" s="49">
        <v>0.19791666666666666</v>
      </c>
      <c r="AB341" s="49">
        <v>0.2951388888888889</v>
      </c>
      <c r="AC341" s="49">
        <f>AVERAGE(AA341:AB341)</f>
        <v>0.24652777777777779</v>
      </c>
      <c r="AD341" s="50">
        <f>(AB341-AA341)*24</f>
        <v>2.3333333333333339</v>
      </c>
      <c r="AE341" s="71" t="s">
        <v>132</v>
      </c>
      <c r="AF341" s="47">
        <v>33</v>
      </c>
      <c r="AG341"/>
      <c r="AH341"/>
      <c r="AI341"/>
      <c r="AJ341"/>
      <c r="AK341">
        <v>12</v>
      </c>
      <c r="AL341"/>
      <c r="AM341"/>
      <c r="AN341"/>
      <c r="AO341"/>
      <c r="AP341"/>
      <c r="AQ341" s="32" t="s">
        <v>1002</v>
      </c>
      <c r="AU341">
        <v>337</v>
      </c>
    </row>
    <row r="342" spans="1:47" x14ac:dyDescent="0.2">
      <c r="A342" s="37">
        <v>5732</v>
      </c>
      <c r="B342" s="38"/>
      <c r="C342" s="39" t="s">
        <v>253</v>
      </c>
      <c r="D342" s="29"/>
      <c r="E342" s="38" t="s">
        <v>1003</v>
      </c>
      <c r="F342" s="32" t="s">
        <v>107</v>
      </c>
      <c r="G342" s="47"/>
      <c r="H342"/>
      <c r="I342" s="32"/>
      <c r="J342" s="47"/>
      <c r="K342" s="47"/>
      <c r="L342" s="48"/>
      <c r="M342" s="47"/>
      <c r="N342" s="47"/>
      <c r="O342" s="47"/>
      <c r="P342" s="47"/>
      <c r="Q342" s="47"/>
      <c r="R342" s="47"/>
      <c r="S342" s="48"/>
      <c r="T342" s="47"/>
      <c r="U342" s="47"/>
      <c r="V342" s="47"/>
      <c r="W342" s="47"/>
      <c r="X342" s="47"/>
      <c r="Y342" s="47"/>
      <c r="Z342" s="47"/>
      <c r="AA342" s="49"/>
      <c r="AB342" s="49"/>
      <c r="AC342" s="49"/>
      <c r="AD342" s="50"/>
      <c r="AE342" s="47"/>
      <c r="AF342" s="47"/>
      <c r="AG342"/>
      <c r="AH342"/>
      <c r="AI342"/>
      <c r="AJ342"/>
      <c r="AK342"/>
      <c r="AL342"/>
      <c r="AM342"/>
      <c r="AN342"/>
      <c r="AO342"/>
      <c r="AP342"/>
      <c r="AQ342" t="s">
        <v>900</v>
      </c>
      <c r="AU342">
        <v>338</v>
      </c>
    </row>
    <row r="343" spans="1:47" x14ac:dyDescent="0.2">
      <c r="A343" s="37">
        <v>5734</v>
      </c>
      <c r="B343" s="38" t="s">
        <v>45</v>
      </c>
      <c r="C343" s="43" t="s">
        <v>46</v>
      </c>
      <c r="D343" s="29"/>
      <c r="E343" s="38" t="s">
        <v>1004</v>
      </c>
      <c r="F343" s="32" t="s">
        <v>992</v>
      </c>
      <c r="G343" s="47" t="s">
        <v>73</v>
      </c>
      <c r="H343"/>
      <c r="I343" s="32" t="s">
        <v>1005</v>
      </c>
      <c r="J343" s="47"/>
      <c r="K343" s="54">
        <f>(12*3+4*40)*2.2</f>
        <v>431.20000000000005</v>
      </c>
      <c r="L343" s="48">
        <v>1</v>
      </c>
      <c r="M343" s="47"/>
      <c r="N343" s="47"/>
      <c r="O343" s="47"/>
      <c r="P343" s="47"/>
      <c r="Q343" s="47"/>
      <c r="R343" s="47"/>
      <c r="S343" s="48">
        <v>1</v>
      </c>
      <c r="T343" s="47"/>
      <c r="U343" s="47"/>
      <c r="V343" s="47"/>
      <c r="W343" s="47"/>
      <c r="X343" s="47"/>
      <c r="Y343" s="47" t="s">
        <v>51</v>
      </c>
      <c r="Z343" s="20" t="s">
        <v>52</v>
      </c>
      <c r="AA343" s="49"/>
      <c r="AB343" s="49"/>
      <c r="AC343" s="49"/>
      <c r="AD343" s="50"/>
      <c r="AE343" s="47"/>
      <c r="AF343" s="47">
        <v>160</v>
      </c>
      <c r="AG343"/>
      <c r="AH343"/>
      <c r="AI343"/>
      <c r="AJ343"/>
      <c r="AK343" s="90">
        <v>16</v>
      </c>
      <c r="AL343"/>
      <c r="AM343"/>
      <c r="AN343"/>
      <c r="AO343"/>
      <c r="AP343"/>
      <c r="AQ343" s="32" t="s">
        <v>566</v>
      </c>
      <c r="AU343">
        <v>339</v>
      </c>
    </row>
    <row r="344" spans="1:47" x14ac:dyDescent="0.2">
      <c r="A344" s="37">
        <v>5735</v>
      </c>
      <c r="B344" s="38" t="s">
        <v>85</v>
      </c>
      <c r="C344" s="39" t="s">
        <v>142</v>
      </c>
      <c r="D344" s="29"/>
      <c r="E344" s="38" t="s">
        <v>1006</v>
      </c>
      <c r="F344" s="32" t="s">
        <v>1007</v>
      </c>
      <c r="G344" s="47" t="s">
        <v>73</v>
      </c>
      <c r="H344"/>
      <c r="I344" s="32" t="s">
        <v>1008</v>
      </c>
      <c r="J344" s="47"/>
      <c r="K344" s="47">
        <f>(91*8+5*43)*2.2</f>
        <v>2074.6000000000004</v>
      </c>
      <c r="L344" s="48">
        <v>22</v>
      </c>
      <c r="M344" s="47"/>
      <c r="N344" s="47"/>
      <c r="O344" s="47"/>
      <c r="P344" s="47"/>
      <c r="Q344" s="47"/>
      <c r="R344" s="47"/>
      <c r="S344" s="48">
        <v>19</v>
      </c>
      <c r="T344" s="47">
        <v>1</v>
      </c>
      <c r="U344" s="47">
        <v>0</v>
      </c>
      <c r="V344" s="47">
        <v>0</v>
      </c>
      <c r="W344" s="47"/>
      <c r="X344" s="47"/>
      <c r="Y344" s="47" t="s">
        <v>51</v>
      </c>
      <c r="Z344" s="31" t="s">
        <v>146</v>
      </c>
      <c r="AA344" s="49">
        <v>0.20833333333333334</v>
      </c>
      <c r="AB344" s="49"/>
      <c r="AC344" s="49"/>
      <c r="AD344" s="50"/>
      <c r="AE344" s="47" t="s">
        <v>342</v>
      </c>
      <c r="AF344" s="47">
        <v>120</v>
      </c>
      <c r="AG344"/>
      <c r="AH344"/>
      <c r="AI344"/>
      <c r="AJ344"/>
      <c r="AK344">
        <v>96</v>
      </c>
      <c r="AL344"/>
      <c r="AM344"/>
      <c r="AN344"/>
      <c r="AO344"/>
      <c r="AP344"/>
      <c r="AQ344" t="s">
        <v>1009</v>
      </c>
      <c r="AU344">
        <v>340</v>
      </c>
    </row>
    <row r="345" spans="1:47" x14ac:dyDescent="0.2">
      <c r="A345" s="37">
        <v>5735</v>
      </c>
      <c r="B345" s="38" t="s">
        <v>85</v>
      </c>
      <c r="C345" s="61" t="s">
        <v>958</v>
      </c>
      <c r="D345" s="29"/>
      <c r="E345" s="38" t="s">
        <v>653</v>
      </c>
      <c r="F345" s="32" t="s">
        <v>150</v>
      </c>
      <c r="G345" s="47"/>
      <c r="H345"/>
      <c r="I345" s="64" t="s">
        <v>1010</v>
      </c>
      <c r="J345" s="47"/>
      <c r="K345" s="47"/>
      <c r="L345" s="48"/>
      <c r="M345" s="47"/>
      <c r="N345" s="47"/>
      <c r="O345" s="47"/>
      <c r="P345" s="47"/>
      <c r="Q345" s="47"/>
      <c r="R345" s="47"/>
      <c r="S345" s="48"/>
      <c r="T345" s="47"/>
      <c r="U345" s="47"/>
      <c r="V345" s="47"/>
      <c r="W345" s="47"/>
      <c r="X345" s="47"/>
      <c r="Y345" s="47"/>
      <c r="Z345" s="47"/>
      <c r="AA345" s="49"/>
      <c r="AB345" s="49"/>
      <c r="AC345" s="49"/>
      <c r="AD345" s="50"/>
      <c r="AE345" s="47"/>
      <c r="AF345" s="47"/>
      <c r="AG345"/>
      <c r="AH345"/>
      <c r="AI345"/>
      <c r="AJ345"/>
      <c r="AK345"/>
      <c r="AL345"/>
      <c r="AM345"/>
      <c r="AN345"/>
      <c r="AO345"/>
      <c r="AP345"/>
      <c r="AQ345" t="s">
        <v>1011</v>
      </c>
      <c r="AU345">
        <v>341</v>
      </c>
    </row>
    <row r="346" spans="1:47" x14ac:dyDescent="0.2">
      <c r="A346" s="37">
        <v>5735</v>
      </c>
      <c r="B346" s="38" t="s">
        <v>85</v>
      </c>
      <c r="C346" s="39" t="s">
        <v>346</v>
      </c>
      <c r="D346" s="29"/>
      <c r="E346" s="38" t="s">
        <v>1012</v>
      </c>
      <c r="F346" s="32" t="s">
        <v>595</v>
      </c>
      <c r="G346" s="47" t="s">
        <v>73</v>
      </c>
      <c r="H346"/>
      <c r="I346" s="32" t="b">
        <v>1</v>
      </c>
      <c r="J346" s="47" t="b">
        <v>1</v>
      </c>
      <c r="K346" s="47">
        <f>12*8*2.2</f>
        <v>211.20000000000002</v>
      </c>
      <c r="L346" s="48">
        <v>3</v>
      </c>
      <c r="M346" s="47"/>
      <c r="N346" s="47">
        <v>1</v>
      </c>
      <c r="O346" s="47"/>
      <c r="P346" s="47"/>
      <c r="Q346" s="47"/>
      <c r="R346" s="47">
        <v>1</v>
      </c>
      <c r="S346" s="48">
        <v>2</v>
      </c>
      <c r="T346" s="47"/>
      <c r="U346" s="47"/>
      <c r="V346" s="47"/>
      <c r="W346" s="47"/>
      <c r="X346" s="47"/>
      <c r="Y346" s="47" t="s">
        <v>51</v>
      </c>
      <c r="Z346" s="47" t="s">
        <v>146</v>
      </c>
      <c r="AA346" s="49">
        <v>0.21180555555555555</v>
      </c>
      <c r="AB346" s="49">
        <v>0.28819444444444448</v>
      </c>
      <c r="AC346" s="49">
        <f>AVERAGE(AA346:AB346)</f>
        <v>0.25</v>
      </c>
      <c r="AD346" s="50">
        <f>(AB346-AA346)*24</f>
        <v>1.8333333333333341</v>
      </c>
      <c r="AE346" s="31" t="s">
        <v>342</v>
      </c>
      <c r="AF346" s="47">
        <v>45</v>
      </c>
      <c r="AG346"/>
      <c r="AH346"/>
      <c r="AI346"/>
      <c r="AJ346"/>
      <c r="AK346">
        <v>12</v>
      </c>
      <c r="AL346"/>
      <c r="AM346"/>
      <c r="AN346"/>
      <c r="AO346"/>
      <c r="AP346"/>
      <c r="AQ346" t="s">
        <v>1013</v>
      </c>
      <c r="AR346" s="32" t="s">
        <v>1014</v>
      </c>
      <c r="AU346">
        <v>342</v>
      </c>
    </row>
    <row r="347" spans="1:47" x14ac:dyDescent="0.2">
      <c r="A347" s="37">
        <v>5735</v>
      </c>
      <c r="B347" s="38" t="s">
        <v>85</v>
      </c>
      <c r="C347" s="39" t="s">
        <v>346</v>
      </c>
      <c r="D347" s="29"/>
      <c r="E347" s="38" t="s">
        <v>653</v>
      </c>
      <c r="F347" s="32" t="s">
        <v>150</v>
      </c>
      <c r="G347" s="47" t="s">
        <v>49</v>
      </c>
      <c r="H347"/>
      <c r="I347" s="31" t="b">
        <v>0</v>
      </c>
      <c r="J347" s="47" t="b">
        <v>0</v>
      </c>
      <c r="K347" s="47">
        <f>6*8*2.2</f>
        <v>105.60000000000001</v>
      </c>
      <c r="L347" s="48"/>
      <c r="M347" s="47"/>
      <c r="N347" s="47"/>
      <c r="O347" s="47"/>
      <c r="P347" s="47"/>
      <c r="Q347" s="47"/>
      <c r="R347" s="47"/>
      <c r="S347" s="48">
        <v>1</v>
      </c>
      <c r="T347" s="47"/>
      <c r="U347" s="47"/>
      <c r="V347" s="47"/>
      <c r="W347" s="47"/>
      <c r="X347" s="47"/>
      <c r="Y347" s="47" t="s">
        <v>51</v>
      </c>
      <c r="Z347" s="47" t="s">
        <v>146</v>
      </c>
      <c r="AA347" s="49">
        <v>0.21180555555555555</v>
      </c>
      <c r="AB347" s="49">
        <v>0.28819444444444448</v>
      </c>
      <c r="AC347" s="49">
        <f>AVERAGE(AA347:AB347)</f>
        <v>0.25</v>
      </c>
      <c r="AD347" s="50">
        <f>(AB347-AA347)*24</f>
        <v>1.8333333333333341</v>
      </c>
      <c r="AE347" s="31" t="s">
        <v>342</v>
      </c>
      <c r="AF347" s="47">
        <v>47</v>
      </c>
      <c r="AG347"/>
      <c r="AH347"/>
      <c r="AI347"/>
      <c r="AJ347"/>
      <c r="AK347">
        <v>6</v>
      </c>
      <c r="AL347"/>
      <c r="AM347"/>
      <c r="AN347"/>
      <c r="AO347"/>
      <c r="AP347"/>
      <c r="AQ347" t="s">
        <v>1013</v>
      </c>
      <c r="AU347">
        <v>343</v>
      </c>
    </row>
    <row r="348" spans="1:47" x14ac:dyDescent="0.2">
      <c r="A348" s="37">
        <v>5735</v>
      </c>
      <c r="B348" s="38" t="s">
        <v>85</v>
      </c>
      <c r="C348" s="39" t="s">
        <v>346</v>
      </c>
      <c r="D348" s="29"/>
      <c r="E348" s="38" t="s">
        <v>1015</v>
      </c>
      <c r="F348" s="32" t="s">
        <v>302</v>
      </c>
      <c r="G348" s="47" t="s">
        <v>69</v>
      </c>
      <c r="H348"/>
      <c r="I348" s="31" t="b">
        <v>0</v>
      </c>
      <c r="J348" s="47" t="b">
        <v>0</v>
      </c>
      <c r="K348" s="47">
        <f>6*8*2.2</f>
        <v>105.60000000000001</v>
      </c>
      <c r="L348" s="48"/>
      <c r="M348" s="47"/>
      <c r="N348" s="47"/>
      <c r="O348" s="47"/>
      <c r="P348" s="47"/>
      <c r="Q348" s="47"/>
      <c r="R348" s="47">
        <v>1</v>
      </c>
      <c r="S348" s="48">
        <v>1</v>
      </c>
      <c r="T348" s="47"/>
      <c r="U348" s="47"/>
      <c r="V348" s="47"/>
      <c r="W348" s="47"/>
      <c r="X348" s="47"/>
      <c r="Y348" s="47" t="s">
        <v>51</v>
      </c>
      <c r="Z348" s="47" t="s">
        <v>146</v>
      </c>
      <c r="AA348" s="49">
        <v>0.21180555555555555</v>
      </c>
      <c r="AB348" s="49">
        <v>0.28819444444444448</v>
      </c>
      <c r="AC348" s="49">
        <f>AVERAGE(AA348:AB348)</f>
        <v>0.25</v>
      </c>
      <c r="AD348" s="50">
        <f>(AB348-AA348)*24</f>
        <v>1.8333333333333341</v>
      </c>
      <c r="AE348" s="31" t="s">
        <v>342</v>
      </c>
      <c r="AF348" s="47"/>
      <c r="AG348"/>
      <c r="AH348"/>
      <c r="AI348"/>
      <c r="AJ348"/>
      <c r="AK348">
        <v>6</v>
      </c>
      <c r="AL348"/>
      <c r="AM348"/>
      <c r="AN348"/>
      <c r="AO348"/>
      <c r="AP348"/>
      <c r="AQ348" t="s">
        <v>1013</v>
      </c>
      <c r="AU348">
        <v>344</v>
      </c>
    </row>
    <row r="349" spans="1:47" x14ac:dyDescent="0.2">
      <c r="A349" s="37">
        <v>5735</v>
      </c>
      <c r="B349" s="38" t="s">
        <v>85</v>
      </c>
      <c r="C349" s="39" t="s">
        <v>142</v>
      </c>
      <c r="D349" s="29"/>
      <c r="E349" s="38" t="s">
        <v>1016</v>
      </c>
      <c r="F349" s="32" t="s">
        <v>322</v>
      </c>
      <c r="G349" s="47" t="s">
        <v>49</v>
      </c>
      <c r="H349"/>
      <c r="I349" s="32" t="s">
        <v>1017</v>
      </c>
      <c r="J349" s="47"/>
      <c r="K349" s="47">
        <f>(55*8+3*43)*2.2</f>
        <v>1251.8000000000002</v>
      </c>
      <c r="L349" s="48">
        <v>13</v>
      </c>
      <c r="M349" s="47"/>
      <c r="N349" s="47"/>
      <c r="O349" s="47"/>
      <c r="P349" s="47"/>
      <c r="Q349" s="47"/>
      <c r="R349" s="47"/>
      <c r="S349" s="48">
        <v>13</v>
      </c>
      <c r="T349" s="47">
        <v>0</v>
      </c>
      <c r="U349" s="47">
        <v>0</v>
      </c>
      <c r="V349" s="47">
        <v>0</v>
      </c>
      <c r="W349" s="47"/>
      <c r="X349" s="47"/>
      <c r="Y349" s="47" t="s">
        <v>51</v>
      </c>
      <c r="Z349" s="31" t="s">
        <v>146</v>
      </c>
      <c r="AA349" s="49"/>
      <c r="AB349" s="49">
        <v>0.71875</v>
      </c>
      <c r="AC349" s="49"/>
      <c r="AD349" s="50"/>
      <c r="AE349" s="47" t="s">
        <v>342</v>
      </c>
      <c r="AF349" s="47">
        <v>70</v>
      </c>
      <c r="AG349"/>
      <c r="AH349"/>
      <c r="AI349"/>
      <c r="AJ349"/>
      <c r="AK349">
        <v>58</v>
      </c>
      <c r="AL349"/>
      <c r="AM349"/>
      <c r="AN349"/>
      <c r="AO349"/>
      <c r="AP349"/>
      <c r="AQ349" t="s">
        <v>1018</v>
      </c>
      <c r="AU349">
        <v>345</v>
      </c>
    </row>
    <row r="350" spans="1:47" x14ac:dyDescent="0.2">
      <c r="A350" s="86">
        <v>5735</v>
      </c>
      <c r="B350" s="87" t="s">
        <v>85</v>
      </c>
      <c r="C350" s="88" t="s">
        <v>134</v>
      </c>
      <c r="D350" s="89"/>
      <c r="E350" s="87" t="s">
        <v>1019</v>
      </c>
      <c r="F350" s="32" t="s">
        <v>246</v>
      </c>
      <c r="G350" s="47" t="s">
        <v>49</v>
      </c>
      <c r="H350"/>
      <c r="I350" s="32" t="s">
        <v>1020</v>
      </c>
      <c r="J350" s="47"/>
      <c r="K350" s="47">
        <f>(4*43+4*8)*2.2</f>
        <v>448.8</v>
      </c>
      <c r="L350" s="48">
        <v>4</v>
      </c>
      <c r="M350" s="47"/>
      <c r="N350" s="47">
        <v>2</v>
      </c>
      <c r="O350" s="47"/>
      <c r="P350" s="47"/>
      <c r="Q350" s="47"/>
      <c r="R350" s="47"/>
      <c r="S350" s="48">
        <v>2</v>
      </c>
      <c r="T350" s="47">
        <v>0</v>
      </c>
      <c r="U350" s="47"/>
      <c r="V350" s="47"/>
      <c r="W350" s="47">
        <f>AVERAGE(1700,950)*39.37/12</f>
        <v>4347.104166666667</v>
      </c>
      <c r="X350" s="47"/>
      <c r="Y350" s="47" t="s">
        <v>51</v>
      </c>
      <c r="Z350" s="47" t="s">
        <v>675</v>
      </c>
      <c r="AA350" s="49">
        <v>0.18402777777777779</v>
      </c>
      <c r="AB350" s="49">
        <v>0.3576388888888889</v>
      </c>
      <c r="AC350" s="49">
        <f>AVERAGE(AA350:AB350)</f>
        <v>0.27083333333333337</v>
      </c>
      <c r="AD350" s="50">
        <f>(AB350-AA350)*24</f>
        <v>4.1666666666666661</v>
      </c>
      <c r="AE350" s="71" t="s">
        <v>132</v>
      </c>
      <c r="AF350" s="47">
        <v>125</v>
      </c>
      <c r="AG350"/>
      <c r="AH350"/>
      <c r="AI350"/>
      <c r="AJ350"/>
      <c r="AK350">
        <v>8</v>
      </c>
      <c r="AL350"/>
      <c r="AM350"/>
      <c r="AN350"/>
      <c r="AO350"/>
      <c r="AP350"/>
      <c r="AQ350" t="s">
        <v>1021</v>
      </c>
      <c r="AU350">
        <v>346</v>
      </c>
    </row>
    <row r="351" spans="1:47" x14ac:dyDescent="0.2">
      <c r="A351" s="37">
        <v>5735</v>
      </c>
      <c r="B351" s="38" t="s">
        <v>45</v>
      </c>
      <c r="C351" s="39" t="s">
        <v>253</v>
      </c>
      <c r="D351" s="29"/>
      <c r="E351" s="38" t="s">
        <v>1022</v>
      </c>
      <c r="F351" s="32" t="s">
        <v>1023</v>
      </c>
      <c r="G351" s="47"/>
      <c r="H351"/>
      <c r="I351" s="32" t="s">
        <v>1024</v>
      </c>
      <c r="J351" s="47"/>
      <c r="K351" s="47"/>
      <c r="L351" s="48"/>
      <c r="M351" s="47"/>
      <c r="N351" s="47"/>
      <c r="O351" s="47"/>
      <c r="P351" s="47"/>
      <c r="Q351" s="47"/>
      <c r="R351" s="47"/>
      <c r="S351" s="48"/>
      <c r="T351" s="47"/>
      <c r="U351" s="47"/>
      <c r="V351" s="47"/>
      <c r="W351" s="47"/>
      <c r="X351" s="47"/>
      <c r="Y351" s="47"/>
      <c r="Z351" s="47"/>
      <c r="AA351" s="49"/>
      <c r="AB351" s="49"/>
      <c r="AC351" s="49"/>
      <c r="AD351" s="50"/>
      <c r="AE351" s="47"/>
      <c r="AF351" s="47"/>
      <c r="AG351"/>
      <c r="AH351"/>
      <c r="AI351"/>
      <c r="AJ351"/>
      <c r="AK351"/>
      <c r="AL351"/>
      <c r="AM351"/>
      <c r="AN351"/>
      <c r="AO351"/>
      <c r="AP351"/>
      <c r="AQ351"/>
      <c r="AU351">
        <v>347</v>
      </c>
    </row>
    <row r="352" spans="1:47" x14ac:dyDescent="0.2">
      <c r="A352" s="26">
        <v>5735</v>
      </c>
      <c r="B352" s="27">
        <v>0.35416666666666669</v>
      </c>
      <c r="C352" s="28"/>
      <c r="D352" s="29"/>
      <c r="E352" s="30" t="s">
        <v>1025</v>
      </c>
      <c r="H352" s="32">
        <v>1</v>
      </c>
      <c r="I352" s="32" t="s">
        <v>1026</v>
      </c>
      <c r="AG352" s="32">
        <v>1</v>
      </c>
      <c r="AH352" s="32">
        <v>7</v>
      </c>
      <c r="AI352" s="32">
        <f>33090+253+210+3256</f>
        <v>36809</v>
      </c>
      <c r="AK352" s="32">
        <f>73+1+3</f>
        <v>77</v>
      </c>
      <c r="AL352" s="32">
        <v>96</v>
      </c>
      <c r="AM352" s="32">
        <f>137458+300</f>
        <v>137758</v>
      </c>
      <c r="AO352" s="32" t="s">
        <v>1006</v>
      </c>
      <c r="AP352" s="32">
        <v>0.5</v>
      </c>
      <c r="AQ352" s="91" t="s">
        <v>1027</v>
      </c>
      <c r="AU352">
        <v>348</v>
      </c>
    </row>
    <row r="353" spans="1:47" x14ac:dyDescent="0.2">
      <c r="A353" s="26">
        <v>5735</v>
      </c>
      <c r="B353" s="27">
        <v>0.35416666666666669</v>
      </c>
      <c r="C353" s="28"/>
      <c r="D353" s="29"/>
      <c r="E353" s="30" t="s">
        <v>1028</v>
      </c>
      <c r="H353" s="32">
        <v>1</v>
      </c>
      <c r="I353" s="32" t="s">
        <v>1029</v>
      </c>
      <c r="AG353" s="32">
        <v>0</v>
      </c>
      <c r="AH353" s="32">
        <v>0</v>
      </c>
      <c r="AI353" s="32">
        <v>300</v>
      </c>
      <c r="AK353" s="32">
        <v>1</v>
      </c>
      <c r="AL353" s="32">
        <v>0</v>
      </c>
      <c r="AO353" s="32" t="s">
        <v>1030</v>
      </c>
      <c r="AP353" s="32">
        <v>0.5</v>
      </c>
      <c r="AQ353" s="32">
        <v>432</v>
      </c>
      <c r="AU353">
        <v>349</v>
      </c>
    </row>
    <row r="354" spans="1:47" x14ac:dyDescent="0.2">
      <c r="A354" s="37">
        <v>5742</v>
      </c>
      <c r="B354" s="38" t="s">
        <v>45</v>
      </c>
      <c r="C354" s="43" t="s">
        <v>46</v>
      </c>
      <c r="D354" s="29"/>
      <c r="E354" s="38" t="s">
        <v>1031</v>
      </c>
      <c r="F354" s="32" t="s">
        <v>1032</v>
      </c>
      <c r="G354" s="47" t="s">
        <v>49</v>
      </c>
      <c r="H354"/>
      <c r="I354" s="32" t="s">
        <v>1033</v>
      </c>
      <c r="J354" s="47"/>
      <c r="K354" s="47">
        <f>24*43*2.2</f>
        <v>2270.4</v>
      </c>
      <c r="L354" s="48">
        <v>1</v>
      </c>
      <c r="M354" s="47"/>
      <c r="N354" s="47"/>
      <c r="O354" s="47"/>
      <c r="P354" s="47"/>
      <c r="Q354" s="47"/>
      <c r="R354" s="47"/>
      <c r="S354" s="48">
        <v>1</v>
      </c>
      <c r="T354" s="47"/>
      <c r="U354" s="47"/>
      <c r="V354" s="47"/>
      <c r="W354" s="47"/>
      <c r="X354" s="47"/>
      <c r="Y354" s="47" t="s">
        <v>51</v>
      </c>
      <c r="Z354" s="20" t="s">
        <v>52</v>
      </c>
      <c r="AA354" s="49"/>
      <c r="AB354" s="49"/>
      <c r="AC354" s="49"/>
      <c r="AD354" s="50"/>
      <c r="AE354" s="47"/>
      <c r="AF354" s="47">
        <v>250</v>
      </c>
      <c r="AG354"/>
      <c r="AH354"/>
      <c r="AI354"/>
      <c r="AJ354"/>
      <c r="AK354" s="32">
        <v>34</v>
      </c>
      <c r="AL354"/>
      <c r="AM354"/>
      <c r="AN354"/>
      <c r="AO354"/>
      <c r="AP354"/>
      <c r="AQ354" s="32" t="s">
        <v>566</v>
      </c>
      <c r="AU354">
        <v>350</v>
      </c>
    </row>
    <row r="355" spans="1:47" x14ac:dyDescent="0.2">
      <c r="A355" s="37">
        <v>5743</v>
      </c>
      <c r="B355" s="38" t="s">
        <v>85</v>
      </c>
      <c r="C355" s="39" t="s">
        <v>142</v>
      </c>
      <c r="D355" s="29"/>
      <c r="E355" s="38" t="s">
        <v>653</v>
      </c>
      <c r="F355" s="32" t="s">
        <v>150</v>
      </c>
      <c r="G355" s="47" t="s">
        <v>49</v>
      </c>
      <c r="H355"/>
      <c r="I355" s="32" t="s">
        <v>1034</v>
      </c>
      <c r="J355" s="47"/>
      <c r="K355" s="47">
        <f>(85*8+5*43)*2.2</f>
        <v>1969.0000000000002</v>
      </c>
      <c r="L355" s="48">
        <v>24</v>
      </c>
      <c r="M355" s="47"/>
      <c r="N355" s="47"/>
      <c r="O355" s="47"/>
      <c r="P355" s="47"/>
      <c r="Q355" s="47"/>
      <c r="R355" s="47"/>
      <c r="S355" s="48">
        <v>19</v>
      </c>
      <c r="T355" s="47">
        <v>0</v>
      </c>
      <c r="U355" s="47">
        <v>0</v>
      </c>
      <c r="V355" s="47">
        <v>0</v>
      </c>
      <c r="W355" s="47"/>
      <c r="X355" s="47"/>
      <c r="Y355" s="47" t="s">
        <v>120</v>
      </c>
      <c r="Z355" s="31" t="s">
        <v>146</v>
      </c>
      <c r="AA355" s="49">
        <v>0.27777777777777779</v>
      </c>
      <c r="AB355" s="49">
        <v>0.39583333333333331</v>
      </c>
      <c r="AC355" s="49">
        <f>AVERAGE(AA355:AB355)</f>
        <v>0.33680555555555558</v>
      </c>
      <c r="AD355" s="50">
        <f>(AB355-AA355)*24</f>
        <v>2.8333333333333326</v>
      </c>
      <c r="AE355" s="47" t="s">
        <v>342</v>
      </c>
      <c r="AF355" s="47">
        <v>47</v>
      </c>
      <c r="AG355"/>
      <c r="AH355"/>
      <c r="AI355"/>
      <c r="AJ355"/>
      <c r="AK355">
        <v>90</v>
      </c>
      <c r="AL355"/>
      <c r="AM355"/>
      <c r="AN355"/>
      <c r="AO355"/>
      <c r="AP355"/>
      <c r="AQ355" t="s">
        <v>1018</v>
      </c>
      <c r="AU355">
        <v>351</v>
      </c>
    </row>
    <row r="356" spans="1:47" x14ac:dyDescent="0.2">
      <c r="A356" s="86">
        <v>5743</v>
      </c>
      <c r="B356" s="87" t="s">
        <v>45</v>
      </c>
      <c r="C356" s="88" t="s">
        <v>134</v>
      </c>
      <c r="D356" s="89"/>
      <c r="E356" s="87" t="s">
        <v>904</v>
      </c>
      <c r="F356" s="32" t="s">
        <v>150</v>
      </c>
      <c r="G356" s="47" t="s">
        <v>49</v>
      </c>
      <c r="H356"/>
      <c r="I356" s="32" t="s">
        <v>1035</v>
      </c>
      <c r="J356" s="47"/>
      <c r="K356" s="47">
        <f>(2*43+1*8)*2.2</f>
        <v>206.8</v>
      </c>
      <c r="L356" s="48">
        <v>1</v>
      </c>
      <c r="M356" s="47"/>
      <c r="N356" s="47"/>
      <c r="O356" s="47"/>
      <c r="P356" s="47"/>
      <c r="Q356" s="47"/>
      <c r="R356" s="47"/>
      <c r="S356" s="48">
        <v>1</v>
      </c>
      <c r="T356" s="47">
        <v>0</v>
      </c>
      <c r="U356" s="47">
        <v>0</v>
      </c>
      <c r="V356" s="47">
        <v>0</v>
      </c>
      <c r="W356" s="47">
        <f>2000*39.37/12</f>
        <v>6561.666666666667</v>
      </c>
      <c r="X356" s="47"/>
      <c r="Y356" s="47" t="s">
        <v>51</v>
      </c>
      <c r="Z356" s="47" t="s">
        <v>675</v>
      </c>
      <c r="AA356" s="49">
        <v>0.87847222222222221</v>
      </c>
      <c r="AB356" s="49">
        <v>0.95486111111111116</v>
      </c>
      <c r="AC356" s="49">
        <f>AVERAGE(AA356:AB356)</f>
        <v>0.91666666666666674</v>
      </c>
      <c r="AD356" s="50">
        <f>(AB356-AA356)*24</f>
        <v>1.8333333333333348</v>
      </c>
      <c r="AE356" s="71" t="s">
        <v>132</v>
      </c>
      <c r="AF356" s="47">
        <v>58</v>
      </c>
      <c r="AG356"/>
      <c r="AH356"/>
      <c r="AI356"/>
      <c r="AJ356"/>
      <c r="AK356">
        <v>3</v>
      </c>
      <c r="AL356"/>
      <c r="AM356"/>
      <c r="AN356"/>
      <c r="AO356"/>
      <c r="AP356"/>
      <c r="AQ356" t="s">
        <v>1036</v>
      </c>
      <c r="AU356">
        <v>352</v>
      </c>
    </row>
    <row r="357" spans="1:47" x14ac:dyDescent="0.2">
      <c r="A357" s="26">
        <v>5743</v>
      </c>
      <c r="B357" s="27">
        <v>0.4375</v>
      </c>
      <c r="C357" s="28"/>
      <c r="D357" s="29"/>
      <c r="E357" s="30" t="s">
        <v>653</v>
      </c>
      <c r="H357" s="32">
        <v>1</v>
      </c>
      <c r="I357" s="32" t="s">
        <v>1037</v>
      </c>
      <c r="AK357" s="32">
        <v>77</v>
      </c>
      <c r="AO357" s="32" t="s">
        <v>655</v>
      </c>
      <c r="AQ357" s="32">
        <v>447</v>
      </c>
      <c r="AU357">
        <v>353</v>
      </c>
    </row>
    <row r="358" spans="1:47" x14ac:dyDescent="0.2">
      <c r="A358" s="37">
        <v>5744</v>
      </c>
      <c r="B358" s="38" t="s">
        <v>45</v>
      </c>
      <c r="C358" s="43" t="s">
        <v>46</v>
      </c>
      <c r="D358" s="29"/>
      <c r="E358" s="38" t="s">
        <v>1038</v>
      </c>
      <c r="F358" s="32" t="s">
        <v>1032</v>
      </c>
      <c r="G358" s="47" t="s">
        <v>49</v>
      </c>
      <c r="H358"/>
      <c r="I358" s="32" t="s">
        <v>1039</v>
      </c>
      <c r="J358" s="47"/>
      <c r="K358" s="47">
        <f>16*104.75*2.2</f>
        <v>3687.2000000000003</v>
      </c>
      <c r="L358" s="48">
        <v>1</v>
      </c>
      <c r="M358" s="47"/>
      <c r="N358" s="47"/>
      <c r="O358" s="47"/>
      <c r="P358" s="47"/>
      <c r="Q358" s="47"/>
      <c r="R358" s="47"/>
      <c r="S358" s="48">
        <v>1</v>
      </c>
      <c r="T358" s="47"/>
      <c r="U358" s="47"/>
      <c r="V358" s="47"/>
      <c r="W358" s="47"/>
      <c r="X358" s="47"/>
      <c r="Y358" s="47" t="s">
        <v>51</v>
      </c>
      <c r="Z358" s="20" t="s">
        <v>52</v>
      </c>
      <c r="AA358" s="49"/>
      <c r="AB358" s="49"/>
      <c r="AC358" s="49"/>
      <c r="AD358" s="50"/>
      <c r="AE358" s="47"/>
      <c r="AF358" s="47">
        <v>290</v>
      </c>
      <c r="AG358"/>
      <c r="AH358"/>
      <c r="AI358"/>
      <c r="AJ358"/>
      <c r="AK358" s="32">
        <v>16</v>
      </c>
      <c r="AL358"/>
      <c r="AM358"/>
      <c r="AN358"/>
      <c r="AO358"/>
      <c r="AP358"/>
      <c r="AQ358" s="32" t="s">
        <v>566</v>
      </c>
      <c r="AU358">
        <v>354</v>
      </c>
    </row>
    <row r="359" spans="1:47" x14ac:dyDescent="0.2">
      <c r="A359" s="37">
        <v>5744</v>
      </c>
      <c r="B359" s="38"/>
      <c r="C359" s="39" t="s">
        <v>253</v>
      </c>
      <c r="D359" s="29"/>
      <c r="E359" s="38" t="s">
        <v>1040</v>
      </c>
      <c r="F359" s="32" t="s">
        <v>748</v>
      </c>
      <c r="G359" s="47"/>
      <c r="H359"/>
      <c r="I359" s="32" t="s">
        <v>1041</v>
      </c>
      <c r="J359" s="47"/>
      <c r="K359" s="47"/>
      <c r="L359" s="48"/>
      <c r="M359" s="47"/>
      <c r="N359" s="47"/>
      <c r="O359" s="47"/>
      <c r="P359" s="47"/>
      <c r="Q359" s="47"/>
      <c r="R359" s="47"/>
      <c r="S359" s="48"/>
      <c r="T359" s="47"/>
      <c r="U359" s="47"/>
      <c r="V359" s="47"/>
      <c r="W359" s="47"/>
      <c r="X359" s="47"/>
      <c r="Y359" s="47"/>
      <c r="Z359" s="47"/>
      <c r="AA359" s="49"/>
      <c r="AB359" s="49"/>
      <c r="AC359" s="49"/>
      <c r="AD359" s="50"/>
      <c r="AE359" s="47"/>
      <c r="AF359" s="47"/>
      <c r="AG359"/>
      <c r="AH359"/>
      <c r="AI359"/>
      <c r="AJ359"/>
      <c r="AK359"/>
      <c r="AL359"/>
      <c r="AM359"/>
      <c r="AN359"/>
      <c r="AO359"/>
      <c r="AP359"/>
      <c r="AQ359"/>
      <c r="AU359">
        <v>355</v>
      </c>
    </row>
    <row r="360" spans="1:47" x14ac:dyDescent="0.2">
      <c r="A360" s="37">
        <v>5745</v>
      </c>
      <c r="B360" s="38" t="s">
        <v>85</v>
      </c>
      <c r="C360" s="39" t="s">
        <v>346</v>
      </c>
      <c r="D360" s="29"/>
      <c r="E360" s="38" t="s">
        <v>1042</v>
      </c>
      <c r="F360" s="32" t="s">
        <v>150</v>
      </c>
      <c r="G360" s="47" t="s">
        <v>49</v>
      </c>
      <c r="H360"/>
      <c r="I360" s="32" t="s">
        <v>1043</v>
      </c>
      <c r="J360" s="47"/>
      <c r="K360" s="47">
        <f>56*8*2.2</f>
        <v>985.60000000000014</v>
      </c>
      <c r="L360" s="48">
        <v>14</v>
      </c>
      <c r="M360" s="47"/>
      <c r="N360" s="47">
        <v>4</v>
      </c>
      <c r="O360" s="47"/>
      <c r="P360" s="47"/>
      <c r="Q360" s="47"/>
      <c r="R360" s="47"/>
      <c r="S360" s="48">
        <v>10</v>
      </c>
      <c r="T360" s="47">
        <v>0</v>
      </c>
      <c r="U360" s="47">
        <v>1</v>
      </c>
      <c r="V360" s="47">
        <v>0</v>
      </c>
      <c r="W360" s="47"/>
      <c r="X360" s="47"/>
      <c r="Y360" s="47" t="s">
        <v>120</v>
      </c>
      <c r="Z360" s="47" t="s">
        <v>146</v>
      </c>
      <c r="AA360" s="49">
        <v>0.61250000000000004</v>
      </c>
      <c r="AB360" s="49">
        <v>0.67500000000000004</v>
      </c>
      <c r="AC360" s="49">
        <f>AVERAGE(AA360:AB360)</f>
        <v>0.64375000000000004</v>
      </c>
      <c r="AD360" s="50">
        <f>(AB360-AA360)*24</f>
        <v>1.5</v>
      </c>
      <c r="AE360" s="47" t="s">
        <v>1044</v>
      </c>
      <c r="AF360" s="47">
        <v>60</v>
      </c>
      <c r="AG360"/>
      <c r="AH360"/>
      <c r="AI360"/>
      <c r="AJ360"/>
      <c r="AK360">
        <v>56</v>
      </c>
      <c r="AL360"/>
      <c r="AM360"/>
      <c r="AN360"/>
      <c r="AO360"/>
      <c r="AP360"/>
      <c r="AQ360" t="s">
        <v>1045</v>
      </c>
      <c r="AU360">
        <v>356</v>
      </c>
    </row>
    <row r="361" spans="1:47" x14ac:dyDescent="0.2">
      <c r="A361" s="37">
        <v>5745</v>
      </c>
      <c r="B361" s="38" t="s">
        <v>85</v>
      </c>
      <c r="C361" s="39" t="s">
        <v>134</v>
      </c>
      <c r="D361" s="29"/>
      <c r="E361" s="38" t="s">
        <v>907</v>
      </c>
      <c r="F361" s="32" t="s">
        <v>150</v>
      </c>
      <c r="G361" s="47" t="s">
        <v>49</v>
      </c>
      <c r="H361"/>
      <c r="I361" s="32" t="s">
        <v>1046</v>
      </c>
      <c r="J361" s="47"/>
      <c r="K361" s="47">
        <f>(6*43+12*8)*2.2</f>
        <v>778.80000000000007</v>
      </c>
      <c r="L361" s="48">
        <v>3</v>
      </c>
      <c r="M361" s="47"/>
      <c r="N361" s="47"/>
      <c r="O361" s="47"/>
      <c r="P361" s="47"/>
      <c r="Q361" s="47"/>
      <c r="R361" s="47"/>
      <c r="S361" s="48">
        <v>3</v>
      </c>
      <c r="T361" s="47">
        <v>0</v>
      </c>
      <c r="U361" s="47">
        <v>1</v>
      </c>
      <c r="V361" s="47">
        <v>0</v>
      </c>
      <c r="W361" s="47"/>
      <c r="X361" s="47"/>
      <c r="Y361" s="47" t="s">
        <v>51</v>
      </c>
      <c r="Z361" s="47" t="s">
        <v>675</v>
      </c>
      <c r="AA361" s="49">
        <v>0.22222222222222221</v>
      </c>
      <c r="AB361" s="49">
        <v>0.3833333333333333</v>
      </c>
      <c r="AC361" s="49">
        <f>AVERAGE(AA361:AB361)</f>
        <v>0.30277777777777776</v>
      </c>
      <c r="AD361" s="50">
        <f>3+5/6</f>
        <v>3.8333333333333335</v>
      </c>
      <c r="AE361" s="71" t="s">
        <v>132</v>
      </c>
      <c r="AF361" s="47">
        <v>117</v>
      </c>
      <c r="AG361"/>
      <c r="AH361"/>
      <c r="AI361"/>
      <c r="AJ361"/>
      <c r="AK361">
        <v>18</v>
      </c>
      <c r="AL361"/>
      <c r="AM361"/>
      <c r="AN361"/>
      <c r="AO361"/>
      <c r="AP361"/>
      <c r="AQ361" t="s">
        <v>1047</v>
      </c>
      <c r="AU361">
        <v>357</v>
      </c>
    </row>
    <row r="362" spans="1:47" x14ac:dyDescent="0.2">
      <c r="A362" s="37">
        <v>5746</v>
      </c>
      <c r="B362" s="38" t="s">
        <v>85</v>
      </c>
      <c r="C362" s="38" t="s">
        <v>475</v>
      </c>
      <c r="D362" s="29"/>
      <c r="E362" s="38" t="s">
        <v>1048</v>
      </c>
      <c r="F362" s="32" t="s">
        <v>150</v>
      </c>
      <c r="G362" s="47" t="s">
        <v>49</v>
      </c>
      <c r="H362"/>
      <c r="I362" s="32" t="s">
        <v>1049</v>
      </c>
      <c r="J362" s="47"/>
      <c r="K362" s="47">
        <f>(4*43+24*8)*2.2</f>
        <v>800.80000000000007</v>
      </c>
      <c r="L362" s="48">
        <v>9</v>
      </c>
      <c r="M362" s="47"/>
      <c r="N362" s="47"/>
      <c r="O362" s="47">
        <v>1</v>
      </c>
      <c r="P362" s="47"/>
      <c r="Q362" s="47"/>
      <c r="R362" s="47"/>
      <c r="S362" s="48">
        <v>8</v>
      </c>
      <c r="T362" s="47">
        <v>0</v>
      </c>
      <c r="U362" s="47">
        <v>0</v>
      </c>
      <c r="V362" s="47">
        <v>1</v>
      </c>
      <c r="W362" s="47"/>
      <c r="X362" s="47"/>
      <c r="Y362" s="47" t="s">
        <v>120</v>
      </c>
      <c r="Z362" s="47" t="s">
        <v>146</v>
      </c>
      <c r="AA362" s="49">
        <v>0.28125</v>
      </c>
      <c r="AB362" s="49">
        <v>0.36805555555555558</v>
      </c>
      <c r="AC362" s="49">
        <v>0.34027777777777773</v>
      </c>
      <c r="AD362" s="50">
        <f>2+5/60</f>
        <v>2.0833333333333335</v>
      </c>
      <c r="AE362" s="47" t="s">
        <v>1044</v>
      </c>
      <c r="AF362" s="47">
        <v>140</v>
      </c>
      <c r="AG362"/>
      <c r="AH362"/>
      <c r="AI362"/>
      <c r="AJ362"/>
      <c r="AK362">
        <v>37</v>
      </c>
      <c r="AL362"/>
      <c r="AM362"/>
      <c r="AN362"/>
      <c r="AO362"/>
      <c r="AP362"/>
      <c r="AQ362" t="s">
        <v>1050</v>
      </c>
      <c r="AU362">
        <v>358</v>
      </c>
    </row>
    <row r="363" spans="1:47" x14ac:dyDescent="0.2">
      <c r="A363" s="37">
        <v>5747</v>
      </c>
      <c r="B363" s="38" t="s">
        <v>85</v>
      </c>
      <c r="C363" s="39" t="s">
        <v>134</v>
      </c>
      <c r="D363" s="29"/>
      <c r="E363" s="38" t="s">
        <v>1051</v>
      </c>
      <c r="F363" s="32" t="s">
        <v>1052</v>
      </c>
      <c r="G363" s="47" t="s">
        <v>73</v>
      </c>
      <c r="H363"/>
      <c r="I363" s="32" t="b">
        <v>1</v>
      </c>
      <c r="J363" s="47" t="b">
        <v>1</v>
      </c>
      <c r="K363" s="47">
        <f>(4*43+8*10)*2.2</f>
        <v>554.40000000000009</v>
      </c>
      <c r="L363" s="48">
        <v>4</v>
      </c>
      <c r="M363" s="47"/>
      <c r="N363" s="47"/>
      <c r="O363" s="47">
        <v>2</v>
      </c>
      <c r="P363" s="47"/>
      <c r="Q363" s="47">
        <v>1</v>
      </c>
      <c r="R363" s="47"/>
      <c r="S363" s="48">
        <v>2</v>
      </c>
      <c r="T363" s="47">
        <v>2</v>
      </c>
      <c r="U363" s="47">
        <v>0</v>
      </c>
      <c r="V363" s="47">
        <v>0</v>
      </c>
      <c r="W363" s="47">
        <f>0.5*(1500+1300)*39.37/12</f>
        <v>4593.166666666667</v>
      </c>
      <c r="X363" s="47"/>
      <c r="Y363" s="47" t="s">
        <v>120</v>
      </c>
      <c r="Z363" s="47" t="s">
        <v>675</v>
      </c>
      <c r="AA363" s="49">
        <v>0.20972222222222223</v>
      </c>
      <c r="AB363" s="49"/>
      <c r="AC363" s="49"/>
      <c r="AD363" s="50"/>
      <c r="AE363" s="71" t="s">
        <v>132</v>
      </c>
      <c r="AF363" s="47">
        <v>138</v>
      </c>
      <c r="AG363"/>
      <c r="AH363"/>
      <c r="AI363"/>
      <c r="AJ363"/>
      <c r="AK363">
        <v>12</v>
      </c>
      <c r="AL363"/>
      <c r="AM363"/>
      <c r="AN363"/>
      <c r="AO363"/>
      <c r="AP363"/>
      <c r="AQ363" t="s">
        <v>1053</v>
      </c>
      <c r="AR363" s="32" t="s">
        <v>1054</v>
      </c>
      <c r="AU363">
        <v>359</v>
      </c>
    </row>
    <row r="364" spans="1:47" x14ac:dyDescent="0.2">
      <c r="A364" s="37">
        <v>5747</v>
      </c>
      <c r="B364" s="38" t="s">
        <v>85</v>
      </c>
      <c r="C364" s="39" t="s">
        <v>134</v>
      </c>
      <c r="D364" s="29"/>
      <c r="E364" s="38" t="s">
        <v>305</v>
      </c>
      <c r="F364" s="32" t="s">
        <v>273</v>
      </c>
      <c r="G364" s="47" t="s">
        <v>274</v>
      </c>
      <c r="H364"/>
      <c r="I364" s="31" t="b">
        <v>0</v>
      </c>
      <c r="J364" s="47" t="b">
        <v>0</v>
      </c>
      <c r="K364" s="47">
        <f>(2*43+4*10)*2.2</f>
        <v>277.20000000000005</v>
      </c>
      <c r="L364" s="48"/>
      <c r="M364" s="47"/>
      <c r="N364" s="47"/>
      <c r="O364" s="47"/>
      <c r="P364" s="47"/>
      <c r="Q364" s="47"/>
      <c r="R364" s="47"/>
      <c r="S364" s="48">
        <v>1</v>
      </c>
      <c r="T364" s="47"/>
      <c r="U364" s="47"/>
      <c r="V364" s="47"/>
      <c r="W364" s="47">
        <f>1500*39.37/12</f>
        <v>4921.2499999999991</v>
      </c>
      <c r="X364" s="47"/>
      <c r="Y364" s="47" t="s">
        <v>120</v>
      </c>
      <c r="Z364" s="47" t="s">
        <v>675</v>
      </c>
      <c r="AA364" s="49">
        <v>0.20972222222222223</v>
      </c>
      <c r="AB364" s="49"/>
      <c r="AC364" s="49"/>
      <c r="AD364" s="50"/>
      <c r="AE364" s="71" t="s">
        <v>132</v>
      </c>
      <c r="AF364" s="47">
        <v>138</v>
      </c>
      <c r="AG364"/>
      <c r="AH364"/>
      <c r="AI364"/>
      <c r="AJ364"/>
      <c r="AK364">
        <v>6</v>
      </c>
      <c r="AL364"/>
      <c r="AM364"/>
      <c r="AN364"/>
      <c r="AO364"/>
      <c r="AP364"/>
      <c r="AQ364" t="s">
        <v>1053</v>
      </c>
      <c r="AR364" s="32" t="s">
        <v>1054</v>
      </c>
      <c r="AU364">
        <v>360</v>
      </c>
    </row>
    <row r="365" spans="1:47" x14ac:dyDescent="0.2">
      <c r="A365" s="37">
        <v>5747</v>
      </c>
      <c r="B365" s="38" t="s">
        <v>85</v>
      </c>
      <c r="C365" s="39" t="s">
        <v>134</v>
      </c>
      <c r="D365" s="29"/>
      <c r="E365" s="38" t="s">
        <v>1055</v>
      </c>
      <c r="F365" s="32" t="s">
        <v>1056</v>
      </c>
      <c r="G365" s="47" t="s">
        <v>49</v>
      </c>
      <c r="H365"/>
      <c r="I365" s="31" t="b">
        <v>0</v>
      </c>
      <c r="J365" s="47" t="b">
        <v>0</v>
      </c>
      <c r="K365" s="47">
        <f>(2*43+4*10)*2.2</f>
        <v>277.20000000000005</v>
      </c>
      <c r="L365" s="48"/>
      <c r="M365" s="47"/>
      <c r="N365" s="47"/>
      <c r="O365" s="47"/>
      <c r="P365" s="47"/>
      <c r="Q365" s="47"/>
      <c r="R365" s="47"/>
      <c r="S365" s="48">
        <v>1</v>
      </c>
      <c r="T365" s="47"/>
      <c r="U365" s="47"/>
      <c r="V365" s="47"/>
      <c r="W365" s="47">
        <f>1300*39.37/12</f>
        <v>4265.083333333333</v>
      </c>
      <c r="X365" s="47"/>
      <c r="Y365" s="47" t="s">
        <v>120</v>
      </c>
      <c r="Z365" s="47" t="s">
        <v>675</v>
      </c>
      <c r="AA365" s="49">
        <v>0.20972222222222223</v>
      </c>
      <c r="AB365" s="49"/>
      <c r="AC365" s="49"/>
      <c r="AD365" s="50"/>
      <c r="AE365" s="71" t="s">
        <v>132</v>
      </c>
      <c r="AF365" s="47">
        <v>33</v>
      </c>
      <c r="AG365"/>
      <c r="AH365"/>
      <c r="AI365"/>
      <c r="AJ365"/>
      <c r="AK365">
        <v>6</v>
      </c>
      <c r="AL365"/>
      <c r="AM365"/>
      <c r="AN365"/>
      <c r="AO365"/>
      <c r="AP365"/>
      <c r="AQ365" t="s">
        <v>1053</v>
      </c>
      <c r="AR365" s="32" t="s">
        <v>1054</v>
      </c>
      <c r="AU365">
        <v>361</v>
      </c>
    </row>
    <row r="366" spans="1:47" x14ac:dyDescent="0.2">
      <c r="A366" s="37">
        <v>5747</v>
      </c>
      <c r="B366" s="38" t="s">
        <v>85</v>
      </c>
      <c r="C366" s="85" t="s">
        <v>228</v>
      </c>
      <c r="D366" s="29"/>
      <c r="E366" s="38" t="s">
        <v>1057</v>
      </c>
      <c r="F366" s="32" t="s">
        <v>1058</v>
      </c>
      <c r="G366" s="47"/>
      <c r="H366"/>
      <c r="I366" s="32"/>
      <c r="J366" s="47"/>
      <c r="K366" s="47"/>
      <c r="L366" s="48">
        <v>6</v>
      </c>
      <c r="M366" s="47"/>
      <c r="N366" s="47"/>
      <c r="O366" s="47"/>
      <c r="P366" s="47"/>
      <c r="Q366" s="47"/>
      <c r="R366" s="47"/>
      <c r="S366" s="48"/>
      <c r="T366" s="47"/>
      <c r="U366" s="47"/>
      <c r="V366" s="47"/>
      <c r="W366" s="47"/>
      <c r="X366" s="47"/>
      <c r="Y366" s="47"/>
      <c r="Z366" s="47"/>
      <c r="AA366" s="49"/>
      <c r="AB366" s="49"/>
      <c r="AC366" s="49"/>
      <c r="AD366" s="50"/>
      <c r="AE366" s="47" t="s">
        <v>283</v>
      </c>
      <c r="AF366" s="47">
        <v>45</v>
      </c>
      <c r="AG366"/>
      <c r="AH366"/>
      <c r="AI366"/>
      <c r="AJ366"/>
      <c r="AK366"/>
      <c r="AL366"/>
      <c r="AM366"/>
      <c r="AN366"/>
      <c r="AO366"/>
      <c r="AP366"/>
      <c r="AQ366" t="s">
        <v>233</v>
      </c>
      <c r="AU366">
        <v>362</v>
      </c>
    </row>
    <row r="367" spans="1:47" x14ac:dyDescent="0.2">
      <c r="A367" s="37">
        <v>5747</v>
      </c>
      <c r="B367" s="38" t="s">
        <v>85</v>
      </c>
      <c r="C367" s="39" t="s">
        <v>228</v>
      </c>
      <c r="D367" s="29"/>
      <c r="E367" s="38" t="s">
        <v>642</v>
      </c>
      <c r="F367" s="32" t="s">
        <v>61</v>
      </c>
      <c r="G367" s="47"/>
      <c r="H367"/>
      <c r="I367" s="32" t="s">
        <v>1059</v>
      </c>
      <c r="J367" s="47"/>
      <c r="K367" s="47"/>
      <c r="L367" s="48">
        <v>1</v>
      </c>
      <c r="M367" s="47"/>
      <c r="N367" s="47"/>
      <c r="O367" s="47"/>
      <c r="P367" s="47"/>
      <c r="Q367" s="47"/>
      <c r="R367" s="47"/>
      <c r="S367" s="48"/>
      <c r="T367" s="47"/>
      <c r="U367" s="47"/>
      <c r="V367" s="47"/>
      <c r="W367" s="47"/>
      <c r="X367" s="47"/>
      <c r="Y367" s="47"/>
      <c r="Z367" s="47"/>
      <c r="AA367" s="49"/>
      <c r="AB367" s="49"/>
      <c r="AC367" s="49"/>
      <c r="AD367" s="50"/>
      <c r="AE367" s="47" t="s">
        <v>283</v>
      </c>
      <c r="AF367" s="31">
        <v>140</v>
      </c>
      <c r="AG367"/>
      <c r="AH367"/>
      <c r="AI367"/>
      <c r="AJ367"/>
      <c r="AK367"/>
      <c r="AL367"/>
      <c r="AM367"/>
      <c r="AN367"/>
      <c r="AO367"/>
      <c r="AP367"/>
      <c r="AQ367" t="s">
        <v>233</v>
      </c>
      <c r="AU367">
        <v>363</v>
      </c>
    </row>
    <row r="368" spans="1:47" x14ac:dyDescent="0.2">
      <c r="A368" s="37">
        <v>5748</v>
      </c>
      <c r="B368" s="38" t="s">
        <v>85</v>
      </c>
      <c r="C368" s="39" t="s">
        <v>346</v>
      </c>
      <c r="D368" s="29"/>
      <c r="E368" s="38" t="s">
        <v>1060</v>
      </c>
      <c r="F368" s="32" t="s">
        <v>1061</v>
      </c>
      <c r="G368" s="47" t="s">
        <v>73</v>
      </c>
      <c r="H368"/>
      <c r="I368" s="31" t="b">
        <v>1</v>
      </c>
      <c r="J368" s="47" t="b">
        <v>1</v>
      </c>
      <c r="K368" s="47">
        <f>31*8*2.2</f>
        <v>545.6</v>
      </c>
      <c r="L368" s="48">
        <v>15</v>
      </c>
      <c r="M368" s="47">
        <v>11</v>
      </c>
      <c r="N368" s="47"/>
      <c r="O368" s="47"/>
      <c r="P368" s="47">
        <v>2</v>
      </c>
      <c r="Q368" s="47"/>
      <c r="R368" s="47"/>
      <c r="S368" s="48">
        <v>4</v>
      </c>
      <c r="T368" s="47">
        <v>0</v>
      </c>
      <c r="U368" s="47">
        <v>0</v>
      </c>
      <c r="V368" s="47">
        <v>0</v>
      </c>
      <c r="W368" s="47"/>
      <c r="X368" s="47"/>
      <c r="Y368" s="47" t="s">
        <v>120</v>
      </c>
      <c r="Z368" s="47" t="s">
        <v>146</v>
      </c>
      <c r="AA368" s="49">
        <v>0.64444444444444449</v>
      </c>
      <c r="AB368" s="49">
        <v>0.73055555555555562</v>
      </c>
      <c r="AC368" s="49">
        <f>AVERAGE(AA368:AB368)</f>
        <v>0.6875</v>
      </c>
      <c r="AD368" s="50">
        <f>(AB368-AA368)*24</f>
        <v>2.0666666666666673</v>
      </c>
      <c r="AE368" s="47" t="s">
        <v>1044</v>
      </c>
      <c r="AF368" s="47">
        <v>40</v>
      </c>
      <c r="AG368"/>
      <c r="AH368"/>
      <c r="AI368"/>
      <c r="AJ368"/>
      <c r="AK368">
        <v>31</v>
      </c>
      <c r="AL368"/>
      <c r="AM368"/>
      <c r="AN368"/>
      <c r="AO368"/>
      <c r="AP368"/>
      <c r="AQ368" t="s">
        <v>1062</v>
      </c>
      <c r="AR368" s="32" t="s">
        <v>1063</v>
      </c>
      <c r="AU368">
        <v>364</v>
      </c>
    </row>
    <row r="369" spans="1:47" x14ac:dyDescent="0.2">
      <c r="A369" s="37">
        <v>5748</v>
      </c>
      <c r="B369" s="38" t="s">
        <v>85</v>
      </c>
      <c r="C369" s="39" t="s">
        <v>346</v>
      </c>
      <c r="D369" s="29"/>
      <c r="E369" s="38" t="s">
        <v>1064</v>
      </c>
      <c r="F369" s="32" t="s">
        <v>150</v>
      </c>
      <c r="G369" s="47" t="s">
        <v>49</v>
      </c>
      <c r="H369"/>
      <c r="I369" s="32" t="b">
        <v>0</v>
      </c>
      <c r="J369" s="47" t="b">
        <v>0</v>
      </c>
      <c r="K369" s="47">
        <f>15*8*2.2</f>
        <v>264</v>
      </c>
      <c r="L369" s="48"/>
      <c r="M369" s="47"/>
      <c r="N369" s="47"/>
      <c r="O369" s="47"/>
      <c r="P369" s="47"/>
      <c r="Q369" s="47"/>
      <c r="R369" s="47"/>
      <c r="S369" s="48">
        <v>2</v>
      </c>
      <c r="T369" s="47"/>
      <c r="U369" s="47"/>
      <c r="V369" s="47"/>
      <c r="W369" s="47"/>
      <c r="X369" s="47"/>
      <c r="Y369" s="47"/>
      <c r="Z369" s="47" t="s">
        <v>146</v>
      </c>
      <c r="AA369" s="49">
        <v>0.64444444444444449</v>
      </c>
      <c r="AB369" s="49">
        <v>0.73055555555555562</v>
      </c>
      <c r="AC369" s="49">
        <f>AVERAGE(AA369:AB369)</f>
        <v>0.6875</v>
      </c>
      <c r="AD369" s="50">
        <f>(AB369-AA369)*24</f>
        <v>2.0666666666666673</v>
      </c>
      <c r="AE369" s="47" t="s">
        <v>1044</v>
      </c>
      <c r="AF369" s="47">
        <v>40</v>
      </c>
      <c r="AG369"/>
      <c r="AH369"/>
      <c r="AI369"/>
      <c r="AJ369"/>
      <c r="AK369">
        <v>15</v>
      </c>
      <c r="AL369"/>
      <c r="AM369"/>
      <c r="AN369"/>
      <c r="AO369"/>
      <c r="AP369"/>
      <c r="AQ369" t="s">
        <v>1062</v>
      </c>
      <c r="AR369" s="32" t="s">
        <v>1063</v>
      </c>
      <c r="AU369">
        <v>365</v>
      </c>
    </row>
    <row r="370" spans="1:47" x14ac:dyDescent="0.2">
      <c r="A370" s="37">
        <v>5748</v>
      </c>
      <c r="B370" s="38" t="s">
        <v>85</v>
      </c>
      <c r="C370" s="39" t="s">
        <v>346</v>
      </c>
      <c r="D370" s="29"/>
      <c r="E370" s="38" t="s">
        <v>1065</v>
      </c>
      <c r="F370" s="32" t="s">
        <v>1066</v>
      </c>
      <c r="G370" s="47" t="s">
        <v>69</v>
      </c>
      <c r="H370"/>
      <c r="I370" s="32" t="b">
        <v>0</v>
      </c>
      <c r="J370" s="47" t="b">
        <v>0</v>
      </c>
      <c r="K370" s="47">
        <f>16*8*2.2</f>
        <v>281.60000000000002</v>
      </c>
      <c r="L370" s="48"/>
      <c r="M370" s="47"/>
      <c r="N370" s="47"/>
      <c r="O370" s="47"/>
      <c r="P370" s="47">
        <v>2</v>
      </c>
      <c r="Q370" s="47"/>
      <c r="R370" s="47"/>
      <c r="S370" s="48">
        <v>2</v>
      </c>
      <c r="T370" s="47"/>
      <c r="U370" s="47"/>
      <c r="V370" s="47"/>
      <c r="W370" s="47"/>
      <c r="X370" s="47"/>
      <c r="Y370" s="47"/>
      <c r="Z370" s="47" t="s">
        <v>146</v>
      </c>
      <c r="AA370" s="49">
        <v>0.64444444444444449</v>
      </c>
      <c r="AB370" s="49">
        <v>0.73055555555555562</v>
      </c>
      <c r="AC370" s="49">
        <f>AVERAGE(AA370:AB370)</f>
        <v>0.6875</v>
      </c>
      <c r="AD370" s="50">
        <f>(AB370-AA370)*24</f>
        <v>2.0666666666666673</v>
      </c>
      <c r="AE370" s="47" t="s">
        <v>1044</v>
      </c>
      <c r="AF370" s="47">
        <v>35</v>
      </c>
      <c r="AG370"/>
      <c r="AH370"/>
      <c r="AI370"/>
      <c r="AJ370"/>
      <c r="AK370">
        <v>16</v>
      </c>
      <c r="AL370"/>
      <c r="AM370"/>
      <c r="AN370"/>
      <c r="AO370"/>
      <c r="AP370"/>
      <c r="AQ370" t="s">
        <v>1062</v>
      </c>
      <c r="AR370" s="32" t="s">
        <v>1063</v>
      </c>
      <c r="AU370">
        <v>366</v>
      </c>
    </row>
    <row r="371" spans="1:47" x14ac:dyDescent="0.2">
      <c r="A371" s="37">
        <v>5750</v>
      </c>
      <c r="B371" s="38" t="s">
        <v>85</v>
      </c>
      <c r="C371" s="39" t="s">
        <v>346</v>
      </c>
      <c r="D371" s="29" t="s">
        <v>120</v>
      </c>
      <c r="E371" s="38" t="s">
        <v>1067</v>
      </c>
      <c r="F371" s="32" t="s">
        <v>246</v>
      </c>
      <c r="G371" s="47" t="s">
        <v>49</v>
      </c>
      <c r="H371"/>
      <c r="I371" s="32" t="s">
        <v>1068</v>
      </c>
      <c r="J371" s="47"/>
      <c r="K371" s="47"/>
      <c r="L371" s="48">
        <v>15</v>
      </c>
      <c r="M371" s="47">
        <v>15</v>
      </c>
      <c r="N371" s="47"/>
      <c r="O371" s="47"/>
      <c r="P371" s="47"/>
      <c r="Q371" s="47"/>
      <c r="R371" s="47"/>
      <c r="S371" s="48">
        <v>0</v>
      </c>
      <c r="T371" s="47">
        <v>0</v>
      </c>
      <c r="U371" s="47">
        <v>0</v>
      </c>
      <c r="V371" s="47">
        <v>0</v>
      </c>
      <c r="W371" s="47"/>
      <c r="X371" s="47"/>
      <c r="Y371" s="47" t="s">
        <v>51</v>
      </c>
      <c r="Z371" s="47" t="s">
        <v>146</v>
      </c>
      <c r="AA371" s="49">
        <v>0.3354166666666667</v>
      </c>
      <c r="AB371" s="49"/>
      <c r="AC371" s="49"/>
      <c r="AD371" s="50"/>
      <c r="AE371" s="47" t="s">
        <v>1044</v>
      </c>
      <c r="AF371" s="47">
        <v>40</v>
      </c>
      <c r="AG371"/>
      <c r="AH371"/>
      <c r="AI371"/>
      <c r="AJ371"/>
      <c r="AK371">
        <v>0</v>
      </c>
      <c r="AL371"/>
      <c r="AM371"/>
      <c r="AN371"/>
      <c r="AO371"/>
      <c r="AP371"/>
      <c r="AQ371" t="s">
        <v>1069</v>
      </c>
      <c r="AU371">
        <v>367</v>
      </c>
    </row>
    <row r="372" spans="1:47" x14ac:dyDescent="0.2">
      <c r="A372" s="37">
        <v>5751</v>
      </c>
      <c r="B372" s="38" t="s">
        <v>85</v>
      </c>
      <c r="C372" s="39" t="s">
        <v>346</v>
      </c>
      <c r="D372" s="29"/>
      <c r="E372" s="38" t="s">
        <v>1070</v>
      </c>
      <c r="F372" s="32" t="s">
        <v>246</v>
      </c>
      <c r="G372" s="47" t="s">
        <v>49</v>
      </c>
      <c r="H372"/>
      <c r="I372" s="32" t="s">
        <v>1071</v>
      </c>
      <c r="J372" s="47"/>
      <c r="K372" s="47">
        <f>44*8*2.2</f>
        <v>774.40000000000009</v>
      </c>
      <c r="L372" s="48">
        <v>15</v>
      </c>
      <c r="M372" s="47">
        <v>8</v>
      </c>
      <c r="N372" s="47"/>
      <c r="O372" s="47"/>
      <c r="P372" s="47"/>
      <c r="Q372" s="47"/>
      <c r="R372" s="47"/>
      <c r="S372" s="48">
        <v>7</v>
      </c>
      <c r="T372" s="47">
        <v>0</v>
      </c>
      <c r="U372" s="47">
        <v>1</v>
      </c>
      <c r="V372" s="47">
        <v>0</v>
      </c>
      <c r="W372" s="47"/>
      <c r="X372" s="47"/>
      <c r="Y372" s="47" t="s">
        <v>51</v>
      </c>
      <c r="Z372" s="47" t="s">
        <v>146</v>
      </c>
      <c r="AA372" s="49">
        <v>0.54652777777777783</v>
      </c>
      <c r="AB372" s="49">
        <v>0.65277777777777779</v>
      </c>
      <c r="AC372" s="49">
        <f>AVERAGE(AA372:AB372)</f>
        <v>0.59965277777777781</v>
      </c>
      <c r="AD372" s="50">
        <f>(AB372-AA372)*24</f>
        <v>2.5499999999999989</v>
      </c>
      <c r="AE372" s="47" t="s">
        <v>1044</v>
      </c>
      <c r="AF372" s="47">
        <v>40</v>
      </c>
      <c r="AG372"/>
      <c r="AH372"/>
      <c r="AI372"/>
      <c r="AJ372"/>
      <c r="AK372">
        <v>44</v>
      </c>
      <c r="AL372"/>
      <c r="AM372"/>
      <c r="AN372"/>
      <c r="AO372"/>
      <c r="AP372"/>
      <c r="AQ372" t="s">
        <v>1072</v>
      </c>
      <c r="AU372">
        <v>368</v>
      </c>
    </row>
    <row r="373" spans="1:47" x14ac:dyDescent="0.2">
      <c r="A373" s="37">
        <v>5752</v>
      </c>
      <c r="B373" s="38" t="s">
        <v>85</v>
      </c>
      <c r="C373" s="39" t="s">
        <v>253</v>
      </c>
      <c r="D373" s="29"/>
      <c r="E373" s="38" t="s">
        <v>1073</v>
      </c>
      <c r="F373" s="32" t="s">
        <v>246</v>
      </c>
      <c r="G373" s="47"/>
      <c r="H373"/>
      <c r="I373" s="32"/>
      <c r="J373" s="47"/>
      <c r="K373" s="47"/>
      <c r="L373" s="48"/>
      <c r="M373" s="47"/>
      <c r="N373" s="47"/>
      <c r="O373" s="47"/>
      <c r="P373" s="47"/>
      <c r="Q373" s="47"/>
      <c r="R373" s="47"/>
      <c r="S373" s="48"/>
      <c r="T373" s="47"/>
      <c r="U373" s="47"/>
      <c r="V373" s="47"/>
      <c r="W373" s="47"/>
      <c r="X373" s="47"/>
      <c r="Y373" s="47"/>
      <c r="Z373" s="47"/>
      <c r="AA373" s="49"/>
      <c r="AB373" s="49"/>
      <c r="AC373" s="49"/>
      <c r="AD373" s="50"/>
      <c r="AE373" s="47"/>
      <c r="AF373" s="47"/>
      <c r="AG373"/>
      <c r="AH373"/>
      <c r="AI373"/>
      <c r="AJ373"/>
      <c r="AK373"/>
      <c r="AL373"/>
      <c r="AM373"/>
      <c r="AN373"/>
      <c r="AO373"/>
      <c r="AP373"/>
      <c r="AQ373" t="s">
        <v>1074</v>
      </c>
      <c r="AU373">
        <v>369</v>
      </c>
    </row>
    <row r="374" spans="1:47" x14ac:dyDescent="0.2">
      <c r="A374" s="37">
        <v>5752</v>
      </c>
      <c r="B374" s="38" t="s">
        <v>85</v>
      </c>
      <c r="C374" s="39" t="s">
        <v>253</v>
      </c>
      <c r="D374" s="29"/>
      <c r="E374" s="38" t="s">
        <v>1075</v>
      </c>
      <c r="F374" s="32" t="s">
        <v>1076</v>
      </c>
      <c r="G374" s="47"/>
      <c r="H374"/>
      <c r="I374" s="32"/>
      <c r="J374" s="47"/>
      <c r="K374" s="47"/>
      <c r="L374" s="48"/>
      <c r="M374" s="47"/>
      <c r="N374" s="47"/>
      <c r="O374" s="47"/>
      <c r="P374" s="47"/>
      <c r="Q374" s="47"/>
      <c r="R374" s="47"/>
      <c r="S374" s="48"/>
      <c r="T374" s="47"/>
      <c r="U374" s="47"/>
      <c r="V374" s="47"/>
      <c r="W374" s="47"/>
      <c r="X374" s="47"/>
      <c r="Y374" s="47"/>
      <c r="Z374" s="47"/>
      <c r="AA374" s="49"/>
      <c r="AB374" s="49"/>
      <c r="AC374" s="49"/>
      <c r="AD374" s="50"/>
      <c r="AE374" s="47"/>
      <c r="AF374" s="47"/>
      <c r="AG374"/>
      <c r="AH374"/>
      <c r="AI374"/>
      <c r="AJ374"/>
      <c r="AK374"/>
      <c r="AL374"/>
      <c r="AM374"/>
      <c r="AN374"/>
      <c r="AO374"/>
      <c r="AP374"/>
      <c r="AQ374" t="s">
        <v>1074</v>
      </c>
      <c r="AU374">
        <v>370</v>
      </c>
    </row>
    <row r="375" spans="1:47" x14ac:dyDescent="0.2">
      <c r="A375" s="37">
        <v>5752</v>
      </c>
      <c r="B375" s="38" t="s">
        <v>45</v>
      </c>
      <c r="C375" s="39" t="s">
        <v>1077</v>
      </c>
      <c r="D375" s="29"/>
      <c r="E375" s="38" t="s">
        <v>1078</v>
      </c>
      <c r="F375" s="32" t="s">
        <v>150</v>
      </c>
      <c r="G375" s="47" t="s">
        <v>49</v>
      </c>
      <c r="H375"/>
      <c r="I375" s="32" t="s">
        <v>1079</v>
      </c>
      <c r="J375" s="47"/>
      <c r="K375" s="47"/>
      <c r="L375" s="48"/>
      <c r="M375" s="47"/>
      <c r="N375" s="47"/>
      <c r="O375" s="47"/>
      <c r="P375" s="47"/>
      <c r="Q375" s="47"/>
      <c r="R375" s="47"/>
      <c r="S375" s="48">
        <v>2</v>
      </c>
      <c r="T375" s="47"/>
      <c r="U375" s="47"/>
      <c r="V375" s="47"/>
      <c r="W375" s="47"/>
      <c r="X375" s="47"/>
      <c r="Y375" s="47"/>
      <c r="Z375" s="47" t="s">
        <v>1080</v>
      </c>
      <c r="AA375" s="49"/>
      <c r="AB375" s="49"/>
      <c r="AC375" s="49"/>
      <c r="AD375" s="50"/>
      <c r="AE375" s="47" t="s">
        <v>1081</v>
      </c>
      <c r="AF375" s="47">
        <v>45</v>
      </c>
      <c r="AG375"/>
      <c r="AH375"/>
      <c r="AI375"/>
      <c r="AJ375"/>
      <c r="AK375">
        <v>72</v>
      </c>
      <c r="AL375"/>
      <c r="AM375"/>
      <c r="AN375"/>
      <c r="AO375"/>
      <c r="AP375"/>
      <c r="AQ375" t="s">
        <v>1082</v>
      </c>
      <c r="AU375">
        <v>371</v>
      </c>
    </row>
    <row r="376" spans="1:47" x14ac:dyDescent="0.2">
      <c r="A376" s="37">
        <v>5752</v>
      </c>
      <c r="B376" s="38" t="s">
        <v>45</v>
      </c>
      <c r="C376" s="43" t="s">
        <v>46</v>
      </c>
      <c r="D376" s="29"/>
      <c r="E376" s="38" t="s">
        <v>1083</v>
      </c>
      <c r="F376" s="32" t="s">
        <v>1084</v>
      </c>
      <c r="G376" s="47" t="s">
        <v>49</v>
      </c>
      <c r="H376"/>
      <c r="I376" s="32" t="s">
        <v>1085</v>
      </c>
      <c r="J376" s="47"/>
      <c r="K376" s="47">
        <f>(20*7.25+16*43)*2.2</f>
        <v>1832.6000000000001</v>
      </c>
      <c r="L376" s="48">
        <v>1</v>
      </c>
      <c r="M376" s="47"/>
      <c r="N376" s="47"/>
      <c r="O376" s="47"/>
      <c r="P376" s="47"/>
      <c r="Q376" s="47"/>
      <c r="R376" s="47"/>
      <c r="S376" s="48">
        <v>1</v>
      </c>
      <c r="T376" s="47"/>
      <c r="U376" s="47"/>
      <c r="V376" s="47"/>
      <c r="W376" s="47"/>
      <c r="X376" s="47"/>
      <c r="Y376" s="47" t="s">
        <v>51</v>
      </c>
      <c r="Z376" s="20" t="s">
        <v>52</v>
      </c>
      <c r="AA376" s="49"/>
      <c r="AB376" s="49"/>
      <c r="AC376" s="49"/>
      <c r="AD376" s="50"/>
      <c r="AE376" s="47"/>
      <c r="AF376" s="47">
        <v>260</v>
      </c>
      <c r="AG376"/>
      <c r="AH376"/>
      <c r="AI376"/>
      <c r="AJ376"/>
      <c r="AK376">
        <v>36</v>
      </c>
      <c r="AL376"/>
      <c r="AM376"/>
      <c r="AN376"/>
      <c r="AO376"/>
      <c r="AP376"/>
      <c r="AQ376" s="32" t="s">
        <v>1086</v>
      </c>
      <c r="AU376">
        <v>372</v>
      </c>
    </row>
    <row r="377" spans="1:47" x14ac:dyDescent="0.2">
      <c r="A377" s="37">
        <v>5754</v>
      </c>
      <c r="B377" s="38" t="s">
        <v>85</v>
      </c>
      <c r="C377" s="43" t="s">
        <v>1087</v>
      </c>
      <c r="D377" s="29"/>
      <c r="E377" s="38" t="s">
        <v>1088</v>
      </c>
      <c r="F377" s="32" t="s">
        <v>150</v>
      </c>
      <c r="G377" s="47" t="s">
        <v>49</v>
      </c>
      <c r="H377"/>
      <c r="I377" s="32" t="s">
        <v>1089</v>
      </c>
      <c r="J377" s="47"/>
      <c r="K377" s="47"/>
      <c r="L377" s="48"/>
      <c r="M377" s="47"/>
      <c r="N377" s="47"/>
      <c r="O377" s="47"/>
      <c r="P377" s="47"/>
      <c r="Q377" s="47"/>
      <c r="R377" s="47"/>
      <c r="S377" s="48"/>
      <c r="T377" s="47"/>
      <c r="U377" s="47"/>
      <c r="V377" s="47"/>
      <c r="W377" s="47"/>
      <c r="X377" s="47"/>
      <c r="Y377" s="47"/>
      <c r="Z377" s="47"/>
      <c r="AA377" s="49"/>
      <c r="AB377" s="49"/>
      <c r="AC377" s="49"/>
      <c r="AD377" s="50"/>
      <c r="AE377" s="47"/>
      <c r="AF377" s="47"/>
      <c r="AG377"/>
      <c r="AH377"/>
      <c r="AI377"/>
      <c r="AJ377"/>
      <c r="AK377"/>
      <c r="AL377"/>
      <c r="AM377"/>
      <c r="AN377"/>
      <c r="AO377"/>
      <c r="AP377"/>
      <c r="AQ377" s="32" t="s">
        <v>1090</v>
      </c>
      <c r="AU377">
        <v>373</v>
      </c>
    </row>
    <row r="378" spans="1:47" x14ac:dyDescent="0.2">
      <c r="A378" s="37">
        <v>5754</v>
      </c>
      <c r="B378" s="38" t="s">
        <v>85</v>
      </c>
      <c r="C378" s="43" t="s">
        <v>142</v>
      </c>
      <c r="D378" s="29"/>
      <c r="E378" s="38" t="s">
        <v>1088</v>
      </c>
      <c r="F378" s="32" t="s">
        <v>1091</v>
      </c>
      <c r="G378" s="47" t="s">
        <v>73</v>
      </c>
      <c r="H378"/>
      <c r="I378" s="32" t="s">
        <v>1092</v>
      </c>
      <c r="J378" s="47"/>
      <c r="K378" s="47">
        <f>(95*8+1*43)*2.2</f>
        <v>1766.6000000000001</v>
      </c>
      <c r="L378" s="48">
        <v>22</v>
      </c>
      <c r="M378" s="47"/>
      <c r="N378" s="47"/>
      <c r="O378" s="47"/>
      <c r="P378" s="47"/>
      <c r="Q378" s="47"/>
      <c r="R378" s="47"/>
      <c r="S378" s="48">
        <v>14</v>
      </c>
      <c r="T378" s="47">
        <v>0</v>
      </c>
      <c r="U378" s="47">
        <v>0</v>
      </c>
      <c r="V378" s="47">
        <v>1</v>
      </c>
      <c r="W378" s="47"/>
      <c r="X378" s="47"/>
      <c r="Y378" s="47" t="s">
        <v>120</v>
      </c>
      <c r="Z378" s="31" t="s">
        <v>146</v>
      </c>
      <c r="AA378" s="49">
        <v>0.63541666666666663</v>
      </c>
      <c r="AB378" s="49"/>
      <c r="AC378" s="49"/>
      <c r="AD378" s="50"/>
      <c r="AE378" s="47" t="s">
        <v>342</v>
      </c>
      <c r="AF378" s="47">
        <v>130</v>
      </c>
      <c r="AG378"/>
      <c r="AH378"/>
      <c r="AI378"/>
      <c r="AJ378"/>
      <c r="AK378">
        <v>96</v>
      </c>
      <c r="AL378"/>
      <c r="AM378"/>
      <c r="AN378"/>
      <c r="AO378"/>
      <c r="AP378"/>
      <c r="AQ378" s="32" t="s">
        <v>1093</v>
      </c>
      <c r="AU378">
        <v>374</v>
      </c>
    </row>
    <row r="379" spans="1:47" x14ac:dyDescent="0.2">
      <c r="A379" s="37">
        <v>5754</v>
      </c>
      <c r="B379" s="38" t="s">
        <v>85</v>
      </c>
      <c r="C379" s="39" t="s">
        <v>346</v>
      </c>
      <c r="D379" s="29"/>
      <c r="E379" s="38" t="s">
        <v>1088</v>
      </c>
      <c r="F379" s="32" t="s">
        <v>150</v>
      </c>
      <c r="G379" s="47" t="s">
        <v>49</v>
      </c>
      <c r="H379"/>
      <c r="I379" s="32" t="s">
        <v>1094</v>
      </c>
      <c r="J379" s="47"/>
      <c r="K379" s="47">
        <f>58*8*2.2</f>
        <v>1020.8000000000001</v>
      </c>
      <c r="L379" s="48">
        <v>18</v>
      </c>
      <c r="M379" s="47"/>
      <c r="N379" s="47">
        <v>4</v>
      </c>
      <c r="O379" s="47">
        <v>4</v>
      </c>
      <c r="P379" s="47"/>
      <c r="Q379" s="47">
        <v>1</v>
      </c>
      <c r="R379" s="47"/>
      <c r="S379" s="48">
        <v>10</v>
      </c>
      <c r="T379" s="47">
        <v>0</v>
      </c>
      <c r="U379" s="47">
        <v>3</v>
      </c>
      <c r="V379" s="47">
        <v>0</v>
      </c>
      <c r="W379" s="47"/>
      <c r="X379" s="47"/>
      <c r="Y379" s="47" t="s">
        <v>120</v>
      </c>
      <c r="Z379" s="47" t="s">
        <v>146</v>
      </c>
      <c r="AA379" s="49">
        <v>0.57361111111111118</v>
      </c>
      <c r="AB379" s="49">
        <v>0.72222222222222221</v>
      </c>
      <c r="AC379" s="49">
        <f>AVERAGE(AA379:AB379)</f>
        <v>0.6479166666666667</v>
      </c>
      <c r="AD379" s="50">
        <f>(AB379-AA379)*24</f>
        <v>3.5666666666666647</v>
      </c>
      <c r="AE379" s="47" t="s">
        <v>1044</v>
      </c>
      <c r="AF379" s="47">
        <v>55</v>
      </c>
      <c r="AG379"/>
      <c r="AH379"/>
      <c r="AI379"/>
      <c r="AJ379"/>
      <c r="AK379">
        <v>58</v>
      </c>
      <c r="AL379"/>
      <c r="AM379"/>
      <c r="AN379"/>
      <c r="AO379"/>
      <c r="AP379"/>
      <c r="AQ379" t="s">
        <v>1095</v>
      </c>
      <c r="AU379">
        <v>375</v>
      </c>
    </row>
    <row r="380" spans="1:47" x14ac:dyDescent="0.2">
      <c r="A380" s="37">
        <v>5754</v>
      </c>
      <c r="B380" s="38" t="s">
        <v>45</v>
      </c>
      <c r="C380" s="43" t="s">
        <v>46</v>
      </c>
      <c r="D380" s="29"/>
      <c r="E380" s="38" t="s">
        <v>609</v>
      </c>
      <c r="F380" s="32" t="s">
        <v>150</v>
      </c>
      <c r="G380" s="47" t="s">
        <v>49</v>
      </c>
      <c r="H380"/>
      <c r="I380" s="32" t="s">
        <v>1096</v>
      </c>
      <c r="J380" s="47"/>
      <c r="K380" s="47"/>
      <c r="L380" s="48">
        <v>1</v>
      </c>
      <c r="M380" s="47"/>
      <c r="N380" s="47"/>
      <c r="O380" s="47"/>
      <c r="P380" s="47"/>
      <c r="Q380" s="47"/>
      <c r="R380" s="47"/>
      <c r="S380" s="48">
        <v>1</v>
      </c>
      <c r="T380" s="47"/>
      <c r="U380" s="47"/>
      <c r="V380" s="47"/>
      <c r="W380" s="47"/>
      <c r="X380" s="47"/>
      <c r="Y380" s="47" t="s">
        <v>51</v>
      </c>
      <c r="Z380" s="20" t="s">
        <v>52</v>
      </c>
      <c r="AA380" s="49"/>
      <c r="AB380" s="49"/>
      <c r="AC380" s="49"/>
      <c r="AD380" s="50"/>
      <c r="AE380" s="47"/>
      <c r="AF380" s="47">
        <v>265</v>
      </c>
      <c r="AG380"/>
      <c r="AH380"/>
      <c r="AI380"/>
      <c r="AJ380"/>
      <c r="AK380">
        <v>16</v>
      </c>
      <c r="AL380"/>
      <c r="AM380"/>
      <c r="AN380"/>
      <c r="AO380"/>
      <c r="AP380"/>
      <c r="AQ380" s="32" t="s">
        <v>566</v>
      </c>
      <c r="AU380">
        <v>376</v>
      </c>
    </row>
    <row r="381" spans="1:47" s="98" customFormat="1" x14ac:dyDescent="0.2">
      <c r="A381" s="92">
        <v>5755</v>
      </c>
      <c r="B381" s="93" t="s">
        <v>85</v>
      </c>
      <c r="C381" s="94" t="s">
        <v>142</v>
      </c>
      <c r="D381" s="95"/>
      <c r="E381" s="93" t="s">
        <v>1048</v>
      </c>
      <c r="F381" s="96" t="s">
        <v>353</v>
      </c>
      <c r="G381" s="97" t="s">
        <v>49</v>
      </c>
      <c r="I381" s="96" t="s">
        <v>1097</v>
      </c>
      <c r="J381" s="97"/>
      <c r="K381" s="99">
        <f>(3*43+16*16+12*8)*2.2</f>
        <v>1058.2</v>
      </c>
      <c r="L381" s="100">
        <v>17</v>
      </c>
      <c r="M381" s="97">
        <v>10</v>
      </c>
      <c r="N381" s="97"/>
      <c r="O381" s="97"/>
      <c r="P381" s="97"/>
      <c r="Q381" s="97"/>
      <c r="R381" s="97"/>
      <c r="S381" s="100">
        <v>7</v>
      </c>
      <c r="T381" s="97">
        <v>0</v>
      </c>
      <c r="U381" s="97">
        <v>0</v>
      </c>
      <c r="V381" s="97">
        <v>0</v>
      </c>
      <c r="W381" s="97"/>
      <c r="X381" s="97"/>
      <c r="Y381" s="97" t="s">
        <v>51</v>
      </c>
      <c r="Z381" s="97"/>
      <c r="AA381" s="101"/>
      <c r="AB381" s="101"/>
      <c r="AC381" s="101"/>
      <c r="AD381" s="97"/>
      <c r="AE381" s="97"/>
      <c r="AF381" s="97"/>
      <c r="AK381" s="98">
        <v>31</v>
      </c>
      <c r="AQ381" s="96" t="s">
        <v>1093</v>
      </c>
      <c r="AR381" s="96"/>
      <c r="AU381" s="98">
        <v>377</v>
      </c>
    </row>
    <row r="382" spans="1:47" x14ac:dyDescent="0.2">
      <c r="A382" s="37">
        <v>5755</v>
      </c>
      <c r="B382" s="38"/>
      <c r="C382" s="39" t="s">
        <v>253</v>
      </c>
      <c r="D382" s="29"/>
      <c r="E382" s="38" t="s">
        <v>1098</v>
      </c>
      <c r="F382" s="32" t="s">
        <v>1099</v>
      </c>
      <c r="G382" s="47"/>
      <c r="H382"/>
      <c r="I382" s="32" t="s">
        <v>1100</v>
      </c>
      <c r="J382" s="47"/>
      <c r="K382" s="47"/>
      <c r="L382" s="48"/>
      <c r="M382" s="47"/>
      <c r="N382" s="47"/>
      <c r="O382" s="47"/>
      <c r="P382" s="47"/>
      <c r="Q382" s="47"/>
      <c r="R382" s="47"/>
      <c r="S382" s="48"/>
      <c r="T382" s="47"/>
      <c r="U382" s="47"/>
      <c r="V382" s="47"/>
      <c r="W382" s="47"/>
      <c r="X382" s="47"/>
      <c r="Y382" s="47"/>
      <c r="Z382" s="47"/>
      <c r="AA382" s="49"/>
      <c r="AB382" s="49"/>
      <c r="AC382" s="49"/>
      <c r="AD382" s="50"/>
      <c r="AE382" s="47"/>
      <c r="AF382" s="47"/>
      <c r="AG382"/>
      <c r="AH382"/>
      <c r="AI382"/>
      <c r="AJ382"/>
      <c r="AK382"/>
      <c r="AL382"/>
      <c r="AM382"/>
      <c r="AN382"/>
      <c r="AO382"/>
      <c r="AP382"/>
      <c r="AQ382" t="s">
        <v>1074</v>
      </c>
      <c r="AU382">
        <v>378</v>
      </c>
    </row>
    <row r="383" spans="1:47" x14ac:dyDescent="0.2">
      <c r="A383" s="26">
        <v>5755</v>
      </c>
      <c r="B383" s="27">
        <v>0.35416666666666669</v>
      </c>
      <c r="C383" s="28"/>
      <c r="D383" s="29"/>
      <c r="E383" s="30" t="s">
        <v>78</v>
      </c>
      <c r="H383" s="32">
        <v>1</v>
      </c>
      <c r="I383" s="32"/>
      <c r="AG383" s="32">
        <v>0</v>
      </c>
      <c r="AH383" s="32">
        <v>0</v>
      </c>
      <c r="AJ383" s="32">
        <v>0</v>
      </c>
      <c r="AK383" s="32">
        <v>6</v>
      </c>
      <c r="AO383" s="32" t="s">
        <v>80</v>
      </c>
      <c r="AQ383" s="32" t="s">
        <v>1101</v>
      </c>
      <c r="AU383">
        <v>379</v>
      </c>
    </row>
    <row r="384" spans="1:47" x14ac:dyDescent="0.2">
      <c r="A384" s="26">
        <v>5755</v>
      </c>
      <c r="B384" s="27">
        <v>0.70833333333333337</v>
      </c>
      <c r="C384" s="28"/>
      <c r="D384" s="29"/>
      <c r="E384" s="102" t="s">
        <v>1102</v>
      </c>
      <c r="H384" s="32">
        <v>0</v>
      </c>
      <c r="I384" s="32" t="s">
        <v>1103</v>
      </c>
      <c r="AG384" s="32">
        <v>0</v>
      </c>
      <c r="AH384" s="32">
        <v>0</v>
      </c>
      <c r="AI384" s="32">
        <v>0</v>
      </c>
      <c r="AK384" s="32">
        <v>0</v>
      </c>
      <c r="AL384" s="32">
        <v>1</v>
      </c>
      <c r="AO384" s="73" t="s">
        <v>1006</v>
      </c>
      <c r="AP384" s="32">
        <v>1</v>
      </c>
      <c r="AQ384" s="32" t="s">
        <v>589</v>
      </c>
      <c r="AU384">
        <v>380</v>
      </c>
    </row>
    <row r="385" spans="1:47" x14ac:dyDescent="0.2">
      <c r="A385" s="37">
        <v>5756</v>
      </c>
      <c r="B385" s="38"/>
      <c r="C385" s="39" t="s">
        <v>253</v>
      </c>
      <c r="D385" s="29"/>
      <c r="E385" s="38" t="s">
        <v>1104</v>
      </c>
      <c r="F385" s="32" t="s">
        <v>150</v>
      </c>
      <c r="G385" s="47"/>
      <c r="H385"/>
      <c r="I385" s="32" t="s">
        <v>1105</v>
      </c>
      <c r="J385" s="47"/>
      <c r="K385" s="47"/>
      <c r="L385" s="48"/>
      <c r="M385" s="47"/>
      <c r="N385" s="47"/>
      <c r="O385" s="47"/>
      <c r="P385" s="47"/>
      <c r="Q385" s="47"/>
      <c r="R385" s="47"/>
      <c r="S385" s="48"/>
      <c r="T385" s="47"/>
      <c r="U385" s="47"/>
      <c r="V385" s="47"/>
      <c r="W385" s="47"/>
      <c r="X385" s="47"/>
      <c r="Y385" s="47"/>
      <c r="Z385" s="47"/>
      <c r="AA385" s="49"/>
      <c r="AB385" s="49"/>
      <c r="AC385" s="49"/>
      <c r="AD385" s="50"/>
      <c r="AE385" s="47"/>
      <c r="AF385" s="47"/>
      <c r="AG385"/>
      <c r="AH385"/>
      <c r="AI385"/>
      <c r="AJ385"/>
      <c r="AK385"/>
      <c r="AL385"/>
      <c r="AM385"/>
      <c r="AN385"/>
      <c r="AO385"/>
      <c r="AP385"/>
      <c r="AQ385" t="s">
        <v>1106</v>
      </c>
      <c r="AU385">
        <v>381</v>
      </c>
    </row>
    <row r="386" spans="1:47" x14ac:dyDescent="0.2">
      <c r="A386" s="37">
        <v>5759</v>
      </c>
      <c r="B386" s="38" t="s">
        <v>85</v>
      </c>
      <c r="C386" s="39" t="s">
        <v>142</v>
      </c>
      <c r="D386" s="29" t="s">
        <v>120</v>
      </c>
      <c r="E386" s="38" t="s">
        <v>1078</v>
      </c>
      <c r="F386" s="32" t="s">
        <v>144</v>
      </c>
      <c r="G386" s="47"/>
      <c r="H386"/>
      <c r="I386" s="32" t="s">
        <v>1107</v>
      </c>
      <c r="J386" s="47"/>
      <c r="K386" s="47"/>
      <c r="L386" s="48"/>
      <c r="M386" s="47"/>
      <c r="N386" s="47"/>
      <c r="O386" s="47"/>
      <c r="P386" s="47"/>
      <c r="Q386" s="47"/>
      <c r="R386" s="47"/>
      <c r="S386" s="48"/>
      <c r="T386" s="47"/>
      <c r="U386" s="47"/>
      <c r="V386" s="47"/>
      <c r="W386" s="47"/>
      <c r="X386" s="47"/>
      <c r="Y386" s="47"/>
      <c r="Z386" s="31" t="s">
        <v>146</v>
      </c>
      <c r="AA386" s="49"/>
      <c r="AB386" s="49"/>
      <c r="AC386" s="49"/>
      <c r="AD386" s="50"/>
      <c r="AE386" s="47" t="s">
        <v>342</v>
      </c>
      <c r="AF386" s="47"/>
      <c r="AG386"/>
      <c r="AH386"/>
      <c r="AI386"/>
      <c r="AJ386"/>
      <c r="AK386"/>
      <c r="AL386"/>
      <c r="AM386"/>
      <c r="AN386"/>
      <c r="AO386"/>
      <c r="AP386"/>
      <c r="AQ386" s="32" t="s">
        <v>1108</v>
      </c>
      <c r="AU386">
        <v>382</v>
      </c>
    </row>
    <row r="387" spans="1:47" x14ac:dyDescent="0.2">
      <c r="A387" s="37">
        <v>5759</v>
      </c>
      <c r="B387" s="38" t="s">
        <v>85</v>
      </c>
      <c r="C387" s="39" t="s">
        <v>346</v>
      </c>
      <c r="D387" s="29"/>
      <c r="E387" s="38" t="s">
        <v>1109</v>
      </c>
      <c r="F387" s="32" t="s">
        <v>150</v>
      </c>
      <c r="G387" s="47" t="s">
        <v>49</v>
      </c>
      <c r="H387"/>
      <c r="I387" s="32" t="s">
        <v>1110</v>
      </c>
      <c r="J387" s="47"/>
      <c r="K387" s="47">
        <f>(8*7.25+46*8)*2.2</f>
        <v>937.2</v>
      </c>
      <c r="L387" s="48">
        <v>11</v>
      </c>
      <c r="M387" s="47">
        <v>2</v>
      </c>
      <c r="N387" s="47">
        <v>1</v>
      </c>
      <c r="O387" s="47"/>
      <c r="P387" s="47"/>
      <c r="Q387" s="47"/>
      <c r="R387" s="47"/>
      <c r="S387" s="48">
        <v>8</v>
      </c>
      <c r="T387" s="47">
        <v>0</v>
      </c>
      <c r="U387" s="47">
        <v>0</v>
      </c>
      <c r="V387" s="47">
        <v>0</v>
      </c>
      <c r="W387" s="47"/>
      <c r="X387" s="47"/>
      <c r="Y387" s="47" t="s">
        <v>51</v>
      </c>
      <c r="Z387" s="47" t="s">
        <v>146</v>
      </c>
      <c r="AA387" s="49">
        <v>0.60069444444444442</v>
      </c>
      <c r="AB387" s="49">
        <v>0.70833333333333337</v>
      </c>
      <c r="AC387" s="49">
        <f>AVERAGE(AA387:AB387)</f>
        <v>0.65451388888888884</v>
      </c>
      <c r="AD387" s="50">
        <f>(AB387-AA387)*24</f>
        <v>2.5833333333333348</v>
      </c>
      <c r="AE387" s="47" t="s">
        <v>1044</v>
      </c>
      <c r="AF387" s="47">
        <v>45</v>
      </c>
      <c r="AG387"/>
      <c r="AH387"/>
      <c r="AI387"/>
      <c r="AJ387"/>
      <c r="AK387">
        <v>54</v>
      </c>
      <c r="AL387"/>
      <c r="AM387"/>
      <c r="AN387"/>
      <c r="AO387"/>
      <c r="AP387"/>
      <c r="AQ387" t="s">
        <v>1111</v>
      </c>
      <c r="AU387">
        <v>383</v>
      </c>
    </row>
    <row r="388" spans="1:47" x14ac:dyDescent="0.2">
      <c r="A388" s="37">
        <v>5760</v>
      </c>
      <c r="B388" s="38" t="s">
        <v>85</v>
      </c>
      <c r="C388" s="39" t="s">
        <v>134</v>
      </c>
      <c r="D388" s="29"/>
      <c r="E388" s="38" t="s">
        <v>1112</v>
      </c>
      <c r="F388" s="32" t="s">
        <v>173</v>
      </c>
      <c r="G388" s="47" t="s">
        <v>69</v>
      </c>
      <c r="H388"/>
      <c r="I388" s="32" t="s">
        <v>1113</v>
      </c>
      <c r="J388" s="47"/>
      <c r="K388" s="47">
        <f>6*8*2.2</f>
        <v>105.60000000000001</v>
      </c>
      <c r="L388" s="48">
        <v>1</v>
      </c>
      <c r="M388" s="47"/>
      <c r="N388" s="47"/>
      <c r="O388" s="47"/>
      <c r="P388" s="47"/>
      <c r="Q388" s="47"/>
      <c r="R388" s="47"/>
      <c r="S388" s="48">
        <v>1</v>
      </c>
      <c r="T388" s="47">
        <v>0</v>
      </c>
      <c r="U388" s="47">
        <v>0</v>
      </c>
      <c r="V388" s="47">
        <v>0</v>
      </c>
      <c r="W388" s="47"/>
      <c r="X388" s="47"/>
      <c r="Y388" s="47"/>
      <c r="Z388" s="47"/>
      <c r="AA388" s="49"/>
      <c r="AB388" s="49"/>
      <c r="AC388" s="49"/>
      <c r="AD388" s="50"/>
      <c r="AE388" s="71" t="s">
        <v>132</v>
      </c>
      <c r="AF388" s="47">
        <v>35</v>
      </c>
      <c r="AG388"/>
      <c r="AH388"/>
      <c r="AI388"/>
      <c r="AJ388"/>
      <c r="AK388">
        <v>6</v>
      </c>
      <c r="AL388"/>
      <c r="AM388"/>
      <c r="AN388"/>
      <c r="AO388"/>
      <c r="AP388"/>
      <c r="AQ388" t="s">
        <v>1114</v>
      </c>
      <c r="AU388">
        <v>384</v>
      </c>
    </row>
    <row r="389" spans="1:47" x14ac:dyDescent="0.2">
      <c r="A389" s="37">
        <v>5762</v>
      </c>
      <c r="B389" s="38" t="s">
        <v>85</v>
      </c>
      <c r="C389" s="39" t="s">
        <v>142</v>
      </c>
      <c r="D389" s="29"/>
      <c r="E389" s="103" t="s">
        <v>1115</v>
      </c>
      <c r="F389" s="32" t="s">
        <v>246</v>
      </c>
      <c r="G389" s="47" t="s">
        <v>49</v>
      </c>
      <c r="H389"/>
      <c r="I389" s="32" t="s">
        <v>1116</v>
      </c>
      <c r="J389" s="47"/>
      <c r="K389" s="47">
        <f>112*8*2.2</f>
        <v>1971.2000000000003</v>
      </c>
      <c r="L389" s="48"/>
      <c r="M389" s="47"/>
      <c r="N389" s="47"/>
      <c r="O389" s="47"/>
      <c r="P389" s="47"/>
      <c r="Q389" s="47"/>
      <c r="R389" s="47"/>
      <c r="S389" s="48">
        <v>17</v>
      </c>
      <c r="T389" s="47">
        <v>0</v>
      </c>
      <c r="U389" s="47">
        <v>0</v>
      </c>
      <c r="V389" s="47">
        <v>0</v>
      </c>
      <c r="W389" s="47"/>
      <c r="X389" s="47"/>
      <c r="Y389" s="47" t="s">
        <v>51</v>
      </c>
      <c r="Z389" s="31" t="s">
        <v>146</v>
      </c>
      <c r="AA389" s="49"/>
      <c r="AB389" s="49"/>
      <c r="AC389" s="49"/>
      <c r="AD389" s="50"/>
      <c r="AE389" s="47" t="s">
        <v>342</v>
      </c>
      <c r="AF389" s="47">
        <v>145</v>
      </c>
      <c r="AG389"/>
      <c r="AH389"/>
      <c r="AI389"/>
      <c r="AJ389"/>
      <c r="AK389">
        <v>112</v>
      </c>
      <c r="AL389"/>
      <c r="AM389"/>
      <c r="AN389"/>
      <c r="AO389"/>
      <c r="AP389"/>
      <c r="AQ389" t="s">
        <v>1117</v>
      </c>
      <c r="AU389">
        <v>385</v>
      </c>
    </row>
    <row r="390" spans="1:47" x14ac:dyDescent="0.2">
      <c r="A390" s="37">
        <v>5762</v>
      </c>
      <c r="B390" s="38" t="s">
        <v>85</v>
      </c>
      <c r="C390" s="39" t="s">
        <v>346</v>
      </c>
      <c r="D390" s="29"/>
      <c r="E390" s="38" t="s">
        <v>1109</v>
      </c>
      <c r="F390" s="32" t="s">
        <v>150</v>
      </c>
      <c r="G390" s="47" t="s">
        <v>49</v>
      </c>
      <c r="H390"/>
      <c r="I390" s="32" t="s">
        <v>1118</v>
      </c>
      <c r="J390" s="47"/>
      <c r="K390" s="47">
        <f>39*8*2.2</f>
        <v>686.40000000000009</v>
      </c>
      <c r="L390" s="48">
        <v>11</v>
      </c>
      <c r="M390" s="47"/>
      <c r="N390" s="47">
        <v>4</v>
      </c>
      <c r="O390" s="47"/>
      <c r="P390" s="47"/>
      <c r="Q390" s="47"/>
      <c r="R390" s="47"/>
      <c r="S390" s="48">
        <v>7</v>
      </c>
      <c r="T390" s="47">
        <v>0</v>
      </c>
      <c r="U390" s="47">
        <v>1</v>
      </c>
      <c r="V390" s="47">
        <v>0</v>
      </c>
      <c r="W390" s="47"/>
      <c r="X390" s="47"/>
      <c r="Y390" s="47" t="s">
        <v>120</v>
      </c>
      <c r="Z390" s="47" t="s">
        <v>146</v>
      </c>
      <c r="AA390" s="49">
        <v>0.56944444444444442</v>
      </c>
      <c r="AB390" s="49">
        <v>0.65833333333333333</v>
      </c>
      <c r="AC390" s="49">
        <f>AVERAGE(AA390:AB390)</f>
        <v>0.61388888888888893</v>
      </c>
      <c r="AD390" s="50">
        <f>(AB390-AA390)*24</f>
        <v>2.1333333333333337</v>
      </c>
      <c r="AE390" s="47" t="s">
        <v>1044</v>
      </c>
      <c r="AF390" s="47">
        <v>45</v>
      </c>
      <c r="AG390"/>
      <c r="AH390"/>
      <c r="AI390"/>
      <c r="AJ390"/>
      <c r="AK390">
        <v>39</v>
      </c>
      <c r="AL390"/>
      <c r="AM390"/>
      <c r="AN390"/>
      <c r="AO390"/>
      <c r="AP390"/>
      <c r="AQ390" t="s">
        <v>1119</v>
      </c>
      <c r="AU390">
        <v>386</v>
      </c>
    </row>
    <row r="391" spans="1:47" x14ac:dyDescent="0.2">
      <c r="A391" s="37">
        <v>5762</v>
      </c>
      <c r="B391" s="38" t="s">
        <v>85</v>
      </c>
      <c r="C391" s="39" t="s">
        <v>1120</v>
      </c>
      <c r="D391" s="29"/>
      <c r="E391" s="38" t="s">
        <v>1048</v>
      </c>
      <c r="F391" s="32" t="s">
        <v>150</v>
      </c>
      <c r="G391" s="47" t="s">
        <v>49</v>
      </c>
      <c r="H391"/>
      <c r="I391" s="32" t="s">
        <v>1121</v>
      </c>
      <c r="J391" s="47"/>
      <c r="K391" s="47">
        <f>(8*7.25+3*10)*2.2</f>
        <v>193.60000000000002</v>
      </c>
      <c r="L391" s="48"/>
      <c r="M391" s="47"/>
      <c r="N391" s="47"/>
      <c r="O391" s="47"/>
      <c r="P391" s="47"/>
      <c r="Q391" s="47"/>
      <c r="R391" s="47"/>
      <c r="S391" s="48">
        <v>1</v>
      </c>
      <c r="T391" s="47"/>
      <c r="U391" s="47"/>
      <c r="V391" s="47"/>
      <c r="W391" s="47"/>
      <c r="X391" s="47"/>
      <c r="Y391" s="47" t="s">
        <v>120</v>
      </c>
      <c r="Z391" s="47"/>
      <c r="AA391" s="49"/>
      <c r="AB391" s="49"/>
      <c r="AC391" s="49"/>
      <c r="AD391" s="50"/>
      <c r="AE391" s="47"/>
      <c r="AF391" s="47"/>
      <c r="AG391"/>
      <c r="AH391"/>
      <c r="AI391"/>
      <c r="AJ391"/>
      <c r="AK391">
        <v>8</v>
      </c>
      <c r="AL391"/>
      <c r="AM391"/>
      <c r="AN391"/>
      <c r="AO391"/>
      <c r="AP391"/>
      <c r="AQ391" s="32" t="s">
        <v>1108</v>
      </c>
      <c r="AU391">
        <v>387</v>
      </c>
    </row>
    <row r="392" spans="1:47" x14ac:dyDescent="0.2">
      <c r="A392" s="37">
        <v>5762</v>
      </c>
      <c r="B392" s="38" t="s">
        <v>1122</v>
      </c>
      <c r="C392" s="39" t="s">
        <v>228</v>
      </c>
      <c r="D392" s="29"/>
      <c r="E392" s="38" t="s">
        <v>642</v>
      </c>
      <c r="F392" s="32" t="s">
        <v>61</v>
      </c>
      <c r="G392" s="47"/>
      <c r="H392"/>
      <c r="I392" s="32" t="s">
        <v>1123</v>
      </c>
      <c r="J392" s="47"/>
      <c r="K392" s="47"/>
      <c r="L392" s="48">
        <v>7</v>
      </c>
      <c r="M392" s="47"/>
      <c r="N392" s="47"/>
      <c r="O392" s="47"/>
      <c r="P392" s="47"/>
      <c r="Q392" s="47"/>
      <c r="R392" s="47"/>
      <c r="S392" s="48">
        <v>5</v>
      </c>
      <c r="T392" s="47"/>
      <c r="U392" s="47"/>
      <c r="V392" s="47"/>
      <c r="W392" s="47"/>
      <c r="X392" s="47"/>
      <c r="Y392" s="47"/>
      <c r="Z392" s="47"/>
      <c r="AA392" s="49"/>
      <c r="AB392" s="49"/>
      <c r="AC392" s="49"/>
      <c r="AD392" s="50"/>
      <c r="AE392" s="47" t="s">
        <v>283</v>
      </c>
      <c r="AF392" s="31">
        <v>140</v>
      </c>
      <c r="AG392"/>
      <c r="AH392"/>
      <c r="AI392"/>
      <c r="AJ392"/>
      <c r="AK392"/>
      <c r="AL392"/>
      <c r="AM392"/>
      <c r="AN392"/>
      <c r="AO392"/>
      <c r="AP392"/>
      <c r="AQ392" t="s">
        <v>233</v>
      </c>
      <c r="AU392">
        <v>388</v>
      </c>
    </row>
    <row r="393" spans="1:47" x14ac:dyDescent="0.2">
      <c r="A393" s="26">
        <v>5762</v>
      </c>
      <c r="B393" s="27">
        <v>0.58333333333333337</v>
      </c>
      <c r="C393" s="28"/>
      <c r="D393" s="29"/>
      <c r="E393" s="30" t="s">
        <v>653</v>
      </c>
      <c r="H393" s="32">
        <v>1</v>
      </c>
      <c r="I393" s="32" t="s">
        <v>654</v>
      </c>
      <c r="AI393" s="32">
        <v>0</v>
      </c>
      <c r="AK393" s="32">
        <v>4</v>
      </c>
      <c r="AO393" s="32" t="s">
        <v>655</v>
      </c>
      <c r="AQ393" s="32">
        <v>447</v>
      </c>
      <c r="AU393">
        <v>389</v>
      </c>
    </row>
    <row r="394" spans="1:47" x14ac:dyDescent="0.2">
      <c r="A394" s="26">
        <v>5762</v>
      </c>
      <c r="B394" s="27">
        <v>0.77083333333333337</v>
      </c>
      <c r="C394" s="28"/>
      <c r="D394" s="29"/>
      <c r="E394" s="30" t="s">
        <v>1124</v>
      </c>
      <c r="H394" s="32">
        <v>1</v>
      </c>
      <c r="I394" s="32" t="s">
        <v>1125</v>
      </c>
      <c r="AG394" s="32">
        <v>0</v>
      </c>
      <c r="AH394" s="32">
        <v>7</v>
      </c>
      <c r="AK394" s="32">
        <v>23</v>
      </c>
      <c r="AL394" s="32">
        <v>0.33300000000000002</v>
      </c>
      <c r="AO394" s="46" t="s">
        <v>1126</v>
      </c>
      <c r="AP394" s="32">
        <v>0.33300000000000002</v>
      </c>
      <c r="AQ394" s="32" t="s">
        <v>589</v>
      </c>
      <c r="AU394">
        <v>390</v>
      </c>
    </row>
    <row r="395" spans="1:47" x14ac:dyDescent="0.2">
      <c r="A395" s="37">
        <v>5763</v>
      </c>
      <c r="B395" s="38" t="s">
        <v>85</v>
      </c>
      <c r="C395" s="39" t="s">
        <v>142</v>
      </c>
      <c r="D395" s="29" t="s">
        <v>120</v>
      </c>
      <c r="E395" s="38" t="s">
        <v>881</v>
      </c>
      <c r="H395" s="32"/>
      <c r="I395" s="32" t="s">
        <v>1127</v>
      </c>
      <c r="L395" s="33">
        <v>20</v>
      </c>
      <c r="M395" s="31">
        <v>20</v>
      </c>
      <c r="Z395" s="31" t="s">
        <v>146</v>
      </c>
      <c r="AE395" s="47" t="s">
        <v>342</v>
      </c>
      <c r="AO395" s="46"/>
      <c r="AQ395" s="32" t="s">
        <v>1108</v>
      </c>
      <c r="AU395">
        <v>391</v>
      </c>
    </row>
    <row r="396" spans="1:47" x14ac:dyDescent="0.2">
      <c r="A396" s="37">
        <v>5764</v>
      </c>
      <c r="B396" s="38" t="s">
        <v>85</v>
      </c>
      <c r="C396" s="39" t="s">
        <v>142</v>
      </c>
      <c r="D396" s="29"/>
      <c r="E396" s="38" t="s">
        <v>1128</v>
      </c>
      <c r="F396" s="32" t="s">
        <v>595</v>
      </c>
      <c r="G396" s="47" t="s">
        <v>73</v>
      </c>
      <c r="H396"/>
      <c r="I396" s="96" t="s">
        <v>1129</v>
      </c>
      <c r="J396" s="104"/>
      <c r="K396" s="105">
        <f>(2*7.25+2*43+44*8+75*8)*2.2</f>
        <v>2315.5</v>
      </c>
      <c r="S396" s="33">
        <v>19</v>
      </c>
      <c r="Y396" s="31" t="s">
        <v>51</v>
      </c>
      <c r="Z396" s="31" t="s">
        <v>146</v>
      </c>
      <c r="AE396" s="47" t="s">
        <v>342</v>
      </c>
      <c r="AF396" s="31">
        <v>165</v>
      </c>
      <c r="AK396" s="32">
        <v>123</v>
      </c>
      <c r="AO396" s="46"/>
      <c r="AQ396" t="s">
        <v>1117</v>
      </c>
      <c r="AU396">
        <v>392</v>
      </c>
    </row>
    <row r="397" spans="1:47" x14ac:dyDescent="0.2">
      <c r="A397" s="37">
        <v>5764</v>
      </c>
      <c r="B397" s="38" t="s">
        <v>85</v>
      </c>
      <c r="C397" s="39" t="s">
        <v>1120</v>
      </c>
      <c r="D397" s="29"/>
      <c r="E397" s="38" t="s">
        <v>153</v>
      </c>
      <c r="F397" s="32" t="s">
        <v>1130</v>
      </c>
      <c r="G397" s="47" t="s">
        <v>73</v>
      </c>
      <c r="H397"/>
      <c r="I397" s="32" t="s">
        <v>1131</v>
      </c>
      <c r="K397" s="31">
        <f>(10*7.25+4*10)*2.2</f>
        <v>247.50000000000003</v>
      </c>
      <c r="S397" s="33">
        <v>1</v>
      </c>
      <c r="Y397" s="31" t="s">
        <v>51</v>
      </c>
      <c r="AK397" s="32">
        <v>10</v>
      </c>
      <c r="AO397" s="46"/>
      <c r="AQ397"/>
      <c r="AU397">
        <v>393</v>
      </c>
    </row>
    <row r="398" spans="1:47" x14ac:dyDescent="0.2">
      <c r="A398" s="37">
        <v>5766</v>
      </c>
      <c r="B398" s="38" t="s">
        <v>85</v>
      </c>
      <c r="C398" s="39" t="s">
        <v>142</v>
      </c>
      <c r="D398" s="29"/>
      <c r="E398" s="38" t="s">
        <v>1064</v>
      </c>
      <c r="F398" s="32" t="s">
        <v>662</v>
      </c>
      <c r="G398" s="47" t="s">
        <v>49</v>
      </c>
      <c r="H398"/>
      <c r="I398" s="32" t="s">
        <v>1132</v>
      </c>
      <c r="J398" s="47"/>
      <c r="K398" s="47">
        <f>(104*8+4*43)*2.2</f>
        <v>2208.8000000000002</v>
      </c>
      <c r="L398" s="48"/>
      <c r="M398" s="47"/>
      <c r="N398" s="47"/>
      <c r="O398" s="47"/>
      <c r="P398" s="47"/>
      <c r="Q398" s="47"/>
      <c r="R398" s="47"/>
      <c r="S398" s="48">
        <v>20</v>
      </c>
      <c r="T398" s="47">
        <v>0</v>
      </c>
      <c r="U398" s="47">
        <v>0</v>
      </c>
      <c r="V398" s="47">
        <v>0</v>
      </c>
      <c r="W398" s="47"/>
      <c r="X398" s="47"/>
      <c r="Y398" s="47" t="s">
        <v>120</v>
      </c>
      <c r="Z398" s="31" t="s">
        <v>146</v>
      </c>
      <c r="AA398" s="49"/>
      <c r="AB398" s="49"/>
      <c r="AC398" s="49"/>
      <c r="AD398" s="50"/>
      <c r="AE398" s="47" t="s">
        <v>342</v>
      </c>
      <c r="AF398" s="47">
        <v>165</v>
      </c>
      <c r="AG398"/>
      <c r="AH398"/>
      <c r="AI398"/>
      <c r="AJ398"/>
      <c r="AK398" s="32">
        <v>114</v>
      </c>
      <c r="AL398"/>
      <c r="AM398"/>
      <c r="AN398"/>
      <c r="AO398"/>
      <c r="AP398"/>
      <c r="AQ398" t="s">
        <v>1133</v>
      </c>
      <c r="AU398">
        <v>394</v>
      </c>
    </row>
    <row r="399" spans="1:47" x14ac:dyDescent="0.2">
      <c r="A399" s="37">
        <v>5766</v>
      </c>
      <c r="B399" s="38" t="s">
        <v>85</v>
      </c>
      <c r="C399" s="39" t="s">
        <v>346</v>
      </c>
      <c r="D399" s="29"/>
      <c r="E399" s="38" t="s">
        <v>1134</v>
      </c>
      <c r="F399" s="32" t="s">
        <v>340</v>
      </c>
      <c r="G399" s="47" t="s">
        <v>49</v>
      </c>
      <c r="H399"/>
      <c r="I399" s="32" t="s">
        <v>1135</v>
      </c>
      <c r="J399" s="47"/>
      <c r="K399" s="47">
        <f>(50*8+7*7.25)*2.2</f>
        <v>991.65000000000009</v>
      </c>
      <c r="L399" s="48">
        <v>13</v>
      </c>
      <c r="M399" s="47"/>
      <c r="N399" s="47">
        <v>2</v>
      </c>
      <c r="O399" s="47"/>
      <c r="P399" s="47"/>
      <c r="Q399" s="47"/>
      <c r="R399" s="47"/>
      <c r="S399" s="48">
        <v>11</v>
      </c>
      <c r="T399" s="47">
        <v>0</v>
      </c>
      <c r="U399" s="47">
        <v>0</v>
      </c>
      <c r="V399" s="47">
        <v>0</v>
      </c>
      <c r="W399" s="47"/>
      <c r="X399" s="47"/>
      <c r="Y399" s="47" t="s">
        <v>120</v>
      </c>
      <c r="Z399" s="47" t="s">
        <v>146</v>
      </c>
      <c r="AA399" s="49">
        <v>0.54722222222222217</v>
      </c>
      <c r="AB399" s="49">
        <v>0.64583333333333337</v>
      </c>
      <c r="AC399" s="49">
        <f>AVERAGE(AA399:AB399)</f>
        <v>0.59652777777777777</v>
      </c>
      <c r="AD399" s="50">
        <f>(AB399-AA399)*24</f>
        <v>2.3666666666666689</v>
      </c>
      <c r="AE399" s="47" t="s">
        <v>1044</v>
      </c>
      <c r="AF399" s="47">
        <v>40</v>
      </c>
      <c r="AG399"/>
      <c r="AH399"/>
      <c r="AI399"/>
      <c r="AJ399"/>
      <c r="AK399">
        <v>57</v>
      </c>
      <c r="AL399"/>
      <c r="AM399"/>
      <c r="AN399"/>
      <c r="AO399"/>
      <c r="AP399"/>
      <c r="AQ399" t="s">
        <v>1136</v>
      </c>
      <c r="AU399">
        <v>395</v>
      </c>
    </row>
    <row r="400" spans="1:47" x14ac:dyDescent="0.2">
      <c r="A400" s="37">
        <v>5768</v>
      </c>
      <c r="B400" s="38" t="s">
        <v>85</v>
      </c>
      <c r="C400" s="39" t="s">
        <v>142</v>
      </c>
      <c r="D400" s="29" t="s">
        <v>120</v>
      </c>
      <c r="E400" s="38" t="s">
        <v>881</v>
      </c>
      <c r="H400" s="32"/>
      <c r="I400" s="32" t="s">
        <v>1137</v>
      </c>
      <c r="J400" s="47"/>
      <c r="K400" s="47"/>
      <c r="L400" s="48"/>
      <c r="M400" s="47"/>
      <c r="N400" s="47"/>
      <c r="O400" s="47"/>
      <c r="P400" s="47"/>
      <c r="Q400" s="47"/>
      <c r="R400" s="47"/>
      <c r="S400" s="48"/>
      <c r="T400" s="47"/>
      <c r="U400" s="47"/>
      <c r="V400" s="47"/>
      <c r="W400" s="47"/>
      <c r="X400" s="47"/>
      <c r="Y400" s="47"/>
      <c r="Z400" s="31" t="s">
        <v>146</v>
      </c>
      <c r="AA400" s="49"/>
      <c r="AB400" s="49"/>
      <c r="AC400" s="49"/>
      <c r="AD400" s="50"/>
      <c r="AE400" s="47" t="s">
        <v>342</v>
      </c>
      <c r="AF400" s="47"/>
      <c r="AG400"/>
      <c r="AH400"/>
      <c r="AI400"/>
      <c r="AJ400"/>
      <c r="AK400"/>
      <c r="AL400"/>
      <c r="AM400"/>
      <c r="AN400"/>
      <c r="AO400"/>
      <c r="AP400"/>
      <c r="AQ400" t="s">
        <v>1138</v>
      </c>
      <c r="AU400">
        <v>396</v>
      </c>
    </row>
    <row r="401" spans="1:47" x14ac:dyDescent="0.2">
      <c r="A401" s="37">
        <v>5768</v>
      </c>
      <c r="B401" s="38" t="s">
        <v>85</v>
      </c>
      <c r="C401" s="39" t="s">
        <v>346</v>
      </c>
      <c r="D401" s="29"/>
      <c r="E401" s="38" t="s">
        <v>1139</v>
      </c>
      <c r="F401" s="32" t="s">
        <v>340</v>
      </c>
      <c r="G401" s="47" t="s">
        <v>49</v>
      </c>
      <c r="H401"/>
      <c r="I401" s="32" t="s">
        <v>1140</v>
      </c>
      <c r="J401" s="47"/>
      <c r="K401" s="47">
        <f>10*8*2.2</f>
        <v>176</v>
      </c>
      <c r="L401" s="48">
        <v>13</v>
      </c>
      <c r="M401" s="47">
        <v>11</v>
      </c>
      <c r="N401" s="47"/>
      <c r="O401" s="47"/>
      <c r="P401" s="47">
        <v>1</v>
      </c>
      <c r="Q401" s="47"/>
      <c r="R401" s="47"/>
      <c r="S401" s="48">
        <v>2</v>
      </c>
      <c r="T401" s="47">
        <v>0</v>
      </c>
      <c r="U401" s="47">
        <v>0</v>
      </c>
      <c r="V401" s="47">
        <v>0</v>
      </c>
      <c r="W401" s="47"/>
      <c r="X401" s="47"/>
      <c r="Y401" s="47" t="s">
        <v>120</v>
      </c>
      <c r="Z401" s="47" t="s">
        <v>146</v>
      </c>
      <c r="AA401" s="49">
        <v>0.56319444444444444</v>
      </c>
      <c r="AB401" s="49">
        <v>0.66111111111111109</v>
      </c>
      <c r="AC401" s="49">
        <f>AVERAGE(AA401:AB401)</f>
        <v>0.61215277777777777</v>
      </c>
      <c r="AD401" s="50">
        <f>(AB401-AA401)*24</f>
        <v>2.3499999999999996</v>
      </c>
      <c r="AE401" s="47" t="s">
        <v>1044</v>
      </c>
      <c r="AF401" s="47">
        <v>45</v>
      </c>
      <c r="AG401"/>
      <c r="AH401"/>
      <c r="AI401"/>
      <c r="AJ401"/>
      <c r="AK401">
        <v>10</v>
      </c>
      <c r="AL401"/>
      <c r="AM401"/>
      <c r="AN401"/>
      <c r="AO401"/>
      <c r="AP401"/>
      <c r="AQ401" t="s">
        <v>1141</v>
      </c>
      <c r="AU401">
        <v>397</v>
      </c>
    </row>
    <row r="402" spans="1:47" x14ac:dyDescent="0.2">
      <c r="A402" s="26">
        <v>5768</v>
      </c>
      <c r="B402" s="27">
        <v>0.48958333333333331</v>
      </c>
      <c r="C402" s="28"/>
      <c r="D402" s="29"/>
      <c r="E402" s="30" t="s">
        <v>1124</v>
      </c>
      <c r="H402" s="32">
        <v>1</v>
      </c>
      <c r="I402" s="32" t="s">
        <v>1142</v>
      </c>
      <c r="AG402" s="32">
        <v>0</v>
      </c>
      <c r="AH402" s="32">
        <v>0</v>
      </c>
      <c r="AK402" s="32">
        <v>21</v>
      </c>
      <c r="AL402" s="32">
        <v>0.33300000000000002</v>
      </c>
      <c r="AO402" s="46" t="s">
        <v>1126</v>
      </c>
      <c r="AP402" s="32">
        <v>0.33300000000000002</v>
      </c>
      <c r="AQ402" s="32" t="s">
        <v>589</v>
      </c>
      <c r="AU402">
        <v>398</v>
      </c>
    </row>
    <row r="403" spans="1:47" x14ac:dyDescent="0.2">
      <c r="A403" s="37">
        <v>5769</v>
      </c>
      <c r="B403" s="38"/>
      <c r="C403" s="39" t="s">
        <v>253</v>
      </c>
      <c r="D403" s="29"/>
      <c r="E403" s="38" t="s">
        <v>1006</v>
      </c>
      <c r="F403" s="32" t="s">
        <v>748</v>
      </c>
      <c r="G403" s="47"/>
      <c r="H403"/>
      <c r="I403" s="32" t="s">
        <v>1143</v>
      </c>
      <c r="J403" s="47"/>
      <c r="K403" s="47"/>
      <c r="L403" s="48"/>
      <c r="M403" s="47"/>
      <c r="N403" s="47"/>
      <c r="O403" s="47"/>
      <c r="P403" s="47"/>
      <c r="Q403" s="47"/>
      <c r="R403" s="47"/>
      <c r="S403" s="48"/>
      <c r="T403" s="47"/>
      <c r="U403" s="47"/>
      <c r="V403" s="47"/>
      <c r="W403" s="47"/>
      <c r="X403" s="47"/>
      <c r="Y403" s="47"/>
      <c r="Z403" s="47"/>
      <c r="AA403" s="49"/>
      <c r="AB403" s="49"/>
      <c r="AC403" s="49"/>
      <c r="AD403" s="50"/>
      <c r="AE403" s="47"/>
      <c r="AF403" s="47"/>
      <c r="AG403"/>
      <c r="AH403"/>
      <c r="AI403"/>
      <c r="AJ403"/>
      <c r="AK403"/>
      <c r="AL403"/>
      <c r="AM403"/>
      <c r="AN403"/>
      <c r="AO403"/>
      <c r="AP403"/>
      <c r="AQ403"/>
      <c r="AU403">
        <v>399</v>
      </c>
    </row>
    <row r="404" spans="1:47" x14ac:dyDescent="0.2">
      <c r="A404" s="26">
        <v>5769</v>
      </c>
      <c r="B404" s="27">
        <v>0.44097222222222227</v>
      </c>
      <c r="C404" s="28"/>
      <c r="D404" s="29"/>
      <c r="E404" s="30" t="s">
        <v>1144</v>
      </c>
      <c r="H404" s="32">
        <v>1</v>
      </c>
      <c r="I404" s="32" t="s">
        <v>1145</v>
      </c>
      <c r="AG404" s="32">
        <v>0</v>
      </c>
      <c r="AH404" s="32">
        <v>0</v>
      </c>
      <c r="AI404" s="32">
        <v>0</v>
      </c>
      <c r="AK404" s="32">
        <v>7</v>
      </c>
      <c r="AL404" s="32">
        <f>25/60</f>
        <v>0.41666666666666669</v>
      </c>
      <c r="AO404" s="32" t="s">
        <v>1006</v>
      </c>
      <c r="AP404" s="32">
        <f>25/60</f>
        <v>0.41666666666666669</v>
      </c>
      <c r="AQ404" s="32">
        <v>420</v>
      </c>
      <c r="AU404">
        <v>400</v>
      </c>
    </row>
    <row r="405" spans="1:47" x14ac:dyDescent="0.2">
      <c r="A405" s="37">
        <v>5787</v>
      </c>
      <c r="B405" s="38" t="s">
        <v>85</v>
      </c>
      <c r="C405" s="39" t="s">
        <v>1146</v>
      </c>
      <c r="D405" s="29"/>
      <c r="E405" s="38" t="s">
        <v>801</v>
      </c>
      <c r="F405" s="52" t="s">
        <v>1147</v>
      </c>
      <c r="G405" s="47" t="s">
        <v>627</v>
      </c>
      <c r="H405"/>
      <c r="I405" s="32" t="s">
        <v>1148</v>
      </c>
      <c r="J405" s="47"/>
      <c r="K405" s="47">
        <f>(32*3+8*43+16*8)*2.2</f>
        <v>1249.6000000000001</v>
      </c>
      <c r="L405" s="48">
        <v>11</v>
      </c>
      <c r="M405" s="47"/>
      <c r="N405" s="47"/>
      <c r="O405" s="47"/>
      <c r="P405" s="47"/>
      <c r="Q405" s="47"/>
      <c r="R405" s="47"/>
      <c r="S405" s="48">
        <v>11</v>
      </c>
      <c r="T405" s="47">
        <v>2</v>
      </c>
      <c r="U405" s="47"/>
      <c r="V405" s="47"/>
      <c r="W405" s="47">
        <f>2000*39.37/12</f>
        <v>6561.666666666667</v>
      </c>
      <c r="X405" s="47"/>
      <c r="Y405" s="47"/>
      <c r="Z405" s="47" t="s">
        <v>1149</v>
      </c>
      <c r="AA405" s="49">
        <v>0.48958333333333331</v>
      </c>
      <c r="AB405" s="49">
        <v>0.54861111111111105</v>
      </c>
      <c r="AC405" s="49">
        <f>AVERAGE(AA405:AB405)</f>
        <v>0.51909722222222221</v>
      </c>
      <c r="AD405" s="50">
        <f>(AB405-AA405)*24</f>
        <v>1.4166666666666656</v>
      </c>
      <c r="AE405" s="71" t="s">
        <v>132</v>
      </c>
      <c r="AF405" s="47">
        <v>35</v>
      </c>
      <c r="AG405"/>
      <c r="AH405"/>
      <c r="AI405"/>
      <c r="AJ405"/>
      <c r="AK405" s="32">
        <v>56</v>
      </c>
      <c r="AL405"/>
      <c r="AM405"/>
      <c r="AN405"/>
      <c r="AO405"/>
      <c r="AP405"/>
      <c r="AQ405" s="32" t="s">
        <v>1150</v>
      </c>
      <c r="AU405">
        <v>401</v>
      </c>
    </row>
    <row r="406" spans="1:47" x14ac:dyDescent="0.2">
      <c r="A406" s="37">
        <v>5811</v>
      </c>
      <c r="B406" s="38" t="s">
        <v>85</v>
      </c>
      <c r="C406" s="39" t="s">
        <v>1146</v>
      </c>
      <c r="D406" s="29"/>
      <c r="E406" s="38" t="s">
        <v>528</v>
      </c>
      <c r="F406" s="32" t="s">
        <v>1151</v>
      </c>
      <c r="G406" s="47" t="s">
        <v>205</v>
      </c>
      <c r="H406"/>
      <c r="I406" s="32" t="s">
        <v>1152</v>
      </c>
      <c r="J406" s="47"/>
      <c r="K406" s="47">
        <f>(8*43+20*8)*2.2</f>
        <v>1108.8000000000002</v>
      </c>
      <c r="L406" s="48">
        <v>7</v>
      </c>
      <c r="M406" s="47"/>
      <c r="N406" s="47">
        <v>3</v>
      </c>
      <c r="O406" s="47"/>
      <c r="P406" s="47"/>
      <c r="Q406" s="47"/>
      <c r="R406" s="47"/>
      <c r="S406" s="48">
        <v>4</v>
      </c>
      <c r="T406" s="47">
        <v>0</v>
      </c>
      <c r="U406" s="47">
        <v>0</v>
      </c>
      <c r="V406" s="47">
        <v>0</v>
      </c>
      <c r="W406" s="47">
        <f>2000*39.37/12</f>
        <v>6561.666666666667</v>
      </c>
      <c r="X406" s="47"/>
      <c r="Y406" s="47"/>
      <c r="Z406" s="47" t="s">
        <v>675</v>
      </c>
      <c r="AA406" s="49">
        <v>0.47569444444444442</v>
      </c>
      <c r="AB406" s="49">
        <v>0.55555555555555558</v>
      </c>
      <c r="AC406" s="49">
        <f>AVERAGE(AA406:AB406)</f>
        <v>0.515625</v>
      </c>
      <c r="AD406" s="50">
        <f>(AB406-AA406)*24</f>
        <v>1.9166666666666679</v>
      </c>
      <c r="AE406" s="71" t="s">
        <v>132</v>
      </c>
      <c r="AF406" s="47">
        <v>45</v>
      </c>
      <c r="AG406"/>
      <c r="AH406"/>
      <c r="AI406"/>
      <c r="AJ406"/>
      <c r="AK406" s="32">
        <v>28</v>
      </c>
      <c r="AL406"/>
      <c r="AM406"/>
      <c r="AN406"/>
      <c r="AO406"/>
      <c r="AP406"/>
      <c r="AQ406" s="32" t="s">
        <v>1153</v>
      </c>
      <c r="AU406">
        <v>402</v>
      </c>
    </row>
    <row r="407" spans="1:47" x14ac:dyDescent="0.2">
      <c r="A407" s="37">
        <v>5827</v>
      </c>
      <c r="B407" s="38" t="s">
        <v>85</v>
      </c>
      <c r="C407" s="39" t="s">
        <v>142</v>
      </c>
      <c r="D407" s="29"/>
      <c r="E407" s="38" t="s">
        <v>1154</v>
      </c>
      <c r="F407" s="32" t="s">
        <v>1155</v>
      </c>
      <c r="G407" s="47" t="s">
        <v>69</v>
      </c>
      <c r="H407"/>
      <c r="I407" s="96" t="s">
        <v>1156</v>
      </c>
      <c r="J407" s="97"/>
      <c r="K407" s="97">
        <f>(28*7.25+96*8+3*16+1*43)*2.2</f>
        <v>2336.4</v>
      </c>
      <c r="L407" s="48">
        <v>24</v>
      </c>
      <c r="M407" s="47"/>
      <c r="N407" s="47">
        <v>6</v>
      </c>
      <c r="O407" s="47"/>
      <c r="P407" s="47"/>
      <c r="Q407" s="47"/>
      <c r="R407" s="47"/>
      <c r="S407" s="48">
        <v>18</v>
      </c>
      <c r="T407" s="47">
        <v>0</v>
      </c>
      <c r="U407" s="47">
        <v>0</v>
      </c>
      <c r="V407" s="47">
        <v>0</v>
      </c>
      <c r="W407" s="47"/>
      <c r="X407" s="47"/>
      <c r="Y407" s="47" t="s">
        <v>51</v>
      </c>
      <c r="Z407" s="31" t="s">
        <v>146</v>
      </c>
      <c r="AA407" s="49">
        <v>0.45833333333333331</v>
      </c>
      <c r="AB407" s="49"/>
      <c r="AC407" s="49"/>
      <c r="AD407" s="50"/>
      <c r="AE407" s="47" t="s">
        <v>342</v>
      </c>
      <c r="AF407" s="47">
        <v>20</v>
      </c>
      <c r="AG407"/>
      <c r="AH407"/>
      <c r="AI407"/>
      <c r="AJ407"/>
      <c r="AK407" s="32">
        <v>128</v>
      </c>
      <c r="AL407"/>
      <c r="AM407"/>
      <c r="AN407"/>
      <c r="AO407"/>
      <c r="AP407"/>
      <c r="AQ407" t="s">
        <v>1157</v>
      </c>
      <c r="AU407">
        <v>403</v>
      </c>
    </row>
    <row r="408" spans="1:47" x14ac:dyDescent="0.2">
      <c r="A408" s="37">
        <v>5827</v>
      </c>
      <c r="B408" s="38" t="s">
        <v>85</v>
      </c>
      <c r="C408" s="39" t="s">
        <v>346</v>
      </c>
      <c r="D408" s="29"/>
      <c r="E408" s="38" t="s">
        <v>1158</v>
      </c>
      <c r="F408" s="32" t="s">
        <v>1159</v>
      </c>
      <c r="G408" s="47" t="s">
        <v>69</v>
      </c>
      <c r="H408"/>
      <c r="I408" s="32" t="s">
        <v>1160</v>
      </c>
      <c r="J408" s="47"/>
      <c r="K408" s="47">
        <f>51*8*2.2</f>
        <v>897.6</v>
      </c>
      <c r="L408" s="48">
        <v>14</v>
      </c>
      <c r="M408" s="47"/>
      <c r="N408" s="47">
        <v>5</v>
      </c>
      <c r="O408" s="47"/>
      <c r="P408" s="47"/>
      <c r="Q408" s="47"/>
      <c r="R408" s="47">
        <v>2</v>
      </c>
      <c r="S408" s="48">
        <v>9</v>
      </c>
      <c r="T408" s="47">
        <v>0</v>
      </c>
      <c r="U408" s="47">
        <v>0</v>
      </c>
      <c r="V408" s="47">
        <v>0</v>
      </c>
      <c r="W408" s="47"/>
      <c r="X408" s="47"/>
      <c r="Y408" s="47" t="s">
        <v>120</v>
      </c>
      <c r="Z408" s="47" t="s">
        <v>146</v>
      </c>
      <c r="AA408" s="49"/>
      <c r="AB408" s="49"/>
      <c r="AC408" s="49"/>
      <c r="AD408" s="50"/>
      <c r="AE408" s="31" t="s">
        <v>342</v>
      </c>
      <c r="AF408" s="47">
        <v>20</v>
      </c>
      <c r="AG408"/>
      <c r="AH408"/>
      <c r="AI408"/>
      <c r="AJ408"/>
      <c r="AK408">
        <v>51</v>
      </c>
      <c r="AL408"/>
      <c r="AM408"/>
      <c r="AN408"/>
      <c r="AO408"/>
      <c r="AP408"/>
      <c r="AQ408" t="s">
        <v>1161</v>
      </c>
      <c r="AU408">
        <v>404</v>
      </c>
    </row>
    <row r="409" spans="1:47" x14ac:dyDescent="0.2">
      <c r="A409" s="37">
        <v>5827</v>
      </c>
      <c r="B409" s="38" t="s">
        <v>85</v>
      </c>
      <c r="C409" s="39" t="s">
        <v>1162</v>
      </c>
      <c r="D409" s="29"/>
      <c r="E409" s="38" t="s">
        <v>894</v>
      </c>
      <c r="F409" s="32" t="s">
        <v>150</v>
      </c>
      <c r="G409" s="47" t="s">
        <v>49</v>
      </c>
      <c r="H409"/>
      <c r="I409" s="32" t="s">
        <v>1163</v>
      </c>
      <c r="J409" s="47"/>
      <c r="K409" s="47">
        <f>(8*43+15*8)*2.2</f>
        <v>1020.8000000000001</v>
      </c>
      <c r="L409" s="48">
        <v>10</v>
      </c>
      <c r="M409" s="47"/>
      <c r="N409" s="47"/>
      <c r="O409" s="47"/>
      <c r="P409" s="47"/>
      <c r="Q409" s="47"/>
      <c r="R409" s="47"/>
      <c r="S409" s="48">
        <v>10</v>
      </c>
      <c r="T409" s="47">
        <v>2</v>
      </c>
      <c r="U409" s="47">
        <v>0</v>
      </c>
      <c r="V409" s="47">
        <v>1</v>
      </c>
      <c r="W409" s="47"/>
      <c r="X409" s="47"/>
      <c r="Y409" s="47" t="s">
        <v>120</v>
      </c>
      <c r="Z409" s="47" t="s">
        <v>1164</v>
      </c>
      <c r="AA409" s="49">
        <v>0.45833333333333331</v>
      </c>
      <c r="AB409" s="49">
        <v>0.54513888888888895</v>
      </c>
      <c r="AC409" s="49">
        <f>AVERAGE(AA409:AB409)</f>
        <v>0.50173611111111116</v>
      </c>
      <c r="AD409" s="50">
        <f>(AB409-AA409)*24</f>
        <v>2.0833333333333353</v>
      </c>
      <c r="AE409" s="71" t="s">
        <v>132</v>
      </c>
      <c r="AF409" s="47">
        <v>55</v>
      </c>
      <c r="AG409"/>
      <c r="AH409"/>
      <c r="AI409"/>
      <c r="AJ409"/>
      <c r="AK409">
        <v>23</v>
      </c>
      <c r="AL409"/>
      <c r="AM409"/>
      <c r="AN409"/>
      <c r="AO409"/>
      <c r="AP409"/>
      <c r="AQ409" t="s">
        <v>1165</v>
      </c>
      <c r="AU409">
        <v>405</v>
      </c>
    </row>
    <row r="410" spans="1:47" x14ac:dyDescent="0.2">
      <c r="A410" s="37">
        <v>5828</v>
      </c>
      <c r="B410" s="38" t="s">
        <v>85</v>
      </c>
      <c r="C410" s="39" t="s">
        <v>1162</v>
      </c>
      <c r="D410" s="29"/>
      <c r="E410" s="38" t="s">
        <v>528</v>
      </c>
      <c r="F410" s="32" t="s">
        <v>529</v>
      </c>
      <c r="G410" s="47" t="s">
        <v>205</v>
      </c>
      <c r="H410"/>
      <c r="I410" s="32" t="s">
        <v>1166</v>
      </c>
      <c r="J410" s="47"/>
      <c r="K410" s="47">
        <f>(6*43+20*8+5*10)*2.2</f>
        <v>1029.6000000000001</v>
      </c>
      <c r="L410" s="48">
        <v>9</v>
      </c>
      <c r="M410" s="47"/>
      <c r="N410" s="47"/>
      <c r="O410" s="47"/>
      <c r="P410" s="47"/>
      <c r="Q410" s="47"/>
      <c r="R410" s="47"/>
      <c r="S410" s="48">
        <v>9</v>
      </c>
      <c r="T410" s="47">
        <v>0</v>
      </c>
      <c r="U410" s="47">
        <v>0</v>
      </c>
      <c r="V410" s="47">
        <v>0</v>
      </c>
      <c r="W410" s="47"/>
      <c r="X410" s="47"/>
      <c r="Y410" s="47" t="s">
        <v>120</v>
      </c>
      <c r="Z410" s="47" t="s">
        <v>1164</v>
      </c>
      <c r="AA410" s="49">
        <v>0.42708333333333331</v>
      </c>
      <c r="AB410" s="49">
        <v>0.49652777777777773</v>
      </c>
      <c r="AC410" s="49">
        <f>AVERAGE(AA410:AB410)</f>
        <v>0.46180555555555552</v>
      </c>
      <c r="AD410" s="50">
        <f>(AB410-AA410)*24</f>
        <v>1.6666666666666661</v>
      </c>
      <c r="AE410" s="71" t="s">
        <v>132</v>
      </c>
      <c r="AF410" s="47">
        <v>45</v>
      </c>
      <c r="AG410"/>
      <c r="AH410"/>
      <c r="AI410"/>
      <c r="AJ410"/>
      <c r="AK410">
        <v>31</v>
      </c>
      <c r="AL410"/>
      <c r="AM410"/>
      <c r="AN410"/>
      <c r="AO410"/>
      <c r="AP410"/>
      <c r="AQ410" t="s">
        <v>1167</v>
      </c>
      <c r="AU410">
        <v>406</v>
      </c>
    </row>
    <row r="411" spans="1:47" x14ac:dyDescent="0.2">
      <c r="A411" s="37">
        <v>5829</v>
      </c>
      <c r="B411" s="38" t="s">
        <v>45</v>
      </c>
      <c r="C411" s="39" t="s">
        <v>425</v>
      </c>
      <c r="D411" s="29"/>
      <c r="E411" s="38" t="s">
        <v>1168</v>
      </c>
      <c r="F411" s="32" t="s">
        <v>150</v>
      </c>
      <c r="G411" s="47" t="s">
        <v>49</v>
      </c>
      <c r="H411"/>
      <c r="I411" s="32" t="s">
        <v>1169</v>
      </c>
      <c r="J411" s="47"/>
      <c r="K411" s="47">
        <f>(15*8+1*43)*2.2</f>
        <v>358.6</v>
      </c>
      <c r="L411" s="48">
        <v>2</v>
      </c>
      <c r="M411" s="47"/>
      <c r="N411" s="47"/>
      <c r="O411" s="47"/>
      <c r="P411" s="47"/>
      <c r="Q411" s="47"/>
      <c r="R411" s="47"/>
      <c r="S411" s="48">
        <v>2</v>
      </c>
      <c r="T411" s="47">
        <v>0</v>
      </c>
      <c r="U411" s="47">
        <v>0</v>
      </c>
      <c r="V411" s="47">
        <v>0</v>
      </c>
      <c r="W411" s="47"/>
      <c r="X411" s="47"/>
      <c r="Y411" s="47" t="s">
        <v>51</v>
      </c>
      <c r="Z411" s="47" t="s">
        <v>146</v>
      </c>
      <c r="AA411" s="49">
        <v>0.875</v>
      </c>
      <c r="AB411" s="49"/>
      <c r="AC411" s="49"/>
      <c r="AD411" s="50"/>
      <c r="AE411" s="47" t="s">
        <v>342</v>
      </c>
      <c r="AF411" s="47">
        <v>40</v>
      </c>
      <c r="AG411"/>
      <c r="AH411"/>
      <c r="AI411"/>
      <c r="AJ411"/>
      <c r="AK411">
        <v>16</v>
      </c>
      <c r="AL411"/>
      <c r="AM411"/>
      <c r="AN411"/>
      <c r="AO411"/>
      <c r="AP411"/>
      <c r="AQ411" s="32" t="s">
        <v>1170</v>
      </c>
      <c r="AU411">
        <v>407</v>
      </c>
    </row>
    <row r="412" spans="1:47" x14ac:dyDescent="0.2">
      <c r="A412" s="26">
        <v>5829</v>
      </c>
      <c r="B412" s="27">
        <v>0.95833333333333337</v>
      </c>
      <c r="C412" s="28"/>
      <c r="D412" s="29"/>
      <c r="E412" s="30" t="s">
        <v>1124</v>
      </c>
      <c r="H412" s="32">
        <v>1</v>
      </c>
      <c r="I412" s="32"/>
      <c r="AG412" s="32">
        <v>1</v>
      </c>
      <c r="AH412" s="32">
        <v>6</v>
      </c>
      <c r="AK412" s="32">
        <v>7</v>
      </c>
      <c r="AL412" s="32">
        <v>0.5</v>
      </c>
      <c r="AO412" s="46" t="s">
        <v>1126</v>
      </c>
      <c r="AP412" s="32">
        <v>0.5</v>
      </c>
      <c r="AQ412" s="32" t="s">
        <v>589</v>
      </c>
      <c r="AU412">
        <v>408</v>
      </c>
    </row>
    <row r="413" spans="1:47" x14ac:dyDescent="0.2">
      <c r="A413" s="37">
        <v>5830</v>
      </c>
      <c r="B413" s="38" t="s">
        <v>45</v>
      </c>
      <c r="C413" s="39" t="s">
        <v>425</v>
      </c>
      <c r="D413" s="29"/>
      <c r="E413" s="38" t="s">
        <v>1104</v>
      </c>
      <c r="F413" s="32" t="s">
        <v>150</v>
      </c>
      <c r="G413" s="47" t="s">
        <v>49</v>
      </c>
      <c r="H413"/>
      <c r="I413" s="32" t="s">
        <v>1171</v>
      </c>
      <c r="J413" s="47"/>
      <c r="K413" s="47">
        <f>(35*8+1*43)*2.2</f>
        <v>710.6</v>
      </c>
      <c r="L413" s="48">
        <v>4</v>
      </c>
      <c r="M413" s="47"/>
      <c r="N413" s="47"/>
      <c r="O413" s="47"/>
      <c r="P413" s="47"/>
      <c r="Q413" s="47"/>
      <c r="R413" s="47"/>
      <c r="S413" s="48">
        <v>4</v>
      </c>
      <c r="T413" s="47">
        <v>0</v>
      </c>
      <c r="U413" s="47">
        <v>0</v>
      </c>
      <c r="V413" s="47">
        <v>0</v>
      </c>
      <c r="W413" s="47"/>
      <c r="X413" s="47"/>
      <c r="Y413" s="47" t="s">
        <v>51</v>
      </c>
      <c r="Z413" s="47" t="s">
        <v>146</v>
      </c>
      <c r="AA413" s="49">
        <v>0.91666666666666663</v>
      </c>
      <c r="AB413" s="49">
        <v>1.03125</v>
      </c>
      <c r="AC413" s="49">
        <f>AVERAGE(AA413:AB413)</f>
        <v>0.97395833333333326</v>
      </c>
      <c r="AD413" s="50">
        <f>(AB413-AA413)*24</f>
        <v>2.7500000000000009</v>
      </c>
      <c r="AE413" s="47" t="s">
        <v>342</v>
      </c>
      <c r="AF413" s="47">
        <v>40</v>
      </c>
      <c r="AG413"/>
      <c r="AH413"/>
      <c r="AI413"/>
      <c r="AJ413"/>
      <c r="AK413" s="32">
        <v>36</v>
      </c>
      <c r="AL413"/>
      <c r="AM413"/>
      <c r="AN413"/>
      <c r="AO413"/>
      <c r="AP413"/>
      <c r="AQ413" s="32" t="s">
        <v>1172</v>
      </c>
      <c r="AU413">
        <v>409</v>
      </c>
    </row>
    <row r="414" spans="1:47" x14ac:dyDescent="0.2">
      <c r="A414" s="26">
        <v>5830</v>
      </c>
      <c r="B414" s="27">
        <v>6.9444444444444441E-3</v>
      </c>
      <c r="C414" s="28"/>
      <c r="D414" s="29"/>
      <c r="E414" s="30" t="s">
        <v>1124</v>
      </c>
      <c r="H414" s="32">
        <v>1</v>
      </c>
      <c r="I414" s="32"/>
      <c r="AG414" s="32">
        <v>0</v>
      </c>
      <c r="AH414" s="32">
        <v>1</v>
      </c>
      <c r="AK414" s="32">
        <v>8</v>
      </c>
      <c r="AL414" s="32">
        <v>1.25</v>
      </c>
      <c r="AO414" s="46" t="s">
        <v>1126</v>
      </c>
      <c r="AP414" s="32">
        <v>1.25</v>
      </c>
      <c r="AQ414" s="32" t="s">
        <v>589</v>
      </c>
      <c r="AU414">
        <v>410</v>
      </c>
    </row>
    <row r="415" spans="1:47" x14ac:dyDescent="0.2">
      <c r="A415" s="37">
        <v>5831</v>
      </c>
      <c r="B415" s="38" t="s">
        <v>45</v>
      </c>
      <c r="C415" s="39" t="s">
        <v>425</v>
      </c>
      <c r="D415" s="29"/>
      <c r="E415" s="38" t="s">
        <v>1104</v>
      </c>
      <c r="F415" s="32" t="s">
        <v>150</v>
      </c>
      <c r="G415" s="47" t="s">
        <v>49</v>
      </c>
      <c r="H415"/>
      <c r="I415" s="32" t="s">
        <v>1173</v>
      </c>
      <c r="K415" s="31">
        <f>(46*8+2*43)*2.2</f>
        <v>998.80000000000007</v>
      </c>
      <c r="L415" s="33">
        <v>8</v>
      </c>
      <c r="N415" s="31">
        <v>1</v>
      </c>
      <c r="S415" s="33">
        <v>7</v>
      </c>
      <c r="T415" s="31">
        <v>0</v>
      </c>
      <c r="U415" s="31">
        <v>1</v>
      </c>
      <c r="V415" s="31">
        <v>0</v>
      </c>
      <c r="Y415" s="31" t="s">
        <v>51</v>
      </c>
      <c r="Z415" s="47" t="s">
        <v>146</v>
      </c>
      <c r="AA415" s="34">
        <v>0.8520833333333333</v>
      </c>
      <c r="AE415" s="47" t="s">
        <v>342</v>
      </c>
      <c r="AF415" s="47">
        <v>40</v>
      </c>
      <c r="AK415" s="32">
        <v>48</v>
      </c>
      <c r="AO415" s="46"/>
      <c r="AQ415" s="32" t="s">
        <v>1174</v>
      </c>
      <c r="AU415">
        <v>411</v>
      </c>
    </row>
    <row r="416" spans="1:47" x14ac:dyDescent="0.2">
      <c r="A416" s="26">
        <v>5831</v>
      </c>
      <c r="B416" s="27">
        <v>0.9375</v>
      </c>
      <c r="C416" s="28"/>
      <c r="D416" s="29"/>
      <c r="E416" s="30" t="s">
        <v>1124</v>
      </c>
      <c r="H416" s="32">
        <v>1</v>
      </c>
      <c r="I416" s="32"/>
      <c r="AG416" s="32">
        <v>0</v>
      </c>
      <c r="AH416" s="32">
        <v>1</v>
      </c>
      <c r="AK416" s="32">
        <v>15</v>
      </c>
      <c r="AL416" s="32">
        <v>1.333</v>
      </c>
      <c r="AO416" s="46" t="s">
        <v>1126</v>
      </c>
      <c r="AP416" s="32">
        <v>1.333</v>
      </c>
      <c r="AQ416" s="32" t="s">
        <v>589</v>
      </c>
      <c r="AU416">
        <v>412</v>
      </c>
    </row>
    <row r="417" spans="1:47" x14ac:dyDescent="0.2">
      <c r="A417" s="37">
        <v>5832</v>
      </c>
      <c r="B417" s="38" t="s">
        <v>45</v>
      </c>
      <c r="C417" s="39" t="s">
        <v>253</v>
      </c>
      <c r="D417" s="29"/>
      <c r="E417" s="38" t="s">
        <v>1104</v>
      </c>
      <c r="F417" s="32" t="s">
        <v>150</v>
      </c>
      <c r="G417" s="47"/>
      <c r="H417"/>
      <c r="I417" s="32"/>
      <c r="J417" s="47"/>
      <c r="K417" s="47"/>
      <c r="L417" s="48"/>
      <c r="M417" s="47"/>
      <c r="N417" s="47"/>
      <c r="O417" s="47"/>
      <c r="P417" s="47"/>
      <c r="Q417" s="47"/>
      <c r="R417" s="47"/>
      <c r="S417" s="48"/>
      <c r="T417" s="47"/>
      <c r="U417" s="47"/>
      <c r="V417" s="47"/>
      <c r="W417" s="47"/>
      <c r="X417" s="47"/>
      <c r="Y417" s="47"/>
      <c r="Z417" s="47"/>
      <c r="AA417" s="49"/>
      <c r="AB417" s="49"/>
      <c r="AC417" s="49"/>
      <c r="AD417" s="50"/>
      <c r="AE417" s="47"/>
      <c r="AF417" s="47"/>
      <c r="AG417"/>
      <c r="AH417"/>
      <c r="AI417"/>
      <c r="AJ417"/>
      <c r="AK417"/>
      <c r="AL417"/>
      <c r="AM417"/>
      <c r="AN417"/>
      <c r="AO417"/>
      <c r="AP417"/>
      <c r="AQ417" t="s">
        <v>1175</v>
      </c>
      <c r="AU417">
        <v>413</v>
      </c>
    </row>
    <row r="418" spans="1:47" x14ac:dyDescent="0.2">
      <c r="A418" s="37">
        <v>5833</v>
      </c>
      <c r="B418" s="38" t="s">
        <v>85</v>
      </c>
      <c r="C418" s="39" t="s">
        <v>1162</v>
      </c>
      <c r="D418" s="29"/>
      <c r="E418" s="38" t="s">
        <v>1176</v>
      </c>
      <c r="F418" s="32" t="s">
        <v>1177</v>
      </c>
      <c r="G418" s="47"/>
      <c r="H418"/>
      <c r="I418" s="32" t="s">
        <v>1178</v>
      </c>
      <c r="J418" s="47"/>
      <c r="K418" s="47">
        <f>(6*43+20*8)*2.2</f>
        <v>919.6</v>
      </c>
      <c r="L418" s="48">
        <v>12</v>
      </c>
      <c r="M418" s="47"/>
      <c r="N418" s="47">
        <v>1</v>
      </c>
      <c r="O418" s="47"/>
      <c r="P418" s="47">
        <v>9</v>
      </c>
      <c r="Q418" s="47"/>
      <c r="R418" s="47"/>
      <c r="S418" s="48">
        <v>9</v>
      </c>
      <c r="T418" s="47">
        <v>0</v>
      </c>
      <c r="U418" s="47">
        <v>0</v>
      </c>
      <c r="V418" s="47">
        <v>0</v>
      </c>
      <c r="W418" s="47"/>
      <c r="X418" s="47"/>
      <c r="Y418" s="47" t="s">
        <v>51</v>
      </c>
      <c r="Z418" s="47" t="s">
        <v>1164</v>
      </c>
      <c r="AA418" s="49">
        <v>0.4375</v>
      </c>
      <c r="AB418" s="49">
        <v>0.53819444444444442</v>
      </c>
      <c r="AC418" s="49">
        <f>AVERAGE(AA418:AB418)</f>
        <v>0.48784722222222221</v>
      </c>
      <c r="AD418" s="50">
        <f>(AB418-AA418)*24</f>
        <v>2.4166666666666661</v>
      </c>
      <c r="AE418" s="71" t="s">
        <v>132</v>
      </c>
      <c r="AF418" s="47">
        <v>35</v>
      </c>
      <c r="AG418"/>
      <c r="AH418"/>
      <c r="AI418"/>
      <c r="AJ418"/>
      <c r="AK418">
        <v>26</v>
      </c>
      <c r="AL418"/>
      <c r="AM418"/>
      <c r="AN418"/>
      <c r="AO418"/>
      <c r="AP418"/>
      <c r="AQ418" t="s">
        <v>1179</v>
      </c>
      <c r="AU418">
        <v>414</v>
      </c>
    </row>
    <row r="419" spans="1:47" x14ac:dyDescent="0.2">
      <c r="A419" s="37">
        <v>5833</v>
      </c>
      <c r="B419" s="38" t="s">
        <v>45</v>
      </c>
      <c r="C419" s="39" t="s">
        <v>253</v>
      </c>
      <c r="D419" s="29"/>
      <c r="E419" s="38" t="s">
        <v>881</v>
      </c>
      <c r="F419" s="32" t="s">
        <v>107</v>
      </c>
      <c r="G419" s="47"/>
      <c r="H419"/>
      <c r="I419" s="32" t="s">
        <v>1180</v>
      </c>
      <c r="J419" s="47"/>
      <c r="K419" s="47"/>
      <c r="L419" s="48"/>
      <c r="M419" s="47"/>
      <c r="N419" s="47"/>
      <c r="O419" s="47"/>
      <c r="P419" s="47"/>
      <c r="Q419" s="47"/>
      <c r="R419" s="47"/>
      <c r="S419" s="48"/>
      <c r="T419" s="47"/>
      <c r="U419" s="47"/>
      <c r="V419" s="47"/>
      <c r="W419" s="47"/>
      <c r="X419" s="47"/>
      <c r="Y419" s="47"/>
      <c r="Z419" s="47"/>
      <c r="AA419" s="49"/>
      <c r="AB419" s="49"/>
      <c r="AC419" s="49"/>
      <c r="AD419" s="50"/>
      <c r="AE419" s="47"/>
      <c r="AF419" s="47"/>
      <c r="AG419"/>
      <c r="AH419"/>
      <c r="AI419"/>
      <c r="AJ419"/>
      <c r="AK419"/>
      <c r="AL419"/>
      <c r="AM419"/>
      <c r="AN419"/>
      <c r="AO419"/>
      <c r="AP419"/>
      <c r="AQ419" t="s">
        <v>1175</v>
      </c>
      <c r="AU419">
        <v>415</v>
      </c>
    </row>
    <row r="420" spans="1:47" x14ac:dyDescent="0.2">
      <c r="A420" s="37">
        <v>5843</v>
      </c>
      <c r="B420" s="38" t="s">
        <v>85</v>
      </c>
      <c r="C420" s="39" t="s">
        <v>228</v>
      </c>
      <c r="D420" s="29"/>
      <c r="E420" s="38" t="s">
        <v>1181</v>
      </c>
      <c r="F420" s="32" t="s">
        <v>1182</v>
      </c>
      <c r="G420" s="47"/>
      <c r="H420"/>
      <c r="I420" s="32" t="s">
        <v>1183</v>
      </c>
      <c r="J420" s="47"/>
      <c r="K420" s="47"/>
      <c r="L420" s="48">
        <v>24</v>
      </c>
      <c r="M420" s="47"/>
      <c r="N420" s="47"/>
      <c r="O420" s="47"/>
      <c r="P420" s="47"/>
      <c r="Q420" s="47"/>
      <c r="R420" s="47"/>
      <c r="S420" s="48"/>
      <c r="T420" s="47"/>
      <c r="U420" s="47"/>
      <c r="V420" s="47"/>
      <c r="W420" s="47"/>
      <c r="X420" s="47"/>
      <c r="Y420" s="47"/>
      <c r="Z420" s="47"/>
      <c r="AA420" s="49"/>
      <c r="AB420" s="49"/>
      <c r="AC420" s="49"/>
      <c r="AD420" s="50"/>
      <c r="AE420" s="47" t="s">
        <v>283</v>
      </c>
      <c r="AF420" s="47">
        <v>45</v>
      </c>
      <c r="AG420"/>
      <c r="AH420"/>
      <c r="AI420"/>
      <c r="AJ420"/>
      <c r="AK420"/>
      <c r="AL420"/>
      <c r="AM420"/>
      <c r="AN420"/>
      <c r="AO420"/>
      <c r="AP420"/>
      <c r="AQ420" t="s">
        <v>233</v>
      </c>
      <c r="AU420">
        <v>416</v>
      </c>
    </row>
    <row r="421" spans="1:47" x14ac:dyDescent="0.2">
      <c r="A421" s="37">
        <v>5862</v>
      </c>
      <c r="B421" s="38" t="s">
        <v>45</v>
      </c>
      <c r="C421" s="39" t="s">
        <v>425</v>
      </c>
      <c r="D421" s="29"/>
      <c r="E421" s="38" t="s">
        <v>1184</v>
      </c>
      <c r="F421" s="32" t="s">
        <v>1185</v>
      </c>
      <c r="G421" s="31" t="s">
        <v>722</v>
      </c>
      <c r="H421" s="32"/>
      <c r="I421" s="106" t="s">
        <v>1186</v>
      </c>
      <c r="J421" s="104"/>
      <c r="K421" s="105">
        <f>(43+21*8)*2.2</f>
        <v>464.20000000000005</v>
      </c>
      <c r="L421" s="33">
        <v>3</v>
      </c>
      <c r="S421" s="33">
        <v>2</v>
      </c>
      <c r="T421" s="31">
        <v>1</v>
      </c>
      <c r="U421" s="31">
        <v>0</v>
      </c>
      <c r="V421" s="31">
        <v>0</v>
      </c>
      <c r="Y421" s="31" t="s">
        <v>51</v>
      </c>
      <c r="Z421" s="47" t="s">
        <v>146</v>
      </c>
      <c r="AA421" s="34">
        <v>0.95833333333333337</v>
      </c>
      <c r="AB421" s="34">
        <v>0.10416666666666667</v>
      </c>
      <c r="AC421" s="107">
        <v>3.125E-2</v>
      </c>
      <c r="AD421" s="35">
        <v>3.5</v>
      </c>
      <c r="AE421" s="47" t="s">
        <v>342</v>
      </c>
      <c r="AF421" s="31">
        <v>45</v>
      </c>
      <c r="AK421" s="32">
        <v>22</v>
      </c>
      <c r="AQ421" s="32" t="s">
        <v>1187</v>
      </c>
      <c r="AU421">
        <v>417</v>
      </c>
    </row>
    <row r="422" spans="1:47" x14ac:dyDescent="0.2">
      <c r="A422" s="26">
        <v>5862</v>
      </c>
      <c r="B422" s="27">
        <v>3.125E-2</v>
      </c>
      <c r="C422" s="28"/>
      <c r="D422" s="29"/>
      <c r="E422" s="30" t="s">
        <v>78</v>
      </c>
      <c r="H422" s="32">
        <v>1</v>
      </c>
      <c r="I422" s="32"/>
      <c r="AG422" s="32">
        <v>2</v>
      </c>
      <c r="AH422" s="32">
        <v>6</v>
      </c>
      <c r="AJ422" s="32">
        <v>48685</v>
      </c>
      <c r="AK422" s="32">
        <v>6</v>
      </c>
      <c r="AO422" s="32" t="s">
        <v>80</v>
      </c>
      <c r="AQ422" s="32" t="s">
        <v>1101</v>
      </c>
      <c r="AU422">
        <v>418</v>
      </c>
    </row>
    <row r="423" spans="1:47" x14ac:dyDescent="0.2">
      <c r="A423" s="26">
        <v>5863</v>
      </c>
      <c r="B423" s="27">
        <v>0.1076388888888889</v>
      </c>
      <c r="C423" s="28"/>
      <c r="D423" s="29"/>
      <c r="E423" s="30" t="s">
        <v>1124</v>
      </c>
      <c r="H423" s="32">
        <v>1</v>
      </c>
      <c r="I423" s="32"/>
      <c r="AG423" s="32">
        <v>0</v>
      </c>
      <c r="AH423" s="32">
        <v>0</v>
      </c>
      <c r="AK423" s="32">
        <v>9</v>
      </c>
      <c r="AL423" s="32">
        <v>0.66700000000000004</v>
      </c>
      <c r="AO423" s="46" t="s">
        <v>1126</v>
      </c>
      <c r="AP423" s="32">
        <v>0.66700000000000004</v>
      </c>
      <c r="AQ423" s="32" t="s">
        <v>589</v>
      </c>
      <c r="AU423">
        <v>419</v>
      </c>
    </row>
    <row r="424" spans="1:47" x14ac:dyDescent="0.2">
      <c r="A424" s="37">
        <v>5867</v>
      </c>
      <c r="B424" s="38" t="s">
        <v>85</v>
      </c>
      <c r="C424" s="39" t="s">
        <v>1188</v>
      </c>
      <c r="D424" s="29"/>
      <c r="E424" s="38" t="s">
        <v>1104</v>
      </c>
      <c r="F424" s="31" t="s">
        <v>150</v>
      </c>
      <c r="G424" s="31" t="s">
        <v>49</v>
      </c>
      <c r="H424" s="32"/>
      <c r="I424" s="32" t="s">
        <v>1189</v>
      </c>
      <c r="K424" s="108">
        <f>1811+1080</f>
        <v>2891</v>
      </c>
      <c r="AO424" s="46"/>
      <c r="AQ424" s="32" t="s">
        <v>1190</v>
      </c>
      <c r="AU424">
        <v>420</v>
      </c>
    </row>
    <row r="425" spans="1:47" x14ac:dyDescent="0.2">
      <c r="A425" s="37">
        <v>5867</v>
      </c>
      <c r="B425" s="38" t="s">
        <v>85</v>
      </c>
      <c r="C425" s="39" t="s">
        <v>142</v>
      </c>
      <c r="D425" s="29"/>
      <c r="E425" s="38" t="s">
        <v>1104</v>
      </c>
      <c r="F425" s="31" t="s">
        <v>1191</v>
      </c>
      <c r="G425" s="31" t="s">
        <v>73</v>
      </c>
      <c r="H425" s="32"/>
      <c r="I425" s="96" t="s">
        <v>1192</v>
      </c>
      <c r="J425" s="104"/>
      <c r="K425" s="105">
        <f>(19*8+32*7.25+16*8+9*16+3*43)*2.2</f>
        <v>1727.0000000000002</v>
      </c>
      <c r="L425" s="33">
        <v>27</v>
      </c>
      <c r="S425" s="33">
        <v>13</v>
      </c>
      <c r="T425" s="31">
        <v>1</v>
      </c>
      <c r="U425" s="31">
        <v>0</v>
      </c>
      <c r="V425" s="31">
        <v>1</v>
      </c>
      <c r="Y425" s="31" t="s">
        <v>120</v>
      </c>
      <c r="Z425" s="31" t="s">
        <v>146</v>
      </c>
      <c r="AA425" s="34">
        <v>0.5625</v>
      </c>
      <c r="AE425" s="47" t="s">
        <v>342</v>
      </c>
      <c r="AF425" s="47">
        <v>40</v>
      </c>
      <c r="AK425" s="32">
        <v>79</v>
      </c>
      <c r="AO425" s="46"/>
      <c r="AQ425" s="32" t="s">
        <v>1193</v>
      </c>
      <c r="AU425">
        <v>421</v>
      </c>
    </row>
    <row r="426" spans="1:47" x14ac:dyDescent="0.2">
      <c r="A426" s="37">
        <v>5867</v>
      </c>
      <c r="B426" s="38" t="s">
        <v>85</v>
      </c>
      <c r="C426" s="39" t="s">
        <v>346</v>
      </c>
      <c r="D426" s="29"/>
      <c r="E426" s="38" t="s">
        <v>1104</v>
      </c>
      <c r="F426" s="31" t="s">
        <v>150</v>
      </c>
      <c r="G426" s="31" t="s">
        <v>49</v>
      </c>
      <c r="H426" s="32"/>
      <c r="I426" s="32" t="s">
        <v>1194</v>
      </c>
      <c r="K426" s="31">
        <f>(56*8+1*43)*2.2</f>
        <v>1080.2</v>
      </c>
      <c r="L426" s="33">
        <v>13</v>
      </c>
      <c r="N426" s="31">
        <v>2</v>
      </c>
      <c r="O426" s="31">
        <v>1</v>
      </c>
      <c r="S426" s="33">
        <v>10</v>
      </c>
      <c r="T426" s="31">
        <v>0</v>
      </c>
      <c r="U426" s="31">
        <v>0</v>
      </c>
      <c r="V426" s="31">
        <v>0</v>
      </c>
      <c r="Y426" s="47" t="s">
        <v>120</v>
      </c>
      <c r="Z426" s="47" t="s">
        <v>146</v>
      </c>
      <c r="AA426" s="34">
        <v>0.56527777777777777</v>
      </c>
      <c r="AB426" s="34">
        <v>0.67013888888888884</v>
      </c>
      <c r="AC426" s="49">
        <f>AVERAGE(AA426:AB426)</f>
        <v>0.6177083333333333</v>
      </c>
      <c r="AD426" s="50">
        <f>(AB426-AA426)*24</f>
        <v>2.5166666666666657</v>
      </c>
      <c r="AE426" s="31" t="s">
        <v>342</v>
      </c>
      <c r="AF426" s="47">
        <v>40</v>
      </c>
      <c r="AK426" s="32">
        <v>57</v>
      </c>
      <c r="AO426" s="46"/>
      <c r="AQ426" t="s">
        <v>1195</v>
      </c>
      <c r="AU426">
        <v>422</v>
      </c>
    </row>
    <row r="427" spans="1:47" x14ac:dyDescent="0.2">
      <c r="A427" s="37">
        <v>5867</v>
      </c>
      <c r="B427" s="38" t="s">
        <v>45</v>
      </c>
      <c r="C427" s="39" t="s">
        <v>1196</v>
      </c>
      <c r="D427" s="29"/>
      <c r="E427" s="38" t="s">
        <v>1197</v>
      </c>
      <c r="F427" s="31" t="s">
        <v>1198</v>
      </c>
      <c r="G427" s="31" t="s">
        <v>49</v>
      </c>
      <c r="H427" s="32"/>
      <c r="I427" s="32" t="s">
        <v>1199</v>
      </c>
      <c r="S427" s="33">
        <v>2</v>
      </c>
      <c r="AO427" s="46"/>
      <c r="AQ427" s="32" t="s">
        <v>1200</v>
      </c>
      <c r="AU427">
        <v>423</v>
      </c>
    </row>
    <row r="428" spans="1:47" x14ac:dyDescent="0.2">
      <c r="A428" s="37">
        <v>5867</v>
      </c>
      <c r="B428" s="38" t="s">
        <v>45</v>
      </c>
      <c r="C428" s="39" t="s">
        <v>253</v>
      </c>
      <c r="D428" s="29"/>
      <c r="E428" s="38" t="s">
        <v>1104</v>
      </c>
      <c r="F428" s="32" t="s">
        <v>1201</v>
      </c>
      <c r="G428" s="47"/>
      <c r="H428"/>
      <c r="I428" s="32" t="s">
        <v>1202</v>
      </c>
      <c r="J428" s="47"/>
      <c r="K428" s="47"/>
      <c r="L428" s="48"/>
      <c r="M428" s="47"/>
      <c r="N428" s="47"/>
      <c r="O428" s="47"/>
      <c r="P428" s="47"/>
      <c r="Q428" s="47"/>
      <c r="R428" s="47"/>
      <c r="S428" s="48"/>
      <c r="T428" s="47"/>
      <c r="U428" s="47"/>
      <c r="V428" s="47"/>
      <c r="W428" s="47"/>
      <c r="X428" s="47"/>
      <c r="Y428" s="47"/>
      <c r="Z428" s="47"/>
      <c r="AA428" s="49"/>
      <c r="AB428" s="49"/>
      <c r="AC428" s="49"/>
      <c r="AD428" s="50"/>
      <c r="AE428" s="47"/>
      <c r="AF428" s="47"/>
      <c r="AG428"/>
      <c r="AH428"/>
      <c r="AI428"/>
      <c r="AJ428"/>
      <c r="AK428"/>
      <c r="AL428"/>
      <c r="AM428"/>
      <c r="AN428"/>
      <c r="AO428"/>
      <c r="AP428"/>
      <c r="AQ428" s="32" t="s">
        <v>1203</v>
      </c>
      <c r="AU428">
        <v>424</v>
      </c>
    </row>
    <row r="429" spans="1:47" x14ac:dyDescent="0.2">
      <c r="A429" s="26">
        <v>5867</v>
      </c>
      <c r="B429" s="27">
        <v>0.66666666666666663</v>
      </c>
      <c r="C429" s="28"/>
      <c r="D429" s="29"/>
      <c r="E429" s="30" t="s">
        <v>1124</v>
      </c>
      <c r="H429" s="32">
        <v>1</v>
      </c>
      <c r="I429" s="32" t="s">
        <v>1204</v>
      </c>
      <c r="AG429" s="32">
        <v>3</v>
      </c>
      <c r="AH429" s="32">
        <v>22</v>
      </c>
      <c r="AK429" s="32">
        <v>39</v>
      </c>
      <c r="AL429" s="32">
        <v>0.33300000000000002</v>
      </c>
      <c r="AO429" s="46" t="s">
        <v>1126</v>
      </c>
      <c r="AP429" s="32">
        <v>0.33300000000000002</v>
      </c>
      <c r="AQ429" s="32" t="s">
        <v>589</v>
      </c>
      <c r="AU429">
        <v>425</v>
      </c>
    </row>
    <row r="430" spans="1:47" x14ac:dyDescent="0.2">
      <c r="A430" s="37">
        <v>5871</v>
      </c>
      <c r="B430" s="38" t="s">
        <v>45</v>
      </c>
      <c r="C430" s="43" t="s">
        <v>46</v>
      </c>
      <c r="D430" s="29"/>
      <c r="E430" s="38" t="s">
        <v>1205</v>
      </c>
      <c r="F430" s="32" t="s">
        <v>150</v>
      </c>
      <c r="G430" s="47" t="s">
        <v>49</v>
      </c>
      <c r="H430"/>
      <c r="I430" s="32" t="s">
        <v>1206</v>
      </c>
      <c r="J430" s="47"/>
      <c r="K430" s="47">
        <f>(18*43+20*8)*2.2</f>
        <v>2054.8000000000002</v>
      </c>
      <c r="L430" s="48">
        <v>1</v>
      </c>
      <c r="M430" s="47"/>
      <c r="N430" s="47"/>
      <c r="O430" s="47"/>
      <c r="P430" s="47"/>
      <c r="Q430" s="47"/>
      <c r="R430" s="47"/>
      <c r="S430" s="48">
        <v>1</v>
      </c>
      <c r="T430" s="47"/>
      <c r="U430" s="47"/>
      <c r="V430" s="47"/>
      <c r="W430" s="47"/>
      <c r="X430" s="47"/>
      <c r="Y430" s="47" t="s">
        <v>51</v>
      </c>
      <c r="Z430" s="20" t="s">
        <v>52</v>
      </c>
      <c r="AA430" s="49"/>
      <c r="AB430" s="49"/>
      <c r="AC430" s="49"/>
      <c r="AD430" s="50"/>
      <c r="AE430" s="47"/>
      <c r="AF430" s="47">
        <v>340</v>
      </c>
      <c r="AG430"/>
      <c r="AH430"/>
      <c r="AI430"/>
      <c r="AJ430"/>
      <c r="AK430">
        <v>38</v>
      </c>
      <c r="AL430"/>
      <c r="AM430"/>
      <c r="AN430"/>
      <c r="AO430"/>
      <c r="AP430"/>
      <c r="AQ430" s="32" t="s">
        <v>1207</v>
      </c>
      <c r="AU430">
        <v>426</v>
      </c>
    </row>
    <row r="431" spans="1:47" x14ac:dyDescent="0.2">
      <c r="A431" s="37">
        <v>5881</v>
      </c>
      <c r="B431" s="38" t="s">
        <v>85</v>
      </c>
      <c r="C431" s="43" t="s">
        <v>1208</v>
      </c>
      <c r="D431" s="29"/>
      <c r="E431" s="38" t="s">
        <v>1209</v>
      </c>
      <c r="F431" s="31" t="s">
        <v>150</v>
      </c>
      <c r="G431" s="47"/>
      <c r="H431"/>
      <c r="I431" s="32" t="s">
        <v>1210</v>
      </c>
      <c r="J431" s="47"/>
      <c r="K431" s="47"/>
      <c r="L431" s="48"/>
      <c r="M431" s="47"/>
      <c r="N431" s="47"/>
      <c r="O431" s="47"/>
      <c r="P431" s="47"/>
      <c r="Q431" s="47"/>
      <c r="R431" s="47"/>
      <c r="S431" s="48">
        <v>4</v>
      </c>
      <c r="T431" s="47"/>
      <c r="U431" s="47"/>
      <c r="V431" s="47"/>
      <c r="W431" s="47"/>
      <c r="X431" s="47"/>
      <c r="Y431" s="47"/>
      <c r="Z431" s="47"/>
      <c r="AA431" s="49"/>
      <c r="AB431" s="49"/>
      <c r="AC431" s="49"/>
      <c r="AD431" s="50"/>
      <c r="AE431" s="47"/>
      <c r="AF431" s="47"/>
      <c r="AG431"/>
      <c r="AH431"/>
      <c r="AI431"/>
      <c r="AJ431"/>
      <c r="AK431"/>
      <c r="AL431"/>
      <c r="AM431"/>
      <c r="AN431"/>
      <c r="AO431"/>
      <c r="AP431"/>
      <c r="AQ431" s="32" t="s">
        <v>1200</v>
      </c>
      <c r="AU431">
        <v>427</v>
      </c>
    </row>
    <row r="432" spans="1:47" x14ac:dyDescent="0.2">
      <c r="A432" s="37">
        <v>5881</v>
      </c>
      <c r="B432" s="38" t="s">
        <v>85</v>
      </c>
      <c r="C432" s="43" t="s">
        <v>142</v>
      </c>
      <c r="D432" s="29"/>
      <c r="E432" s="38" t="s">
        <v>1211</v>
      </c>
      <c r="F432" s="31" t="s">
        <v>1212</v>
      </c>
      <c r="G432" s="47" t="s">
        <v>69</v>
      </c>
      <c r="H432"/>
      <c r="I432" s="32" t="s">
        <v>1213</v>
      </c>
      <c r="J432" s="47"/>
      <c r="K432" s="47"/>
      <c r="L432" s="48"/>
      <c r="M432" s="47"/>
      <c r="N432" s="47"/>
      <c r="O432" s="47"/>
      <c r="P432" s="47"/>
      <c r="Q432" s="47"/>
      <c r="R432" s="47"/>
      <c r="S432" s="48">
        <v>2</v>
      </c>
      <c r="T432" s="47">
        <v>0</v>
      </c>
      <c r="U432" s="47">
        <v>0</v>
      </c>
      <c r="V432" s="47">
        <v>0</v>
      </c>
      <c r="W432" s="47"/>
      <c r="X432" s="47"/>
      <c r="Y432" s="47" t="s">
        <v>51</v>
      </c>
      <c r="Z432" s="31" t="s">
        <v>146</v>
      </c>
      <c r="AA432" s="49"/>
      <c r="AB432" s="49"/>
      <c r="AC432" s="49"/>
      <c r="AD432" s="50"/>
      <c r="AE432" s="47" t="s">
        <v>342</v>
      </c>
      <c r="AF432" s="47">
        <v>25</v>
      </c>
      <c r="AG432"/>
      <c r="AH432"/>
      <c r="AI432"/>
      <c r="AJ432"/>
      <c r="AK432"/>
      <c r="AL432"/>
      <c r="AM432"/>
      <c r="AN432"/>
      <c r="AO432"/>
      <c r="AP432"/>
      <c r="AQ432" s="32" t="s">
        <v>1214</v>
      </c>
      <c r="AU432">
        <v>428</v>
      </c>
    </row>
    <row r="433" spans="1:47" x14ac:dyDescent="0.2">
      <c r="A433" s="37">
        <v>5881</v>
      </c>
      <c r="B433" s="38" t="s">
        <v>85</v>
      </c>
      <c r="C433" s="39" t="s">
        <v>346</v>
      </c>
      <c r="D433" s="29"/>
      <c r="E433" s="38" t="s">
        <v>1215</v>
      </c>
      <c r="F433" s="32" t="s">
        <v>107</v>
      </c>
      <c r="G433" s="47"/>
      <c r="H433"/>
      <c r="I433" s="32" t="s">
        <v>1216</v>
      </c>
      <c r="J433" s="47"/>
      <c r="K433" s="47">
        <f>(11*8+5*10)*2.2</f>
        <v>303.60000000000002</v>
      </c>
      <c r="L433" s="48">
        <v>13</v>
      </c>
      <c r="M433" s="47"/>
      <c r="N433" s="47">
        <v>1</v>
      </c>
      <c r="O433" s="47">
        <v>9</v>
      </c>
      <c r="P433" s="47"/>
      <c r="Q433" s="47"/>
      <c r="R433" s="47"/>
      <c r="S433" s="48">
        <v>3</v>
      </c>
      <c r="T433" s="47">
        <v>0</v>
      </c>
      <c r="U433" s="47">
        <v>0</v>
      </c>
      <c r="V433" s="47">
        <v>0</v>
      </c>
      <c r="W433" s="47"/>
      <c r="X433" s="47"/>
      <c r="Y433" s="47" t="s">
        <v>51</v>
      </c>
      <c r="Z433" s="47" t="s">
        <v>146</v>
      </c>
      <c r="AA433" s="49">
        <v>0.5625</v>
      </c>
      <c r="AB433" s="49">
        <v>0.67013888888888884</v>
      </c>
      <c r="AC433" s="49">
        <f>AVERAGE(AA433:AB433)</f>
        <v>0.61631944444444442</v>
      </c>
      <c r="AD433" s="50">
        <f>(AB433-AA433)*24</f>
        <v>2.5833333333333321</v>
      </c>
      <c r="AE433" s="31" t="s">
        <v>342</v>
      </c>
      <c r="AF433" s="47">
        <v>40</v>
      </c>
      <c r="AG433"/>
      <c r="AH433"/>
      <c r="AI433"/>
      <c r="AJ433"/>
      <c r="AK433">
        <v>16</v>
      </c>
      <c r="AL433"/>
      <c r="AM433"/>
      <c r="AN433"/>
      <c r="AO433"/>
      <c r="AP433"/>
      <c r="AQ433" t="s">
        <v>1217</v>
      </c>
      <c r="AU433">
        <v>429</v>
      </c>
    </row>
    <row r="434" spans="1:47" x14ac:dyDescent="0.2">
      <c r="A434" s="37">
        <v>5881</v>
      </c>
      <c r="B434" s="38" t="s">
        <v>85</v>
      </c>
      <c r="C434" s="39" t="s">
        <v>156</v>
      </c>
      <c r="D434" s="29"/>
      <c r="E434" s="38" t="s">
        <v>1218</v>
      </c>
      <c r="F434" s="32" t="s">
        <v>1155</v>
      </c>
      <c r="G434" s="47"/>
      <c r="H434"/>
      <c r="I434" s="32"/>
      <c r="J434" s="47"/>
      <c r="K434" s="47"/>
      <c r="L434" s="48"/>
      <c r="M434" s="47"/>
      <c r="N434" s="47"/>
      <c r="O434" s="47"/>
      <c r="P434" s="47"/>
      <c r="Q434" s="47"/>
      <c r="R434" s="47"/>
      <c r="S434" s="48"/>
      <c r="T434" s="47"/>
      <c r="U434" s="47"/>
      <c r="V434" s="47"/>
      <c r="W434" s="47"/>
      <c r="X434" s="47"/>
      <c r="Y434" s="47"/>
      <c r="Z434" s="31" t="s">
        <v>675</v>
      </c>
      <c r="AA434" s="49"/>
      <c r="AB434" s="49"/>
      <c r="AC434" s="49"/>
      <c r="AD434" s="50"/>
      <c r="AE434" s="47"/>
      <c r="AF434" s="47"/>
      <c r="AG434"/>
      <c r="AH434"/>
      <c r="AI434"/>
      <c r="AJ434"/>
      <c r="AK434"/>
      <c r="AL434"/>
      <c r="AM434"/>
      <c r="AN434"/>
      <c r="AO434"/>
      <c r="AP434"/>
      <c r="AQ434" t="s">
        <v>1219</v>
      </c>
      <c r="AU434">
        <v>430</v>
      </c>
    </row>
    <row r="435" spans="1:47" x14ac:dyDescent="0.2">
      <c r="A435" s="26">
        <v>5884</v>
      </c>
      <c r="B435" s="27"/>
      <c r="C435" s="28"/>
      <c r="D435" s="29"/>
      <c r="E435" s="30" t="s">
        <v>653</v>
      </c>
      <c r="H435" s="32">
        <v>1</v>
      </c>
      <c r="I435" s="32" t="s">
        <v>1220</v>
      </c>
      <c r="AI435" s="32">
        <v>0</v>
      </c>
      <c r="AK435" s="32">
        <v>30</v>
      </c>
      <c r="AO435" s="32" t="s">
        <v>655</v>
      </c>
      <c r="AQ435" s="32">
        <v>447</v>
      </c>
      <c r="AU435">
        <v>431</v>
      </c>
    </row>
    <row r="436" spans="1:47" x14ac:dyDescent="0.2">
      <c r="A436" s="26">
        <v>5888</v>
      </c>
      <c r="B436" s="27"/>
      <c r="C436" s="28"/>
      <c r="D436" s="29"/>
      <c r="E436" s="30" t="s">
        <v>153</v>
      </c>
      <c r="H436" s="32">
        <v>1</v>
      </c>
      <c r="I436" s="32"/>
      <c r="AG436" s="32">
        <v>0</v>
      </c>
      <c r="AH436" s="32">
        <v>0</v>
      </c>
      <c r="AJ436" s="32">
        <v>0</v>
      </c>
      <c r="AK436" s="32">
        <v>2</v>
      </c>
      <c r="AO436" s="46" t="s">
        <v>155</v>
      </c>
      <c r="AP436" s="46"/>
      <c r="AQ436" s="32">
        <v>448</v>
      </c>
      <c r="AU436">
        <v>432</v>
      </c>
    </row>
    <row r="437" spans="1:47" x14ac:dyDescent="0.2">
      <c r="A437" s="37">
        <v>5896</v>
      </c>
      <c r="B437" s="38" t="s">
        <v>85</v>
      </c>
      <c r="C437" s="39" t="s">
        <v>1188</v>
      </c>
      <c r="D437" s="29"/>
      <c r="E437" s="38" t="s">
        <v>190</v>
      </c>
      <c r="F437" s="32" t="s">
        <v>1221</v>
      </c>
      <c r="G437" s="47"/>
      <c r="H437"/>
      <c r="I437" s="32" t="s">
        <v>1222</v>
      </c>
      <c r="J437" s="47"/>
      <c r="K437" s="47"/>
      <c r="L437" s="48"/>
      <c r="M437" s="47"/>
      <c r="N437" s="47"/>
      <c r="O437" s="47"/>
      <c r="P437" s="47"/>
      <c r="Q437" s="47"/>
      <c r="R437" s="47"/>
      <c r="S437" s="48">
        <v>24</v>
      </c>
      <c r="T437" s="47"/>
      <c r="U437" s="47"/>
      <c r="V437" s="47"/>
      <c r="W437" s="47"/>
      <c r="X437" s="47"/>
      <c r="Y437" s="47"/>
      <c r="Z437" s="47"/>
      <c r="AA437" s="49"/>
      <c r="AB437" s="49"/>
      <c r="AC437" s="49"/>
      <c r="AD437" s="50"/>
      <c r="AE437" s="47"/>
      <c r="AF437" s="47"/>
      <c r="AG437"/>
      <c r="AH437"/>
      <c r="AI437"/>
      <c r="AJ437"/>
      <c r="AK437"/>
      <c r="AL437"/>
      <c r="AM437"/>
      <c r="AN437"/>
      <c r="AO437"/>
      <c r="AP437"/>
      <c r="AQ437" s="32" t="s">
        <v>1223</v>
      </c>
      <c r="AU437">
        <v>433</v>
      </c>
    </row>
    <row r="438" spans="1:47" x14ac:dyDescent="0.2">
      <c r="A438" s="37">
        <v>5896</v>
      </c>
      <c r="B438" s="38" t="s">
        <v>85</v>
      </c>
      <c r="C438" s="39" t="s">
        <v>142</v>
      </c>
      <c r="D438" s="29"/>
      <c r="E438" s="38" t="s">
        <v>190</v>
      </c>
      <c r="F438" s="32" t="s">
        <v>1224</v>
      </c>
      <c r="G438" s="47" t="s">
        <v>274</v>
      </c>
      <c r="H438"/>
      <c r="I438" s="96" t="s">
        <v>1225</v>
      </c>
      <c r="J438" s="97"/>
      <c r="K438" s="99">
        <f>(9*43+29*16+14*8+8*7.25)*2.2</f>
        <v>2246.2000000000003</v>
      </c>
      <c r="L438" s="48">
        <v>16</v>
      </c>
      <c r="M438" s="47"/>
      <c r="N438" s="47"/>
      <c r="O438" s="47"/>
      <c r="P438" s="47"/>
      <c r="Q438" s="47"/>
      <c r="R438" s="47"/>
      <c r="S438" s="48">
        <v>13</v>
      </c>
      <c r="T438" s="47">
        <v>0</v>
      </c>
      <c r="U438" s="47">
        <v>0</v>
      </c>
      <c r="V438" s="47">
        <v>0</v>
      </c>
      <c r="W438" s="47"/>
      <c r="X438" s="47"/>
      <c r="Y438" s="47" t="s">
        <v>51</v>
      </c>
      <c r="Z438" s="31" t="s">
        <v>146</v>
      </c>
      <c r="AA438" s="49">
        <v>0.45833333333333331</v>
      </c>
      <c r="AB438" s="49"/>
      <c r="AC438" s="49"/>
      <c r="AD438" s="50"/>
      <c r="AE438" s="47" t="s">
        <v>342</v>
      </c>
      <c r="AF438" s="47">
        <v>30</v>
      </c>
      <c r="AG438"/>
      <c r="AH438"/>
      <c r="AI438"/>
      <c r="AJ438"/>
      <c r="AK438">
        <v>60</v>
      </c>
      <c r="AL438"/>
      <c r="AM438"/>
      <c r="AN438"/>
      <c r="AO438"/>
      <c r="AP438"/>
      <c r="AQ438" s="32" t="s">
        <v>1226</v>
      </c>
      <c r="AU438">
        <v>434</v>
      </c>
    </row>
    <row r="439" spans="1:47" x14ac:dyDescent="0.2">
      <c r="A439" s="37">
        <v>5896</v>
      </c>
      <c r="B439" s="38" t="s">
        <v>85</v>
      </c>
      <c r="C439" s="39" t="s">
        <v>346</v>
      </c>
      <c r="D439" s="29"/>
      <c r="E439" s="38" t="s">
        <v>1227</v>
      </c>
      <c r="F439" s="32" t="s">
        <v>1228</v>
      </c>
      <c r="G439" s="47" t="s">
        <v>274</v>
      </c>
      <c r="H439"/>
      <c r="I439" s="32" t="s">
        <v>1229</v>
      </c>
      <c r="J439" s="47"/>
      <c r="K439" s="47">
        <f>(36*8+13*10+15*10)*2.2</f>
        <v>1249.6000000000001</v>
      </c>
      <c r="L439" s="48">
        <v>12</v>
      </c>
      <c r="M439" s="47"/>
      <c r="N439" s="47"/>
      <c r="O439" s="47"/>
      <c r="P439" s="47"/>
      <c r="Q439" s="47">
        <v>1</v>
      </c>
      <c r="R439" s="47"/>
      <c r="S439" s="48">
        <v>12</v>
      </c>
      <c r="T439" s="47">
        <v>0</v>
      </c>
      <c r="U439" s="47">
        <v>0</v>
      </c>
      <c r="V439" s="47">
        <v>1</v>
      </c>
      <c r="W439" s="47"/>
      <c r="X439" s="47"/>
      <c r="Y439" s="47" t="s">
        <v>51</v>
      </c>
      <c r="Z439" s="47" t="s">
        <v>146</v>
      </c>
      <c r="AA439" s="49">
        <v>0.45902777777777781</v>
      </c>
      <c r="AB439" s="49">
        <v>0.55138888888888882</v>
      </c>
      <c r="AC439" s="49">
        <f>AVERAGE(AA439:AB439)</f>
        <v>0.50520833333333326</v>
      </c>
      <c r="AD439" s="50">
        <f>(AB439-AA439)*24</f>
        <v>2.2166666666666641</v>
      </c>
      <c r="AE439" s="31" t="s">
        <v>342</v>
      </c>
      <c r="AF439" s="47">
        <v>30</v>
      </c>
      <c r="AG439"/>
      <c r="AH439"/>
      <c r="AI439"/>
      <c r="AJ439"/>
      <c r="AK439">
        <v>64</v>
      </c>
      <c r="AL439"/>
      <c r="AM439"/>
      <c r="AN439"/>
      <c r="AO439"/>
      <c r="AP439"/>
      <c r="AQ439" t="s">
        <v>1230</v>
      </c>
      <c r="AU439">
        <v>435</v>
      </c>
    </row>
    <row r="440" spans="1:47" x14ac:dyDescent="0.2">
      <c r="A440" s="37">
        <v>5896</v>
      </c>
      <c r="B440" s="38" t="s">
        <v>85</v>
      </c>
      <c r="C440" s="39" t="s">
        <v>253</v>
      </c>
      <c r="D440" s="29"/>
      <c r="E440" s="38" t="s">
        <v>1231</v>
      </c>
      <c r="F440" s="32" t="s">
        <v>1232</v>
      </c>
      <c r="G440" s="47"/>
      <c r="H440"/>
      <c r="I440" s="32"/>
      <c r="J440" s="47"/>
      <c r="K440" s="47"/>
      <c r="L440" s="48"/>
      <c r="M440" s="47"/>
      <c r="N440" s="47"/>
      <c r="O440" s="47"/>
      <c r="P440" s="47"/>
      <c r="Q440" s="47"/>
      <c r="R440" s="47"/>
      <c r="S440" s="48"/>
      <c r="T440" s="47"/>
      <c r="U440" s="47"/>
      <c r="V440" s="47"/>
      <c r="W440" s="47"/>
      <c r="X440" s="47"/>
      <c r="Y440" s="47"/>
      <c r="Z440" s="47"/>
      <c r="AA440" s="49"/>
      <c r="AB440" s="49"/>
      <c r="AC440" s="49"/>
      <c r="AD440" s="50"/>
      <c r="AE440" s="47"/>
      <c r="AF440" s="47"/>
      <c r="AG440"/>
      <c r="AH440"/>
      <c r="AI440"/>
      <c r="AJ440"/>
      <c r="AK440"/>
      <c r="AL440"/>
      <c r="AM440"/>
      <c r="AN440"/>
      <c r="AO440"/>
      <c r="AP440"/>
      <c r="AQ440" s="32" t="s">
        <v>1233</v>
      </c>
      <c r="AU440">
        <v>436</v>
      </c>
    </row>
    <row r="441" spans="1:47" x14ac:dyDescent="0.2">
      <c r="A441" s="37">
        <v>5896</v>
      </c>
      <c r="B441" s="38" t="s">
        <v>85</v>
      </c>
      <c r="C441" s="39" t="s">
        <v>1234</v>
      </c>
      <c r="D441" s="29"/>
      <c r="E441" s="38" t="s">
        <v>1235</v>
      </c>
      <c r="F441" s="32" t="s">
        <v>1236</v>
      </c>
      <c r="G441" s="47" t="s">
        <v>73</v>
      </c>
      <c r="H441"/>
      <c r="I441" s="32" t="s">
        <v>1237</v>
      </c>
      <c r="J441" s="47"/>
      <c r="K441" s="47">
        <f>66*10*2.2</f>
        <v>1452.0000000000002</v>
      </c>
      <c r="L441" s="48">
        <v>17</v>
      </c>
      <c r="M441" s="47"/>
      <c r="N441" s="47"/>
      <c r="O441" s="47"/>
      <c r="P441" s="47"/>
      <c r="Q441" s="47"/>
      <c r="R441" s="47"/>
      <c r="S441" s="48">
        <v>17</v>
      </c>
      <c r="T441" s="47">
        <v>0</v>
      </c>
      <c r="U441" s="47">
        <v>0</v>
      </c>
      <c r="V441" s="47">
        <v>1</v>
      </c>
      <c r="W441" s="47"/>
      <c r="X441" s="47"/>
      <c r="Y441" s="47"/>
      <c r="Z441" s="47" t="s">
        <v>675</v>
      </c>
      <c r="AA441" s="49">
        <v>0.45833333333333331</v>
      </c>
      <c r="AB441" s="49">
        <v>0.52430555555555558</v>
      </c>
      <c r="AC441" s="49">
        <f>AVERAGE(AA441:AB441)</f>
        <v>0.49131944444444442</v>
      </c>
      <c r="AD441" s="50">
        <f>(AB441-AA441)*24</f>
        <v>1.5833333333333344</v>
      </c>
      <c r="AE441" s="71" t="s">
        <v>132</v>
      </c>
      <c r="AF441" s="47">
        <v>45</v>
      </c>
      <c r="AG441"/>
      <c r="AH441"/>
      <c r="AI441"/>
      <c r="AJ441"/>
      <c r="AK441">
        <v>66</v>
      </c>
      <c r="AL441"/>
      <c r="AM441"/>
      <c r="AN441"/>
      <c r="AO441"/>
      <c r="AP441"/>
      <c r="AQ441" s="32" t="s">
        <v>1238</v>
      </c>
      <c r="AU441">
        <v>437</v>
      </c>
    </row>
    <row r="442" spans="1:47" x14ac:dyDescent="0.2">
      <c r="A442" s="109">
        <v>5896</v>
      </c>
      <c r="B442" s="110" t="s">
        <v>85</v>
      </c>
      <c r="C442" s="111" t="s">
        <v>1239</v>
      </c>
      <c r="D442" s="112"/>
      <c r="E442" s="110" t="s">
        <v>153</v>
      </c>
      <c r="F442" s="113" t="s">
        <v>204</v>
      </c>
      <c r="G442" s="114" t="s">
        <v>205</v>
      </c>
      <c r="H442" s="115"/>
      <c r="I442" s="113" t="s">
        <v>1240</v>
      </c>
      <c r="J442" s="114"/>
      <c r="K442" s="116">
        <f>4*110</f>
        <v>440</v>
      </c>
      <c r="L442" s="117"/>
      <c r="M442" s="114"/>
      <c r="N442" s="114"/>
      <c r="O442" s="114"/>
      <c r="P442" s="114"/>
      <c r="Q442" s="114"/>
      <c r="R442" s="114"/>
      <c r="S442" s="116">
        <v>4</v>
      </c>
      <c r="T442" s="114"/>
      <c r="U442" s="114"/>
      <c r="V442" s="114"/>
      <c r="W442" s="114"/>
      <c r="X442" s="114"/>
      <c r="Y442" s="114"/>
      <c r="Z442" s="114" t="s">
        <v>1241</v>
      </c>
      <c r="AA442" s="49"/>
      <c r="AB442" s="49"/>
      <c r="AC442" s="49"/>
      <c r="AD442" s="50"/>
      <c r="AE442" s="47"/>
      <c r="AF442" s="47"/>
      <c r="AG442"/>
      <c r="AH442"/>
      <c r="AI442"/>
      <c r="AJ442"/>
      <c r="AK442"/>
      <c r="AL442"/>
      <c r="AM442"/>
      <c r="AN442"/>
      <c r="AO442"/>
      <c r="AP442"/>
      <c r="AQ442" t="s">
        <v>1242</v>
      </c>
      <c r="AU442">
        <v>438</v>
      </c>
    </row>
    <row r="443" spans="1:47" x14ac:dyDescent="0.2">
      <c r="A443" s="26">
        <v>5896</v>
      </c>
      <c r="B443" s="27"/>
      <c r="C443" s="28"/>
      <c r="D443" s="29"/>
      <c r="E443" s="30" t="s">
        <v>153</v>
      </c>
      <c r="H443" s="32">
        <v>1</v>
      </c>
      <c r="I443" s="32" t="s">
        <v>1243</v>
      </c>
      <c r="AG443" s="32">
        <v>0</v>
      </c>
      <c r="AH443" s="32">
        <v>0</v>
      </c>
      <c r="AO443" s="46" t="s">
        <v>155</v>
      </c>
      <c r="AP443" s="46"/>
      <c r="AQ443" s="32">
        <v>448</v>
      </c>
      <c r="AU443">
        <v>439</v>
      </c>
    </row>
    <row r="444" spans="1:47" x14ac:dyDescent="0.2">
      <c r="A444" s="44">
        <v>5897</v>
      </c>
      <c r="B444" s="42" t="s">
        <v>45</v>
      </c>
      <c r="C444" s="43" t="s">
        <v>425</v>
      </c>
      <c r="D444" s="29"/>
      <c r="E444" s="36" t="s">
        <v>1168</v>
      </c>
      <c r="F444" s="108" t="s">
        <v>150</v>
      </c>
      <c r="G444" s="108" t="s">
        <v>49</v>
      </c>
      <c r="H444" s="113"/>
      <c r="I444" s="96" t="s">
        <v>1244</v>
      </c>
      <c r="J444" s="104"/>
      <c r="K444" s="105">
        <f>(2*43+18*16+5*8)*2.2</f>
        <v>910.80000000000007</v>
      </c>
      <c r="S444" s="33">
        <v>5</v>
      </c>
      <c r="T444" s="31">
        <v>0</v>
      </c>
      <c r="U444" s="31">
        <v>0</v>
      </c>
      <c r="V444" s="31">
        <v>0</v>
      </c>
      <c r="Y444" s="31" t="s">
        <v>51</v>
      </c>
      <c r="Z444" s="47" t="s">
        <v>146</v>
      </c>
      <c r="AA444" s="34">
        <v>0.95833333333333337</v>
      </c>
      <c r="AB444" s="34">
        <v>4.1666666666666664E-2</v>
      </c>
      <c r="AC444" s="107">
        <v>0</v>
      </c>
      <c r="AD444" s="35">
        <v>2</v>
      </c>
      <c r="AE444" s="47" t="s">
        <v>342</v>
      </c>
      <c r="AF444" s="47">
        <v>40</v>
      </c>
      <c r="AK444" s="32">
        <v>25</v>
      </c>
      <c r="AO444" s="46"/>
      <c r="AP444" s="46"/>
      <c r="AQ444" s="32" t="s">
        <v>1245</v>
      </c>
      <c r="AU444">
        <v>440</v>
      </c>
    </row>
    <row r="445" spans="1:47" x14ac:dyDescent="0.2">
      <c r="A445" s="26">
        <v>5897</v>
      </c>
      <c r="B445" s="27">
        <v>3.125E-2</v>
      </c>
      <c r="C445" s="28"/>
      <c r="D445" s="29"/>
      <c r="E445" s="30" t="s">
        <v>1124</v>
      </c>
      <c r="H445" s="32">
        <v>1</v>
      </c>
      <c r="I445" s="32" t="s">
        <v>1246</v>
      </c>
      <c r="AG445" s="32">
        <v>0</v>
      </c>
      <c r="AH445" s="32">
        <v>0</v>
      </c>
      <c r="AK445" s="32">
        <v>5</v>
      </c>
      <c r="AL445" s="32">
        <v>0.75</v>
      </c>
      <c r="AO445" s="46" t="s">
        <v>1126</v>
      </c>
      <c r="AP445" s="32">
        <v>0.75</v>
      </c>
      <c r="AQ445" s="32" t="s">
        <v>589</v>
      </c>
      <c r="AU445">
        <v>441</v>
      </c>
    </row>
    <row r="446" spans="1:47" x14ac:dyDescent="0.2">
      <c r="A446" s="37">
        <v>5898</v>
      </c>
      <c r="B446" s="38" t="s">
        <v>85</v>
      </c>
      <c r="C446" s="39" t="s">
        <v>156</v>
      </c>
      <c r="D446" s="29"/>
      <c r="E446" s="38" t="s">
        <v>1247</v>
      </c>
      <c r="F446" s="31" t="s">
        <v>1248</v>
      </c>
      <c r="G446" s="31" t="s">
        <v>69</v>
      </c>
      <c r="H446" s="32"/>
      <c r="I446" s="32" t="s">
        <v>1249</v>
      </c>
      <c r="Z446" s="31" t="s">
        <v>675</v>
      </c>
      <c r="AO446" s="46"/>
      <c r="AQ446" t="s">
        <v>1219</v>
      </c>
      <c r="AU446">
        <v>442</v>
      </c>
    </row>
    <row r="447" spans="1:47" x14ac:dyDescent="0.2">
      <c r="A447" s="37">
        <v>5900</v>
      </c>
      <c r="B447" s="38" t="s">
        <v>85</v>
      </c>
      <c r="C447" s="39" t="s">
        <v>253</v>
      </c>
      <c r="D447" s="29"/>
      <c r="E447" s="38" t="s">
        <v>1104</v>
      </c>
      <c r="F447" s="32" t="s">
        <v>150</v>
      </c>
      <c r="G447" s="47" t="s">
        <v>49</v>
      </c>
      <c r="H447"/>
      <c r="I447" s="32" t="s">
        <v>1250</v>
      </c>
      <c r="J447" s="47"/>
      <c r="K447" s="47"/>
      <c r="L447" s="48"/>
      <c r="M447" s="47"/>
      <c r="N447" s="47"/>
      <c r="O447" s="47"/>
      <c r="P447" s="47"/>
      <c r="Q447" s="47"/>
      <c r="R447" s="47"/>
      <c r="S447" s="48"/>
      <c r="T447" s="47"/>
      <c r="U447" s="47"/>
      <c r="V447" s="47"/>
      <c r="W447" s="47"/>
      <c r="X447" s="47"/>
      <c r="Y447" s="47"/>
      <c r="Z447" s="47"/>
      <c r="AA447" s="49"/>
      <c r="AB447" s="49"/>
      <c r="AC447" s="49"/>
      <c r="AD447" s="50"/>
      <c r="AE447" s="47"/>
      <c r="AF447" s="47"/>
      <c r="AG447"/>
      <c r="AH447"/>
      <c r="AI447"/>
      <c r="AJ447"/>
      <c r="AK447"/>
      <c r="AL447"/>
      <c r="AM447"/>
      <c r="AN447"/>
      <c r="AO447"/>
      <c r="AP447"/>
      <c r="AQ447" s="32" t="s">
        <v>1233</v>
      </c>
      <c r="AU447">
        <v>443</v>
      </c>
    </row>
    <row r="448" spans="1:47" x14ac:dyDescent="0.2">
      <c r="A448" s="37">
        <v>5900</v>
      </c>
      <c r="B448" s="38" t="s">
        <v>85</v>
      </c>
      <c r="C448" s="39" t="s">
        <v>1251</v>
      </c>
      <c r="D448" s="29"/>
      <c r="E448" s="38" t="s">
        <v>1252</v>
      </c>
      <c r="F448" s="32" t="s">
        <v>150</v>
      </c>
      <c r="G448" s="47" t="s">
        <v>49</v>
      </c>
      <c r="H448"/>
      <c r="I448" s="32" t="s">
        <v>1253</v>
      </c>
      <c r="J448" s="47"/>
      <c r="K448" s="47">
        <f>5*10*2.2</f>
        <v>110.00000000000001</v>
      </c>
      <c r="L448" s="48">
        <v>1</v>
      </c>
      <c r="M448" s="47"/>
      <c r="N448" s="47"/>
      <c r="O448" s="47"/>
      <c r="P448" s="47"/>
      <c r="Q448" s="47"/>
      <c r="R448" s="47"/>
      <c r="S448" s="48">
        <v>1</v>
      </c>
      <c r="T448" s="47">
        <v>0</v>
      </c>
      <c r="U448" s="47">
        <v>0</v>
      </c>
      <c r="V448" s="47">
        <v>0</v>
      </c>
      <c r="W448" s="47">
        <f>500*39.37/12</f>
        <v>1640.4166666666667</v>
      </c>
      <c r="X448" s="47"/>
      <c r="Y448" s="47" t="s">
        <v>51</v>
      </c>
      <c r="Z448" s="47" t="s">
        <v>1241</v>
      </c>
      <c r="AA448" s="49"/>
      <c r="AB448" s="49"/>
      <c r="AC448" s="49"/>
      <c r="AD448" s="50"/>
      <c r="AE448" s="47" t="s">
        <v>342</v>
      </c>
      <c r="AF448" s="47"/>
      <c r="AG448"/>
      <c r="AH448"/>
      <c r="AI448"/>
      <c r="AJ448"/>
      <c r="AK448">
        <v>5</v>
      </c>
      <c r="AL448"/>
      <c r="AM448"/>
      <c r="AN448"/>
      <c r="AO448" t="s">
        <v>1254</v>
      </c>
      <c r="AP448"/>
      <c r="AQ448" t="s">
        <v>1255</v>
      </c>
      <c r="AU448">
        <v>444</v>
      </c>
    </row>
    <row r="449" spans="1:47" x14ac:dyDescent="0.2">
      <c r="A449" s="37">
        <v>5900</v>
      </c>
      <c r="B449" s="38" t="s">
        <v>85</v>
      </c>
      <c r="C449" s="39" t="s">
        <v>1256</v>
      </c>
      <c r="D449" s="29"/>
      <c r="E449" s="38" t="s">
        <v>175</v>
      </c>
      <c r="F449" s="32" t="s">
        <v>150</v>
      </c>
      <c r="G449" s="47" t="s">
        <v>49</v>
      </c>
      <c r="H449"/>
      <c r="I449" s="32" t="s">
        <v>1257</v>
      </c>
      <c r="J449" s="47"/>
      <c r="K449" s="47"/>
      <c r="L449" s="48"/>
      <c r="M449" s="47"/>
      <c r="N449" s="47"/>
      <c r="O449" s="47"/>
      <c r="P449" s="47"/>
      <c r="Q449" s="47"/>
      <c r="R449" s="47"/>
      <c r="S449" s="48">
        <v>8</v>
      </c>
      <c r="T449" s="47">
        <v>0</v>
      </c>
      <c r="U449" s="47"/>
      <c r="V449" s="47"/>
      <c r="W449" s="47"/>
      <c r="X449" s="47"/>
      <c r="Y449" s="47"/>
      <c r="Z449" s="47" t="s">
        <v>146</v>
      </c>
      <c r="AA449" s="49"/>
      <c r="AB449" s="49"/>
      <c r="AC449" s="49"/>
      <c r="AD449" s="50"/>
      <c r="AE449" s="47"/>
      <c r="AF449" s="47"/>
      <c r="AG449"/>
      <c r="AH449"/>
      <c r="AI449"/>
      <c r="AJ449"/>
      <c r="AK449"/>
      <c r="AL449"/>
      <c r="AM449"/>
      <c r="AN449"/>
      <c r="AO449"/>
      <c r="AP449"/>
      <c r="AQ449" s="32" t="s">
        <v>1258</v>
      </c>
      <c r="AU449">
        <v>445</v>
      </c>
    </row>
    <row r="450" spans="1:47" x14ac:dyDescent="0.2">
      <c r="A450" s="37">
        <v>5900</v>
      </c>
      <c r="B450" s="38" t="s">
        <v>45</v>
      </c>
      <c r="C450" s="39" t="s">
        <v>425</v>
      </c>
      <c r="D450" s="29"/>
      <c r="E450" s="38" t="s">
        <v>175</v>
      </c>
      <c r="F450" s="32" t="s">
        <v>150</v>
      </c>
      <c r="G450" s="47" t="s">
        <v>49</v>
      </c>
      <c r="H450"/>
      <c r="I450" s="32" t="s">
        <v>1259</v>
      </c>
      <c r="J450" s="47"/>
      <c r="K450" s="118">
        <f>(2*43+28*16+7*8)*2.2</f>
        <v>1298</v>
      </c>
      <c r="L450" s="48">
        <v>8</v>
      </c>
      <c r="M450" s="47"/>
      <c r="N450" s="47"/>
      <c r="O450" s="47"/>
      <c r="P450" s="47"/>
      <c r="Q450" s="47"/>
      <c r="R450" s="47"/>
      <c r="S450" s="48">
        <v>7</v>
      </c>
      <c r="T450" s="47">
        <v>1</v>
      </c>
      <c r="U450" s="47">
        <v>0</v>
      </c>
      <c r="V450" s="47">
        <v>0</v>
      </c>
      <c r="W450" s="47"/>
      <c r="X450" s="47"/>
      <c r="Y450" s="47" t="s">
        <v>51</v>
      </c>
      <c r="Z450" s="47" t="s">
        <v>146</v>
      </c>
      <c r="AA450" s="49">
        <v>0.94791666666666663</v>
      </c>
      <c r="AB450" s="49">
        <v>0.125</v>
      </c>
      <c r="AC450" s="119">
        <v>3.6111111111111115E-2</v>
      </c>
      <c r="AD450" s="50">
        <v>4.25</v>
      </c>
      <c r="AE450" s="47" t="s">
        <v>342</v>
      </c>
      <c r="AF450" s="47">
        <v>40</v>
      </c>
      <c r="AG450"/>
      <c r="AH450"/>
      <c r="AI450"/>
      <c r="AJ450"/>
      <c r="AK450">
        <v>37</v>
      </c>
      <c r="AL450"/>
      <c r="AM450"/>
      <c r="AN450"/>
      <c r="AO450"/>
      <c r="AP450"/>
      <c r="AQ450" s="32" t="s">
        <v>1245</v>
      </c>
      <c r="AU450">
        <v>446</v>
      </c>
    </row>
    <row r="451" spans="1:47" x14ac:dyDescent="0.2">
      <c r="A451" s="37">
        <v>5901</v>
      </c>
      <c r="B451" s="38" t="s">
        <v>85</v>
      </c>
      <c r="C451" s="39" t="s">
        <v>1260</v>
      </c>
      <c r="D451" s="29"/>
      <c r="E451" s="38" t="s">
        <v>175</v>
      </c>
      <c r="F451" s="32"/>
      <c r="G451" s="47" t="s">
        <v>49</v>
      </c>
      <c r="H451"/>
      <c r="I451" s="31" t="b">
        <v>1</v>
      </c>
      <c r="J451" s="47" t="b">
        <v>1</v>
      </c>
      <c r="K451" s="47"/>
      <c r="L451" s="48"/>
      <c r="M451" s="47"/>
      <c r="N451" s="47"/>
      <c r="O451" s="47"/>
      <c r="P451" s="47"/>
      <c r="Q451" s="47"/>
      <c r="R451" s="47"/>
      <c r="S451" s="48"/>
      <c r="T451" s="47"/>
      <c r="U451" s="47"/>
      <c r="V451" s="47"/>
      <c r="W451" s="47"/>
      <c r="X451" s="47"/>
      <c r="Y451" s="47"/>
      <c r="Z451" s="47" t="s">
        <v>146</v>
      </c>
      <c r="AA451" s="49"/>
      <c r="AB451" s="49"/>
      <c r="AC451" s="49"/>
      <c r="AD451" s="50"/>
      <c r="AE451" s="47"/>
      <c r="AF451" s="47"/>
      <c r="AG451"/>
      <c r="AH451"/>
      <c r="AI451"/>
      <c r="AJ451"/>
      <c r="AK451"/>
      <c r="AL451"/>
      <c r="AM451"/>
      <c r="AN451"/>
      <c r="AO451"/>
      <c r="AP451"/>
      <c r="AQ451"/>
      <c r="AR451" s="32" t="s">
        <v>1261</v>
      </c>
      <c r="AU451">
        <v>447</v>
      </c>
    </row>
    <row r="452" spans="1:47" x14ac:dyDescent="0.2">
      <c r="A452" s="37">
        <v>5901</v>
      </c>
      <c r="B452" s="38" t="s">
        <v>85</v>
      </c>
      <c r="C452" s="39" t="s">
        <v>1262</v>
      </c>
      <c r="D452" s="29"/>
      <c r="E452" s="38" t="s">
        <v>175</v>
      </c>
      <c r="F452" s="32" t="s">
        <v>150</v>
      </c>
      <c r="G452" s="47" t="s">
        <v>49</v>
      </c>
      <c r="H452"/>
      <c r="I452" s="31" t="b">
        <v>0</v>
      </c>
      <c r="J452" s="47" t="b">
        <v>1</v>
      </c>
      <c r="K452" s="47">
        <f>(2*43+2*16)*2.2</f>
        <v>259.60000000000002</v>
      </c>
      <c r="L452" s="48">
        <v>8</v>
      </c>
      <c r="M452" s="47"/>
      <c r="N452" s="47">
        <v>6</v>
      </c>
      <c r="O452" s="47"/>
      <c r="P452" s="47"/>
      <c r="Q452" s="47"/>
      <c r="R452" s="47"/>
      <c r="S452" s="48">
        <v>2</v>
      </c>
      <c r="T452" s="47">
        <v>0</v>
      </c>
      <c r="U452" s="47">
        <v>0</v>
      </c>
      <c r="V452" s="47">
        <v>0</v>
      </c>
      <c r="W452" s="47"/>
      <c r="X452" s="47"/>
      <c r="Y452" s="47" t="s">
        <v>51</v>
      </c>
      <c r="Z452" s="47" t="s">
        <v>146</v>
      </c>
      <c r="AA452" s="49">
        <v>0.41666666666666669</v>
      </c>
      <c r="AB452" s="49"/>
      <c r="AC452" s="49"/>
      <c r="AD452" s="50"/>
      <c r="AE452" s="47" t="s">
        <v>342</v>
      </c>
      <c r="AF452" s="47">
        <v>40</v>
      </c>
      <c r="AG452"/>
      <c r="AH452"/>
      <c r="AI452"/>
      <c r="AJ452"/>
      <c r="AK452">
        <v>4</v>
      </c>
      <c r="AL452"/>
      <c r="AM452"/>
      <c r="AN452"/>
      <c r="AO452"/>
      <c r="AP452"/>
      <c r="AQ452" s="32" t="s">
        <v>1245</v>
      </c>
      <c r="AR452" s="32" t="s">
        <v>1263</v>
      </c>
      <c r="AU452">
        <v>448</v>
      </c>
    </row>
    <row r="453" spans="1:47" x14ac:dyDescent="0.2">
      <c r="A453" s="37">
        <v>5901</v>
      </c>
      <c r="B453" s="38" t="s">
        <v>85</v>
      </c>
      <c r="C453" s="39" t="s">
        <v>346</v>
      </c>
      <c r="D453" s="29"/>
      <c r="E453" s="38" t="s">
        <v>175</v>
      </c>
      <c r="F453" s="32" t="s">
        <v>150</v>
      </c>
      <c r="G453" s="47" t="s">
        <v>49</v>
      </c>
      <c r="H453"/>
      <c r="I453" s="31" t="b">
        <v>0</v>
      </c>
      <c r="J453" s="47" t="b">
        <v>1</v>
      </c>
      <c r="K453" s="47">
        <f>(20*10+1*43+2*10)*2.2</f>
        <v>578.6</v>
      </c>
      <c r="L453" s="48">
        <v>7</v>
      </c>
      <c r="M453" s="47"/>
      <c r="N453" s="47">
        <v>2</v>
      </c>
      <c r="O453" s="47"/>
      <c r="P453" s="47"/>
      <c r="Q453" s="47"/>
      <c r="R453" s="47"/>
      <c r="S453" s="48">
        <v>5</v>
      </c>
      <c r="T453" s="47">
        <v>0</v>
      </c>
      <c r="U453" s="47">
        <v>2</v>
      </c>
      <c r="V453" s="47">
        <v>0</v>
      </c>
      <c r="W453" s="47"/>
      <c r="X453" s="47"/>
      <c r="Y453" s="47" t="s">
        <v>120</v>
      </c>
      <c r="Z453" s="47" t="s">
        <v>146</v>
      </c>
      <c r="AA453" s="49">
        <v>0.41388888888888892</v>
      </c>
      <c r="AB453" s="49">
        <v>0.5625</v>
      </c>
      <c r="AC453" s="49">
        <f>AVERAGE(AA453:AB453)</f>
        <v>0.48819444444444449</v>
      </c>
      <c r="AD453" s="50">
        <f>(AB453-AA453)*24</f>
        <v>3.566666666666666</v>
      </c>
      <c r="AE453" s="31" t="s">
        <v>342</v>
      </c>
      <c r="AF453" s="47">
        <v>40</v>
      </c>
      <c r="AG453"/>
      <c r="AH453"/>
      <c r="AI453"/>
      <c r="AJ453"/>
      <c r="AK453">
        <v>23</v>
      </c>
      <c r="AL453"/>
      <c r="AM453"/>
      <c r="AN453"/>
      <c r="AO453"/>
      <c r="AP453"/>
      <c r="AQ453" t="s">
        <v>1264</v>
      </c>
      <c r="AR453" s="32" t="s">
        <v>1265</v>
      </c>
      <c r="AU453">
        <v>449</v>
      </c>
    </row>
    <row r="454" spans="1:47" x14ac:dyDescent="0.2">
      <c r="A454" s="37">
        <v>5901</v>
      </c>
      <c r="B454" s="38" t="s">
        <v>45</v>
      </c>
      <c r="C454" s="39" t="s">
        <v>425</v>
      </c>
      <c r="D454" s="29"/>
      <c r="E454" s="38" t="s">
        <v>512</v>
      </c>
      <c r="F454" s="32" t="s">
        <v>150</v>
      </c>
      <c r="G454" s="47" t="s">
        <v>49</v>
      </c>
      <c r="H454"/>
      <c r="I454" s="96" t="s">
        <v>1266</v>
      </c>
      <c r="J454" s="97"/>
      <c r="K454" s="99">
        <f>(2*43+32*16+3*8)*2.2</f>
        <v>1368.4</v>
      </c>
      <c r="L454" s="48">
        <v>8</v>
      </c>
      <c r="M454" s="47"/>
      <c r="N454" s="47"/>
      <c r="O454" s="47"/>
      <c r="P454" s="47"/>
      <c r="Q454" s="47"/>
      <c r="R454" s="47"/>
      <c r="S454" s="48">
        <v>8</v>
      </c>
      <c r="T454" s="47">
        <v>0</v>
      </c>
      <c r="U454" s="47">
        <v>0</v>
      </c>
      <c r="V454" s="47">
        <v>0</v>
      </c>
      <c r="W454" s="47"/>
      <c r="X454" s="47"/>
      <c r="Y454" s="47" t="s">
        <v>51</v>
      </c>
      <c r="Z454" s="47" t="s">
        <v>146</v>
      </c>
      <c r="AA454" s="49">
        <v>0.95833333333333337</v>
      </c>
      <c r="AB454" s="49">
        <v>8.3333333333333329E-2</v>
      </c>
      <c r="AC454" s="119">
        <v>2.0833333333333332E-2</v>
      </c>
      <c r="AD454" s="50">
        <v>3</v>
      </c>
      <c r="AE454" s="47" t="s">
        <v>342</v>
      </c>
      <c r="AF454" s="47">
        <v>35</v>
      </c>
      <c r="AG454"/>
      <c r="AH454"/>
      <c r="AI454"/>
      <c r="AJ454"/>
      <c r="AK454">
        <v>37</v>
      </c>
      <c r="AL454"/>
      <c r="AM454"/>
      <c r="AN454"/>
      <c r="AO454"/>
      <c r="AP454"/>
      <c r="AQ454" s="32" t="s">
        <v>1267</v>
      </c>
      <c r="AU454">
        <v>450</v>
      </c>
    </row>
    <row r="455" spans="1:47" x14ac:dyDescent="0.2">
      <c r="A455" s="26">
        <v>5901</v>
      </c>
      <c r="B455" s="27">
        <v>0.53125</v>
      </c>
      <c r="C455" s="28"/>
      <c r="D455" s="29"/>
      <c r="E455" s="30" t="s">
        <v>1124</v>
      </c>
      <c r="H455" s="32">
        <v>1</v>
      </c>
      <c r="I455" s="32" t="s">
        <v>1268</v>
      </c>
      <c r="AG455" s="32">
        <v>5</v>
      </c>
      <c r="AH455" s="32">
        <v>10</v>
      </c>
      <c r="AK455" s="32">
        <v>28</v>
      </c>
      <c r="AL455" s="32">
        <f>35/60</f>
        <v>0.58333333333333337</v>
      </c>
      <c r="AO455" s="46" t="s">
        <v>1126</v>
      </c>
      <c r="AP455" s="32">
        <f>35/60</f>
        <v>0.58333333333333337</v>
      </c>
      <c r="AQ455" s="32" t="s">
        <v>589</v>
      </c>
      <c r="AU455">
        <v>451</v>
      </c>
    </row>
    <row r="456" spans="1:47" x14ac:dyDescent="0.2">
      <c r="A456" s="37">
        <v>5905</v>
      </c>
      <c r="B456" s="38" t="s">
        <v>85</v>
      </c>
      <c r="C456" s="39" t="s">
        <v>1251</v>
      </c>
      <c r="D456" s="29"/>
      <c r="E456" s="38" t="s">
        <v>881</v>
      </c>
      <c r="F456" s="31" t="s">
        <v>1269</v>
      </c>
      <c r="G456" s="31" t="s">
        <v>69</v>
      </c>
      <c r="H456" s="32"/>
      <c r="I456" s="32" t="s">
        <v>1270</v>
      </c>
      <c r="S456" s="33">
        <v>2</v>
      </c>
      <c r="Y456" s="47" t="s">
        <v>51</v>
      </c>
      <c r="Z456" s="47" t="s">
        <v>1241</v>
      </c>
      <c r="AE456" s="47" t="s">
        <v>342</v>
      </c>
      <c r="AO456" s="46"/>
      <c r="AQ456" s="32" t="s">
        <v>1271</v>
      </c>
      <c r="AU456">
        <v>452</v>
      </c>
    </row>
    <row r="457" spans="1:47" x14ac:dyDescent="0.2">
      <c r="A457" s="37">
        <v>5905</v>
      </c>
      <c r="B457" s="38" t="s">
        <v>45</v>
      </c>
      <c r="C457" s="39" t="s">
        <v>425</v>
      </c>
      <c r="D457" s="29"/>
      <c r="E457" s="38" t="s">
        <v>175</v>
      </c>
      <c r="F457" s="31" t="s">
        <v>150</v>
      </c>
      <c r="G457" s="31" t="s">
        <v>49</v>
      </c>
      <c r="H457" s="32"/>
      <c r="I457" s="32" t="s">
        <v>1272</v>
      </c>
      <c r="K457" s="31">
        <f>(30*16+14*10)*2.2</f>
        <v>1364</v>
      </c>
      <c r="S457" s="33">
        <v>8</v>
      </c>
      <c r="T457" s="31">
        <v>0</v>
      </c>
      <c r="U457" s="31">
        <v>0</v>
      </c>
      <c r="V457" s="31">
        <v>0</v>
      </c>
      <c r="Y457" s="31" t="s">
        <v>51</v>
      </c>
      <c r="Z457" s="47" t="s">
        <v>146</v>
      </c>
      <c r="AA457" s="34">
        <v>0.85416666666666663</v>
      </c>
      <c r="AB457" s="34">
        <v>1</v>
      </c>
      <c r="AC457" s="49">
        <f>AVERAGE(AA457:AB457)</f>
        <v>0.92708333333333326</v>
      </c>
      <c r="AD457" s="50">
        <f>(AB457-AA457)*24</f>
        <v>3.5000000000000009</v>
      </c>
      <c r="AE457" s="47" t="s">
        <v>342</v>
      </c>
      <c r="AF457" s="47">
        <v>40</v>
      </c>
      <c r="AK457" s="32">
        <v>44</v>
      </c>
      <c r="AO457" s="46"/>
      <c r="AQ457" s="32" t="s">
        <v>1273</v>
      </c>
      <c r="AU457">
        <v>453</v>
      </c>
    </row>
    <row r="458" spans="1:47" x14ac:dyDescent="0.2">
      <c r="A458" s="37">
        <v>5906</v>
      </c>
      <c r="B458" s="38" t="s">
        <v>85</v>
      </c>
      <c r="C458" s="39" t="s">
        <v>1262</v>
      </c>
      <c r="D458" s="29"/>
      <c r="E458" s="38" t="s">
        <v>653</v>
      </c>
      <c r="F458" s="31" t="s">
        <v>220</v>
      </c>
      <c r="G458" s="31" t="s">
        <v>49</v>
      </c>
      <c r="H458" s="32"/>
      <c r="I458" s="32" t="s">
        <v>1274</v>
      </c>
      <c r="K458" s="31">
        <f>(2*43+2*16+6*7.25)*2.2</f>
        <v>355.3</v>
      </c>
      <c r="S458" s="33">
        <v>3</v>
      </c>
      <c r="T458" s="31">
        <v>0</v>
      </c>
      <c r="U458" s="31">
        <v>0</v>
      </c>
      <c r="V458" s="31">
        <v>0</v>
      </c>
      <c r="Y458" s="31" t="s">
        <v>120</v>
      </c>
      <c r="Z458" s="47" t="s">
        <v>146</v>
      </c>
      <c r="AE458" s="47" t="s">
        <v>342</v>
      </c>
      <c r="AF458" s="31">
        <v>47</v>
      </c>
      <c r="AK458" s="32">
        <v>10</v>
      </c>
      <c r="AO458" s="46"/>
      <c r="AQ458" s="32" t="s">
        <v>1273</v>
      </c>
      <c r="AU458">
        <v>454</v>
      </c>
    </row>
    <row r="459" spans="1:47" x14ac:dyDescent="0.2">
      <c r="A459" s="37">
        <v>5906</v>
      </c>
      <c r="B459" s="38" t="s">
        <v>85</v>
      </c>
      <c r="C459" s="39" t="s">
        <v>346</v>
      </c>
      <c r="D459" s="29"/>
      <c r="E459" s="38" t="s">
        <v>653</v>
      </c>
      <c r="F459" s="31" t="s">
        <v>220</v>
      </c>
      <c r="G459" s="31" t="s">
        <v>49</v>
      </c>
      <c r="H459" s="32"/>
      <c r="I459" s="32" t="s">
        <v>1275</v>
      </c>
      <c r="K459" s="31">
        <f>(29*10+1*43)*2.2</f>
        <v>732.6</v>
      </c>
      <c r="L459" s="33">
        <v>8</v>
      </c>
      <c r="N459" s="31">
        <v>2</v>
      </c>
      <c r="S459" s="33">
        <v>6</v>
      </c>
      <c r="Y459" s="47" t="s">
        <v>51</v>
      </c>
      <c r="Z459" s="47" t="s">
        <v>146</v>
      </c>
      <c r="AA459" s="34">
        <v>0.46111111111111108</v>
      </c>
      <c r="AB459" s="34">
        <v>0.55555555555555558</v>
      </c>
      <c r="AC459" s="49">
        <f>AVERAGE(AA459:AB459)</f>
        <v>0.5083333333333333</v>
      </c>
      <c r="AD459" s="50">
        <f>(AB459-AA459)*24</f>
        <v>2.2666666666666679</v>
      </c>
      <c r="AE459" s="31" t="s">
        <v>342</v>
      </c>
      <c r="AF459" s="31">
        <v>47</v>
      </c>
      <c r="AK459" s="32">
        <v>30</v>
      </c>
      <c r="AO459" s="46"/>
      <c r="AQ459" t="s">
        <v>1276</v>
      </c>
      <c r="AU459">
        <v>455</v>
      </c>
    </row>
    <row r="460" spans="1:47" x14ac:dyDescent="0.2">
      <c r="A460" s="37">
        <v>5906</v>
      </c>
      <c r="B460" s="38" t="s">
        <v>85</v>
      </c>
      <c r="C460" s="39" t="s">
        <v>346</v>
      </c>
      <c r="D460" s="29"/>
      <c r="E460" s="38" t="s">
        <v>1277</v>
      </c>
      <c r="F460" s="31" t="s">
        <v>220</v>
      </c>
      <c r="G460" s="31" t="s">
        <v>49</v>
      </c>
      <c r="H460" s="32"/>
      <c r="I460" s="32" t="s">
        <v>1278</v>
      </c>
      <c r="K460" s="31">
        <f>9*10*2.2</f>
        <v>198.00000000000003</v>
      </c>
      <c r="L460" s="33">
        <v>2</v>
      </c>
      <c r="S460" s="33">
        <v>2</v>
      </c>
      <c r="T460" s="31">
        <v>0</v>
      </c>
      <c r="U460" s="31">
        <v>0</v>
      </c>
      <c r="V460" s="31">
        <v>0</v>
      </c>
      <c r="Y460" s="47" t="s">
        <v>51</v>
      </c>
      <c r="Z460" s="47" t="s">
        <v>146</v>
      </c>
      <c r="AA460" s="34">
        <v>0.46111111111111108</v>
      </c>
      <c r="AB460" s="34">
        <v>0.55555555555555558</v>
      </c>
      <c r="AC460" s="49">
        <f>AVERAGE(AA460:AB460)</f>
        <v>0.5083333333333333</v>
      </c>
      <c r="AD460" s="50">
        <f>(AB460-AA460)*24</f>
        <v>2.2666666666666679</v>
      </c>
      <c r="AE460" s="31" t="s">
        <v>342</v>
      </c>
      <c r="AF460" s="31">
        <v>45</v>
      </c>
      <c r="AK460" s="32">
        <v>9</v>
      </c>
      <c r="AO460" s="46"/>
      <c r="AQ460" s="32" t="s">
        <v>1279</v>
      </c>
      <c r="AU460">
        <v>456</v>
      </c>
    </row>
    <row r="461" spans="1:47" x14ac:dyDescent="0.2">
      <c r="A461" s="37">
        <v>5907</v>
      </c>
      <c r="B461" s="38" t="s">
        <v>45</v>
      </c>
      <c r="C461" s="39" t="s">
        <v>142</v>
      </c>
      <c r="D461" s="29"/>
      <c r="E461" s="38" t="s">
        <v>788</v>
      </c>
      <c r="F461" s="31" t="s">
        <v>662</v>
      </c>
      <c r="G461" s="31" t="s">
        <v>49</v>
      </c>
      <c r="H461" s="32"/>
      <c r="I461" s="32" t="s">
        <v>1280</v>
      </c>
      <c r="K461" s="31">
        <f>8*10*2.2</f>
        <v>176</v>
      </c>
      <c r="L461" s="33">
        <v>8</v>
      </c>
      <c r="M461" s="31">
        <v>7</v>
      </c>
      <c r="S461" s="33">
        <v>1</v>
      </c>
      <c r="T461" s="31">
        <v>0</v>
      </c>
      <c r="U461" s="31">
        <v>0</v>
      </c>
      <c r="V461" s="31">
        <v>0</v>
      </c>
      <c r="Y461" s="31" t="s">
        <v>51</v>
      </c>
      <c r="Z461" s="31" t="s">
        <v>146</v>
      </c>
      <c r="AA461" s="34">
        <v>0.94097222222222221</v>
      </c>
      <c r="AB461" s="34">
        <v>1.0208333333333333</v>
      </c>
      <c r="AC461" s="34">
        <v>0.98611111111111116</v>
      </c>
      <c r="AD461" s="50">
        <f>(AB461-AA461)*24</f>
        <v>1.9166666666666652</v>
      </c>
      <c r="AE461" s="47" t="s">
        <v>342</v>
      </c>
      <c r="AF461" s="47">
        <v>55</v>
      </c>
      <c r="AK461" s="32">
        <v>8</v>
      </c>
      <c r="AO461" s="46"/>
      <c r="AQ461" s="32" t="s">
        <v>1273</v>
      </c>
      <c r="AU461">
        <v>457</v>
      </c>
    </row>
    <row r="462" spans="1:47" x14ac:dyDescent="0.2">
      <c r="A462" s="26">
        <v>5907</v>
      </c>
      <c r="B462" s="27">
        <v>0.5625</v>
      </c>
      <c r="C462" s="28"/>
      <c r="D462" s="29"/>
      <c r="E462" s="30" t="s">
        <v>653</v>
      </c>
      <c r="H462" s="32">
        <v>1</v>
      </c>
      <c r="I462" s="32" t="s">
        <v>1281</v>
      </c>
      <c r="AK462" s="32">
        <v>40</v>
      </c>
      <c r="AO462" s="32" t="s">
        <v>655</v>
      </c>
      <c r="AQ462" s="32">
        <v>447</v>
      </c>
      <c r="AU462">
        <v>458</v>
      </c>
    </row>
    <row r="463" spans="1:47" x14ac:dyDescent="0.2">
      <c r="A463" s="26">
        <v>5908</v>
      </c>
      <c r="B463" s="27">
        <v>3.4722222222222224E-2</v>
      </c>
      <c r="C463" s="28"/>
      <c r="D463" s="29"/>
      <c r="E463" s="30" t="s">
        <v>1282</v>
      </c>
      <c r="H463" s="32">
        <v>0</v>
      </c>
      <c r="I463" s="32" t="s">
        <v>1283</v>
      </c>
      <c r="AG463" s="32">
        <v>0</v>
      </c>
      <c r="AH463" s="32">
        <v>0</v>
      </c>
      <c r="AI463" s="32">
        <v>0</v>
      </c>
      <c r="AK463" s="32">
        <v>0</v>
      </c>
      <c r="AL463" s="32">
        <f>1/6</f>
        <v>0.16666666666666666</v>
      </c>
      <c r="AP463" s="32">
        <f>1/6</f>
        <v>0.16666666666666666</v>
      </c>
      <c r="AQ463" s="32" t="s">
        <v>1284</v>
      </c>
      <c r="AU463">
        <v>459</v>
      </c>
    </row>
    <row r="464" spans="1:47" x14ac:dyDescent="0.2">
      <c r="A464" s="26">
        <v>5908</v>
      </c>
      <c r="B464" s="27" t="s">
        <v>85</v>
      </c>
      <c r="C464" s="28"/>
      <c r="D464" s="29"/>
      <c r="E464" s="30" t="s">
        <v>1285</v>
      </c>
      <c r="H464" s="32">
        <v>1</v>
      </c>
      <c r="I464" s="32" t="s">
        <v>1286</v>
      </c>
      <c r="AI464" s="32">
        <v>1760</v>
      </c>
      <c r="AO464" s="32" t="s">
        <v>472</v>
      </c>
      <c r="AQ464" s="32" t="s">
        <v>589</v>
      </c>
      <c r="AU464">
        <v>460</v>
      </c>
    </row>
    <row r="465" spans="1:47" x14ac:dyDescent="0.2">
      <c r="A465" s="44">
        <v>5911</v>
      </c>
      <c r="B465" s="42" t="s">
        <v>45</v>
      </c>
      <c r="C465" s="43" t="s">
        <v>425</v>
      </c>
      <c r="D465" s="29"/>
      <c r="E465" s="36" t="s">
        <v>1287</v>
      </c>
      <c r="F465" s="31" t="s">
        <v>340</v>
      </c>
      <c r="G465" s="31" t="s">
        <v>49</v>
      </c>
      <c r="H465" s="32"/>
      <c r="I465" s="32" t="b">
        <v>1</v>
      </c>
      <c r="J465" s="31" t="b">
        <v>1</v>
      </c>
      <c r="S465" s="33">
        <v>7</v>
      </c>
      <c r="T465" s="31">
        <v>0</v>
      </c>
      <c r="U465" s="31">
        <v>0</v>
      </c>
      <c r="V465" s="31">
        <v>0</v>
      </c>
      <c r="Y465" s="31" t="s">
        <v>51</v>
      </c>
      <c r="Z465" s="47" t="s">
        <v>146</v>
      </c>
      <c r="AE465" s="47" t="s">
        <v>342</v>
      </c>
      <c r="AF465" s="47">
        <v>55</v>
      </c>
      <c r="AK465" s="32">
        <v>48</v>
      </c>
      <c r="AQ465" s="32" t="s">
        <v>1288</v>
      </c>
      <c r="AR465" s="32" t="s">
        <v>1289</v>
      </c>
      <c r="AU465">
        <v>461</v>
      </c>
    </row>
    <row r="466" spans="1:47" x14ac:dyDescent="0.2">
      <c r="A466" s="44">
        <v>5911</v>
      </c>
      <c r="B466" s="42" t="s">
        <v>45</v>
      </c>
      <c r="C466" s="43" t="s">
        <v>425</v>
      </c>
      <c r="D466" s="29"/>
      <c r="E466" s="36" t="s">
        <v>788</v>
      </c>
      <c r="F466" s="31" t="s">
        <v>220</v>
      </c>
      <c r="G466" s="31" t="s">
        <v>49</v>
      </c>
      <c r="H466" s="32"/>
      <c r="I466" s="32" t="b">
        <v>0</v>
      </c>
      <c r="J466" s="31" t="b">
        <v>0</v>
      </c>
      <c r="Y466" s="31" t="s">
        <v>51</v>
      </c>
      <c r="Z466" s="47" t="s">
        <v>146</v>
      </c>
      <c r="AE466" s="47" t="s">
        <v>342</v>
      </c>
      <c r="AF466" s="47">
        <v>55</v>
      </c>
      <c r="AK466" s="32">
        <v>9</v>
      </c>
      <c r="AQ466" s="32" t="s">
        <v>1288</v>
      </c>
      <c r="AR466" s="32" t="s">
        <v>1290</v>
      </c>
      <c r="AU466">
        <v>462</v>
      </c>
    </row>
    <row r="467" spans="1:47" x14ac:dyDescent="0.2">
      <c r="A467" s="44">
        <v>5911</v>
      </c>
      <c r="B467" s="42" t="s">
        <v>45</v>
      </c>
      <c r="C467" s="43" t="s">
        <v>425</v>
      </c>
      <c r="D467" s="29"/>
      <c r="E467" s="36" t="s">
        <v>512</v>
      </c>
      <c r="F467" s="31" t="s">
        <v>220</v>
      </c>
      <c r="G467" s="31" t="s">
        <v>49</v>
      </c>
      <c r="H467" s="32"/>
      <c r="I467" s="32" t="b">
        <v>0</v>
      </c>
      <c r="J467" s="31" t="b">
        <v>0</v>
      </c>
      <c r="Y467" s="31" t="s">
        <v>51</v>
      </c>
      <c r="Z467" s="47" t="s">
        <v>146</v>
      </c>
      <c r="AE467" s="47" t="s">
        <v>342</v>
      </c>
      <c r="AF467" s="47">
        <v>35</v>
      </c>
      <c r="AK467" s="32">
        <v>8</v>
      </c>
      <c r="AQ467" s="32" t="s">
        <v>1288</v>
      </c>
      <c r="AR467" s="32" t="s">
        <v>1290</v>
      </c>
      <c r="AU467">
        <v>463</v>
      </c>
    </row>
    <row r="468" spans="1:47" x14ac:dyDescent="0.2">
      <c r="A468" s="44">
        <v>5911</v>
      </c>
      <c r="B468" s="42" t="s">
        <v>45</v>
      </c>
      <c r="C468" s="43" t="s">
        <v>425</v>
      </c>
      <c r="D468" s="29"/>
      <c r="E468" s="36" t="s">
        <v>1048</v>
      </c>
      <c r="F468" s="31" t="s">
        <v>220</v>
      </c>
      <c r="G468" s="31" t="s">
        <v>49</v>
      </c>
      <c r="H468" s="32"/>
      <c r="I468" s="32" t="b">
        <v>0</v>
      </c>
      <c r="J468" s="31" t="b">
        <v>0</v>
      </c>
      <c r="Y468" s="31" t="s">
        <v>51</v>
      </c>
      <c r="Z468" s="47" t="s">
        <v>146</v>
      </c>
      <c r="AE468" s="47" t="s">
        <v>342</v>
      </c>
      <c r="AF468" s="47">
        <v>40</v>
      </c>
      <c r="AK468" s="32">
        <v>31</v>
      </c>
      <c r="AQ468" s="32" t="s">
        <v>1288</v>
      </c>
      <c r="AR468" s="32" t="s">
        <v>1290</v>
      </c>
      <c r="AU468">
        <v>464</v>
      </c>
    </row>
    <row r="469" spans="1:47" x14ac:dyDescent="0.2">
      <c r="A469" s="26">
        <v>5911</v>
      </c>
      <c r="B469" s="27">
        <v>0.95833333333333337</v>
      </c>
      <c r="C469" s="28"/>
      <c r="D469" s="29"/>
      <c r="E469" s="30" t="s">
        <v>1124</v>
      </c>
      <c r="H469" s="32">
        <v>1</v>
      </c>
      <c r="I469" s="32" t="s">
        <v>1246</v>
      </c>
      <c r="AG469" s="32">
        <v>0</v>
      </c>
      <c r="AH469" s="32">
        <v>0</v>
      </c>
      <c r="AK469" s="32">
        <v>6</v>
      </c>
      <c r="AL469" s="32">
        <f>70/60</f>
        <v>1.1666666666666667</v>
      </c>
      <c r="AO469" s="46" t="s">
        <v>1126</v>
      </c>
      <c r="AP469" s="32">
        <f>70/60</f>
        <v>1.1666666666666667</v>
      </c>
      <c r="AQ469" s="32" t="s">
        <v>589</v>
      </c>
      <c r="AU469">
        <v>465</v>
      </c>
    </row>
    <row r="470" spans="1:47" x14ac:dyDescent="0.2">
      <c r="A470" s="37">
        <v>5912</v>
      </c>
      <c r="B470" s="38" t="s">
        <v>85</v>
      </c>
      <c r="C470" s="39" t="s">
        <v>1291</v>
      </c>
      <c r="D470" s="29"/>
      <c r="E470" s="38" t="s">
        <v>1104</v>
      </c>
      <c r="F470" s="32" t="s">
        <v>150</v>
      </c>
      <c r="G470" s="47" t="s">
        <v>49</v>
      </c>
      <c r="H470"/>
      <c r="I470" s="32" t="s">
        <v>1292</v>
      </c>
      <c r="J470" s="47"/>
      <c r="K470" s="47"/>
      <c r="L470" s="48"/>
      <c r="M470" s="47"/>
      <c r="N470" s="47"/>
      <c r="O470" s="47"/>
      <c r="P470" s="47"/>
      <c r="Q470" s="47"/>
      <c r="R470" s="47"/>
      <c r="S470" s="48"/>
      <c r="T470" s="47"/>
      <c r="U470" s="47"/>
      <c r="V470" s="47"/>
      <c r="W470" s="47"/>
      <c r="X470" s="47"/>
      <c r="Y470" s="47"/>
      <c r="Z470" s="47"/>
      <c r="AA470" s="49"/>
      <c r="AB470" s="49"/>
      <c r="AC470" s="49"/>
      <c r="AD470" s="50"/>
      <c r="AE470" s="47"/>
      <c r="AF470" s="47"/>
      <c r="AG470"/>
      <c r="AH470"/>
      <c r="AI470"/>
      <c r="AJ470"/>
      <c r="AK470"/>
      <c r="AL470"/>
      <c r="AM470"/>
      <c r="AN470"/>
      <c r="AO470"/>
      <c r="AP470"/>
      <c r="AQ470" s="32" t="s">
        <v>1293</v>
      </c>
      <c r="AU470">
        <v>466</v>
      </c>
    </row>
    <row r="471" spans="1:47" x14ac:dyDescent="0.2">
      <c r="A471" s="37">
        <v>5912</v>
      </c>
      <c r="B471" s="38" t="s">
        <v>85</v>
      </c>
      <c r="C471" s="39" t="s">
        <v>346</v>
      </c>
      <c r="D471" s="29"/>
      <c r="E471" s="38" t="s">
        <v>1104</v>
      </c>
      <c r="F471" s="32" t="s">
        <v>150</v>
      </c>
      <c r="G471" s="47" t="s">
        <v>49</v>
      </c>
      <c r="H471"/>
      <c r="I471" s="32" t="s">
        <v>1294</v>
      </c>
      <c r="J471" s="47"/>
      <c r="K471" s="47">
        <f>49*10*2.2</f>
        <v>1078</v>
      </c>
      <c r="L471" s="48">
        <v>11</v>
      </c>
      <c r="M471" s="47"/>
      <c r="N471" s="47">
        <v>1</v>
      </c>
      <c r="O471" s="47"/>
      <c r="P471" s="47"/>
      <c r="Q471" s="47"/>
      <c r="R471" s="47"/>
      <c r="S471" s="48">
        <v>10</v>
      </c>
      <c r="T471" s="47">
        <v>0</v>
      </c>
      <c r="U471" s="47">
        <v>0</v>
      </c>
      <c r="V471" s="47">
        <v>0</v>
      </c>
      <c r="W471" s="47"/>
      <c r="X471" s="47"/>
      <c r="Y471" s="47" t="s">
        <v>51</v>
      </c>
      <c r="Z471" s="47" t="s">
        <v>146</v>
      </c>
      <c r="AA471" s="49">
        <v>0.36736111111111108</v>
      </c>
      <c r="AB471" s="49">
        <v>0.4694444444444445</v>
      </c>
      <c r="AC471" s="49">
        <f>AVERAGE(AA471:AB471)</f>
        <v>0.41840277777777779</v>
      </c>
      <c r="AD471" s="50">
        <f>(AB471-AA471)*24</f>
        <v>2.450000000000002</v>
      </c>
      <c r="AE471" s="31" t="s">
        <v>342</v>
      </c>
      <c r="AF471" s="47">
        <v>40</v>
      </c>
      <c r="AG471"/>
      <c r="AH471"/>
      <c r="AI471"/>
      <c r="AJ471"/>
      <c r="AK471">
        <v>49</v>
      </c>
      <c r="AL471"/>
      <c r="AM471"/>
      <c r="AN471"/>
      <c r="AO471"/>
      <c r="AP471"/>
      <c r="AQ471" t="s">
        <v>1295</v>
      </c>
      <c r="AU471">
        <v>467</v>
      </c>
    </row>
    <row r="472" spans="1:47" x14ac:dyDescent="0.2">
      <c r="A472" s="37">
        <v>5912</v>
      </c>
      <c r="B472" s="38" t="s">
        <v>85</v>
      </c>
      <c r="C472" s="39" t="s">
        <v>1296</v>
      </c>
      <c r="D472" s="29"/>
      <c r="E472" s="38" t="s">
        <v>1297</v>
      </c>
      <c r="F472" s="52" t="s">
        <v>529</v>
      </c>
      <c r="G472" s="47" t="s">
        <v>205</v>
      </c>
      <c r="H472"/>
      <c r="I472" s="32" t="s">
        <v>1298</v>
      </c>
      <c r="J472" s="47"/>
      <c r="K472" s="47">
        <f>24*10*2.2</f>
        <v>528</v>
      </c>
      <c r="L472" s="48">
        <v>8</v>
      </c>
      <c r="M472" s="47"/>
      <c r="N472" s="47"/>
      <c r="O472" s="47"/>
      <c r="P472" s="47"/>
      <c r="Q472" s="47"/>
      <c r="R472" s="47"/>
      <c r="S472" s="48"/>
      <c r="T472" s="47">
        <v>0</v>
      </c>
      <c r="U472" s="47">
        <v>0</v>
      </c>
      <c r="V472" s="47">
        <v>0</v>
      </c>
      <c r="W472" s="47"/>
      <c r="X472" s="47"/>
      <c r="Y472" s="47" t="s">
        <v>51</v>
      </c>
      <c r="Z472" s="47" t="s">
        <v>1299</v>
      </c>
      <c r="AA472" s="49">
        <v>0.375</v>
      </c>
      <c r="AB472" s="49">
        <v>0.46527777777777773</v>
      </c>
      <c r="AC472" s="49">
        <f>AVERAGE(AA472:AB472)</f>
        <v>0.42013888888888884</v>
      </c>
      <c r="AD472" s="50">
        <f>(AB472-AA472)*24</f>
        <v>2.1666666666666656</v>
      </c>
      <c r="AE472" s="71" t="s">
        <v>132</v>
      </c>
      <c r="AF472" s="47">
        <v>45</v>
      </c>
      <c r="AG472"/>
      <c r="AH472"/>
      <c r="AI472"/>
      <c r="AJ472"/>
      <c r="AK472">
        <v>24</v>
      </c>
      <c r="AL472"/>
      <c r="AM472"/>
      <c r="AN472"/>
      <c r="AO472"/>
      <c r="AP472"/>
      <c r="AQ472" t="s">
        <v>1300</v>
      </c>
      <c r="AU472">
        <v>468</v>
      </c>
    </row>
    <row r="473" spans="1:47" x14ac:dyDescent="0.2">
      <c r="A473" s="37">
        <v>5912</v>
      </c>
      <c r="B473" s="38" t="s">
        <v>85</v>
      </c>
      <c r="C473" s="39" t="s">
        <v>1251</v>
      </c>
      <c r="D473" s="29"/>
      <c r="E473" s="38" t="s">
        <v>857</v>
      </c>
      <c r="F473" s="32" t="s">
        <v>150</v>
      </c>
      <c r="G473" s="47" t="s">
        <v>49</v>
      </c>
      <c r="H473"/>
      <c r="I473" s="32" t="s">
        <v>1301</v>
      </c>
      <c r="J473" s="47"/>
      <c r="K473" s="47">
        <f>10*10*2.2</f>
        <v>220.00000000000003</v>
      </c>
      <c r="L473" s="48">
        <v>2</v>
      </c>
      <c r="M473" s="47"/>
      <c r="N473" s="47"/>
      <c r="O473" s="47"/>
      <c r="P473" s="47"/>
      <c r="Q473" s="47"/>
      <c r="R473" s="47"/>
      <c r="S473" s="48">
        <v>2</v>
      </c>
      <c r="T473" s="47">
        <v>0</v>
      </c>
      <c r="U473" s="47">
        <v>0</v>
      </c>
      <c r="V473" s="47">
        <v>0</v>
      </c>
      <c r="W473" s="47"/>
      <c r="X473" s="47"/>
      <c r="Y473" s="47" t="s">
        <v>120</v>
      </c>
      <c r="Z473" s="47" t="s">
        <v>1241</v>
      </c>
      <c r="AA473" s="49"/>
      <c r="AB473" s="49"/>
      <c r="AC473" s="49"/>
      <c r="AD473" s="50"/>
      <c r="AE473" s="47" t="s">
        <v>342</v>
      </c>
      <c r="AF473" s="47">
        <v>20</v>
      </c>
      <c r="AG473"/>
      <c r="AH473"/>
      <c r="AI473"/>
      <c r="AJ473"/>
      <c r="AK473">
        <v>10</v>
      </c>
      <c r="AL473"/>
      <c r="AM473"/>
      <c r="AN473"/>
      <c r="AO473"/>
      <c r="AP473"/>
      <c r="AQ473" t="s">
        <v>1302</v>
      </c>
      <c r="AU473">
        <v>469</v>
      </c>
    </row>
    <row r="474" spans="1:47" x14ac:dyDescent="0.2">
      <c r="A474" s="26">
        <v>5912</v>
      </c>
      <c r="B474" s="27">
        <v>0.46875</v>
      </c>
      <c r="C474" s="28"/>
      <c r="D474" s="29"/>
      <c r="E474" s="30" t="s">
        <v>1124</v>
      </c>
      <c r="H474" s="32">
        <v>1</v>
      </c>
      <c r="I474" s="32" t="s">
        <v>1303</v>
      </c>
      <c r="AG474" s="32">
        <v>0</v>
      </c>
      <c r="AH474" s="32">
        <v>2</v>
      </c>
      <c r="AK474" s="32">
        <v>51</v>
      </c>
      <c r="AL474" s="32">
        <v>0.5</v>
      </c>
      <c r="AO474" s="46" t="s">
        <v>1126</v>
      </c>
      <c r="AP474" s="32">
        <v>0.5</v>
      </c>
      <c r="AQ474" s="32" t="s">
        <v>589</v>
      </c>
      <c r="AU474">
        <v>470</v>
      </c>
    </row>
    <row r="475" spans="1:47" x14ac:dyDescent="0.2">
      <c r="A475" s="37">
        <v>5916</v>
      </c>
      <c r="B475" s="38" t="s">
        <v>85</v>
      </c>
      <c r="C475" s="39" t="s">
        <v>1251</v>
      </c>
      <c r="D475" s="29"/>
      <c r="E475" s="38" t="s">
        <v>1304</v>
      </c>
      <c r="F475" s="31" t="s">
        <v>1305</v>
      </c>
      <c r="G475" s="31" t="s">
        <v>73</v>
      </c>
      <c r="H475" s="32"/>
      <c r="I475" s="32" t="s">
        <v>1306</v>
      </c>
      <c r="L475" s="33">
        <v>5</v>
      </c>
      <c r="N475" s="31">
        <v>2</v>
      </c>
      <c r="S475" s="33">
        <v>2</v>
      </c>
      <c r="Y475" s="47" t="s">
        <v>120</v>
      </c>
      <c r="Z475" s="47" t="s">
        <v>1241</v>
      </c>
      <c r="AA475" s="34">
        <v>0.46180555555555558</v>
      </c>
      <c r="AB475" s="34">
        <v>0.54513888888888895</v>
      </c>
      <c r="AC475" s="49">
        <f>AVERAGE(AA475:AB475)</f>
        <v>0.50347222222222232</v>
      </c>
      <c r="AD475" s="50">
        <f>(AB475-AA475)*24</f>
        <v>2.0000000000000009</v>
      </c>
      <c r="AE475" s="47" t="s">
        <v>342</v>
      </c>
      <c r="AF475" s="47">
        <v>20</v>
      </c>
      <c r="AO475" s="46"/>
      <c r="AQ475" s="32" t="s">
        <v>1307</v>
      </c>
      <c r="AU475">
        <v>471</v>
      </c>
    </row>
    <row r="476" spans="1:47" x14ac:dyDescent="0.2">
      <c r="A476" s="37">
        <v>5916</v>
      </c>
      <c r="B476" s="38" t="s">
        <v>45</v>
      </c>
      <c r="C476" s="39" t="s">
        <v>425</v>
      </c>
      <c r="D476" s="29"/>
      <c r="E476" s="38" t="s">
        <v>788</v>
      </c>
      <c r="F476" s="32" t="s">
        <v>150</v>
      </c>
      <c r="G476" s="47" t="s">
        <v>49</v>
      </c>
      <c r="H476"/>
      <c r="I476" s="32" t="s">
        <v>1308</v>
      </c>
      <c r="J476" s="47"/>
      <c r="K476" s="47">
        <f>(16*16+15*10)*2.2</f>
        <v>893.2</v>
      </c>
      <c r="L476" s="48">
        <v>7</v>
      </c>
      <c r="M476" s="47"/>
      <c r="N476" s="47">
        <v>2</v>
      </c>
      <c r="O476" s="47"/>
      <c r="P476" s="47"/>
      <c r="Q476" s="47"/>
      <c r="R476" s="47"/>
      <c r="S476" s="48">
        <v>5</v>
      </c>
      <c r="T476" s="47"/>
      <c r="U476" s="47"/>
      <c r="V476" s="47"/>
      <c r="W476" s="47"/>
      <c r="X476" s="47"/>
      <c r="Y476" s="47" t="s">
        <v>51</v>
      </c>
      <c r="Z476" s="47" t="s">
        <v>146</v>
      </c>
      <c r="AA476" s="49"/>
      <c r="AB476" s="49"/>
      <c r="AC476" s="49"/>
      <c r="AD476" s="50"/>
      <c r="AE476" s="47" t="s">
        <v>342</v>
      </c>
      <c r="AF476" s="47">
        <v>55</v>
      </c>
      <c r="AG476"/>
      <c r="AH476"/>
      <c r="AI476"/>
      <c r="AJ476"/>
      <c r="AK476" s="32">
        <v>31</v>
      </c>
      <c r="AL476"/>
      <c r="AM476"/>
      <c r="AN476"/>
      <c r="AO476"/>
      <c r="AP476"/>
      <c r="AQ476" s="32" t="s">
        <v>1309</v>
      </c>
      <c r="AU476">
        <v>472</v>
      </c>
    </row>
    <row r="477" spans="1:47" x14ac:dyDescent="0.2">
      <c r="A477" s="37">
        <v>5917</v>
      </c>
      <c r="B477" s="38" t="s">
        <v>85</v>
      </c>
      <c r="C477" s="39" t="s">
        <v>253</v>
      </c>
      <c r="D477" s="29"/>
      <c r="E477" s="38" t="s">
        <v>1310</v>
      </c>
      <c r="F477" s="32" t="s">
        <v>150</v>
      </c>
      <c r="G477" s="47"/>
      <c r="H477"/>
      <c r="I477" s="32"/>
      <c r="J477" s="47"/>
      <c r="K477" s="47"/>
      <c r="L477" s="48"/>
      <c r="M477" s="47"/>
      <c r="N477" s="47"/>
      <c r="O477" s="47"/>
      <c r="P477" s="47"/>
      <c r="Q477" s="47"/>
      <c r="R477" s="47"/>
      <c r="S477" s="48"/>
      <c r="T477" s="47"/>
      <c r="U477" s="47"/>
      <c r="V477" s="47"/>
      <c r="W477" s="47"/>
      <c r="X477" s="47"/>
      <c r="Y477" s="47"/>
      <c r="Z477" s="47"/>
      <c r="AA477" s="49"/>
      <c r="AB477" s="49"/>
      <c r="AC477" s="49"/>
      <c r="AD477" s="50"/>
      <c r="AE477" s="47"/>
      <c r="AF477" s="47"/>
      <c r="AG477"/>
      <c r="AH477"/>
      <c r="AI477"/>
      <c r="AJ477"/>
      <c r="AK477"/>
      <c r="AL477"/>
      <c r="AM477"/>
      <c r="AN477"/>
      <c r="AO477"/>
      <c r="AP477"/>
      <c r="AQ477" s="32" t="s">
        <v>1233</v>
      </c>
      <c r="AU477">
        <v>473</v>
      </c>
    </row>
    <row r="478" spans="1:47" x14ac:dyDescent="0.2">
      <c r="A478" s="37">
        <v>5918</v>
      </c>
      <c r="B478" s="38" t="s">
        <v>85</v>
      </c>
      <c r="C478" s="39" t="s">
        <v>1077</v>
      </c>
      <c r="D478" s="29"/>
      <c r="E478" s="38" t="s">
        <v>1310</v>
      </c>
      <c r="F478" s="32" t="s">
        <v>150</v>
      </c>
      <c r="G478" s="47"/>
      <c r="H478"/>
      <c r="I478" s="32" t="s">
        <v>1311</v>
      </c>
      <c r="J478" s="47"/>
      <c r="K478" s="47"/>
      <c r="L478" s="48"/>
      <c r="M478" s="47"/>
      <c r="N478" s="47"/>
      <c r="O478" s="47"/>
      <c r="P478" s="47"/>
      <c r="Q478" s="47"/>
      <c r="R478" s="47"/>
      <c r="S478" s="48"/>
      <c r="T478" s="47"/>
      <c r="U478" s="47"/>
      <c r="V478" s="47"/>
      <c r="W478" s="47"/>
      <c r="X478" s="47"/>
      <c r="Y478" s="47"/>
      <c r="Z478" s="47" t="s">
        <v>1080</v>
      </c>
      <c r="AA478" s="49"/>
      <c r="AB478" s="49"/>
      <c r="AC478" s="49"/>
      <c r="AD478" s="50"/>
      <c r="AE478" s="47" t="s">
        <v>1312</v>
      </c>
      <c r="AF478" s="47">
        <v>100</v>
      </c>
      <c r="AG478"/>
      <c r="AH478"/>
      <c r="AI478"/>
      <c r="AJ478"/>
      <c r="AK478"/>
      <c r="AL478"/>
      <c r="AM478"/>
      <c r="AN478"/>
      <c r="AO478"/>
      <c r="AP478"/>
      <c r="AQ478" t="s">
        <v>1313</v>
      </c>
      <c r="AU478">
        <v>474</v>
      </c>
    </row>
    <row r="479" spans="1:47" x14ac:dyDescent="0.2">
      <c r="A479" s="37">
        <v>5918</v>
      </c>
      <c r="B479" s="38" t="s">
        <v>85</v>
      </c>
      <c r="C479" s="39" t="s">
        <v>1314</v>
      </c>
      <c r="D479" s="29"/>
      <c r="E479" s="38" t="s">
        <v>1310</v>
      </c>
      <c r="F479" s="32" t="s">
        <v>150</v>
      </c>
      <c r="G479" s="47" t="s">
        <v>49</v>
      </c>
      <c r="H479"/>
      <c r="I479" s="32" t="s">
        <v>1315</v>
      </c>
      <c r="J479" s="47"/>
      <c r="K479" s="47">
        <f>40*10*2.2</f>
        <v>880.00000000000011</v>
      </c>
      <c r="L479" s="48">
        <v>10</v>
      </c>
      <c r="M479" s="47"/>
      <c r="N479" s="47"/>
      <c r="O479" s="47"/>
      <c r="P479" s="47"/>
      <c r="Q479" s="47"/>
      <c r="R479" s="47"/>
      <c r="S479" s="48">
        <v>10</v>
      </c>
      <c r="T479" s="47">
        <v>1</v>
      </c>
      <c r="U479" s="47">
        <v>0</v>
      </c>
      <c r="V479" s="47">
        <v>1</v>
      </c>
      <c r="W479" s="47"/>
      <c r="X479" s="47"/>
      <c r="Y479" s="47" t="s">
        <v>120</v>
      </c>
      <c r="Z479" s="47" t="s">
        <v>1316</v>
      </c>
      <c r="AA479" s="49">
        <v>0.36527777777777781</v>
      </c>
      <c r="AB479" s="49">
        <v>0.51249999999999996</v>
      </c>
      <c r="AC479" s="49">
        <f>AVERAGE(AA479:AB479)</f>
        <v>0.43888888888888888</v>
      </c>
      <c r="AD479" s="50">
        <f>(AB479-AA479)*24</f>
        <v>3.5333333333333314</v>
      </c>
      <c r="AE479" s="47" t="s">
        <v>342</v>
      </c>
      <c r="AF479" s="47">
        <v>100</v>
      </c>
      <c r="AG479"/>
      <c r="AH479"/>
      <c r="AI479"/>
      <c r="AJ479"/>
      <c r="AK479">
        <v>40</v>
      </c>
      <c r="AL479"/>
      <c r="AM479"/>
      <c r="AN479"/>
      <c r="AO479"/>
      <c r="AP479"/>
      <c r="AQ479" t="s">
        <v>1317</v>
      </c>
      <c r="AU479">
        <v>475</v>
      </c>
    </row>
    <row r="480" spans="1:47" x14ac:dyDescent="0.2">
      <c r="A480" s="37">
        <v>5918</v>
      </c>
      <c r="B480" s="38" t="s">
        <v>85</v>
      </c>
      <c r="C480" s="39" t="s">
        <v>1251</v>
      </c>
      <c r="D480" s="29"/>
      <c r="E480" s="38" t="s">
        <v>1318</v>
      </c>
      <c r="F480" s="32" t="s">
        <v>688</v>
      </c>
      <c r="G480" s="47"/>
      <c r="H480"/>
      <c r="I480" s="32" t="s">
        <v>1319</v>
      </c>
      <c r="J480" s="47"/>
      <c r="K480" s="47"/>
      <c r="L480" s="48"/>
      <c r="M480" s="47"/>
      <c r="N480" s="47"/>
      <c r="O480" s="47"/>
      <c r="P480" s="47"/>
      <c r="Q480" s="47"/>
      <c r="R480" s="47"/>
      <c r="S480" s="48"/>
      <c r="T480" s="47"/>
      <c r="U480" s="47"/>
      <c r="V480" s="47"/>
      <c r="W480" s="47"/>
      <c r="X480" s="47"/>
      <c r="Y480" s="47"/>
      <c r="Z480" s="47" t="s">
        <v>1241</v>
      </c>
      <c r="AA480" s="49"/>
      <c r="AB480" s="49"/>
      <c r="AC480" s="49"/>
      <c r="AD480" s="50"/>
      <c r="AE480" s="47" t="s">
        <v>342</v>
      </c>
      <c r="AF480" s="47"/>
      <c r="AG480"/>
      <c r="AH480"/>
      <c r="AI480"/>
      <c r="AJ480"/>
      <c r="AK480"/>
      <c r="AL480"/>
      <c r="AM480"/>
      <c r="AN480"/>
      <c r="AO480"/>
      <c r="AP480"/>
      <c r="AQ480" t="s">
        <v>1320</v>
      </c>
      <c r="AU480">
        <v>476</v>
      </c>
    </row>
    <row r="481" spans="1:47" x14ac:dyDescent="0.2">
      <c r="A481" s="37">
        <v>5919</v>
      </c>
      <c r="B481" s="38" t="s">
        <v>45</v>
      </c>
      <c r="C481" s="39" t="s">
        <v>425</v>
      </c>
      <c r="D481" s="29"/>
      <c r="E481" s="38" t="s">
        <v>1321</v>
      </c>
      <c r="F481" s="32" t="s">
        <v>1322</v>
      </c>
      <c r="G481" s="47" t="s">
        <v>49</v>
      </c>
      <c r="H481"/>
      <c r="I481" s="32" t="b">
        <v>1</v>
      </c>
      <c r="J481" s="31" t="b">
        <v>1</v>
      </c>
      <c r="K481" s="47">
        <f>678+176+176</f>
        <v>1030</v>
      </c>
      <c r="L481" s="48">
        <v>8</v>
      </c>
      <c r="M481" s="47"/>
      <c r="N481" s="47">
        <v>1</v>
      </c>
      <c r="O481" s="47">
        <v>1</v>
      </c>
      <c r="P481" s="47"/>
      <c r="Q481" s="47">
        <v>1</v>
      </c>
      <c r="R481" s="47">
        <v>1</v>
      </c>
      <c r="S481" s="48">
        <v>6</v>
      </c>
      <c r="T481" s="47">
        <v>0</v>
      </c>
      <c r="U481" s="47">
        <v>0</v>
      </c>
      <c r="V481" s="47">
        <v>0</v>
      </c>
      <c r="W481" s="47"/>
      <c r="X481" s="47"/>
      <c r="Y481" s="47" t="s">
        <v>51</v>
      </c>
      <c r="Z481" s="47" t="s">
        <v>146</v>
      </c>
      <c r="AA481" s="49">
        <v>0.89930555555555547</v>
      </c>
      <c r="AB481" s="49">
        <v>5.2083333333333336E-2</v>
      </c>
      <c r="AC481" s="119">
        <v>0.97569444444444453</v>
      </c>
      <c r="AD481" s="50">
        <f>1.25+2+25/60</f>
        <v>3.6666666666666665</v>
      </c>
      <c r="AE481" s="47" t="s">
        <v>1323</v>
      </c>
      <c r="AF481" s="47">
        <v>55</v>
      </c>
      <c r="AG481"/>
      <c r="AH481"/>
      <c r="AI481"/>
      <c r="AJ481"/>
      <c r="AK481">
        <v>33</v>
      </c>
      <c r="AL481"/>
      <c r="AM481"/>
      <c r="AN481"/>
      <c r="AO481"/>
      <c r="AP481"/>
      <c r="AQ481" s="32" t="s">
        <v>1324</v>
      </c>
      <c r="AR481" s="32" t="s">
        <v>1325</v>
      </c>
      <c r="AU481">
        <v>477</v>
      </c>
    </row>
    <row r="482" spans="1:47" x14ac:dyDescent="0.2">
      <c r="A482" s="37">
        <v>5919</v>
      </c>
      <c r="B482" s="38" t="s">
        <v>45</v>
      </c>
      <c r="C482" s="39" t="s">
        <v>425</v>
      </c>
      <c r="D482" s="29"/>
      <c r="E482" s="38" t="s">
        <v>788</v>
      </c>
      <c r="F482" s="32" t="s">
        <v>220</v>
      </c>
      <c r="G482" s="47" t="s">
        <v>49</v>
      </c>
      <c r="H482"/>
      <c r="I482" s="32" t="b">
        <v>0</v>
      </c>
      <c r="J482" s="31" t="b">
        <v>0</v>
      </c>
      <c r="K482" s="47">
        <f>(13*16+10*10)*2.2</f>
        <v>677.6</v>
      </c>
      <c r="L482" s="48"/>
      <c r="M482" s="47"/>
      <c r="N482" s="47"/>
      <c r="O482" s="47"/>
      <c r="P482" s="47"/>
      <c r="Q482" s="47"/>
      <c r="R482" s="47"/>
      <c r="S482" s="48">
        <v>4</v>
      </c>
      <c r="T482" s="47"/>
      <c r="U482" s="47"/>
      <c r="V482" s="47"/>
      <c r="W482" s="47"/>
      <c r="X482" s="47"/>
      <c r="Y482" s="47" t="s">
        <v>51</v>
      </c>
      <c r="Z482" s="47" t="s">
        <v>146</v>
      </c>
      <c r="AA482" s="49">
        <v>0.89930555555555547</v>
      </c>
      <c r="AB482" s="49">
        <v>5.2083333333333336E-2</v>
      </c>
      <c r="AC482" s="119">
        <v>0.97569444444444453</v>
      </c>
      <c r="AD482" s="50">
        <f>1.25+2+25/60</f>
        <v>3.6666666666666665</v>
      </c>
      <c r="AE482" s="47" t="s">
        <v>1323</v>
      </c>
      <c r="AF482" s="47">
        <v>40</v>
      </c>
      <c r="AG482"/>
      <c r="AH482"/>
      <c r="AI482"/>
      <c r="AJ482"/>
      <c r="AK482">
        <v>23</v>
      </c>
      <c r="AL482"/>
      <c r="AM482"/>
      <c r="AN482"/>
      <c r="AO482"/>
      <c r="AP482"/>
      <c r="AQ482" s="32" t="s">
        <v>1324</v>
      </c>
      <c r="AR482" s="32" t="s">
        <v>1326</v>
      </c>
      <c r="AU482">
        <v>478</v>
      </c>
    </row>
    <row r="483" spans="1:47" x14ac:dyDescent="0.2">
      <c r="A483" s="37">
        <v>5919</v>
      </c>
      <c r="B483" s="38" t="s">
        <v>45</v>
      </c>
      <c r="C483" s="39" t="s">
        <v>425</v>
      </c>
      <c r="D483" s="29"/>
      <c r="E483" s="38" t="s">
        <v>512</v>
      </c>
      <c r="F483" s="32" t="s">
        <v>220</v>
      </c>
      <c r="G483" s="47" t="s">
        <v>49</v>
      </c>
      <c r="H483"/>
      <c r="I483" s="32" t="b">
        <v>0</v>
      </c>
      <c r="J483" s="31" t="b">
        <v>0</v>
      </c>
      <c r="K483" s="47">
        <f>5*16*2.2</f>
        <v>176</v>
      </c>
      <c r="L483" s="48"/>
      <c r="M483" s="47"/>
      <c r="N483" s="47"/>
      <c r="O483" s="47"/>
      <c r="P483" s="47"/>
      <c r="Q483" s="47"/>
      <c r="R483" s="47"/>
      <c r="S483" s="48">
        <v>1</v>
      </c>
      <c r="T483" s="47"/>
      <c r="U483" s="47"/>
      <c r="V483" s="47"/>
      <c r="W483" s="47"/>
      <c r="X483" s="47"/>
      <c r="Y483" s="47" t="s">
        <v>51</v>
      </c>
      <c r="Z483" s="47" t="s">
        <v>146</v>
      </c>
      <c r="AA483" s="49"/>
      <c r="AB483" s="49"/>
      <c r="AC483" s="49"/>
      <c r="AD483" s="50"/>
      <c r="AE483" s="47" t="s">
        <v>1323</v>
      </c>
      <c r="AF483" s="47">
        <v>55</v>
      </c>
      <c r="AG483"/>
      <c r="AH483"/>
      <c r="AI483"/>
      <c r="AJ483"/>
      <c r="AK483">
        <v>5</v>
      </c>
      <c r="AL483"/>
      <c r="AM483"/>
      <c r="AN483"/>
      <c r="AO483"/>
      <c r="AP483"/>
      <c r="AQ483" s="32" t="s">
        <v>1324</v>
      </c>
      <c r="AR483" s="32" t="s">
        <v>1327</v>
      </c>
      <c r="AU483">
        <v>479</v>
      </c>
    </row>
    <row r="484" spans="1:47" x14ac:dyDescent="0.2">
      <c r="A484" s="37">
        <v>5919</v>
      </c>
      <c r="B484" s="38" t="s">
        <v>45</v>
      </c>
      <c r="C484" s="39" t="s">
        <v>425</v>
      </c>
      <c r="D484" s="29"/>
      <c r="E484" s="38" t="s">
        <v>1328</v>
      </c>
      <c r="F484" s="32" t="s">
        <v>1329</v>
      </c>
      <c r="G484" s="47" t="s">
        <v>73</v>
      </c>
      <c r="H484"/>
      <c r="I484" s="32" t="b">
        <v>0</v>
      </c>
      <c r="J484" s="31" t="b">
        <v>0</v>
      </c>
      <c r="K484" s="47">
        <f>5*16*2.2</f>
        <v>176</v>
      </c>
      <c r="L484" s="48"/>
      <c r="M484" s="47"/>
      <c r="N484" s="47"/>
      <c r="O484" s="47"/>
      <c r="P484" s="47"/>
      <c r="Q484" s="47"/>
      <c r="R484" s="47"/>
      <c r="S484" s="48">
        <v>1</v>
      </c>
      <c r="T484" s="47"/>
      <c r="U484" s="47"/>
      <c r="V484" s="47"/>
      <c r="W484" s="47"/>
      <c r="X484" s="47"/>
      <c r="Y484" s="47" t="s">
        <v>51</v>
      </c>
      <c r="Z484" s="47" t="s">
        <v>146</v>
      </c>
      <c r="AA484" s="49"/>
      <c r="AB484" s="49"/>
      <c r="AC484" s="49"/>
      <c r="AD484" s="50"/>
      <c r="AE484" s="47" t="s">
        <v>1323</v>
      </c>
      <c r="AF484" s="47">
        <v>65</v>
      </c>
      <c r="AG484"/>
      <c r="AH484"/>
      <c r="AI484"/>
      <c r="AJ484"/>
      <c r="AK484">
        <v>5</v>
      </c>
      <c r="AL484"/>
      <c r="AM484"/>
      <c r="AN484"/>
      <c r="AO484"/>
      <c r="AP484"/>
      <c r="AQ484" s="32" t="s">
        <v>1324</v>
      </c>
      <c r="AR484" s="32" t="s">
        <v>1330</v>
      </c>
      <c r="AU484">
        <v>480</v>
      </c>
    </row>
    <row r="485" spans="1:47" x14ac:dyDescent="0.2">
      <c r="A485" s="37">
        <v>5921</v>
      </c>
      <c r="B485" s="38" t="s">
        <v>85</v>
      </c>
      <c r="C485" s="39" t="s">
        <v>1251</v>
      </c>
      <c r="D485" s="29"/>
      <c r="E485" s="38" t="s">
        <v>153</v>
      </c>
      <c r="F485" s="32" t="s">
        <v>529</v>
      </c>
      <c r="G485" s="47" t="s">
        <v>205</v>
      </c>
      <c r="H485"/>
      <c r="I485" s="32" t="s">
        <v>1331</v>
      </c>
      <c r="J485" s="47"/>
      <c r="K485" s="47">
        <f>10*10*2.2</f>
        <v>220.00000000000003</v>
      </c>
      <c r="L485" s="48">
        <v>2</v>
      </c>
      <c r="M485" s="47"/>
      <c r="N485" s="47"/>
      <c r="O485" s="47"/>
      <c r="P485" s="47"/>
      <c r="Q485" s="47"/>
      <c r="R485" s="47"/>
      <c r="S485" s="48">
        <v>2</v>
      </c>
      <c r="T485" s="47">
        <v>0</v>
      </c>
      <c r="U485" s="47">
        <v>0</v>
      </c>
      <c r="V485" s="47">
        <v>0</v>
      </c>
      <c r="W485" s="47"/>
      <c r="X485" s="47"/>
      <c r="Y485" s="47" t="s">
        <v>51</v>
      </c>
      <c r="Z485" s="47" t="s">
        <v>1241</v>
      </c>
      <c r="AA485" s="49">
        <v>0.3888888888888889</v>
      </c>
      <c r="AB485" s="49">
        <v>0.47916666666666669</v>
      </c>
      <c r="AC485" s="49">
        <f>AVERAGE(AA485:AB485)</f>
        <v>0.43402777777777779</v>
      </c>
      <c r="AD485" s="50">
        <f>(AB485-AA485)*24</f>
        <v>2.166666666666667</v>
      </c>
      <c r="AE485" s="47" t="s">
        <v>342</v>
      </c>
      <c r="AF485" s="47">
        <v>40</v>
      </c>
      <c r="AG485"/>
      <c r="AH485"/>
      <c r="AI485"/>
      <c r="AJ485"/>
      <c r="AK485">
        <v>10</v>
      </c>
      <c r="AL485"/>
      <c r="AM485"/>
      <c r="AN485"/>
      <c r="AO485"/>
      <c r="AP485"/>
      <c r="AQ485" t="s">
        <v>1332</v>
      </c>
      <c r="AU485">
        <v>481</v>
      </c>
    </row>
    <row r="486" spans="1:47" x14ac:dyDescent="0.2">
      <c r="A486" s="37">
        <v>5921</v>
      </c>
      <c r="B486" s="38" t="s">
        <v>85</v>
      </c>
      <c r="C486" s="39" t="s">
        <v>1251</v>
      </c>
      <c r="D486" s="29"/>
      <c r="E486" s="38" t="s">
        <v>512</v>
      </c>
      <c r="F486" s="31" t="s">
        <v>220</v>
      </c>
      <c r="G486" s="47" t="s">
        <v>49</v>
      </c>
      <c r="H486"/>
      <c r="I486" s="32" t="s">
        <v>1333</v>
      </c>
      <c r="J486" s="47"/>
      <c r="K486" s="47">
        <f>5*10*2.2</f>
        <v>110.00000000000001</v>
      </c>
      <c r="L486" s="48">
        <v>1</v>
      </c>
      <c r="M486" s="47"/>
      <c r="N486" s="47"/>
      <c r="O486" s="47"/>
      <c r="P486" s="47"/>
      <c r="Q486" s="47"/>
      <c r="R486" s="47"/>
      <c r="S486" s="48">
        <v>1</v>
      </c>
      <c r="T486" s="47">
        <v>0</v>
      </c>
      <c r="U486" s="47">
        <v>0</v>
      </c>
      <c r="V486" s="47">
        <v>0</v>
      </c>
      <c r="W486" s="47"/>
      <c r="X486" s="47"/>
      <c r="Y486" s="47" t="s">
        <v>51</v>
      </c>
      <c r="Z486" s="47" t="s">
        <v>1241</v>
      </c>
      <c r="AA486" s="49">
        <v>0.59722222222222221</v>
      </c>
      <c r="AB486" s="49">
        <v>0.65972222222222221</v>
      </c>
      <c r="AC486" s="49">
        <f>AVERAGE(AA486:AB486)</f>
        <v>0.62847222222222221</v>
      </c>
      <c r="AD486" s="50">
        <f>(AB486-AA486)*24</f>
        <v>1.5</v>
      </c>
      <c r="AE486" s="47" t="s">
        <v>342</v>
      </c>
      <c r="AF486" s="47">
        <v>35</v>
      </c>
      <c r="AG486"/>
      <c r="AH486"/>
      <c r="AI486"/>
      <c r="AJ486"/>
      <c r="AK486">
        <v>5</v>
      </c>
      <c r="AL486"/>
      <c r="AM486"/>
      <c r="AN486"/>
      <c r="AO486"/>
      <c r="AP486"/>
      <c r="AQ486" t="s">
        <v>1332</v>
      </c>
      <c r="AU486">
        <v>482</v>
      </c>
    </row>
    <row r="487" spans="1:47" x14ac:dyDescent="0.2">
      <c r="A487" s="37">
        <v>5921</v>
      </c>
      <c r="B487" s="38" t="s">
        <v>85</v>
      </c>
      <c r="C487" s="39" t="s">
        <v>1251</v>
      </c>
      <c r="D487" s="29"/>
      <c r="E487" s="38" t="s">
        <v>975</v>
      </c>
      <c r="F487" s="31" t="s">
        <v>220</v>
      </c>
      <c r="G487" s="47" t="s">
        <v>1334</v>
      </c>
      <c r="H487"/>
      <c r="I487" s="32" t="s">
        <v>1335</v>
      </c>
      <c r="J487" s="47"/>
      <c r="K487" s="47">
        <f>5*10*2.2</f>
        <v>110.00000000000001</v>
      </c>
      <c r="L487" s="48">
        <v>1</v>
      </c>
      <c r="M487" s="47"/>
      <c r="N487" s="47"/>
      <c r="O487" s="47"/>
      <c r="P487" s="47"/>
      <c r="Q487" s="47"/>
      <c r="R487" s="47"/>
      <c r="S487" s="48">
        <v>1</v>
      </c>
      <c r="T487" s="47">
        <v>0</v>
      </c>
      <c r="U487" s="47">
        <v>0</v>
      </c>
      <c r="V487" s="47">
        <v>0</v>
      </c>
      <c r="W487" s="47"/>
      <c r="X487" s="47"/>
      <c r="Y487" s="47" t="s">
        <v>51</v>
      </c>
      <c r="Z487" s="47" t="s">
        <v>1241</v>
      </c>
      <c r="AA487" s="49">
        <v>0.43402777777777773</v>
      </c>
      <c r="AB487" s="49">
        <v>0.52777777777777779</v>
      </c>
      <c r="AC487" s="49">
        <f>AVERAGE(AA487:AB487)</f>
        <v>0.48090277777777779</v>
      </c>
      <c r="AD487" s="50">
        <f>(AB487-AA487)*24</f>
        <v>2.2500000000000013</v>
      </c>
      <c r="AE487" s="47" t="s">
        <v>342</v>
      </c>
      <c r="AF487" s="47">
        <v>25</v>
      </c>
      <c r="AG487"/>
      <c r="AH487"/>
      <c r="AI487"/>
      <c r="AJ487"/>
      <c r="AK487">
        <v>5</v>
      </c>
      <c r="AL487"/>
      <c r="AM487"/>
      <c r="AN487"/>
      <c r="AO487"/>
      <c r="AP487"/>
      <c r="AQ487" t="s">
        <v>1332</v>
      </c>
      <c r="AU487">
        <v>483</v>
      </c>
    </row>
    <row r="488" spans="1:47" x14ac:dyDescent="0.2">
      <c r="A488" s="37">
        <v>5921</v>
      </c>
      <c r="B488" s="38" t="s">
        <v>85</v>
      </c>
      <c r="C488" s="39" t="s">
        <v>1251</v>
      </c>
      <c r="D488" s="29"/>
      <c r="E488" s="38" t="s">
        <v>1336</v>
      </c>
      <c r="F488" s="32" t="s">
        <v>1337</v>
      </c>
      <c r="G488" s="47" t="s">
        <v>69</v>
      </c>
      <c r="H488"/>
      <c r="I488" s="32" t="s">
        <v>1338</v>
      </c>
      <c r="J488" s="47"/>
      <c r="K488" s="47">
        <f>4*10*2.2</f>
        <v>88</v>
      </c>
      <c r="L488" s="48">
        <v>1</v>
      </c>
      <c r="M488" s="47"/>
      <c r="N488" s="47"/>
      <c r="O488" s="47"/>
      <c r="P488" s="47"/>
      <c r="Q488" s="47"/>
      <c r="R488" s="47"/>
      <c r="S488" s="48">
        <v>1</v>
      </c>
      <c r="T488" s="47">
        <v>0</v>
      </c>
      <c r="U488" s="47">
        <v>0</v>
      </c>
      <c r="V488" s="47">
        <v>0</v>
      </c>
      <c r="W488" s="47"/>
      <c r="X488" s="47"/>
      <c r="Y488" s="47" t="s">
        <v>51</v>
      </c>
      <c r="Z488" s="47" t="s">
        <v>1241</v>
      </c>
      <c r="AA488" s="49">
        <v>0.65625</v>
      </c>
      <c r="AB488" s="49">
        <v>0.73958333333333337</v>
      </c>
      <c r="AC488" s="49">
        <f>AVERAGE(AA488:AB488)</f>
        <v>0.69791666666666674</v>
      </c>
      <c r="AD488" s="50">
        <f>(AB488-AA488)*24</f>
        <v>2.0000000000000009</v>
      </c>
      <c r="AE488" s="47" t="s">
        <v>342</v>
      </c>
      <c r="AF488" s="47">
        <v>20</v>
      </c>
      <c r="AG488"/>
      <c r="AH488"/>
      <c r="AI488"/>
      <c r="AJ488"/>
      <c r="AK488">
        <v>4</v>
      </c>
      <c r="AL488"/>
      <c r="AM488"/>
      <c r="AN488"/>
      <c r="AO488"/>
      <c r="AP488"/>
      <c r="AQ488" t="s">
        <v>1332</v>
      </c>
      <c r="AU488">
        <v>484</v>
      </c>
    </row>
    <row r="489" spans="1:47" x14ac:dyDescent="0.2">
      <c r="A489" s="37">
        <v>5921</v>
      </c>
      <c r="B489" s="38" t="s">
        <v>45</v>
      </c>
      <c r="C489" s="39" t="s">
        <v>1339</v>
      </c>
      <c r="D489" s="29"/>
      <c r="E489" s="38" t="s">
        <v>1340</v>
      </c>
      <c r="F489" s="32" t="s">
        <v>246</v>
      </c>
      <c r="G489" s="47" t="s">
        <v>49</v>
      </c>
      <c r="H489"/>
      <c r="I489" s="32" t="s">
        <v>1341</v>
      </c>
      <c r="J489" s="47"/>
      <c r="K489" s="47"/>
      <c r="L489" s="48">
        <v>11</v>
      </c>
      <c r="M489" s="47"/>
      <c r="N489" s="47">
        <v>1</v>
      </c>
      <c r="O489" s="47"/>
      <c r="P489" s="47"/>
      <c r="Q489" s="47"/>
      <c r="R489" s="47"/>
      <c r="S489" s="48">
        <v>10</v>
      </c>
      <c r="T489" s="47">
        <v>0</v>
      </c>
      <c r="U489" s="47">
        <v>0</v>
      </c>
      <c r="V489" s="47">
        <v>0</v>
      </c>
      <c r="W489" s="47"/>
      <c r="X489" s="47"/>
      <c r="Y489" s="47" t="s">
        <v>51</v>
      </c>
      <c r="Z489" s="47" t="s">
        <v>146</v>
      </c>
      <c r="AA489" s="49">
        <v>0.90625</v>
      </c>
      <c r="AB489" s="49"/>
      <c r="AC489" s="49"/>
      <c r="AD489" s="50"/>
      <c r="AE489" s="47" t="s">
        <v>1323</v>
      </c>
      <c r="AF489" s="47">
        <v>65</v>
      </c>
      <c r="AG489"/>
      <c r="AH489"/>
      <c r="AI489"/>
      <c r="AJ489"/>
      <c r="AK489">
        <v>64</v>
      </c>
      <c r="AL489"/>
      <c r="AM489"/>
      <c r="AN489"/>
      <c r="AO489"/>
      <c r="AP489"/>
      <c r="AQ489" s="32" t="s">
        <v>1342</v>
      </c>
      <c r="AU489">
        <v>485</v>
      </c>
    </row>
    <row r="490" spans="1:47" x14ac:dyDescent="0.2">
      <c r="A490" s="37">
        <v>5921</v>
      </c>
      <c r="B490" s="38" t="s">
        <v>45</v>
      </c>
      <c r="C490" s="39" t="s">
        <v>425</v>
      </c>
      <c r="D490" s="62"/>
      <c r="E490" s="78" t="s">
        <v>1343</v>
      </c>
      <c r="F490" s="120" t="s">
        <v>246</v>
      </c>
      <c r="G490" s="47" t="s">
        <v>49</v>
      </c>
      <c r="H490" s="83"/>
      <c r="I490" s="32" t="b">
        <v>1</v>
      </c>
      <c r="J490" s="31" t="b">
        <v>1</v>
      </c>
      <c r="K490" s="47">
        <f>10*10*2.2</f>
        <v>220.00000000000003</v>
      </c>
      <c r="L490" s="48">
        <v>2</v>
      </c>
      <c r="M490" s="47"/>
      <c r="N490" s="47"/>
      <c r="O490" s="47"/>
      <c r="P490" s="47"/>
      <c r="Q490" s="47"/>
      <c r="R490" s="47"/>
      <c r="S490" s="48">
        <v>2</v>
      </c>
      <c r="T490" s="47">
        <v>0</v>
      </c>
      <c r="U490" s="47">
        <v>0</v>
      </c>
      <c r="V490" s="47">
        <v>0</v>
      </c>
      <c r="W490" s="47"/>
      <c r="X490" s="47"/>
      <c r="Y490" s="47" t="s">
        <v>51</v>
      </c>
      <c r="Z490" s="47" t="s">
        <v>146</v>
      </c>
      <c r="AA490" s="49"/>
      <c r="AB490" s="49"/>
      <c r="AC490" s="49"/>
      <c r="AD490" s="50"/>
      <c r="AE490" s="47" t="s">
        <v>1323</v>
      </c>
      <c r="AF490" s="47">
        <v>35</v>
      </c>
      <c r="AG490"/>
      <c r="AH490"/>
      <c r="AI490"/>
      <c r="AJ490"/>
      <c r="AK490">
        <v>10</v>
      </c>
      <c r="AL490"/>
      <c r="AM490"/>
      <c r="AN490"/>
      <c r="AO490"/>
      <c r="AP490"/>
      <c r="AQ490" s="32" t="s">
        <v>1344</v>
      </c>
      <c r="AR490" s="32" t="s">
        <v>1345</v>
      </c>
      <c r="AU490">
        <v>486</v>
      </c>
    </row>
    <row r="491" spans="1:47" x14ac:dyDescent="0.2">
      <c r="A491" s="37">
        <v>5921</v>
      </c>
      <c r="B491" s="38" t="s">
        <v>45</v>
      </c>
      <c r="C491" s="39" t="s">
        <v>425</v>
      </c>
      <c r="D491" s="62"/>
      <c r="E491" s="78" t="s">
        <v>1310</v>
      </c>
      <c r="F491" s="120" t="s">
        <v>220</v>
      </c>
      <c r="G491" s="47" t="s">
        <v>49</v>
      </c>
      <c r="H491" s="83"/>
      <c r="I491" s="32" t="b">
        <v>0</v>
      </c>
      <c r="J491" s="31" t="b">
        <v>0</v>
      </c>
      <c r="K491" s="47">
        <f>2*10*2.2</f>
        <v>44</v>
      </c>
      <c r="L491" s="48"/>
      <c r="M491" s="47"/>
      <c r="N491" s="47"/>
      <c r="O491" s="47"/>
      <c r="P491" s="47"/>
      <c r="Q491" s="47"/>
      <c r="R491" s="47"/>
      <c r="S491" s="48"/>
      <c r="T491" s="47"/>
      <c r="U491" s="47"/>
      <c r="V491" s="47"/>
      <c r="W491" s="47"/>
      <c r="X491" s="47"/>
      <c r="Y491" s="47"/>
      <c r="Z491" s="47" t="s">
        <v>146</v>
      </c>
      <c r="AA491" s="49"/>
      <c r="AB491" s="49"/>
      <c r="AC491" s="49"/>
      <c r="AD491" s="50"/>
      <c r="AE491" s="47" t="s">
        <v>1323</v>
      </c>
      <c r="AF491" s="47">
        <v>30</v>
      </c>
      <c r="AG491"/>
      <c r="AH491"/>
      <c r="AI491"/>
      <c r="AJ491"/>
      <c r="AK491">
        <v>2</v>
      </c>
      <c r="AL491"/>
      <c r="AM491"/>
      <c r="AN491"/>
      <c r="AO491"/>
      <c r="AP491"/>
      <c r="AQ491" s="32" t="s">
        <v>1344</v>
      </c>
      <c r="AR491" s="32" t="s">
        <v>1346</v>
      </c>
      <c r="AU491">
        <v>487</v>
      </c>
    </row>
    <row r="492" spans="1:47" x14ac:dyDescent="0.2">
      <c r="A492" s="37">
        <v>5921</v>
      </c>
      <c r="B492" s="38" t="s">
        <v>45</v>
      </c>
      <c r="C492" s="39" t="s">
        <v>425</v>
      </c>
      <c r="D492" s="62"/>
      <c r="E492" s="78" t="s">
        <v>1347</v>
      </c>
      <c r="F492" s="120" t="s">
        <v>220</v>
      </c>
      <c r="G492" s="47" t="s">
        <v>49</v>
      </c>
      <c r="H492" s="83"/>
      <c r="I492" s="32" t="b">
        <v>0</v>
      </c>
      <c r="J492" s="31" t="b">
        <v>0</v>
      </c>
      <c r="K492" s="47">
        <f>8*10*2.2</f>
        <v>176</v>
      </c>
      <c r="L492" s="48"/>
      <c r="M492" s="47"/>
      <c r="N492" s="47"/>
      <c r="O492" s="47"/>
      <c r="P492" s="47"/>
      <c r="Q492" s="47"/>
      <c r="R492" s="47"/>
      <c r="S492" s="48">
        <v>2</v>
      </c>
      <c r="T492" s="47"/>
      <c r="U492" s="47"/>
      <c r="V492" s="47"/>
      <c r="W492" s="47"/>
      <c r="X492" s="47"/>
      <c r="Y492" s="47"/>
      <c r="Z492" s="47" t="s">
        <v>146</v>
      </c>
      <c r="AA492" s="49"/>
      <c r="AB492" s="49"/>
      <c r="AC492" s="49"/>
      <c r="AD492" s="50"/>
      <c r="AE492" s="47" t="s">
        <v>1323</v>
      </c>
      <c r="AF492" s="47">
        <v>35</v>
      </c>
      <c r="AG492"/>
      <c r="AH492"/>
      <c r="AI492"/>
      <c r="AJ492"/>
      <c r="AK492">
        <v>8</v>
      </c>
      <c r="AL492"/>
      <c r="AM492"/>
      <c r="AN492"/>
      <c r="AO492"/>
      <c r="AP492"/>
      <c r="AQ492" s="32" t="s">
        <v>1344</v>
      </c>
      <c r="AR492" s="32" t="s">
        <v>1348</v>
      </c>
      <c r="AU492">
        <v>488</v>
      </c>
    </row>
    <row r="493" spans="1:47" x14ac:dyDescent="0.2">
      <c r="A493" s="37">
        <v>5922</v>
      </c>
      <c r="B493" s="38" t="s">
        <v>85</v>
      </c>
      <c r="C493" s="39" t="s">
        <v>1349</v>
      </c>
      <c r="D493" s="29"/>
      <c r="E493" s="38" t="s">
        <v>1350</v>
      </c>
      <c r="F493" s="32" t="s">
        <v>1236</v>
      </c>
      <c r="G493" s="47" t="s">
        <v>73</v>
      </c>
      <c r="H493"/>
      <c r="I493" s="32" t="s">
        <v>1351</v>
      </c>
      <c r="J493" s="47"/>
      <c r="K493" s="47"/>
      <c r="L493" s="48">
        <v>23</v>
      </c>
      <c r="M493" s="47"/>
      <c r="N493" s="47"/>
      <c r="O493" s="47"/>
      <c r="P493" s="47"/>
      <c r="Q493" s="47"/>
      <c r="R493" s="47"/>
      <c r="S493" s="48">
        <v>22</v>
      </c>
      <c r="T493" s="47">
        <v>4</v>
      </c>
      <c r="U493" s="47">
        <v>1</v>
      </c>
      <c r="V493" s="47">
        <v>1</v>
      </c>
      <c r="W493" s="47"/>
      <c r="X493" s="47"/>
      <c r="Y493" s="47" t="s">
        <v>120</v>
      </c>
      <c r="Z493" s="47"/>
      <c r="AA493" s="49">
        <v>0.625</v>
      </c>
      <c r="AB493" s="49">
        <v>0.7</v>
      </c>
      <c r="AC493" s="49">
        <f>AVERAGE(AA493:AB493)</f>
        <v>0.66249999999999998</v>
      </c>
      <c r="AD493" s="50">
        <f>(AB493-AA493)*24</f>
        <v>1.7999999999999989</v>
      </c>
      <c r="AE493" s="71" t="s">
        <v>132</v>
      </c>
      <c r="AF493" s="47">
        <v>45</v>
      </c>
      <c r="AG493"/>
      <c r="AH493"/>
      <c r="AI493"/>
      <c r="AJ493"/>
      <c r="AK493">
        <v>72</v>
      </c>
      <c r="AL493"/>
      <c r="AM493"/>
      <c r="AN493"/>
      <c r="AO493"/>
      <c r="AP493"/>
      <c r="AQ493" s="32" t="s">
        <v>1352</v>
      </c>
      <c r="AU493">
        <v>489</v>
      </c>
    </row>
    <row r="494" spans="1:47" x14ac:dyDescent="0.2">
      <c r="A494" s="37">
        <v>5922</v>
      </c>
      <c r="B494" s="38" t="s">
        <v>85</v>
      </c>
      <c r="C494" s="39" t="s">
        <v>1251</v>
      </c>
      <c r="D494" s="29"/>
      <c r="E494" s="38" t="s">
        <v>1104</v>
      </c>
      <c r="F494" s="32" t="s">
        <v>150</v>
      </c>
      <c r="G494" s="47" t="s">
        <v>49</v>
      </c>
      <c r="H494"/>
      <c r="I494" s="32" t="s">
        <v>1353</v>
      </c>
      <c r="J494" s="47"/>
      <c r="K494" s="47">
        <f>20*10*2.2</f>
        <v>440.00000000000006</v>
      </c>
      <c r="L494" s="48">
        <v>4</v>
      </c>
      <c r="M494" s="47"/>
      <c r="N494" s="47"/>
      <c r="O494" s="47"/>
      <c r="P494" s="47"/>
      <c r="Q494" s="47"/>
      <c r="R494" s="47"/>
      <c r="S494" s="48">
        <v>4</v>
      </c>
      <c r="T494" s="47">
        <v>0</v>
      </c>
      <c r="U494" s="47">
        <v>0</v>
      </c>
      <c r="V494" s="47">
        <v>0</v>
      </c>
      <c r="W494" s="47">
        <f>4500*39.37/12</f>
        <v>14763.75</v>
      </c>
      <c r="X494" s="47"/>
      <c r="Y494" s="47" t="s">
        <v>51</v>
      </c>
      <c r="Z494" s="47" t="s">
        <v>1241</v>
      </c>
      <c r="AA494" s="49">
        <v>0.375</v>
      </c>
      <c r="AB494" s="49">
        <v>0.46527777777777773</v>
      </c>
      <c r="AC494" s="49">
        <f>AVERAGE(AA494:AB494)</f>
        <v>0.42013888888888884</v>
      </c>
      <c r="AD494" s="50">
        <f>(AB494-AA494)*24</f>
        <v>2.1666666666666656</v>
      </c>
      <c r="AE494" s="47" t="s">
        <v>342</v>
      </c>
      <c r="AF494" s="47">
        <v>40</v>
      </c>
      <c r="AG494"/>
      <c r="AH494"/>
      <c r="AI494"/>
      <c r="AJ494"/>
      <c r="AK494">
        <v>20</v>
      </c>
      <c r="AL494"/>
      <c r="AM494"/>
      <c r="AN494"/>
      <c r="AO494"/>
      <c r="AP494"/>
      <c r="AQ494" t="s">
        <v>1354</v>
      </c>
      <c r="AU494">
        <v>490</v>
      </c>
    </row>
    <row r="495" spans="1:47" x14ac:dyDescent="0.2">
      <c r="A495" s="37">
        <v>5922</v>
      </c>
      <c r="B495" s="38" t="s">
        <v>85</v>
      </c>
      <c r="C495" s="39" t="s">
        <v>1251</v>
      </c>
      <c r="D495" s="29"/>
      <c r="E495" s="38" t="s">
        <v>857</v>
      </c>
      <c r="F495" s="32" t="s">
        <v>1232</v>
      </c>
      <c r="G495" s="47" t="s">
        <v>274</v>
      </c>
      <c r="H495"/>
      <c r="I495" s="32" t="s">
        <v>1355</v>
      </c>
      <c r="J495" s="47"/>
      <c r="K495" s="47">
        <f>5*10*2.2</f>
        <v>110.00000000000001</v>
      </c>
      <c r="L495" s="48">
        <v>1</v>
      </c>
      <c r="M495" s="47"/>
      <c r="N495" s="47"/>
      <c r="O495" s="47"/>
      <c r="P495" s="47"/>
      <c r="Q495" s="47"/>
      <c r="R495" s="47"/>
      <c r="S495" s="48">
        <v>1</v>
      </c>
      <c r="T495" s="47">
        <v>0</v>
      </c>
      <c r="U495" s="47">
        <v>0</v>
      </c>
      <c r="V495" s="47">
        <v>0</v>
      </c>
      <c r="W495" s="47"/>
      <c r="X495" s="47"/>
      <c r="Y495" s="47" t="s">
        <v>51</v>
      </c>
      <c r="Z495" s="47" t="s">
        <v>1241</v>
      </c>
      <c r="AA495" s="49">
        <v>0.67708333333333337</v>
      </c>
      <c r="AB495" s="49">
        <v>0.73611111111111116</v>
      </c>
      <c r="AC495" s="49">
        <f>AVERAGE(AA495:AB495)</f>
        <v>0.70659722222222232</v>
      </c>
      <c r="AD495" s="50">
        <f>(AB495-AA495)*24</f>
        <v>1.416666666666667</v>
      </c>
      <c r="AE495" s="47" t="s">
        <v>342</v>
      </c>
      <c r="AF495" s="47">
        <v>20</v>
      </c>
      <c r="AG495"/>
      <c r="AH495"/>
      <c r="AI495"/>
      <c r="AJ495"/>
      <c r="AK495">
        <v>5</v>
      </c>
      <c r="AL495"/>
      <c r="AM495"/>
      <c r="AN495"/>
      <c r="AO495"/>
      <c r="AP495"/>
      <c r="AQ495" t="s">
        <v>1356</v>
      </c>
      <c r="AU495">
        <v>491</v>
      </c>
    </row>
    <row r="496" spans="1:47" x14ac:dyDescent="0.2">
      <c r="A496" s="37">
        <v>5922</v>
      </c>
      <c r="B496" s="38" t="s">
        <v>85</v>
      </c>
      <c r="C496" s="39" t="s">
        <v>1251</v>
      </c>
      <c r="D496" s="29"/>
      <c r="E496" s="38" t="s">
        <v>153</v>
      </c>
      <c r="F496" s="32" t="s">
        <v>529</v>
      </c>
      <c r="G496" s="47" t="s">
        <v>205</v>
      </c>
      <c r="H496"/>
      <c r="I496" s="32" t="s">
        <v>1357</v>
      </c>
      <c r="J496" s="47"/>
      <c r="K496" s="47">
        <f>5*10*2.2</f>
        <v>110.00000000000001</v>
      </c>
      <c r="L496" s="48">
        <v>2</v>
      </c>
      <c r="M496" s="47"/>
      <c r="N496" s="47">
        <v>1</v>
      </c>
      <c r="O496" s="47"/>
      <c r="P496" s="47"/>
      <c r="Q496" s="47"/>
      <c r="R496" s="47"/>
      <c r="S496" s="48">
        <v>1</v>
      </c>
      <c r="T496" s="47">
        <v>0</v>
      </c>
      <c r="U496" s="47">
        <v>0</v>
      </c>
      <c r="V496" s="47">
        <v>0</v>
      </c>
      <c r="W496" s="47"/>
      <c r="X496" s="47"/>
      <c r="Y496" s="47" t="s">
        <v>51</v>
      </c>
      <c r="Z496" s="47" t="s">
        <v>1241</v>
      </c>
      <c r="AA496" s="49">
        <v>0.61805555555555558</v>
      </c>
      <c r="AB496" s="49">
        <v>0.64583333333333337</v>
      </c>
      <c r="AC496" s="49">
        <f>AVERAGE(AA496:AB496)</f>
        <v>0.63194444444444442</v>
      </c>
      <c r="AD496" s="50">
        <f>(AB496-AA496)*24</f>
        <v>0.66666666666666696</v>
      </c>
      <c r="AE496" s="47" t="s">
        <v>342</v>
      </c>
      <c r="AF496" s="47">
        <v>40</v>
      </c>
      <c r="AG496"/>
      <c r="AH496"/>
      <c r="AI496"/>
      <c r="AJ496"/>
      <c r="AK496">
        <v>5</v>
      </c>
      <c r="AL496"/>
      <c r="AM496"/>
      <c r="AN496"/>
      <c r="AO496"/>
      <c r="AP496"/>
      <c r="AQ496" t="s">
        <v>1358</v>
      </c>
      <c r="AU496">
        <v>492</v>
      </c>
    </row>
    <row r="497" spans="1:47" x14ac:dyDescent="0.2">
      <c r="A497" s="37">
        <v>5922</v>
      </c>
      <c r="B497" s="38" t="s">
        <v>45</v>
      </c>
      <c r="C497" s="39" t="s">
        <v>142</v>
      </c>
      <c r="D497" s="29"/>
      <c r="E497" s="38" t="s">
        <v>1359</v>
      </c>
      <c r="F497" s="32" t="s">
        <v>76</v>
      </c>
      <c r="G497" s="47" t="s">
        <v>49</v>
      </c>
      <c r="H497"/>
      <c r="I497" s="32" t="s">
        <v>1360</v>
      </c>
      <c r="J497" s="47"/>
      <c r="K497" s="47">
        <f>4*10*2.2</f>
        <v>88</v>
      </c>
      <c r="L497" s="48"/>
      <c r="M497" s="47"/>
      <c r="N497" s="47"/>
      <c r="O497" s="47"/>
      <c r="P497" s="47"/>
      <c r="Q497" s="47"/>
      <c r="R497" s="47"/>
      <c r="S497" s="48">
        <v>1</v>
      </c>
      <c r="T497" s="47"/>
      <c r="U497" s="47"/>
      <c r="V497" s="47"/>
      <c r="W497" s="47"/>
      <c r="X497" s="47"/>
      <c r="Y497" s="47" t="s">
        <v>51</v>
      </c>
      <c r="Z497" s="31" t="s">
        <v>146</v>
      </c>
      <c r="AA497" s="49"/>
      <c r="AB497" s="49"/>
      <c r="AC497" s="49"/>
      <c r="AD497" s="50"/>
      <c r="AE497" s="47"/>
      <c r="AF497" s="47"/>
      <c r="AG497"/>
      <c r="AH497"/>
      <c r="AI497"/>
      <c r="AJ497"/>
      <c r="AK497">
        <v>4</v>
      </c>
      <c r="AL497"/>
      <c r="AM497"/>
      <c r="AN497"/>
      <c r="AO497"/>
      <c r="AP497"/>
      <c r="AQ497" t="s">
        <v>1361</v>
      </c>
      <c r="AU497">
        <v>493</v>
      </c>
    </row>
    <row r="498" spans="1:47" x14ac:dyDescent="0.2">
      <c r="A498" s="26">
        <v>5922</v>
      </c>
      <c r="B498" s="27">
        <v>1.0416666666666666E-2</v>
      </c>
      <c r="C498" s="28"/>
      <c r="D498" s="29"/>
      <c r="E498" s="30" t="s">
        <v>1282</v>
      </c>
      <c r="H498" s="32">
        <v>0</v>
      </c>
      <c r="I498" s="32" t="s">
        <v>1283</v>
      </c>
      <c r="AG498" s="32">
        <v>0</v>
      </c>
      <c r="AH498" s="32">
        <v>0</v>
      </c>
      <c r="AI498" s="32">
        <v>0</v>
      </c>
      <c r="AK498" s="32">
        <v>0</v>
      </c>
      <c r="AL498" s="32">
        <f>25/60</f>
        <v>0.41666666666666669</v>
      </c>
      <c r="AP498" s="32">
        <f>25/60</f>
        <v>0.41666666666666669</v>
      </c>
      <c r="AQ498" s="32" t="s">
        <v>1101</v>
      </c>
      <c r="AU498">
        <v>494</v>
      </c>
    </row>
    <row r="499" spans="1:47" x14ac:dyDescent="0.2">
      <c r="A499" s="26">
        <v>5922</v>
      </c>
      <c r="B499" s="27">
        <v>0.47222222222222227</v>
      </c>
      <c r="C499" s="28"/>
      <c r="D499" s="29"/>
      <c r="E499" s="30" t="s">
        <v>1124</v>
      </c>
      <c r="H499" s="32">
        <v>1</v>
      </c>
      <c r="I499" s="32"/>
      <c r="AG499" s="32">
        <v>0</v>
      </c>
      <c r="AH499" s="32">
        <v>2</v>
      </c>
      <c r="AK499" s="32">
        <v>10</v>
      </c>
      <c r="AL499" s="32">
        <v>0.33300000000000002</v>
      </c>
      <c r="AO499" s="46" t="s">
        <v>1126</v>
      </c>
      <c r="AP499" s="32">
        <v>0.33300000000000002</v>
      </c>
      <c r="AQ499" s="32" t="s">
        <v>589</v>
      </c>
      <c r="AU499">
        <v>495</v>
      </c>
    </row>
    <row r="500" spans="1:47" x14ac:dyDescent="0.2">
      <c r="A500" s="37">
        <v>5923</v>
      </c>
      <c r="B500" s="38" t="s">
        <v>85</v>
      </c>
      <c r="C500" s="39" t="s">
        <v>1234</v>
      </c>
      <c r="D500" s="29"/>
      <c r="E500" s="38" t="s">
        <v>1112</v>
      </c>
      <c r="F500" s="32" t="s">
        <v>1362</v>
      </c>
      <c r="G500" s="47" t="s">
        <v>459</v>
      </c>
      <c r="H500"/>
      <c r="I500" s="32" t="s">
        <v>1363</v>
      </c>
      <c r="J500" s="47"/>
      <c r="K500" s="47"/>
      <c r="L500" s="48"/>
      <c r="M500" s="47"/>
      <c r="N500" s="47"/>
      <c r="O500" s="47"/>
      <c r="P500" s="47"/>
      <c r="Q500" s="47"/>
      <c r="R500" s="47"/>
      <c r="S500" s="48">
        <v>1</v>
      </c>
      <c r="T500" s="47"/>
      <c r="U500" s="47"/>
      <c r="V500" s="47"/>
      <c r="W500" s="47"/>
      <c r="X500" s="47"/>
      <c r="Y500" s="47" t="s">
        <v>120</v>
      </c>
      <c r="Z500" s="47" t="s">
        <v>675</v>
      </c>
      <c r="AA500" s="49"/>
      <c r="AB500" s="49"/>
      <c r="AC500" s="49">
        <v>0.29166666666666669</v>
      </c>
      <c r="AD500" s="50"/>
      <c r="AE500" s="71" t="s">
        <v>132</v>
      </c>
      <c r="AF500" s="47">
        <v>35</v>
      </c>
      <c r="AG500"/>
      <c r="AH500"/>
      <c r="AI500"/>
      <c r="AJ500"/>
      <c r="AK500"/>
      <c r="AL500"/>
      <c r="AM500"/>
      <c r="AN500"/>
      <c r="AO500"/>
      <c r="AP500"/>
      <c r="AQ500" s="32" t="s">
        <v>1364</v>
      </c>
      <c r="AU500">
        <v>496</v>
      </c>
    </row>
    <row r="501" spans="1:47" x14ac:dyDescent="0.2">
      <c r="A501" s="37">
        <v>5923</v>
      </c>
      <c r="B501" s="38" t="s">
        <v>85</v>
      </c>
      <c r="C501" s="39" t="s">
        <v>1251</v>
      </c>
      <c r="D501" s="29"/>
      <c r="E501" s="38" t="s">
        <v>1154</v>
      </c>
      <c r="F501" s="31" t="s">
        <v>220</v>
      </c>
      <c r="G501" s="47" t="s">
        <v>49</v>
      </c>
      <c r="H501"/>
      <c r="I501" s="32" t="s">
        <v>1365</v>
      </c>
      <c r="J501" s="47"/>
      <c r="K501" s="47">
        <f>5*10*2.2</f>
        <v>110.00000000000001</v>
      </c>
      <c r="L501" s="48"/>
      <c r="M501" s="47"/>
      <c r="N501" s="47"/>
      <c r="O501" s="47"/>
      <c r="P501" s="47"/>
      <c r="Q501" s="47"/>
      <c r="R501" s="47"/>
      <c r="S501" s="48">
        <v>1</v>
      </c>
      <c r="T501" s="47"/>
      <c r="U501" s="47"/>
      <c r="V501" s="47"/>
      <c r="W501" s="47"/>
      <c r="X501" s="47"/>
      <c r="Y501" s="47" t="s">
        <v>51</v>
      </c>
      <c r="Z501" s="47" t="s">
        <v>1241</v>
      </c>
      <c r="AA501" s="49">
        <v>0.59375</v>
      </c>
      <c r="AB501" s="49">
        <v>0.69791666666666663</v>
      </c>
      <c r="AC501" s="49">
        <f>AVERAGE(AA501:AB501)</f>
        <v>0.64583333333333326</v>
      </c>
      <c r="AD501" s="50">
        <f>(AB501-AA501)*24</f>
        <v>2.4999999999999991</v>
      </c>
      <c r="AE501" s="47" t="s">
        <v>342</v>
      </c>
      <c r="AF501" s="47">
        <v>20</v>
      </c>
      <c r="AG501"/>
      <c r="AH501"/>
      <c r="AI501"/>
      <c r="AJ501"/>
      <c r="AK501">
        <v>5</v>
      </c>
      <c r="AL501"/>
      <c r="AM501"/>
      <c r="AN501"/>
      <c r="AO501"/>
      <c r="AP501"/>
      <c r="AQ501" t="s">
        <v>1358</v>
      </c>
      <c r="AU501">
        <v>497</v>
      </c>
    </row>
    <row r="502" spans="1:47" x14ac:dyDescent="0.2">
      <c r="A502" s="37">
        <v>5923</v>
      </c>
      <c r="B502" s="38" t="s">
        <v>85</v>
      </c>
      <c r="C502" s="39" t="s">
        <v>1251</v>
      </c>
      <c r="D502" s="29"/>
      <c r="E502" s="38" t="s">
        <v>1366</v>
      </c>
      <c r="F502" s="31" t="s">
        <v>220</v>
      </c>
      <c r="G502" s="47" t="s">
        <v>49</v>
      </c>
      <c r="H502"/>
      <c r="I502" s="32" t="s">
        <v>1365</v>
      </c>
      <c r="J502" s="47"/>
      <c r="K502" s="47">
        <f>5*10*2.2</f>
        <v>110.00000000000001</v>
      </c>
      <c r="L502" s="48"/>
      <c r="M502" s="47"/>
      <c r="N502" s="47"/>
      <c r="O502" s="47"/>
      <c r="P502" s="47"/>
      <c r="Q502" s="47"/>
      <c r="R502" s="47"/>
      <c r="S502" s="48">
        <v>1</v>
      </c>
      <c r="T502" s="47"/>
      <c r="U502" s="47"/>
      <c r="V502" s="47"/>
      <c r="W502" s="47"/>
      <c r="X502" s="47"/>
      <c r="Y502" s="47" t="s">
        <v>51</v>
      </c>
      <c r="Z502" s="47" t="s">
        <v>1241</v>
      </c>
      <c r="AA502" s="49">
        <v>0.59375</v>
      </c>
      <c r="AB502" s="49">
        <v>0.69791666666666663</v>
      </c>
      <c r="AC502" s="49">
        <f>AVERAGE(AA502:AB502)</f>
        <v>0.64583333333333326</v>
      </c>
      <c r="AD502" s="50">
        <f>(AB502-AA502)*24</f>
        <v>2.4999999999999991</v>
      </c>
      <c r="AE502" s="47" t="s">
        <v>342</v>
      </c>
      <c r="AF502" s="47">
        <v>20</v>
      </c>
      <c r="AG502"/>
      <c r="AH502"/>
      <c r="AI502"/>
      <c r="AJ502"/>
      <c r="AK502">
        <v>5</v>
      </c>
      <c r="AL502"/>
      <c r="AM502"/>
      <c r="AN502"/>
      <c r="AO502"/>
      <c r="AP502"/>
      <c r="AQ502" t="s">
        <v>1358</v>
      </c>
      <c r="AU502">
        <v>498</v>
      </c>
    </row>
    <row r="503" spans="1:47" x14ac:dyDescent="0.2">
      <c r="A503" s="59">
        <v>5923</v>
      </c>
      <c r="B503" s="60" t="s">
        <v>45</v>
      </c>
      <c r="C503" s="61" t="s">
        <v>1367</v>
      </c>
      <c r="D503" s="62"/>
      <c r="E503" s="60" t="s">
        <v>1347</v>
      </c>
      <c r="F503" s="64" t="s">
        <v>150</v>
      </c>
      <c r="G503" s="47"/>
      <c r="H503"/>
      <c r="I503" s="65" t="s">
        <v>1368</v>
      </c>
      <c r="J503" s="47"/>
      <c r="K503" s="47"/>
      <c r="L503" s="48"/>
      <c r="M503" s="47"/>
      <c r="N503" s="47"/>
      <c r="O503" s="47"/>
      <c r="P503" s="47"/>
      <c r="Q503" s="47"/>
      <c r="R503" s="47"/>
      <c r="S503" s="48"/>
      <c r="T503" s="47"/>
      <c r="U503" s="47"/>
      <c r="V503" s="47"/>
      <c r="W503" s="47"/>
      <c r="X503" s="47"/>
      <c r="Y503" s="47"/>
      <c r="Z503" s="47"/>
      <c r="AA503" s="49"/>
      <c r="AB503" s="49"/>
      <c r="AC503" s="49"/>
      <c r="AD503" s="50"/>
      <c r="AE503" s="47"/>
      <c r="AF503" s="47"/>
      <c r="AG503"/>
      <c r="AH503"/>
      <c r="AI503"/>
      <c r="AJ503"/>
      <c r="AK503"/>
      <c r="AL503"/>
      <c r="AM503"/>
      <c r="AN503"/>
      <c r="AO503"/>
      <c r="AP503"/>
      <c r="AQ503" t="s">
        <v>1369</v>
      </c>
      <c r="AU503">
        <v>499</v>
      </c>
    </row>
    <row r="504" spans="1:47" x14ac:dyDescent="0.2">
      <c r="A504" s="37">
        <v>5924</v>
      </c>
      <c r="B504" s="38"/>
      <c r="C504" s="39" t="s">
        <v>142</v>
      </c>
      <c r="D504" s="62"/>
      <c r="E504" s="78" t="s">
        <v>1370</v>
      </c>
      <c r="F504" s="31" t="s">
        <v>220</v>
      </c>
      <c r="G504" s="47" t="s">
        <v>49</v>
      </c>
      <c r="H504"/>
      <c r="I504" s="18" t="s">
        <v>1371</v>
      </c>
      <c r="J504" s="47"/>
      <c r="K504" s="47">
        <f>6*10*2.2</f>
        <v>132</v>
      </c>
      <c r="L504" s="48"/>
      <c r="M504" s="47"/>
      <c r="N504" s="47"/>
      <c r="O504" s="47"/>
      <c r="P504" s="47"/>
      <c r="Q504" s="47"/>
      <c r="R504" s="47"/>
      <c r="S504" s="48"/>
      <c r="T504" s="47"/>
      <c r="U504" s="47"/>
      <c r="V504" s="47"/>
      <c r="W504" s="47"/>
      <c r="X504" s="47"/>
      <c r="Y504" s="47"/>
      <c r="Z504" s="31" t="s">
        <v>146</v>
      </c>
      <c r="AA504" s="49"/>
      <c r="AB504" s="49"/>
      <c r="AC504" s="49"/>
      <c r="AD504" s="50"/>
      <c r="AE504" s="47"/>
      <c r="AF504" s="47"/>
      <c r="AG504"/>
      <c r="AH504"/>
      <c r="AI504"/>
      <c r="AJ504"/>
      <c r="AK504">
        <v>6</v>
      </c>
      <c r="AL504"/>
      <c r="AM504"/>
      <c r="AN504"/>
      <c r="AO504"/>
      <c r="AP504"/>
      <c r="AQ504" t="s">
        <v>1361</v>
      </c>
      <c r="AU504">
        <v>500</v>
      </c>
    </row>
    <row r="505" spans="1:47" x14ac:dyDescent="0.2">
      <c r="A505" s="37">
        <v>5924</v>
      </c>
      <c r="B505" s="38" t="s">
        <v>85</v>
      </c>
      <c r="C505" s="39" t="s">
        <v>1251</v>
      </c>
      <c r="D505" s="29"/>
      <c r="E505" s="57" t="s">
        <v>649</v>
      </c>
      <c r="F505" s="31" t="s">
        <v>529</v>
      </c>
      <c r="G505" s="31" t="s">
        <v>205</v>
      </c>
      <c r="I505" s="31" t="s">
        <v>1372</v>
      </c>
      <c r="K505" s="47">
        <f>5*10*2.2</f>
        <v>110.00000000000001</v>
      </c>
      <c r="L505" s="33">
        <v>1</v>
      </c>
      <c r="S505" s="33">
        <v>1</v>
      </c>
      <c r="T505" s="31">
        <v>0</v>
      </c>
      <c r="U505" s="31">
        <v>0</v>
      </c>
      <c r="V505" s="31">
        <v>0</v>
      </c>
      <c r="Y505" s="47" t="s">
        <v>51</v>
      </c>
      <c r="Z505" s="47" t="s">
        <v>1241</v>
      </c>
      <c r="AA505" s="34">
        <v>0.65972222222222221</v>
      </c>
      <c r="AB505" s="34">
        <v>0.70833333333333337</v>
      </c>
      <c r="AC505" s="49">
        <f>AVERAGE(AA505:AB505)</f>
        <v>0.68402777777777779</v>
      </c>
      <c r="AD505" s="50">
        <f>(AB505-AA505)*24</f>
        <v>1.1666666666666679</v>
      </c>
      <c r="AE505" s="47" t="s">
        <v>342</v>
      </c>
      <c r="AF505" s="47">
        <v>40</v>
      </c>
      <c r="AK505" s="32">
        <v>5</v>
      </c>
      <c r="AQ505" t="s">
        <v>1373</v>
      </c>
      <c r="AU505">
        <v>501</v>
      </c>
    </row>
    <row r="506" spans="1:47" x14ac:dyDescent="0.2">
      <c r="A506" s="37">
        <v>5924</v>
      </c>
      <c r="B506" s="38" t="s">
        <v>85</v>
      </c>
      <c r="C506" s="39" t="s">
        <v>1251</v>
      </c>
      <c r="D506" s="29"/>
      <c r="E506" s="38" t="s">
        <v>1104</v>
      </c>
      <c r="F506" s="32" t="s">
        <v>150</v>
      </c>
      <c r="G506" s="47" t="s">
        <v>49</v>
      </c>
      <c r="H506"/>
      <c r="I506" s="31" t="s">
        <v>1372</v>
      </c>
      <c r="K506" s="47">
        <f>5*10*2.2</f>
        <v>110.00000000000001</v>
      </c>
      <c r="L506" s="33">
        <v>1</v>
      </c>
      <c r="S506" s="33">
        <v>1</v>
      </c>
      <c r="T506" s="31">
        <v>0</v>
      </c>
      <c r="U506" s="31">
        <v>0</v>
      </c>
      <c r="V506" s="31">
        <v>0</v>
      </c>
      <c r="Y506" s="47" t="s">
        <v>51</v>
      </c>
      <c r="Z506" s="47" t="s">
        <v>1241</v>
      </c>
      <c r="AA506" s="34">
        <v>0.65972222222222221</v>
      </c>
      <c r="AB506" s="34">
        <v>0.70833333333333337</v>
      </c>
      <c r="AC506" s="49">
        <f>AVERAGE(AA506:AB506)</f>
        <v>0.68402777777777779</v>
      </c>
      <c r="AD506" s="50">
        <f>(AB506-AA506)*24</f>
        <v>1.1666666666666679</v>
      </c>
      <c r="AE506" s="47" t="s">
        <v>342</v>
      </c>
      <c r="AF506" s="47">
        <v>40</v>
      </c>
      <c r="AK506" s="32">
        <v>5</v>
      </c>
      <c r="AQ506" t="s">
        <v>1373</v>
      </c>
      <c r="AU506">
        <v>502</v>
      </c>
    </row>
    <row r="507" spans="1:47" x14ac:dyDescent="0.2">
      <c r="A507" s="37">
        <v>5924</v>
      </c>
      <c r="B507" s="38" t="s">
        <v>45</v>
      </c>
      <c r="C507" s="39" t="s">
        <v>253</v>
      </c>
      <c r="D507" s="29"/>
      <c r="E507" s="38" t="s">
        <v>1374</v>
      </c>
      <c r="F507" s="32" t="s">
        <v>246</v>
      </c>
      <c r="G507" s="47"/>
      <c r="H507"/>
      <c r="I507" s="32"/>
      <c r="J507" s="47"/>
      <c r="K507" s="47"/>
      <c r="L507" s="48"/>
      <c r="M507" s="47"/>
      <c r="N507" s="47"/>
      <c r="O507" s="47"/>
      <c r="P507" s="47"/>
      <c r="Q507" s="47"/>
      <c r="R507" s="47"/>
      <c r="S507" s="48"/>
      <c r="T507" s="47"/>
      <c r="U507" s="47"/>
      <c r="V507" s="47"/>
      <c r="W507" s="47"/>
      <c r="X507" s="47"/>
      <c r="Y507" s="47"/>
      <c r="Z507" s="47"/>
      <c r="AA507" s="49"/>
      <c r="AB507" s="49"/>
      <c r="AC507" s="49"/>
      <c r="AD507" s="50"/>
      <c r="AE507" s="47"/>
      <c r="AF507" s="47"/>
      <c r="AG507"/>
      <c r="AH507"/>
      <c r="AI507"/>
      <c r="AJ507"/>
      <c r="AK507"/>
      <c r="AL507"/>
      <c r="AM507"/>
      <c r="AN507"/>
      <c r="AO507"/>
      <c r="AP507"/>
      <c r="AQ507" s="32" t="s">
        <v>1375</v>
      </c>
      <c r="AU507">
        <v>503</v>
      </c>
    </row>
    <row r="508" spans="1:47" x14ac:dyDescent="0.2">
      <c r="A508" s="37">
        <v>5925</v>
      </c>
      <c r="B508" s="38" t="s">
        <v>45</v>
      </c>
      <c r="C508" s="39" t="s">
        <v>142</v>
      </c>
      <c r="D508" s="29"/>
      <c r="E508" s="38" t="s">
        <v>1359</v>
      </c>
      <c r="F508" s="32" t="s">
        <v>76</v>
      </c>
      <c r="G508" s="47" t="s">
        <v>49</v>
      </c>
      <c r="H508"/>
      <c r="I508" s="32" t="s">
        <v>1376</v>
      </c>
      <c r="J508" s="47"/>
      <c r="K508" s="47">
        <f>4*10*2.2</f>
        <v>88</v>
      </c>
      <c r="L508" s="48"/>
      <c r="M508" s="47"/>
      <c r="N508" s="47"/>
      <c r="O508" s="47"/>
      <c r="P508" s="47"/>
      <c r="Q508" s="47"/>
      <c r="R508" s="47"/>
      <c r="S508" s="48">
        <v>1</v>
      </c>
      <c r="T508" s="47"/>
      <c r="U508" s="47"/>
      <c r="V508" s="47"/>
      <c r="W508" s="47"/>
      <c r="X508" s="47"/>
      <c r="Y508" s="47"/>
      <c r="Z508" s="31" t="s">
        <v>146</v>
      </c>
      <c r="AA508" s="49"/>
      <c r="AB508" s="49"/>
      <c r="AC508" s="49"/>
      <c r="AD508" s="50"/>
      <c r="AE508" s="47"/>
      <c r="AF508" s="47"/>
      <c r="AG508"/>
      <c r="AH508"/>
      <c r="AI508"/>
      <c r="AJ508"/>
      <c r="AK508">
        <v>4</v>
      </c>
      <c r="AL508"/>
      <c r="AM508"/>
      <c r="AN508"/>
      <c r="AO508"/>
      <c r="AP508"/>
      <c r="AQ508" t="s">
        <v>1361</v>
      </c>
      <c r="AU508">
        <v>504</v>
      </c>
    </row>
    <row r="509" spans="1:47" x14ac:dyDescent="0.2">
      <c r="A509" s="37">
        <v>5925</v>
      </c>
      <c r="B509" s="38" t="s">
        <v>45</v>
      </c>
      <c r="C509" s="39" t="s">
        <v>142</v>
      </c>
      <c r="D509" s="45"/>
      <c r="E509" s="38" t="s">
        <v>1310</v>
      </c>
      <c r="F509" s="32" t="s">
        <v>76</v>
      </c>
      <c r="G509" s="47" t="s">
        <v>49</v>
      </c>
      <c r="H509"/>
      <c r="I509" s="32" t="s">
        <v>1377</v>
      </c>
      <c r="J509" s="47"/>
      <c r="K509" s="47">
        <f>6*10*2.2</f>
        <v>132</v>
      </c>
      <c r="L509" s="48"/>
      <c r="M509" s="47"/>
      <c r="N509" s="47"/>
      <c r="O509" s="47"/>
      <c r="P509" s="47"/>
      <c r="Q509" s="47"/>
      <c r="R509" s="47"/>
      <c r="S509" s="48"/>
      <c r="T509" s="47"/>
      <c r="U509" s="47"/>
      <c r="V509" s="47"/>
      <c r="W509" s="47"/>
      <c r="X509" s="47"/>
      <c r="Y509" s="47"/>
      <c r="Z509" s="31" t="s">
        <v>146</v>
      </c>
      <c r="AA509" s="49"/>
      <c r="AB509" s="49"/>
      <c r="AC509" s="49"/>
      <c r="AD509" s="50"/>
      <c r="AE509" s="47"/>
      <c r="AF509" s="47"/>
      <c r="AG509"/>
      <c r="AH509"/>
      <c r="AI509"/>
      <c r="AJ509"/>
      <c r="AK509">
        <v>6</v>
      </c>
      <c r="AL509"/>
      <c r="AM509"/>
      <c r="AN509"/>
      <c r="AO509"/>
      <c r="AP509"/>
      <c r="AQ509" t="s">
        <v>1361</v>
      </c>
      <c r="AU509">
        <v>505</v>
      </c>
    </row>
    <row r="510" spans="1:47" x14ac:dyDescent="0.2">
      <c r="A510" s="37">
        <v>5929</v>
      </c>
      <c r="B510" s="38"/>
      <c r="C510" s="39" t="s">
        <v>142</v>
      </c>
      <c r="D510" s="29"/>
      <c r="E510" s="38" t="s">
        <v>1378</v>
      </c>
      <c r="F510" s="32" t="s">
        <v>173</v>
      </c>
      <c r="G510" s="47" t="s">
        <v>69</v>
      </c>
      <c r="H510"/>
      <c r="I510" s="32" t="s">
        <v>1379</v>
      </c>
      <c r="J510" s="47"/>
      <c r="K510" s="47">
        <f>16*10*2.2</f>
        <v>352</v>
      </c>
      <c r="L510" s="48"/>
      <c r="M510" s="47"/>
      <c r="N510" s="47"/>
      <c r="O510" s="47"/>
      <c r="P510" s="47"/>
      <c r="Q510" s="47"/>
      <c r="R510" s="47"/>
      <c r="S510" s="48"/>
      <c r="T510" s="47"/>
      <c r="U510" s="47"/>
      <c r="V510" s="47"/>
      <c r="W510" s="47"/>
      <c r="X510" s="47"/>
      <c r="Y510" s="47"/>
      <c r="Z510" s="31" t="s">
        <v>146</v>
      </c>
      <c r="AA510" s="49"/>
      <c r="AB510" s="49"/>
      <c r="AC510" s="49"/>
      <c r="AD510" s="50"/>
      <c r="AE510" s="47"/>
      <c r="AF510" s="47"/>
      <c r="AG510"/>
      <c r="AH510"/>
      <c r="AI510"/>
      <c r="AJ510"/>
      <c r="AK510">
        <v>16</v>
      </c>
      <c r="AL510"/>
      <c r="AM510"/>
      <c r="AN510"/>
      <c r="AO510"/>
      <c r="AP510"/>
      <c r="AQ510" t="s">
        <v>1380</v>
      </c>
      <c r="AU510">
        <v>506</v>
      </c>
    </row>
    <row r="511" spans="1:47" x14ac:dyDescent="0.2">
      <c r="A511" s="37">
        <v>5929</v>
      </c>
      <c r="B511" s="38" t="s">
        <v>85</v>
      </c>
      <c r="C511" s="39" t="s">
        <v>1251</v>
      </c>
      <c r="D511" s="29"/>
      <c r="E511" s="38" t="s">
        <v>1168</v>
      </c>
      <c r="F511" s="32" t="s">
        <v>150</v>
      </c>
      <c r="G511" s="47" t="s">
        <v>49</v>
      </c>
      <c r="H511"/>
      <c r="I511" s="32" t="s">
        <v>1381</v>
      </c>
      <c r="K511" s="47">
        <f>18*10*2.2</f>
        <v>396.00000000000006</v>
      </c>
      <c r="L511" s="48">
        <v>4</v>
      </c>
      <c r="M511" s="47"/>
      <c r="N511" s="47"/>
      <c r="O511" s="47"/>
      <c r="P511" s="47"/>
      <c r="Q511" s="47"/>
      <c r="R511" s="47"/>
      <c r="S511" s="48">
        <v>4</v>
      </c>
      <c r="T511" s="47">
        <v>0</v>
      </c>
      <c r="U511" s="47">
        <v>0</v>
      </c>
      <c r="V511" s="47">
        <v>0</v>
      </c>
      <c r="W511" s="47"/>
      <c r="X511" s="47"/>
      <c r="Y511" s="47" t="s">
        <v>51</v>
      </c>
      <c r="Z511" s="47" t="s">
        <v>1241</v>
      </c>
      <c r="AA511" s="49">
        <v>0.57638888888888895</v>
      </c>
      <c r="AB511" s="49">
        <v>0.68055555555555547</v>
      </c>
      <c r="AC511" s="49">
        <f>AVERAGE(AA511:AB511)</f>
        <v>0.62847222222222221</v>
      </c>
      <c r="AD511" s="50">
        <f>(AB511-AA511)*24</f>
        <v>2.4999999999999964</v>
      </c>
      <c r="AE511" s="47" t="s">
        <v>342</v>
      </c>
      <c r="AF511" s="47">
        <v>40</v>
      </c>
      <c r="AG511"/>
      <c r="AH511"/>
      <c r="AI511"/>
      <c r="AJ511"/>
      <c r="AK511">
        <v>18</v>
      </c>
      <c r="AL511"/>
      <c r="AM511"/>
      <c r="AN511"/>
      <c r="AO511"/>
      <c r="AP511"/>
      <c r="AQ511" t="s">
        <v>1382</v>
      </c>
      <c r="AU511">
        <v>507</v>
      </c>
    </row>
    <row r="512" spans="1:47" x14ac:dyDescent="0.2">
      <c r="A512" s="37">
        <v>5929</v>
      </c>
      <c r="B512" s="38" t="s">
        <v>45</v>
      </c>
      <c r="C512" s="39" t="s">
        <v>253</v>
      </c>
      <c r="D512" s="29"/>
      <c r="E512" s="38" t="s">
        <v>1218</v>
      </c>
      <c r="F512" s="32" t="s">
        <v>83</v>
      </c>
      <c r="G512" s="47"/>
      <c r="H512"/>
      <c r="I512" s="32" t="s">
        <v>1383</v>
      </c>
      <c r="J512" s="47"/>
      <c r="K512" s="47"/>
      <c r="L512" s="48"/>
      <c r="M512" s="47"/>
      <c r="N512" s="47"/>
      <c r="O512" s="47"/>
      <c r="P512" s="47"/>
      <c r="Q512" s="47"/>
      <c r="R512" s="47"/>
      <c r="S512" s="48"/>
      <c r="T512" s="47"/>
      <c r="U512" s="47"/>
      <c r="V512" s="47"/>
      <c r="W512" s="47"/>
      <c r="X512" s="47"/>
      <c r="Y512" s="47"/>
      <c r="Z512" s="47"/>
      <c r="AA512" s="49"/>
      <c r="AB512" s="49"/>
      <c r="AC512" s="49"/>
      <c r="AD512" s="50"/>
      <c r="AE512" s="47"/>
      <c r="AF512" s="47"/>
      <c r="AG512"/>
      <c r="AH512"/>
      <c r="AI512"/>
      <c r="AJ512"/>
      <c r="AK512"/>
      <c r="AL512"/>
      <c r="AM512"/>
      <c r="AN512"/>
      <c r="AO512"/>
      <c r="AP512"/>
      <c r="AQ512" s="32" t="s">
        <v>1375</v>
      </c>
      <c r="AU512">
        <v>508</v>
      </c>
    </row>
    <row r="513" spans="1:47" x14ac:dyDescent="0.2">
      <c r="A513" s="26">
        <v>5929</v>
      </c>
      <c r="B513" s="27">
        <v>0.70833333333333337</v>
      </c>
      <c r="C513" s="28"/>
      <c r="D513" s="29"/>
      <c r="E513" s="30" t="s">
        <v>1124</v>
      </c>
      <c r="H513" s="32">
        <v>1</v>
      </c>
      <c r="I513" s="32"/>
      <c r="AG513" s="32">
        <v>0</v>
      </c>
      <c r="AH513" s="32">
        <v>3</v>
      </c>
      <c r="AK513" s="32">
        <v>9</v>
      </c>
      <c r="AL513" s="32">
        <v>2.3330000000000002</v>
      </c>
      <c r="AO513" s="46" t="s">
        <v>1126</v>
      </c>
      <c r="AP513" s="32">
        <v>2.3330000000000002</v>
      </c>
      <c r="AQ513" s="32" t="s">
        <v>589</v>
      </c>
      <c r="AU513">
        <v>509</v>
      </c>
    </row>
    <row r="514" spans="1:47" x14ac:dyDescent="0.2">
      <c r="A514" s="37">
        <v>5933</v>
      </c>
      <c r="B514" s="38" t="s">
        <v>85</v>
      </c>
      <c r="C514" s="39" t="s">
        <v>1251</v>
      </c>
      <c r="D514" s="29"/>
      <c r="E514" s="38" t="s">
        <v>1104</v>
      </c>
      <c r="F514" s="32" t="s">
        <v>150</v>
      </c>
      <c r="G514" s="47" t="s">
        <v>49</v>
      </c>
      <c r="H514"/>
      <c r="I514" s="32" t="s">
        <v>1384</v>
      </c>
      <c r="J514" s="47"/>
      <c r="K514" s="47">
        <f>15*10*2.2</f>
        <v>330</v>
      </c>
      <c r="L514" s="48">
        <v>3</v>
      </c>
      <c r="M514" s="47"/>
      <c r="N514" s="47"/>
      <c r="O514" s="47"/>
      <c r="P514" s="47"/>
      <c r="Q514" s="47"/>
      <c r="R514" s="47"/>
      <c r="S514" s="48">
        <v>3</v>
      </c>
      <c r="T514" s="47">
        <v>0</v>
      </c>
      <c r="U514" s="47">
        <v>0</v>
      </c>
      <c r="V514" s="47">
        <v>0</v>
      </c>
      <c r="W514" s="47"/>
      <c r="X514" s="47"/>
      <c r="Y514" s="47" t="s">
        <v>51</v>
      </c>
      <c r="Z514" s="47" t="s">
        <v>1241</v>
      </c>
      <c r="AA514" s="49">
        <v>0.64583333333333337</v>
      </c>
      <c r="AB514" s="49">
        <v>0.75</v>
      </c>
      <c r="AC514" s="49">
        <f>AVERAGE(AA514:AB514)</f>
        <v>0.69791666666666674</v>
      </c>
      <c r="AD514" s="50">
        <f>(AB514-AA514)*24</f>
        <v>2.4999999999999991</v>
      </c>
      <c r="AE514" s="47" t="s">
        <v>342</v>
      </c>
      <c r="AF514" s="47">
        <v>40</v>
      </c>
      <c r="AG514"/>
      <c r="AH514"/>
      <c r="AI514"/>
      <c r="AJ514"/>
      <c r="AK514" s="32">
        <v>15</v>
      </c>
      <c r="AL514"/>
      <c r="AM514"/>
      <c r="AN514"/>
      <c r="AO514"/>
      <c r="AP514"/>
      <c r="AQ514" t="s">
        <v>1385</v>
      </c>
      <c r="AU514">
        <v>510</v>
      </c>
    </row>
    <row r="515" spans="1:47" x14ac:dyDescent="0.2">
      <c r="A515" s="37">
        <v>5933</v>
      </c>
      <c r="B515" s="38" t="s">
        <v>85</v>
      </c>
      <c r="C515" s="39" t="s">
        <v>1251</v>
      </c>
      <c r="D515" s="29"/>
      <c r="E515" s="38" t="s">
        <v>1386</v>
      </c>
      <c r="F515" s="32" t="s">
        <v>220</v>
      </c>
      <c r="G515" s="47" t="s">
        <v>49</v>
      </c>
      <c r="H515"/>
      <c r="I515" s="32" t="s">
        <v>1387</v>
      </c>
      <c r="J515" s="47"/>
      <c r="K515" s="47">
        <f>5*10*2.2</f>
        <v>110.00000000000001</v>
      </c>
      <c r="L515" s="48">
        <v>2</v>
      </c>
      <c r="M515" s="47"/>
      <c r="N515" s="47">
        <v>1</v>
      </c>
      <c r="O515" s="47"/>
      <c r="P515" s="47"/>
      <c r="Q515" s="47"/>
      <c r="R515" s="47"/>
      <c r="S515" s="48">
        <v>1</v>
      </c>
      <c r="T515" s="47">
        <v>0</v>
      </c>
      <c r="U515" s="47">
        <v>0</v>
      </c>
      <c r="V515" s="47">
        <v>0</v>
      </c>
      <c r="W515" s="47"/>
      <c r="X515" s="47"/>
      <c r="Y515" s="47" t="s">
        <v>51</v>
      </c>
      <c r="Z515" s="47" t="s">
        <v>1241</v>
      </c>
      <c r="AA515" s="49">
        <v>0.64583333333333337</v>
      </c>
      <c r="AB515" s="49">
        <v>0.72222222222222221</v>
      </c>
      <c r="AC515" s="49">
        <f>AVERAGE(AA515:AB515)</f>
        <v>0.68402777777777779</v>
      </c>
      <c r="AD515" s="50">
        <f>(AB515-AA515)*24</f>
        <v>1.8333333333333321</v>
      </c>
      <c r="AE515" s="47" t="s">
        <v>342</v>
      </c>
      <c r="AF515" s="47">
        <v>30</v>
      </c>
      <c r="AG515"/>
      <c r="AH515"/>
      <c r="AI515"/>
      <c r="AJ515"/>
      <c r="AK515" s="32">
        <v>5</v>
      </c>
      <c r="AL515"/>
      <c r="AM515"/>
      <c r="AN515"/>
      <c r="AO515"/>
      <c r="AP515"/>
      <c r="AQ515" t="s">
        <v>1388</v>
      </c>
      <c r="AU515">
        <v>511</v>
      </c>
    </row>
    <row r="516" spans="1:47" x14ac:dyDescent="0.2">
      <c r="A516" s="37">
        <v>5933</v>
      </c>
      <c r="B516" s="38" t="s">
        <v>45</v>
      </c>
      <c r="C516" s="39" t="s">
        <v>425</v>
      </c>
      <c r="D516" s="29"/>
      <c r="E516" s="38" t="s">
        <v>1389</v>
      </c>
      <c r="F516" s="32" t="s">
        <v>150</v>
      </c>
      <c r="G516" s="47" t="s">
        <v>49</v>
      </c>
      <c r="H516"/>
      <c r="I516" s="32" t="s">
        <v>1390</v>
      </c>
      <c r="J516" s="47"/>
      <c r="K516" s="47">
        <f>8*10*2.2</f>
        <v>176</v>
      </c>
      <c r="L516" s="48"/>
      <c r="M516" s="47"/>
      <c r="N516" s="47"/>
      <c r="O516" s="47"/>
      <c r="P516" s="47"/>
      <c r="Q516" s="47"/>
      <c r="R516" s="47"/>
      <c r="S516" s="48">
        <v>2</v>
      </c>
      <c r="T516" s="47"/>
      <c r="U516" s="47"/>
      <c r="V516" s="47"/>
      <c r="W516" s="47"/>
      <c r="X516" s="47"/>
      <c r="Y516" s="47" t="s">
        <v>51</v>
      </c>
      <c r="Z516" s="47" t="s">
        <v>146</v>
      </c>
      <c r="AA516" s="49"/>
      <c r="AB516" s="49"/>
      <c r="AC516" s="49">
        <v>0.95833333333333337</v>
      </c>
      <c r="AD516" s="50"/>
      <c r="AE516" s="47" t="s">
        <v>1323</v>
      </c>
      <c r="AF516" s="47">
        <v>65</v>
      </c>
      <c r="AG516"/>
      <c r="AH516"/>
      <c r="AI516"/>
      <c r="AJ516"/>
      <c r="AK516">
        <v>8</v>
      </c>
      <c r="AL516"/>
      <c r="AM516"/>
      <c r="AN516"/>
      <c r="AO516"/>
      <c r="AP516"/>
      <c r="AQ516" t="s">
        <v>1380</v>
      </c>
      <c r="AU516">
        <v>513</v>
      </c>
    </row>
    <row r="517" spans="1:47" x14ac:dyDescent="0.2">
      <c r="A517" s="37">
        <v>5933</v>
      </c>
      <c r="B517" s="38" t="s">
        <v>45</v>
      </c>
      <c r="C517" s="39" t="s">
        <v>142</v>
      </c>
      <c r="D517" s="29"/>
      <c r="E517" s="38" t="s">
        <v>1391</v>
      </c>
      <c r="F517" s="32" t="s">
        <v>173</v>
      </c>
      <c r="G517" s="47" t="s">
        <v>69</v>
      </c>
      <c r="H517"/>
      <c r="I517" s="32" t="s">
        <v>1376</v>
      </c>
      <c r="J517" s="47"/>
      <c r="K517" s="47">
        <f>4*10*2.2</f>
        <v>88</v>
      </c>
      <c r="L517" s="48"/>
      <c r="M517" s="47"/>
      <c r="N517" s="47"/>
      <c r="O517" s="47"/>
      <c r="P517" s="47"/>
      <c r="Q517" s="47"/>
      <c r="R517" s="47"/>
      <c r="S517" s="48">
        <v>1</v>
      </c>
      <c r="T517" s="47"/>
      <c r="U517" s="47"/>
      <c r="V517" s="47"/>
      <c r="W517" s="47"/>
      <c r="X517" s="47"/>
      <c r="Y517" s="47" t="s">
        <v>51</v>
      </c>
      <c r="Z517" s="31" t="s">
        <v>146</v>
      </c>
      <c r="AA517" s="49"/>
      <c r="AB517" s="49"/>
      <c r="AC517" s="49"/>
      <c r="AD517" s="50"/>
      <c r="AE517" s="47"/>
      <c r="AF517" s="47"/>
      <c r="AG517"/>
      <c r="AH517"/>
      <c r="AI517"/>
      <c r="AJ517"/>
      <c r="AK517">
        <v>4</v>
      </c>
      <c r="AL517"/>
      <c r="AM517"/>
      <c r="AN517"/>
      <c r="AO517"/>
      <c r="AP517"/>
      <c r="AQ517" t="s">
        <v>1380</v>
      </c>
      <c r="AU517">
        <v>514</v>
      </c>
    </row>
    <row r="518" spans="1:47" x14ac:dyDescent="0.2">
      <c r="A518" s="26">
        <v>5933</v>
      </c>
      <c r="B518" s="27">
        <v>0.75</v>
      </c>
      <c r="C518" s="28"/>
      <c r="D518" s="29"/>
      <c r="E518" s="30" t="s">
        <v>1124</v>
      </c>
      <c r="H518" s="32">
        <v>1</v>
      </c>
      <c r="I518" s="32"/>
      <c r="AG518" s="32">
        <v>1</v>
      </c>
      <c r="AH518" s="32">
        <v>7</v>
      </c>
      <c r="AK518" s="32">
        <v>4</v>
      </c>
      <c r="AL518" s="32">
        <v>0.33300000000000002</v>
      </c>
      <c r="AO518" s="46" t="s">
        <v>1126</v>
      </c>
      <c r="AP518" s="32">
        <v>0.33300000000000002</v>
      </c>
      <c r="AQ518" s="32" t="s">
        <v>589</v>
      </c>
      <c r="AU518">
        <v>515</v>
      </c>
    </row>
    <row r="519" spans="1:47" x14ac:dyDescent="0.2">
      <c r="A519" s="26">
        <v>5933</v>
      </c>
      <c r="B519" s="27" t="s">
        <v>45</v>
      </c>
      <c r="C519" s="28"/>
      <c r="D519" s="29"/>
      <c r="E519" s="30" t="s">
        <v>464</v>
      </c>
      <c r="H519" s="32">
        <v>1</v>
      </c>
      <c r="I519" s="32" t="s">
        <v>1392</v>
      </c>
      <c r="AG519" s="32">
        <v>0</v>
      </c>
      <c r="AH519" s="32">
        <v>0</v>
      </c>
      <c r="AK519" s="32">
        <v>7</v>
      </c>
      <c r="AO519" s="32" t="s">
        <v>487</v>
      </c>
      <c r="AQ519" s="32">
        <v>385</v>
      </c>
      <c r="AU519">
        <v>516</v>
      </c>
    </row>
    <row r="520" spans="1:47" x14ac:dyDescent="0.2">
      <c r="A520" s="37">
        <v>5934</v>
      </c>
      <c r="B520" s="38" t="s">
        <v>85</v>
      </c>
      <c r="C520" s="39" t="s">
        <v>1251</v>
      </c>
      <c r="D520" s="29"/>
      <c r="E520" s="38" t="s">
        <v>656</v>
      </c>
      <c r="F520" s="32" t="s">
        <v>150</v>
      </c>
      <c r="G520" s="47" t="s">
        <v>49</v>
      </c>
      <c r="H520"/>
      <c r="I520" s="32" t="s">
        <v>1393</v>
      </c>
      <c r="K520" s="31">
        <f>20*10*2.2</f>
        <v>440.00000000000006</v>
      </c>
      <c r="L520" s="33">
        <v>4</v>
      </c>
      <c r="S520" s="33">
        <v>4</v>
      </c>
      <c r="T520" s="31">
        <v>0</v>
      </c>
      <c r="U520" s="31">
        <v>0</v>
      </c>
      <c r="V520" s="31">
        <v>0</v>
      </c>
      <c r="Y520" s="47" t="s">
        <v>51</v>
      </c>
      <c r="Z520" s="47" t="s">
        <v>1241</v>
      </c>
      <c r="AA520" s="34">
        <v>0.35416666666666669</v>
      </c>
      <c r="AB520" s="34">
        <v>0.4375</v>
      </c>
      <c r="AC520" s="49">
        <f>AVERAGE(AA520:AB520)</f>
        <v>0.39583333333333337</v>
      </c>
      <c r="AD520" s="50">
        <f>(AB520-AA520)*24</f>
        <v>1.9999999999999996</v>
      </c>
      <c r="AE520" s="47" t="s">
        <v>342</v>
      </c>
      <c r="AF520" s="31">
        <v>45</v>
      </c>
      <c r="AK520" s="32">
        <v>20</v>
      </c>
      <c r="AQ520" t="s">
        <v>1394</v>
      </c>
      <c r="AU520">
        <v>517</v>
      </c>
    </row>
    <row r="521" spans="1:47" x14ac:dyDescent="0.2">
      <c r="A521" s="37">
        <v>5934</v>
      </c>
      <c r="B521" s="38" t="s">
        <v>85</v>
      </c>
      <c r="C521" s="39" t="s">
        <v>1251</v>
      </c>
      <c r="D521" s="29"/>
      <c r="E521" s="38" t="s">
        <v>656</v>
      </c>
      <c r="F521" s="32" t="s">
        <v>150</v>
      </c>
      <c r="G521" s="31" t="s">
        <v>49</v>
      </c>
      <c r="I521" s="31" t="s">
        <v>1395</v>
      </c>
      <c r="K521" s="31">
        <f>10*10*2.2</f>
        <v>220.00000000000003</v>
      </c>
      <c r="L521" s="33">
        <v>2</v>
      </c>
      <c r="S521" s="33">
        <v>2</v>
      </c>
      <c r="T521" s="31">
        <v>0</v>
      </c>
      <c r="U521" s="31">
        <v>0</v>
      </c>
      <c r="V521" s="31">
        <v>0</v>
      </c>
      <c r="Y521" s="47" t="s">
        <v>51</v>
      </c>
      <c r="Z521" s="47" t="s">
        <v>1241</v>
      </c>
      <c r="AA521" s="34">
        <v>0.61458333333333337</v>
      </c>
      <c r="AB521" s="34">
        <v>0.69791666666666663</v>
      </c>
      <c r="AC521" s="49">
        <f>AVERAGE(AA521:AB521)</f>
        <v>0.65625</v>
      </c>
      <c r="AD521" s="50">
        <f>(AB521-AA521)*24</f>
        <v>1.9999999999999982</v>
      </c>
      <c r="AE521" s="47" t="s">
        <v>342</v>
      </c>
      <c r="AF521" s="31">
        <v>45</v>
      </c>
      <c r="AK521" s="32">
        <v>10</v>
      </c>
      <c r="AQ521" t="s">
        <v>1394</v>
      </c>
      <c r="AU521">
        <v>518</v>
      </c>
    </row>
    <row r="522" spans="1:47" x14ac:dyDescent="0.2">
      <c r="A522" s="37">
        <v>5934</v>
      </c>
      <c r="B522" s="38" t="s">
        <v>85</v>
      </c>
      <c r="C522" s="39" t="s">
        <v>1396</v>
      </c>
      <c r="D522" s="29"/>
      <c r="E522" s="38" t="s">
        <v>1397</v>
      </c>
      <c r="F522" s="32" t="s">
        <v>204</v>
      </c>
      <c r="G522" s="47" t="s">
        <v>205</v>
      </c>
      <c r="H522"/>
      <c r="I522" s="32" t="s">
        <v>1398</v>
      </c>
      <c r="S522" s="33">
        <v>4</v>
      </c>
      <c r="Z522" s="31" t="s">
        <v>1399</v>
      </c>
      <c r="AQ522" s="32" t="s">
        <v>1200</v>
      </c>
      <c r="AU522">
        <v>519</v>
      </c>
    </row>
    <row r="523" spans="1:47" x14ac:dyDescent="0.2">
      <c r="A523" s="37">
        <v>5934</v>
      </c>
      <c r="B523" s="38"/>
      <c r="C523" s="39" t="s">
        <v>46</v>
      </c>
      <c r="D523" s="29"/>
      <c r="E523" s="38" t="s">
        <v>1400</v>
      </c>
      <c r="F523" s="32" t="s">
        <v>150</v>
      </c>
      <c r="G523" s="47" t="s">
        <v>49</v>
      </c>
      <c r="H523"/>
      <c r="I523" s="32" t="s">
        <v>1401</v>
      </c>
      <c r="K523" s="31">
        <f>30*10*2.2</f>
        <v>660</v>
      </c>
      <c r="L523" s="33">
        <v>1</v>
      </c>
      <c r="S523" s="33">
        <v>1</v>
      </c>
      <c r="Y523" s="31" t="s">
        <v>51</v>
      </c>
      <c r="Z523" s="20" t="s">
        <v>52</v>
      </c>
      <c r="AF523" s="31">
        <v>340</v>
      </c>
      <c r="AK523" s="32">
        <v>30</v>
      </c>
      <c r="AQ523" s="32" t="s">
        <v>566</v>
      </c>
      <c r="AU523">
        <v>520</v>
      </c>
    </row>
    <row r="524" spans="1:47" x14ac:dyDescent="0.2">
      <c r="A524" s="37">
        <v>5934</v>
      </c>
      <c r="B524" s="38" t="s">
        <v>45</v>
      </c>
      <c r="C524" s="39" t="s">
        <v>425</v>
      </c>
      <c r="D524" s="29"/>
      <c r="E524" s="38" t="s">
        <v>1402</v>
      </c>
      <c r="F524" s="32" t="s">
        <v>173</v>
      </c>
      <c r="G524" s="47" t="s">
        <v>69</v>
      </c>
      <c r="H524"/>
      <c r="I524" s="32" t="s">
        <v>1403</v>
      </c>
      <c r="K524" s="31">
        <f>24*10*2.2</f>
        <v>528</v>
      </c>
      <c r="L524" s="33">
        <v>4</v>
      </c>
      <c r="S524" s="33">
        <v>4</v>
      </c>
      <c r="Y524" s="31" t="s">
        <v>51</v>
      </c>
      <c r="Z524" s="47" t="s">
        <v>146</v>
      </c>
      <c r="AA524" s="34">
        <v>0.91666666666666663</v>
      </c>
      <c r="AB524" s="34">
        <v>6.5972222222222224E-2</v>
      </c>
      <c r="AC524" s="107">
        <v>0.99097222222222225</v>
      </c>
      <c r="AD524" s="35">
        <f>3+35/60</f>
        <v>3.5833333333333335</v>
      </c>
      <c r="AE524" s="47" t="s">
        <v>1323</v>
      </c>
      <c r="AF524" s="31">
        <v>35</v>
      </c>
      <c r="AK524" s="32">
        <v>24</v>
      </c>
      <c r="AQ524" t="s">
        <v>1380</v>
      </c>
      <c r="AU524">
        <v>521</v>
      </c>
    </row>
    <row r="525" spans="1:47" x14ac:dyDescent="0.2">
      <c r="A525" s="37">
        <v>5935</v>
      </c>
      <c r="B525" s="38" t="s">
        <v>45</v>
      </c>
      <c r="C525" s="39" t="s">
        <v>425</v>
      </c>
      <c r="D525" s="29"/>
      <c r="E525" s="38" t="s">
        <v>1404</v>
      </c>
      <c r="F525" s="32" t="s">
        <v>173</v>
      </c>
      <c r="G525" s="47" t="s">
        <v>69</v>
      </c>
      <c r="H525"/>
      <c r="I525" s="32" t="s">
        <v>1405</v>
      </c>
      <c r="K525" s="31">
        <f>28*10*2.2</f>
        <v>616</v>
      </c>
      <c r="L525" s="33">
        <v>4</v>
      </c>
      <c r="S525" s="33">
        <v>4</v>
      </c>
      <c r="T525" s="31">
        <v>0</v>
      </c>
      <c r="U525" s="31">
        <v>0</v>
      </c>
      <c r="V525" s="31">
        <v>0</v>
      </c>
      <c r="Y525" s="31" t="s">
        <v>51</v>
      </c>
      <c r="Z525" s="47" t="s">
        <v>146</v>
      </c>
      <c r="AA525" s="34">
        <v>0.95833333333333337</v>
      </c>
      <c r="AE525" s="47" t="s">
        <v>1323</v>
      </c>
      <c r="AF525" s="31">
        <v>30</v>
      </c>
      <c r="AK525" s="32">
        <v>28</v>
      </c>
      <c r="AQ525" t="s">
        <v>1380</v>
      </c>
      <c r="AU525">
        <v>522</v>
      </c>
    </row>
    <row r="526" spans="1:47" x14ac:dyDescent="0.2">
      <c r="A526" s="37">
        <v>5936</v>
      </c>
      <c r="B526" s="38" t="s">
        <v>45</v>
      </c>
      <c r="C526" s="39" t="s">
        <v>425</v>
      </c>
      <c r="D526" s="29"/>
      <c r="E526" s="38" t="s">
        <v>1406</v>
      </c>
      <c r="F526" s="32" t="s">
        <v>340</v>
      </c>
      <c r="G526" s="47" t="s">
        <v>49</v>
      </c>
      <c r="H526"/>
      <c r="I526" s="32" t="s">
        <v>1407</v>
      </c>
      <c r="K526" s="31">
        <f>23*10*2.2</f>
        <v>506.00000000000006</v>
      </c>
      <c r="L526" s="33">
        <v>4</v>
      </c>
      <c r="S526" s="33">
        <v>4</v>
      </c>
      <c r="T526" s="31">
        <v>0</v>
      </c>
      <c r="U526" s="31">
        <v>0</v>
      </c>
      <c r="V526" s="31">
        <v>0</v>
      </c>
      <c r="Y526" s="31" t="s">
        <v>51</v>
      </c>
      <c r="Z526" s="47" t="s">
        <v>146</v>
      </c>
      <c r="AA526" s="34">
        <v>0.9375</v>
      </c>
      <c r="AE526" s="47" t="s">
        <v>1323</v>
      </c>
      <c r="AF526" s="31">
        <v>35</v>
      </c>
      <c r="AK526" s="32">
        <v>23</v>
      </c>
      <c r="AQ526" t="s">
        <v>1408</v>
      </c>
      <c r="AU526">
        <v>523</v>
      </c>
    </row>
    <row r="527" spans="1:47" x14ac:dyDescent="0.2">
      <c r="A527" s="37">
        <v>5937</v>
      </c>
      <c r="B527" s="38" t="s">
        <v>45</v>
      </c>
      <c r="C527" s="39" t="s">
        <v>253</v>
      </c>
      <c r="D527" s="29"/>
      <c r="E527" s="38" t="s">
        <v>1409</v>
      </c>
      <c r="F527" s="32" t="s">
        <v>107</v>
      </c>
      <c r="G527" s="47"/>
      <c r="H527"/>
      <c r="I527" s="32" t="s">
        <v>1410</v>
      </c>
      <c r="J527" s="47"/>
      <c r="K527" s="47"/>
      <c r="L527" s="48"/>
      <c r="M527" s="47"/>
      <c r="N527" s="47"/>
      <c r="O527" s="47"/>
      <c r="P527" s="47"/>
      <c r="Q527" s="47"/>
      <c r="R527" s="47"/>
      <c r="S527" s="48"/>
      <c r="T527" s="47"/>
      <c r="U527" s="47"/>
      <c r="V527" s="47"/>
      <c r="W527" s="47"/>
      <c r="X527" s="47"/>
      <c r="Y527" s="47"/>
      <c r="Z527" s="47"/>
      <c r="AA527" s="49"/>
      <c r="AB527" s="49"/>
      <c r="AC527" s="49"/>
      <c r="AD527" s="50"/>
      <c r="AE527" s="47"/>
      <c r="AF527" s="47"/>
      <c r="AG527"/>
      <c r="AH527"/>
      <c r="AI527"/>
      <c r="AJ527"/>
      <c r="AK527"/>
      <c r="AL527"/>
      <c r="AM527"/>
      <c r="AN527"/>
      <c r="AO527"/>
      <c r="AP527"/>
      <c r="AQ527" s="32" t="s">
        <v>1375</v>
      </c>
      <c r="AU527">
        <v>524</v>
      </c>
    </row>
    <row r="528" spans="1:47" x14ac:dyDescent="0.2">
      <c r="A528" s="37">
        <v>5937</v>
      </c>
      <c r="B528" s="38" t="s">
        <v>45</v>
      </c>
      <c r="C528" s="39" t="s">
        <v>425</v>
      </c>
      <c r="D528" s="29"/>
      <c r="E528" s="38" t="s">
        <v>1411</v>
      </c>
      <c r="F528" s="32" t="s">
        <v>1412</v>
      </c>
      <c r="G528" s="47" t="s">
        <v>49</v>
      </c>
      <c r="H528"/>
      <c r="I528" s="32" t="s">
        <v>1413</v>
      </c>
      <c r="J528" s="47"/>
      <c r="K528" s="47">
        <f>16*10*2.2</f>
        <v>352</v>
      </c>
      <c r="L528" s="48"/>
      <c r="M528" s="47"/>
      <c r="N528" s="47"/>
      <c r="O528" s="47"/>
      <c r="P528" s="47"/>
      <c r="Q528" s="47"/>
      <c r="R528" s="47"/>
      <c r="S528" s="48">
        <v>2</v>
      </c>
      <c r="T528" s="47">
        <v>0</v>
      </c>
      <c r="U528" s="47"/>
      <c r="V528" s="47"/>
      <c r="W528" s="47"/>
      <c r="X528" s="47"/>
      <c r="Y528" s="47" t="s">
        <v>51</v>
      </c>
      <c r="Z528" s="47" t="s">
        <v>146</v>
      </c>
      <c r="AA528" s="49"/>
      <c r="AB528" s="49"/>
      <c r="AC528" s="49"/>
      <c r="AD528" s="50"/>
      <c r="AE528" s="47" t="s">
        <v>1323</v>
      </c>
      <c r="AF528" s="47">
        <v>40</v>
      </c>
      <c r="AG528"/>
      <c r="AH528"/>
      <c r="AI528"/>
      <c r="AJ528"/>
      <c r="AK528">
        <v>16</v>
      </c>
      <c r="AL528"/>
      <c r="AM528"/>
      <c r="AN528"/>
      <c r="AO528"/>
      <c r="AP528"/>
      <c r="AQ528" t="s">
        <v>1408</v>
      </c>
      <c r="AU528">
        <v>525</v>
      </c>
    </row>
    <row r="529" spans="1:47" x14ac:dyDescent="0.2">
      <c r="A529" s="37">
        <v>5937</v>
      </c>
      <c r="B529" s="38"/>
      <c r="C529" s="39" t="s">
        <v>46</v>
      </c>
      <c r="D529" s="29"/>
      <c r="E529" s="38" t="s">
        <v>1400</v>
      </c>
      <c r="F529" s="32" t="s">
        <v>150</v>
      </c>
      <c r="G529" s="47" t="s">
        <v>49</v>
      </c>
      <c r="H529"/>
      <c r="I529" s="32" t="s">
        <v>1414</v>
      </c>
      <c r="K529" s="31">
        <f>34*10*2.2</f>
        <v>748.00000000000011</v>
      </c>
      <c r="L529" s="33">
        <v>1</v>
      </c>
      <c r="S529" s="33">
        <v>1</v>
      </c>
      <c r="Y529" s="31" t="s">
        <v>51</v>
      </c>
      <c r="Z529" s="20" t="s">
        <v>52</v>
      </c>
      <c r="AF529" s="31">
        <v>340</v>
      </c>
      <c r="AK529" s="32">
        <v>34</v>
      </c>
      <c r="AQ529" s="32" t="s">
        <v>1415</v>
      </c>
      <c r="AU529">
        <v>526</v>
      </c>
    </row>
    <row r="530" spans="1:47" x14ac:dyDescent="0.2">
      <c r="A530" s="37">
        <v>5938</v>
      </c>
      <c r="B530" s="38" t="s">
        <v>45</v>
      </c>
      <c r="C530" s="39" t="s">
        <v>425</v>
      </c>
      <c r="D530" s="29"/>
      <c r="E530" s="38" t="s">
        <v>1416</v>
      </c>
      <c r="F530" s="32" t="s">
        <v>1417</v>
      </c>
      <c r="G530" s="47" t="s">
        <v>49</v>
      </c>
      <c r="H530"/>
      <c r="I530" s="96" t="s">
        <v>1418</v>
      </c>
      <c r="J530" s="104"/>
      <c r="K530" s="104">
        <f>(15+2)*10*2.2</f>
        <v>374.00000000000006</v>
      </c>
      <c r="L530" s="33">
        <v>3</v>
      </c>
      <c r="S530" s="33">
        <v>3</v>
      </c>
      <c r="T530" s="31">
        <v>0</v>
      </c>
      <c r="Y530" s="31" t="s">
        <v>51</v>
      </c>
      <c r="Z530" s="47" t="s">
        <v>146</v>
      </c>
      <c r="AA530" s="34">
        <v>0.91666666666666663</v>
      </c>
      <c r="AE530" s="47" t="s">
        <v>1323</v>
      </c>
      <c r="AF530" s="31">
        <v>30</v>
      </c>
      <c r="AK530" s="32">
        <v>17</v>
      </c>
      <c r="AQ530" t="s">
        <v>1408</v>
      </c>
      <c r="AU530">
        <v>527</v>
      </c>
    </row>
    <row r="531" spans="1:47" x14ac:dyDescent="0.2">
      <c r="A531" s="37">
        <v>5938</v>
      </c>
      <c r="B531" s="38" t="s">
        <v>85</v>
      </c>
      <c r="C531" s="39" t="s">
        <v>1251</v>
      </c>
      <c r="D531" s="29"/>
      <c r="E531" s="38" t="s">
        <v>1104</v>
      </c>
      <c r="F531" s="32" t="s">
        <v>150</v>
      </c>
      <c r="G531" s="47" t="s">
        <v>49</v>
      </c>
      <c r="H531"/>
      <c r="I531" s="32" t="s">
        <v>1419</v>
      </c>
      <c r="J531" s="47"/>
      <c r="K531" s="31">
        <f>20*10*2.2</f>
        <v>440.00000000000006</v>
      </c>
      <c r="L531" s="48">
        <v>4</v>
      </c>
      <c r="M531" s="47"/>
      <c r="N531" s="47"/>
      <c r="O531" s="47"/>
      <c r="P531" s="47"/>
      <c r="Q531" s="47"/>
      <c r="R531" s="47"/>
      <c r="S531" s="48">
        <v>4</v>
      </c>
      <c r="T531" s="47">
        <v>0</v>
      </c>
      <c r="U531" s="47">
        <v>0</v>
      </c>
      <c r="V531" s="47">
        <v>0</v>
      </c>
      <c r="W531" s="47"/>
      <c r="X531" s="47"/>
      <c r="Y531" s="47" t="s">
        <v>51</v>
      </c>
      <c r="Z531" s="47" t="s">
        <v>1241</v>
      </c>
      <c r="AA531" s="49">
        <v>0.4548611111111111</v>
      </c>
      <c r="AB531" s="49">
        <v>0.55208333333333337</v>
      </c>
      <c r="AC531" s="49">
        <f>AVERAGE(AA531:AB531)</f>
        <v>0.50347222222222221</v>
      </c>
      <c r="AD531" s="50">
        <f>(AB531-AA531)*24</f>
        <v>2.3333333333333344</v>
      </c>
      <c r="AE531" s="47" t="s">
        <v>342</v>
      </c>
      <c r="AF531" s="47">
        <v>40</v>
      </c>
      <c r="AG531"/>
      <c r="AH531"/>
      <c r="AI531"/>
      <c r="AJ531"/>
      <c r="AK531">
        <v>20</v>
      </c>
      <c r="AL531"/>
      <c r="AM531"/>
      <c r="AN531"/>
      <c r="AO531"/>
      <c r="AP531"/>
      <c r="AQ531" t="s">
        <v>1420</v>
      </c>
      <c r="AU531">
        <v>528</v>
      </c>
    </row>
    <row r="532" spans="1:47" x14ac:dyDescent="0.2">
      <c r="A532" s="26">
        <v>5938</v>
      </c>
      <c r="B532" s="27">
        <v>0.57638888888888895</v>
      </c>
      <c r="C532" s="28"/>
      <c r="D532" s="29"/>
      <c r="E532" s="30" t="s">
        <v>1124</v>
      </c>
      <c r="H532" s="32">
        <v>1</v>
      </c>
      <c r="I532" s="32"/>
      <c r="AG532" s="32">
        <v>0</v>
      </c>
      <c r="AH532" s="32">
        <v>6</v>
      </c>
      <c r="AK532" s="32">
        <v>12</v>
      </c>
      <c r="AL532" s="32">
        <v>0.33300000000000002</v>
      </c>
      <c r="AO532" s="46" t="s">
        <v>1126</v>
      </c>
      <c r="AP532" s="32">
        <v>0.33300000000000002</v>
      </c>
      <c r="AQ532" s="32" t="s">
        <v>589</v>
      </c>
      <c r="AU532">
        <v>529</v>
      </c>
    </row>
    <row r="533" spans="1:47" x14ac:dyDescent="0.2">
      <c r="A533" s="26">
        <v>5938</v>
      </c>
      <c r="B533" s="27">
        <v>0.96736111111111101</v>
      </c>
      <c r="C533" s="28"/>
      <c r="D533" s="29"/>
      <c r="E533" s="30" t="s">
        <v>1282</v>
      </c>
      <c r="H533" s="32">
        <v>0</v>
      </c>
      <c r="I533" s="32" t="s">
        <v>1283</v>
      </c>
      <c r="AG533" s="32">
        <v>0</v>
      </c>
      <c r="AH533" s="32">
        <v>0</v>
      </c>
      <c r="AI533" s="32">
        <v>0</v>
      </c>
      <c r="AK533" s="32">
        <v>0</v>
      </c>
      <c r="AL533" s="32">
        <f>24/60</f>
        <v>0.4</v>
      </c>
      <c r="AP533" s="32">
        <f>24/60</f>
        <v>0.4</v>
      </c>
      <c r="AQ533" s="32" t="s">
        <v>1101</v>
      </c>
      <c r="AU533">
        <v>530</v>
      </c>
    </row>
    <row r="534" spans="1:47" x14ac:dyDescent="0.2">
      <c r="A534" s="26">
        <v>5939</v>
      </c>
      <c r="B534" s="27"/>
      <c r="C534" s="28"/>
      <c r="D534" s="29"/>
      <c r="E534" s="102" t="s">
        <v>1421</v>
      </c>
      <c r="H534" s="32">
        <v>1</v>
      </c>
      <c r="I534" s="32" t="s">
        <v>1422</v>
      </c>
      <c r="AK534" s="32">
        <v>4</v>
      </c>
      <c r="AO534" s="73"/>
      <c r="AQ534" s="32" t="s">
        <v>589</v>
      </c>
      <c r="AU534">
        <v>531</v>
      </c>
    </row>
    <row r="535" spans="1:47" x14ac:dyDescent="0.2">
      <c r="A535" s="44">
        <v>5942</v>
      </c>
      <c r="B535" s="42" t="s">
        <v>45</v>
      </c>
      <c r="C535" s="43" t="s">
        <v>425</v>
      </c>
      <c r="D535" s="29"/>
      <c r="E535" s="121" t="s">
        <v>586</v>
      </c>
      <c r="F535" s="31" t="s">
        <v>480</v>
      </c>
      <c r="G535" s="31" t="s">
        <v>481</v>
      </c>
      <c r="H535" s="32"/>
      <c r="I535" s="32" t="s">
        <v>1423</v>
      </c>
      <c r="K535" s="31">
        <f>8*10*2.2</f>
        <v>176</v>
      </c>
      <c r="L535" s="33">
        <v>9</v>
      </c>
      <c r="M535" s="31">
        <v>7</v>
      </c>
      <c r="N535" s="31">
        <v>1</v>
      </c>
      <c r="S535" s="33">
        <v>1</v>
      </c>
      <c r="T535" s="31">
        <v>0</v>
      </c>
      <c r="U535" s="31">
        <v>0</v>
      </c>
      <c r="V535" s="31">
        <v>1</v>
      </c>
      <c r="Y535" s="31" t="s">
        <v>51</v>
      </c>
      <c r="Z535" s="47" t="s">
        <v>146</v>
      </c>
      <c r="AA535" s="34">
        <v>0.85763888888888884</v>
      </c>
      <c r="AB535" s="34">
        <v>0.91666666666666663</v>
      </c>
      <c r="AC535" s="34">
        <v>0.89583333333333337</v>
      </c>
      <c r="AD535" s="50">
        <f>(AB535-AA535)*24</f>
        <v>1.416666666666667</v>
      </c>
      <c r="AE535" s="47" t="s">
        <v>1323</v>
      </c>
      <c r="AF535" s="31">
        <v>60</v>
      </c>
      <c r="AK535" s="32">
        <v>8</v>
      </c>
      <c r="AO535" s="73"/>
      <c r="AQ535" t="s">
        <v>1424</v>
      </c>
      <c r="AU535">
        <v>532</v>
      </c>
    </row>
    <row r="536" spans="1:47" x14ac:dyDescent="0.2">
      <c r="A536" s="44">
        <v>5944</v>
      </c>
      <c r="B536" s="42" t="s">
        <v>45</v>
      </c>
      <c r="C536" s="43" t="s">
        <v>142</v>
      </c>
      <c r="D536" s="29" t="s">
        <v>120</v>
      </c>
      <c r="E536" s="121" t="s">
        <v>107</v>
      </c>
      <c r="H536" s="32"/>
      <c r="I536" s="32" t="s">
        <v>1425</v>
      </c>
      <c r="Z536" s="31" t="s">
        <v>146</v>
      </c>
      <c r="AO536" s="73"/>
      <c r="AQ536"/>
      <c r="AU536">
        <v>533</v>
      </c>
    </row>
    <row r="537" spans="1:47" x14ac:dyDescent="0.2">
      <c r="A537" s="44">
        <v>5944</v>
      </c>
      <c r="B537" s="42" t="s">
        <v>85</v>
      </c>
      <c r="C537" s="39" t="s">
        <v>1251</v>
      </c>
      <c r="D537" s="29"/>
      <c r="E537" s="121" t="s">
        <v>653</v>
      </c>
      <c r="F537" s="31" t="s">
        <v>220</v>
      </c>
      <c r="G537" s="31" t="s">
        <v>49</v>
      </c>
      <c r="H537" s="32"/>
      <c r="I537" s="32" t="s">
        <v>1426</v>
      </c>
      <c r="K537" s="31">
        <f>10*10*2.2</f>
        <v>220.00000000000003</v>
      </c>
      <c r="L537" s="33">
        <v>2</v>
      </c>
      <c r="S537" s="33">
        <v>2</v>
      </c>
      <c r="T537" s="31">
        <v>0</v>
      </c>
      <c r="U537" s="31">
        <v>0</v>
      </c>
      <c r="V537" s="31">
        <v>0</v>
      </c>
      <c r="Y537" s="47" t="s">
        <v>51</v>
      </c>
      <c r="Z537" s="47" t="s">
        <v>1241</v>
      </c>
      <c r="AA537" s="34">
        <v>0.64583333333333337</v>
      </c>
      <c r="AB537" s="34">
        <v>0.75</v>
      </c>
      <c r="AC537" s="49">
        <f>AVERAGE(AA537:AB537)</f>
        <v>0.69791666666666674</v>
      </c>
      <c r="AD537" s="50">
        <f>(AB537-AA537)*24</f>
        <v>2.4999999999999991</v>
      </c>
      <c r="AE537" s="47" t="s">
        <v>342</v>
      </c>
      <c r="AF537" s="31">
        <v>47</v>
      </c>
      <c r="AK537" s="32">
        <v>10</v>
      </c>
      <c r="AO537" s="73"/>
      <c r="AQ537" t="s">
        <v>1427</v>
      </c>
      <c r="AU537">
        <v>534</v>
      </c>
    </row>
    <row r="538" spans="1:47" x14ac:dyDescent="0.2">
      <c r="A538" s="44">
        <v>5944</v>
      </c>
      <c r="B538" s="42" t="s">
        <v>85</v>
      </c>
      <c r="C538" s="39" t="s">
        <v>1251</v>
      </c>
      <c r="D538" s="29"/>
      <c r="E538" s="121" t="s">
        <v>153</v>
      </c>
      <c r="F538" s="31" t="s">
        <v>529</v>
      </c>
      <c r="G538" s="31" t="s">
        <v>205</v>
      </c>
      <c r="H538" s="32"/>
      <c r="I538" s="32" t="s">
        <v>1428</v>
      </c>
      <c r="K538" s="31">
        <f>5*10*2.2</f>
        <v>110.00000000000001</v>
      </c>
      <c r="L538" s="33">
        <v>1</v>
      </c>
      <c r="S538" s="33">
        <v>1</v>
      </c>
      <c r="T538" s="31">
        <v>0</v>
      </c>
      <c r="U538" s="31">
        <v>0</v>
      </c>
      <c r="V538" s="31">
        <v>0</v>
      </c>
      <c r="Y538" s="47" t="s">
        <v>51</v>
      </c>
      <c r="Z538" s="47" t="s">
        <v>1241</v>
      </c>
      <c r="AA538" s="34">
        <v>0.64583333333333337</v>
      </c>
      <c r="AB538" s="34">
        <v>0.76041666666666663</v>
      </c>
      <c r="AC538" s="49">
        <f>AVERAGE(AA538:AB538)</f>
        <v>0.703125</v>
      </c>
      <c r="AD538" s="50">
        <f>(AB538-AA538)*24</f>
        <v>2.7499999999999982</v>
      </c>
      <c r="AE538" s="47" t="s">
        <v>342</v>
      </c>
      <c r="AF538" s="47">
        <v>40</v>
      </c>
      <c r="AK538" s="32">
        <v>5</v>
      </c>
      <c r="AO538" s="73"/>
      <c r="AQ538" t="s">
        <v>1427</v>
      </c>
      <c r="AU538">
        <v>535</v>
      </c>
    </row>
    <row r="539" spans="1:47" x14ac:dyDescent="0.2">
      <c r="A539" s="26">
        <v>5944</v>
      </c>
      <c r="B539" s="27"/>
      <c r="C539" s="28"/>
      <c r="D539" s="29"/>
      <c r="E539" s="30" t="s">
        <v>153</v>
      </c>
      <c r="H539" s="32">
        <v>1</v>
      </c>
      <c r="I539" s="32"/>
      <c r="AG539" s="32">
        <v>0</v>
      </c>
      <c r="AH539" s="32">
        <v>0</v>
      </c>
      <c r="AJ539" s="32">
        <v>0</v>
      </c>
      <c r="AK539" s="32">
        <v>7</v>
      </c>
      <c r="AO539" s="46" t="s">
        <v>155</v>
      </c>
      <c r="AP539" s="46"/>
      <c r="AQ539" s="32">
        <v>448</v>
      </c>
      <c r="AU539">
        <v>536</v>
      </c>
    </row>
    <row r="540" spans="1:47" x14ac:dyDescent="0.2">
      <c r="A540" s="37">
        <v>5945</v>
      </c>
      <c r="B540" s="38" t="s">
        <v>85</v>
      </c>
      <c r="C540" s="39" t="s">
        <v>1251</v>
      </c>
      <c r="D540" s="29"/>
      <c r="E540" s="38" t="s">
        <v>1386</v>
      </c>
      <c r="F540" s="31" t="s">
        <v>1429</v>
      </c>
      <c r="G540" s="31" t="s">
        <v>459</v>
      </c>
      <c r="H540" s="32"/>
      <c r="I540" s="32" t="s">
        <v>1430</v>
      </c>
      <c r="K540" s="31">
        <f>5*10*2.2</f>
        <v>110.00000000000001</v>
      </c>
      <c r="L540" s="33">
        <v>1</v>
      </c>
      <c r="S540" s="33">
        <v>1</v>
      </c>
      <c r="T540" s="31">
        <v>0</v>
      </c>
      <c r="U540" s="31">
        <v>0</v>
      </c>
      <c r="V540" s="31">
        <v>0</v>
      </c>
      <c r="Y540" s="47" t="s">
        <v>51</v>
      </c>
      <c r="Z540" s="47" t="s">
        <v>1241</v>
      </c>
      <c r="AA540" s="34">
        <v>0.47569444444444442</v>
      </c>
      <c r="AB540" s="34">
        <v>0.56597222222222221</v>
      </c>
      <c r="AC540" s="49">
        <f>AVERAGE(AA540:AB540)</f>
        <v>0.52083333333333326</v>
      </c>
      <c r="AD540" s="50">
        <f>(AB540-AA540)*24</f>
        <v>2.166666666666667</v>
      </c>
      <c r="AE540" s="47" t="s">
        <v>342</v>
      </c>
      <c r="AF540" s="47">
        <v>30</v>
      </c>
      <c r="AK540" s="32">
        <v>5</v>
      </c>
      <c r="AO540" s="46"/>
      <c r="AP540" s="46"/>
      <c r="AQ540" t="s">
        <v>1431</v>
      </c>
      <c r="AU540">
        <v>537</v>
      </c>
    </row>
    <row r="541" spans="1:47" x14ac:dyDescent="0.2">
      <c r="A541" s="37">
        <v>5945</v>
      </c>
      <c r="B541" s="38" t="s">
        <v>85</v>
      </c>
      <c r="C541" s="39" t="s">
        <v>1251</v>
      </c>
      <c r="D541" s="29"/>
      <c r="E541" s="38" t="s">
        <v>656</v>
      </c>
      <c r="F541" s="31" t="s">
        <v>220</v>
      </c>
      <c r="G541" s="31" t="s">
        <v>49</v>
      </c>
      <c r="H541" s="32"/>
      <c r="I541" s="32" t="s">
        <v>1432</v>
      </c>
      <c r="K541" s="31">
        <f>10*10*2.2</f>
        <v>220.00000000000003</v>
      </c>
      <c r="L541" s="33">
        <v>2</v>
      </c>
      <c r="S541" s="33">
        <v>2</v>
      </c>
      <c r="T541" s="31">
        <v>0</v>
      </c>
      <c r="U541" s="31">
        <v>0</v>
      </c>
      <c r="V541" s="31">
        <v>0</v>
      </c>
      <c r="Y541" s="47" t="s">
        <v>51</v>
      </c>
      <c r="Z541" s="47" t="s">
        <v>1241</v>
      </c>
      <c r="AA541" s="34">
        <v>0.59027777777777779</v>
      </c>
      <c r="AB541" s="34">
        <v>0.70486111111111116</v>
      </c>
      <c r="AC541" s="49">
        <f>AVERAGE(AA541:AB541)</f>
        <v>0.64756944444444442</v>
      </c>
      <c r="AD541" s="50">
        <f>(AB541-AA541)*24</f>
        <v>2.7500000000000009</v>
      </c>
      <c r="AE541" s="47" t="s">
        <v>342</v>
      </c>
      <c r="AF541" s="31">
        <v>45</v>
      </c>
      <c r="AK541" s="32">
        <v>10</v>
      </c>
      <c r="AO541" s="46"/>
      <c r="AP541" s="46"/>
      <c r="AQ541" t="s">
        <v>1431</v>
      </c>
      <c r="AU541">
        <v>538</v>
      </c>
    </row>
    <row r="542" spans="1:47" x14ac:dyDescent="0.2">
      <c r="A542" s="37">
        <v>5945</v>
      </c>
      <c r="B542" s="38" t="s">
        <v>45</v>
      </c>
      <c r="C542" s="39" t="s">
        <v>142</v>
      </c>
      <c r="D542" s="29"/>
      <c r="E542" s="38" t="s">
        <v>1433</v>
      </c>
      <c r="F542" s="31" t="s">
        <v>340</v>
      </c>
      <c r="G542" s="31" t="s">
        <v>49</v>
      </c>
      <c r="H542" s="32"/>
      <c r="I542" s="32" t="s">
        <v>1434</v>
      </c>
      <c r="K542" s="31">
        <f>8*10*2.2</f>
        <v>176</v>
      </c>
      <c r="L542" s="33">
        <v>1</v>
      </c>
      <c r="S542" s="33">
        <v>1</v>
      </c>
      <c r="T542" s="31">
        <v>0</v>
      </c>
      <c r="U542" s="31">
        <v>0</v>
      </c>
      <c r="V542" s="31">
        <v>0</v>
      </c>
      <c r="Y542" s="31" t="s">
        <v>51</v>
      </c>
      <c r="Z542" s="31" t="s">
        <v>146</v>
      </c>
      <c r="AA542" s="34">
        <v>0.875</v>
      </c>
      <c r="AK542" s="32">
        <v>8</v>
      </c>
      <c r="AO542" s="46"/>
      <c r="AP542" s="46"/>
      <c r="AQ542" t="s">
        <v>1435</v>
      </c>
      <c r="AU542">
        <v>539</v>
      </c>
    </row>
    <row r="543" spans="1:47" x14ac:dyDescent="0.2">
      <c r="A543" s="37">
        <v>5945</v>
      </c>
      <c r="B543" s="38" t="s">
        <v>45</v>
      </c>
      <c r="C543" s="39" t="s">
        <v>142</v>
      </c>
      <c r="D543" s="29"/>
      <c r="E543" s="38" t="s">
        <v>1218</v>
      </c>
      <c r="F543" s="31" t="s">
        <v>1436</v>
      </c>
      <c r="G543" s="31" t="s">
        <v>49</v>
      </c>
      <c r="H543" s="32"/>
      <c r="I543" s="32" t="s">
        <v>1437</v>
      </c>
      <c r="K543" s="31">
        <f>(18+21)*10*2.2</f>
        <v>858.00000000000011</v>
      </c>
      <c r="L543" s="33">
        <v>6</v>
      </c>
      <c r="S543" s="33">
        <v>6</v>
      </c>
      <c r="T543" s="31">
        <v>0</v>
      </c>
      <c r="U543" s="31">
        <v>0</v>
      </c>
      <c r="V543" s="31">
        <v>0</v>
      </c>
      <c r="Y543" s="31" t="s">
        <v>51</v>
      </c>
      <c r="Z543" s="31" t="s">
        <v>146</v>
      </c>
      <c r="AA543" s="34">
        <v>0.875</v>
      </c>
      <c r="AK543" s="32">
        <f>18+21</f>
        <v>39</v>
      </c>
      <c r="AO543" s="46"/>
      <c r="AP543" s="46"/>
      <c r="AQ543" t="s">
        <v>1435</v>
      </c>
      <c r="AU543">
        <v>540</v>
      </c>
    </row>
    <row r="544" spans="1:47" x14ac:dyDescent="0.2">
      <c r="A544" s="37">
        <v>5945</v>
      </c>
      <c r="B544" s="38" t="s">
        <v>45</v>
      </c>
      <c r="C544" s="39" t="s">
        <v>1438</v>
      </c>
      <c r="D544" s="29"/>
      <c r="E544" s="38" t="s">
        <v>1439</v>
      </c>
      <c r="F544" s="31" t="s">
        <v>1440</v>
      </c>
      <c r="G544" s="47" t="s">
        <v>481</v>
      </c>
      <c r="H544"/>
      <c r="I544" s="32" t="b">
        <v>1</v>
      </c>
      <c r="J544" s="31" t="b">
        <v>1</v>
      </c>
      <c r="K544" s="47">
        <f>27*10*2.2</f>
        <v>594</v>
      </c>
      <c r="L544" s="48">
        <v>8</v>
      </c>
      <c r="M544" s="47"/>
      <c r="N544" s="47"/>
      <c r="O544" s="47">
        <v>4</v>
      </c>
      <c r="P544" s="47"/>
      <c r="Q544" s="47"/>
      <c r="R544" s="47">
        <v>2</v>
      </c>
      <c r="S544" s="48">
        <v>4</v>
      </c>
      <c r="T544" s="31">
        <v>0</v>
      </c>
      <c r="U544" s="31">
        <v>0</v>
      </c>
      <c r="V544" s="31">
        <v>0</v>
      </c>
      <c r="W544" s="47"/>
      <c r="X544" s="47"/>
      <c r="Y544" s="47" t="s">
        <v>51</v>
      </c>
      <c r="Z544" s="47" t="s">
        <v>146</v>
      </c>
      <c r="AA544" s="49">
        <v>0.89583333333333337</v>
      </c>
      <c r="AB544" s="49"/>
      <c r="AC544" s="49"/>
      <c r="AD544" s="50"/>
      <c r="AE544" s="47" t="s">
        <v>1323</v>
      </c>
      <c r="AF544" s="47">
        <v>60</v>
      </c>
      <c r="AG544"/>
      <c r="AH544"/>
      <c r="AI544"/>
      <c r="AJ544"/>
      <c r="AK544" s="32">
        <v>27</v>
      </c>
      <c r="AL544"/>
      <c r="AM544"/>
      <c r="AN544"/>
      <c r="AO544"/>
      <c r="AP544"/>
      <c r="AQ544" t="s">
        <v>1441</v>
      </c>
      <c r="AR544" s="32" t="s">
        <v>1442</v>
      </c>
      <c r="AU544">
        <v>541</v>
      </c>
    </row>
    <row r="545" spans="1:47" x14ac:dyDescent="0.2">
      <c r="A545" s="37">
        <v>5945</v>
      </c>
      <c r="B545" s="38" t="s">
        <v>45</v>
      </c>
      <c r="C545" s="39" t="s">
        <v>1438</v>
      </c>
      <c r="D545" s="29"/>
      <c r="E545" s="38" t="s">
        <v>1443</v>
      </c>
      <c r="F545" s="31" t="s">
        <v>1444</v>
      </c>
      <c r="G545" s="47" t="s">
        <v>49</v>
      </c>
      <c r="H545"/>
      <c r="I545" s="32" t="b">
        <v>0</v>
      </c>
      <c r="J545" s="31" t="b">
        <v>1</v>
      </c>
      <c r="K545" s="47">
        <f>11*10*2.2</f>
        <v>242.00000000000003</v>
      </c>
      <c r="L545" s="48"/>
      <c r="M545" s="47"/>
      <c r="N545" s="47"/>
      <c r="O545" s="47"/>
      <c r="P545" s="47"/>
      <c r="Q545" s="47"/>
      <c r="R545" s="47"/>
      <c r="S545" s="48">
        <v>2</v>
      </c>
      <c r="T545" s="47"/>
      <c r="U545" s="47"/>
      <c r="V545" s="47"/>
      <c r="W545" s="47"/>
      <c r="X545" s="47"/>
      <c r="Y545" s="47" t="s">
        <v>51</v>
      </c>
      <c r="Z545" s="47" t="s">
        <v>146</v>
      </c>
      <c r="AA545" s="49"/>
      <c r="AB545" s="49"/>
      <c r="AC545" s="49">
        <v>0.96875</v>
      </c>
      <c r="AD545" s="50"/>
      <c r="AE545" s="47" t="s">
        <v>1323</v>
      </c>
      <c r="AF545" s="47">
        <v>65</v>
      </c>
      <c r="AG545"/>
      <c r="AH545"/>
      <c r="AI545"/>
      <c r="AJ545"/>
      <c r="AK545" s="32">
        <v>16</v>
      </c>
      <c r="AL545"/>
      <c r="AM545"/>
      <c r="AN545"/>
      <c r="AO545"/>
      <c r="AP545"/>
      <c r="AQ545" t="s">
        <v>1441</v>
      </c>
      <c r="AR545" s="32" t="s">
        <v>1445</v>
      </c>
      <c r="AU545">
        <v>542</v>
      </c>
    </row>
    <row r="546" spans="1:47" x14ac:dyDescent="0.2">
      <c r="A546" s="37">
        <v>5945</v>
      </c>
      <c r="B546" s="38" t="s">
        <v>45</v>
      </c>
      <c r="C546" s="43" t="s">
        <v>425</v>
      </c>
      <c r="D546" s="29"/>
      <c r="E546" s="121" t="s">
        <v>586</v>
      </c>
      <c r="F546" s="31" t="s">
        <v>480</v>
      </c>
      <c r="G546" s="47" t="s">
        <v>481</v>
      </c>
      <c r="H546"/>
      <c r="I546" s="32" t="b">
        <v>0</v>
      </c>
      <c r="J546" s="31" t="b">
        <v>1</v>
      </c>
      <c r="K546" s="47">
        <f>16*10*2.2</f>
        <v>352</v>
      </c>
      <c r="L546" s="48"/>
      <c r="M546" s="47"/>
      <c r="N546" s="47"/>
      <c r="O546" s="47"/>
      <c r="P546" s="47"/>
      <c r="Q546" s="47"/>
      <c r="R546" s="47"/>
      <c r="S546" s="48">
        <v>2</v>
      </c>
      <c r="T546" s="47"/>
      <c r="U546" s="47"/>
      <c r="V546" s="47"/>
      <c r="W546" s="47"/>
      <c r="X546" s="47"/>
      <c r="Y546" s="47" t="s">
        <v>51</v>
      </c>
      <c r="Z546" s="47" t="s">
        <v>146</v>
      </c>
      <c r="AA546" s="49"/>
      <c r="AB546" s="49"/>
      <c r="AC546" s="49">
        <v>0.95138888888888884</v>
      </c>
      <c r="AD546" s="50"/>
      <c r="AE546" s="47" t="s">
        <v>1323</v>
      </c>
      <c r="AF546" s="47">
        <v>60</v>
      </c>
      <c r="AG546"/>
      <c r="AH546"/>
      <c r="AI546"/>
      <c r="AJ546"/>
      <c r="AK546" s="32">
        <v>11</v>
      </c>
      <c r="AL546"/>
      <c r="AM546"/>
      <c r="AN546"/>
      <c r="AO546"/>
      <c r="AP546"/>
      <c r="AQ546" t="s">
        <v>1441</v>
      </c>
      <c r="AR546" s="32" t="s">
        <v>1446</v>
      </c>
      <c r="AU546">
        <v>543</v>
      </c>
    </row>
    <row r="547" spans="1:47" x14ac:dyDescent="0.2">
      <c r="A547" s="26">
        <v>5945</v>
      </c>
      <c r="B547" s="27" t="s">
        <v>45</v>
      </c>
      <c r="C547" s="28"/>
      <c r="D547" s="29"/>
      <c r="E547" s="30" t="s">
        <v>586</v>
      </c>
      <c r="H547" s="32">
        <v>1</v>
      </c>
      <c r="I547" s="32" t="s">
        <v>1447</v>
      </c>
      <c r="AI547" s="32">
        <v>952</v>
      </c>
      <c r="AO547" s="46" t="s">
        <v>588</v>
      </c>
      <c r="AQ547" s="32" t="s">
        <v>589</v>
      </c>
      <c r="AU547">
        <v>544</v>
      </c>
    </row>
    <row r="548" spans="1:47" x14ac:dyDescent="0.2">
      <c r="A548" s="37">
        <v>5946</v>
      </c>
      <c r="B548" s="38" t="s">
        <v>85</v>
      </c>
      <c r="C548" s="39" t="s">
        <v>1251</v>
      </c>
      <c r="D548" s="29" t="s">
        <v>120</v>
      </c>
      <c r="E548" s="38" t="s">
        <v>1104</v>
      </c>
      <c r="F548" s="32" t="s">
        <v>150</v>
      </c>
      <c r="G548" s="31" t="s">
        <v>49</v>
      </c>
      <c r="H548" s="32"/>
      <c r="I548" s="122" t="s">
        <v>1448</v>
      </c>
      <c r="K548" s="31">
        <v>0</v>
      </c>
      <c r="L548" s="33">
        <v>2</v>
      </c>
      <c r="M548" s="31">
        <v>2</v>
      </c>
      <c r="S548" s="33">
        <v>0</v>
      </c>
      <c r="T548" s="31">
        <v>0</v>
      </c>
      <c r="U548" s="31">
        <v>0</v>
      </c>
      <c r="V548" s="31">
        <v>0</v>
      </c>
      <c r="Y548" s="47" t="s">
        <v>51</v>
      </c>
      <c r="Z548" s="47" t="s">
        <v>1241</v>
      </c>
      <c r="AA548" s="34">
        <v>0.45833333333333331</v>
      </c>
      <c r="AB548" s="34">
        <v>0.55208333333333337</v>
      </c>
      <c r="AC548" s="49">
        <f>AVERAGE(AA548:AB548)</f>
        <v>0.50520833333333337</v>
      </c>
      <c r="AD548" s="50">
        <f>(AB548-AA548)*24</f>
        <v>2.2500000000000013</v>
      </c>
      <c r="AE548" s="47" t="s">
        <v>342</v>
      </c>
      <c r="AF548" s="47">
        <v>40</v>
      </c>
      <c r="AK548" s="32">
        <v>0</v>
      </c>
      <c r="AO548" s="46"/>
      <c r="AQ548" t="s">
        <v>1449</v>
      </c>
      <c r="AU548">
        <v>545</v>
      </c>
    </row>
    <row r="549" spans="1:47" x14ac:dyDescent="0.2">
      <c r="A549" s="37">
        <v>5951</v>
      </c>
      <c r="B549" s="38" t="s">
        <v>45</v>
      </c>
      <c r="C549" s="39" t="s">
        <v>1438</v>
      </c>
      <c r="D549" s="29"/>
      <c r="E549" s="38" t="s">
        <v>1450</v>
      </c>
      <c r="F549" s="32"/>
      <c r="G549" s="47" t="s">
        <v>49</v>
      </c>
      <c r="H549"/>
      <c r="I549" s="32" t="b">
        <v>1</v>
      </c>
      <c r="J549" s="31" t="b">
        <v>1</v>
      </c>
      <c r="K549" s="47">
        <f>47*10*2.2</f>
        <v>1034</v>
      </c>
      <c r="L549" s="48">
        <v>12</v>
      </c>
      <c r="M549" s="47"/>
      <c r="N549" s="47">
        <v>3</v>
      </c>
      <c r="O549" s="47"/>
      <c r="P549" s="47"/>
      <c r="Q549" s="47"/>
      <c r="R549" s="47"/>
      <c r="S549" s="48">
        <v>9</v>
      </c>
      <c r="T549" s="31">
        <v>0</v>
      </c>
      <c r="U549" s="31">
        <v>0</v>
      </c>
      <c r="V549" s="31">
        <v>0</v>
      </c>
      <c r="W549" s="47"/>
      <c r="X549" s="47"/>
      <c r="Y549" s="47" t="s">
        <v>51</v>
      </c>
      <c r="Z549" s="47" t="s">
        <v>146</v>
      </c>
      <c r="AA549" s="49">
        <v>0.90625</v>
      </c>
      <c r="AB549" s="49"/>
      <c r="AC549" s="49"/>
      <c r="AD549" s="50"/>
      <c r="AE549" s="47" t="s">
        <v>1323</v>
      </c>
      <c r="AF549" s="47">
        <v>60</v>
      </c>
      <c r="AG549"/>
      <c r="AH549"/>
      <c r="AI549"/>
      <c r="AJ549"/>
      <c r="AK549" s="32">
        <v>47</v>
      </c>
      <c r="AL549"/>
      <c r="AM549"/>
      <c r="AN549"/>
      <c r="AO549"/>
      <c r="AP549"/>
      <c r="AQ549" t="s">
        <v>1451</v>
      </c>
      <c r="AR549" s="32" t="s">
        <v>1452</v>
      </c>
      <c r="AU549">
        <v>546</v>
      </c>
    </row>
    <row r="550" spans="1:47" x14ac:dyDescent="0.2">
      <c r="A550" s="37">
        <v>5951</v>
      </c>
      <c r="B550" s="38" t="s">
        <v>45</v>
      </c>
      <c r="C550" s="39" t="s">
        <v>425</v>
      </c>
      <c r="D550" s="29"/>
      <c r="E550" s="38" t="s">
        <v>788</v>
      </c>
      <c r="F550" s="31" t="s">
        <v>220</v>
      </c>
      <c r="G550" s="47" t="s">
        <v>49</v>
      </c>
      <c r="H550"/>
      <c r="I550" s="32" t="b">
        <v>0</v>
      </c>
      <c r="J550" s="31" t="b">
        <v>1</v>
      </c>
      <c r="K550" s="47">
        <f>12*10*2.2</f>
        <v>264</v>
      </c>
      <c r="L550" s="48"/>
      <c r="M550" s="47"/>
      <c r="N550" s="47"/>
      <c r="O550" s="47"/>
      <c r="P550" s="47"/>
      <c r="Q550" s="47"/>
      <c r="R550" s="47"/>
      <c r="S550" s="48">
        <v>2</v>
      </c>
      <c r="W550" s="47"/>
      <c r="X550" s="47"/>
      <c r="Y550" s="47" t="s">
        <v>51</v>
      </c>
      <c r="Z550" s="47" t="s">
        <v>146</v>
      </c>
      <c r="AA550" s="49"/>
      <c r="AB550" s="49"/>
      <c r="AC550" s="49"/>
      <c r="AD550" s="50"/>
      <c r="AE550" s="47" t="s">
        <v>1323</v>
      </c>
      <c r="AF550" s="47">
        <v>40</v>
      </c>
      <c r="AG550"/>
      <c r="AH550"/>
      <c r="AI550"/>
      <c r="AJ550"/>
      <c r="AK550">
        <v>12</v>
      </c>
      <c r="AL550"/>
      <c r="AM550"/>
      <c r="AN550"/>
      <c r="AO550"/>
      <c r="AP550"/>
      <c r="AQ550" t="s">
        <v>1451</v>
      </c>
      <c r="AU550">
        <v>547</v>
      </c>
    </row>
    <row r="551" spans="1:47" x14ac:dyDescent="0.2">
      <c r="A551" s="37">
        <v>5951</v>
      </c>
      <c r="B551" s="38" t="s">
        <v>45</v>
      </c>
      <c r="C551" s="39" t="s">
        <v>1262</v>
      </c>
      <c r="D551" s="29"/>
      <c r="E551" s="38" t="s">
        <v>512</v>
      </c>
      <c r="F551" s="31" t="s">
        <v>220</v>
      </c>
      <c r="G551" s="47" t="s">
        <v>49</v>
      </c>
      <c r="H551"/>
      <c r="I551" s="32" t="b">
        <v>0</v>
      </c>
      <c r="J551" s="31" t="b">
        <v>1</v>
      </c>
      <c r="K551" s="47">
        <f>8*10*2.2</f>
        <v>176</v>
      </c>
      <c r="L551" s="48"/>
      <c r="M551" s="47"/>
      <c r="N551" s="47"/>
      <c r="O551" s="47"/>
      <c r="P551" s="47"/>
      <c r="Q551" s="47"/>
      <c r="R551" s="47"/>
      <c r="S551" s="48">
        <v>2</v>
      </c>
      <c r="W551" s="47"/>
      <c r="X551" s="47"/>
      <c r="Y551" s="47" t="s">
        <v>51</v>
      </c>
      <c r="Z551" s="47" t="s">
        <v>146</v>
      </c>
      <c r="AA551" s="49"/>
      <c r="AB551" s="49"/>
      <c r="AC551" s="49"/>
      <c r="AD551" s="50"/>
      <c r="AE551" s="47" t="s">
        <v>342</v>
      </c>
      <c r="AF551" s="47">
        <v>35</v>
      </c>
      <c r="AG551"/>
      <c r="AH551"/>
      <c r="AI551"/>
      <c r="AJ551"/>
      <c r="AK551">
        <v>8</v>
      </c>
      <c r="AL551"/>
      <c r="AM551"/>
      <c r="AN551"/>
      <c r="AO551"/>
      <c r="AP551"/>
      <c r="AQ551" t="s">
        <v>1451</v>
      </c>
      <c r="AU551">
        <v>548</v>
      </c>
    </row>
    <row r="552" spans="1:47" x14ac:dyDescent="0.2">
      <c r="A552" s="37">
        <v>5951</v>
      </c>
      <c r="B552" s="38" t="s">
        <v>45</v>
      </c>
      <c r="C552" s="39" t="s">
        <v>425</v>
      </c>
      <c r="D552" s="29"/>
      <c r="E552" s="38" t="s">
        <v>190</v>
      </c>
      <c r="F552" s="32" t="s">
        <v>1453</v>
      </c>
      <c r="G552" s="47" t="s">
        <v>49</v>
      </c>
      <c r="H552"/>
      <c r="I552" s="32" t="b">
        <v>0</v>
      </c>
      <c r="J552" s="31" t="b">
        <v>1</v>
      </c>
      <c r="K552" s="47">
        <f>6*10*2.2</f>
        <v>132</v>
      </c>
      <c r="L552" s="48"/>
      <c r="M552" s="47"/>
      <c r="N552" s="47"/>
      <c r="O552" s="47"/>
      <c r="P552" s="47"/>
      <c r="Q552" s="47"/>
      <c r="R552" s="47"/>
      <c r="S552" s="48">
        <v>1</v>
      </c>
      <c r="W552" s="47"/>
      <c r="X552" s="47"/>
      <c r="Y552" s="47" t="s">
        <v>51</v>
      </c>
      <c r="Z552" s="47" t="s">
        <v>146</v>
      </c>
      <c r="AA552" s="49"/>
      <c r="AB552" s="49"/>
      <c r="AC552" s="49"/>
      <c r="AD552" s="50"/>
      <c r="AE552" s="47" t="s">
        <v>1323</v>
      </c>
      <c r="AF552" s="47">
        <v>55</v>
      </c>
      <c r="AG552"/>
      <c r="AH552"/>
      <c r="AI552"/>
      <c r="AJ552"/>
      <c r="AK552">
        <v>6</v>
      </c>
      <c r="AL552"/>
      <c r="AM552"/>
      <c r="AN552"/>
      <c r="AO552"/>
      <c r="AP552"/>
      <c r="AQ552" t="s">
        <v>1451</v>
      </c>
      <c r="AU552">
        <v>549</v>
      </c>
    </row>
    <row r="553" spans="1:47" x14ac:dyDescent="0.2">
      <c r="A553" s="37">
        <v>5951</v>
      </c>
      <c r="B553" s="38" t="s">
        <v>45</v>
      </c>
      <c r="C553" s="39" t="s">
        <v>1262</v>
      </c>
      <c r="D553" s="29"/>
      <c r="E553" s="38" t="s">
        <v>1454</v>
      </c>
      <c r="F553" s="32" t="s">
        <v>1453</v>
      </c>
      <c r="G553" s="47" t="s">
        <v>49</v>
      </c>
      <c r="H553"/>
      <c r="I553" s="32" t="b">
        <v>0</v>
      </c>
      <c r="J553" s="31" t="b">
        <v>1</v>
      </c>
      <c r="K553" s="47">
        <f>5*10*2.2</f>
        <v>110.00000000000001</v>
      </c>
      <c r="L553" s="48"/>
      <c r="M553" s="47"/>
      <c r="N553" s="47"/>
      <c r="O553" s="47"/>
      <c r="P553" s="47"/>
      <c r="Q553" s="47"/>
      <c r="R553" s="47"/>
      <c r="S553" s="48">
        <v>1</v>
      </c>
      <c r="W553" s="47"/>
      <c r="X553" s="47"/>
      <c r="Y553" s="47" t="s">
        <v>51</v>
      </c>
      <c r="Z553" s="47" t="s">
        <v>146</v>
      </c>
      <c r="AA553" s="49"/>
      <c r="AB553" s="49"/>
      <c r="AC553" s="49"/>
      <c r="AD553" s="50"/>
      <c r="AE553" s="47" t="s">
        <v>342</v>
      </c>
      <c r="AF553" s="47">
        <v>40</v>
      </c>
      <c r="AG553"/>
      <c r="AH553"/>
      <c r="AI553"/>
      <c r="AJ553"/>
      <c r="AK553">
        <v>5</v>
      </c>
      <c r="AL553"/>
      <c r="AM553"/>
      <c r="AN553"/>
      <c r="AO553"/>
      <c r="AP553"/>
      <c r="AQ553" t="s">
        <v>1451</v>
      </c>
      <c r="AU553">
        <v>550</v>
      </c>
    </row>
    <row r="554" spans="1:47" x14ac:dyDescent="0.2">
      <c r="A554" s="37">
        <v>5951</v>
      </c>
      <c r="B554" s="38" t="s">
        <v>45</v>
      </c>
      <c r="C554" s="39" t="s">
        <v>1438</v>
      </c>
      <c r="D554" s="29"/>
      <c r="E554" s="38" t="s">
        <v>1455</v>
      </c>
      <c r="F554" s="31" t="s">
        <v>480</v>
      </c>
      <c r="G554" s="47" t="s">
        <v>481</v>
      </c>
      <c r="H554"/>
      <c r="I554" s="32" t="b">
        <v>0</v>
      </c>
      <c r="J554" s="31" t="b">
        <v>1</v>
      </c>
      <c r="K554" s="47">
        <f>16*10*2.2</f>
        <v>352</v>
      </c>
      <c r="L554" s="48"/>
      <c r="M554" s="47"/>
      <c r="N554" s="47"/>
      <c r="O554" s="47"/>
      <c r="P554" s="47"/>
      <c r="Q554" s="47"/>
      <c r="R554" s="47"/>
      <c r="S554" s="48">
        <v>3</v>
      </c>
      <c r="W554" s="47"/>
      <c r="X554" s="47"/>
      <c r="Y554" s="47" t="s">
        <v>51</v>
      </c>
      <c r="Z554" s="47" t="s">
        <v>146</v>
      </c>
      <c r="AA554" s="49"/>
      <c r="AB554" s="49"/>
      <c r="AC554" s="49"/>
      <c r="AD554" s="50"/>
      <c r="AE554" s="47" t="s">
        <v>1323</v>
      </c>
      <c r="AF554" s="47">
        <v>60</v>
      </c>
      <c r="AG554"/>
      <c r="AH554"/>
      <c r="AI554"/>
      <c r="AJ554"/>
      <c r="AK554">
        <v>16</v>
      </c>
      <c r="AL554"/>
      <c r="AM554"/>
      <c r="AN554"/>
      <c r="AO554"/>
      <c r="AP554"/>
      <c r="AQ554" t="s">
        <v>1451</v>
      </c>
      <c r="AU554">
        <v>551</v>
      </c>
    </row>
    <row r="555" spans="1:47" x14ac:dyDescent="0.2">
      <c r="A555" s="37">
        <v>5951</v>
      </c>
      <c r="B555" s="38" t="s">
        <v>45</v>
      </c>
      <c r="C555" s="39" t="s">
        <v>425</v>
      </c>
      <c r="D555" s="29"/>
      <c r="E555" s="38" t="s">
        <v>1456</v>
      </c>
      <c r="F555" s="31" t="s">
        <v>1457</v>
      </c>
      <c r="G555" s="47" t="s">
        <v>49</v>
      </c>
      <c r="H555"/>
      <c r="I555" s="32" t="s">
        <v>1458</v>
      </c>
      <c r="K555" s="47">
        <f>18*10*2.2</f>
        <v>396.00000000000006</v>
      </c>
      <c r="L555" s="48">
        <v>3</v>
      </c>
      <c r="M555" s="47"/>
      <c r="N555" s="47"/>
      <c r="O555" s="47"/>
      <c r="P555" s="47"/>
      <c r="Q555" s="47"/>
      <c r="R555" s="47"/>
      <c r="S555" s="48">
        <v>3</v>
      </c>
      <c r="T555" s="31">
        <v>0</v>
      </c>
      <c r="U555" s="31">
        <v>0</v>
      </c>
      <c r="V555" s="31">
        <v>0</v>
      </c>
      <c r="W555" s="47"/>
      <c r="X555" s="47"/>
      <c r="Y555" s="47" t="s">
        <v>51</v>
      </c>
      <c r="Z555" s="47" t="s">
        <v>146</v>
      </c>
      <c r="AA555" s="49">
        <v>0.91666666666666663</v>
      </c>
      <c r="AB555" s="49"/>
      <c r="AC555" s="49"/>
      <c r="AD555" s="50"/>
      <c r="AE555" s="47" t="s">
        <v>1323</v>
      </c>
      <c r="AF555" s="47">
        <v>25</v>
      </c>
      <c r="AG555"/>
      <c r="AH555"/>
      <c r="AI555"/>
      <c r="AJ555"/>
      <c r="AK555">
        <v>18</v>
      </c>
      <c r="AL555"/>
      <c r="AM555"/>
      <c r="AN555"/>
      <c r="AO555"/>
      <c r="AP555"/>
      <c r="AQ555" t="s">
        <v>1459</v>
      </c>
      <c r="AU555">
        <v>552</v>
      </c>
    </row>
    <row r="556" spans="1:47" x14ac:dyDescent="0.2">
      <c r="A556" s="37">
        <v>5951</v>
      </c>
      <c r="B556" s="38" t="s">
        <v>45</v>
      </c>
      <c r="C556" s="39" t="s">
        <v>253</v>
      </c>
      <c r="D556" s="29"/>
      <c r="E556" s="38" t="s">
        <v>1460</v>
      </c>
      <c r="F556" s="32" t="s">
        <v>107</v>
      </c>
      <c r="G556" s="47"/>
      <c r="H556"/>
      <c r="I556" s="32"/>
      <c r="K556" s="47"/>
      <c r="L556" s="48"/>
      <c r="M556" s="47"/>
      <c r="N556" s="47"/>
      <c r="O556" s="47"/>
      <c r="P556" s="47"/>
      <c r="Q556" s="47"/>
      <c r="R556" s="47"/>
      <c r="S556" s="48"/>
      <c r="T556" s="47"/>
      <c r="U556" s="47"/>
      <c r="V556" s="47"/>
      <c r="W556" s="47"/>
      <c r="X556" s="47"/>
      <c r="Y556" s="47"/>
      <c r="Z556" s="47"/>
      <c r="AA556" s="49"/>
      <c r="AB556" s="49"/>
      <c r="AC556" s="49"/>
      <c r="AD556" s="50"/>
      <c r="AE556" s="47"/>
      <c r="AF556" s="47"/>
      <c r="AG556"/>
      <c r="AH556"/>
      <c r="AI556"/>
      <c r="AJ556"/>
      <c r="AK556"/>
      <c r="AL556"/>
      <c r="AM556"/>
      <c r="AN556"/>
      <c r="AO556"/>
      <c r="AP556"/>
      <c r="AQ556" s="32" t="s">
        <v>1375</v>
      </c>
      <c r="AU556">
        <v>553</v>
      </c>
    </row>
    <row r="557" spans="1:47" x14ac:dyDescent="0.2">
      <c r="A557" s="26">
        <v>5951</v>
      </c>
      <c r="B557" s="27" t="s">
        <v>85</v>
      </c>
      <c r="C557" s="28"/>
      <c r="D557" s="29"/>
      <c r="E557" s="30" t="s">
        <v>1461</v>
      </c>
      <c r="H557" s="32">
        <v>1</v>
      </c>
      <c r="I557" s="32" t="s">
        <v>1462</v>
      </c>
      <c r="AG557" s="32">
        <v>0</v>
      </c>
      <c r="AH557" s="32">
        <v>0</v>
      </c>
      <c r="AI557" s="32">
        <v>2789</v>
      </c>
      <c r="AK557" s="32">
        <v>4</v>
      </c>
      <c r="AO557" s="32" t="s">
        <v>1463</v>
      </c>
      <c r="AQ557" s="32">
        <v>402</v>
      </c>
      <c r="AU557">
        <v>554</v>
      </c>
    </row>
    <row r="558" spans="1:47" x14ac:dyDescent="0.2">
      <c r="A558" s="26">
        <v>5951</v>
      </c>
      <c r="B558" s="27" t="s">
        <v>45</v>
      </c>
      <c r="C558" s="28"/>
      <c r="D558" s="29"/>
      <c r="E558" s="30" t="s">
        <v>586</v>
      </c>
      <c r="H558" s="32">
        <v>1</v>
      </c>
      <c r="I558" s="32" t="s">
        <v>1464</v>
      </c>
      <c r="AI558" s="32">
        <v>9391</v>
      </c>
      <c r="AO558" s="46" t="s">
        <v>588</v>
      </c>
      <c r="AQ558" s="32" t="s">
        <v>589</v>
      </c>
      <c r="AU558">
        <v>555</v>
      </c>
    </row>
    <row r="559" spans="1:47" x14ac:dyDescent="0.2">
      <c r="A559" s="26">
        <v>5951</v>
      </c>
      <c r="B559" s="27" t="s">
        <v>45</v>
      </c>
      <c r="C559" s="28"/>
      <c r="D559" s="29"/>
      <c r="E559" s="30" t="s">
        <v>1285</v>
      </c>
      <c r="H559" s="32">
        <v>1</v>
      </c>
      <c r="I559" s="32" t="s">
        <v>1465</v>
      </c>
      <c r="AI559" s="32">
        <v>1349</v>
      </c>
      <c r="AO559" s="32" t="s">
        <v>472</v>
      </c>
      <c r="AQ559" s="32" t="s">
        <v>589</v>
      </c>
      <c r="AU559">
        <v>556</v>
      </c>
    </row>
    <row r="560" spans="1:47" x14ac:dyDescent="0.2">
      <c r="A560" s="37">
        <v>5958</v>
      </c>
      <c r="B560" s="38" t="s">
        <v>85</v>
      </c>
      <c r="C560" s="39" t="s">
        <v>253</v>
      </c>
      <c r="D560" s="29"/>
      <c r="E560" s="38" t="s">
        <v>1466</v>
      </c>
      <c r="F560" s="32" t="s">
        <v>150</v>
      </c>
      <c r="G560" s="47"/>
      <c r="H560"/>
      <c r="I560" s="32"/>
      <c r="J560" s="47"/>
      <c r="K560" s="47"/>
      <c r="L560" s="48"/>
      <c r="M560" s="47"/>
      <c r="N560" s="47"/>
      <c r="O560" s="47"/>
      <c r="P560" s="47"/>
      <c r="Q560" s="47"/>
      <c r="R560" s="47"/>
      <c r="S560" s="48"/>
      <c r="T560" s="47"/>
      <c r="U560" s="47"/>
      <c r="V560" s="47"/>
      <c r="W560" s="47"/>
      <c r="X560" s="47"/>
      <c r="Y560" s="47"/>
      <c r="Z560" s="47"/>
      <c r="AA560" s="49"/>
      <c r="AB560" s="49"/>
      <c r="AC560" s="49"/>
      <c r="AD560" s="50"/>
      <c r="AE560" s="47"/>
      <c r="AF560" s="47"/>
      <c r="AG560"/>
      <c r="AH560"/>
      <c r="AI560"/>
      <c r="AJ560"/>
      <c r="AK560"/>
      <c r="AL560"/>
      <c r="AM560"/>
      <c r="AN560"/>
      <c r="AO560"/>
      <c r="AP560"/>
      <c r="AQ560" s="32" t="s">
        <v>1233</v>
      </c>
      <c r="AU560">
        <v>557</v>
      </c>
    </row>
    <row r="561" spans="1:47" x14ac:dyDescent="0.2">
      <c r="A561" s="37">
        <v>5958</v>
      </c>
      <c r="B561" s="38" t="s">
        <v>45</v>
      </c>
      <c r="C561" s="39" t="s">
        <v>253</v>
      </c>
      <c r="D561" s="29"/>
      <c r="E561" s="38" t="s">
        <v>1467</v>
      </c>
      <c r="F561" s="32" t="s">
        <v>107</v>
      </c>
      <c r="G561" s="47"/>
      <c r="H561"/>
      <c r="I561" s="32"/>
      <c r="J561" s="47"/>
      <c r="K561" s="47"/>
      <c r="L561" s="48"/>
      <c r="M561" s="47"/>
      <c r="N561" s="47"/>
      <c r="O561" s="47"/>
      <c r="P561" s="47"/>
      <c r="Q561" s="47"/>
      <c r="R561" s="47"/>
      <c r="S561" s="48"/>
      <c r="T561" s="47"/>
      <c r="U561" s="47"/>
      <c r="V561" s="47"/>
      <c r="W561" s="47"/>
      <c r="X561" s="47"/>
      <c r="Y561" s="47"/>
      <c r="Z561" s="47"/>
      <c r="AA561" s="49"/>
      <c r="AB561" s="49"/>
      <c r="AC561" s="49"/>
      <c r="AD561" s="50"/>
      <c r="AE561" s="47"/>
      <c r="AF561" s="47"/>
      <c r="AG561"/>
      <c r="AH561"/>
      <c r="AI561"/>
      <c r="AJ561"/>
      <c r="AK561"/>
      <c r="AL561"/>
      <c r="AM561"/>
      <c r="AN561"/>
      <c r="AO561"/>
      <c r="AP561"/>
      <c r="AQ561" s="32" t="s">
        <v>1375</v>
      </c>
      <c r="AU561">
        <v>558</v>
      </c>
    </row>
    <row r="562" spans="1:47" x14ac:dyDescent="0.2">
      <c r="A562" s="37">
        <v>5958</v>
      </c>
      <c r="B562" s="38" t="s">
        <v>45</v>
      </c>
      <c r="C562" s="39" t="s">
        <v>425</v>
      </c>
      <c r="D562" s="29"/>
      <c r="E562" s="38" t="s">
        <v>1468</v>
      </c>
      <c r="F562" s="32" t="s">
        <v>1469</v>
      </c>
      <c r="G562" s="47" t="s">
        <v>73</v>
      </c>
      <c r="H562"/>
      <c r="I562" s="32" t="s">
        <v>1470</v>
      </c>
      <c r="J562" s="47"/>
      <c r="K562" s="47">
        <f>26*10*2.2</f>
        <v>572</v>
      </c>
      <c r="L562" s="48">
        <v>4</v>
      </c>
      <c r="M562" s="47"/>
      <c r="N562" s="47"/>
      <c r="O562" s="47"/>
      <c r="P562" s="47"/>
      <c r="Q562" s="47"/>
      <c r="R562" s="47"/>
      <c r="S562" s="48">
        <v>4</v>
      </c>
      <c r="T562" s="47">
        <v>0</v>
      </c>
      <c r="U562" s="47">
        <v>0</v>
      </c>
      <c r="V562" s="47">
        <v>0</v>
      </c>
      <c r="W562" s="47"/>
      <c r="X562" s="47"/>
      <c r="Y562" s="47" t="s">
        <v>51</v>
      </c>
      <c r="Z562" s="47" t="s">
        <v>146</v>
      </c>
      <c r="AA562" s="49">
        <v>0.89583333333333337</v>
      </c>
      <c r="AB562" s="49"/>
      <c r="AC562" s="49"/>
      <c r="AD562" s="50"/>
      <c r="AE562" s="47" t="s">
        <v>1323</v>
      </c>
      <c r="AF562" s="47">
        <v>35</v>
      </c>
      <c r="AG562"/>
      <c r="AH562"/>
      <c r="AI562"/>
      <c r="AJ562"/>
      <c r="AK562">
        <v>26</v>
      </c>
      <c r="AL562"/>
      <c r="AM562"/>
      <c r="AN562"/>
      <c r="AO562"/>
      <c r="AP562"/>
      <c r="AQ562" t="s">
        <v>1471</v>
      </c>
      <c r="AU562">
        <v>559</v>
      </c>
    </row>
    <row r="563" spans="1:47" x14ac:dyDescent="0.2">
      <c r="A563" s="37">
        <v>5958</v>
      </c>
      <c r="B563" s="38" t="s">
        <v>45</v>
      </c>
      <c r="C563" s="39" t="s">
        <v>425</v>
      </c>
      <c r="D563" s="29"/>
      <c r="E563" s="38" t="s">
        <v>1472</v>
      </c>
      <c r="F563" s="32" t="s">
        <v>1473</v>
      </c>
      <c r="G563" s="47" t="s">
        <v>69</v>
      </c>
      <c r="H563"/>
      <c r="I563" s="32" t="s">
        <v>1474</v>
      </c>
      <c r="J563" s="47"/>
      <c r="K563" s="47">
        <f>14*10*2.2</f>
        <v>308</v>
      </c>
      <c r="L563" s="48">
        <v>1</v>
      </c>
      <c r="M563" s="47"/>
      <c r="N563" s="47"/>
      <c r="O563" s="47"/>
      <c r="P563" s="47"/>
      <c r="Q563" s="47"/>
      <c r="R563" s="47"/>
      <c r="S563" s="48">
        <v>1</v>
      </c>
      <c r="T563" s="47">
        <v>0</v>
      </c>
      <c r="U563" s="47">
        <v>0</v>
      </c>
      <c r="V563" s="47">
        <v>0</v>
      </c>
      <c r="W563" s="47"/>
      <c r="X563" s="47"/>
      <c r="Y563" s="47" t="s">
        <v>51</v>
      </c>
      <c r="Z563" s="47" t="s">
        <v>146</v>
      </c>
      <c r="AA563" s="49">
        <v>4.1666666666666664E-2</v>
      </c>
      <c r="AB563" s="49"/>
      <c r="AC563" s="49"/>
      <c r="AD563" s="50"/>
      <c r="AE563" s="47" t="s">
        <v>1323</v>
      </c>
      <c r="AF563" s="47">
        <v>35</v>
      </c>
      <c r="AG563"/>
      <c r="AH563"/>
      <c r="AI563"/>
      <c r="AJ563"/>
      <c r="AK563">
        <v>14</v>
      </c>
      <c r="AL563"/>
      <c r="AM563"/>
      <c r="AN563"/>
      <c r="AO563"/>
      <c r="AP563"/>
      <c r="AQ563" t="s">
        <v>1471</v>
      </c>
      <c r="AU563">
        <v>560</v>
      </c>
    </row>
    <row r="564" spans="1:47" x14ac:dyDescent="0.2">
      <c r="A564" s="37">
        <v>5959</v>
      </c>
      <c r="B564" s="38" t="s">
        <v>45</v>
      </c>
      <c r="C564" s="39" t="s">
        <v>142</v>
      </c>
      <c r="D564" s="29"/>
      <c r="E564" s="38" t="s">
        <v>1475</v>
      </c>
      <c r="F564" s="32" t="s">
        <v>1469</v>
      </c>
      <c r="G564" s="47" t="s">
        <v>69</v>
      </c>
      <c r="H564"/>
      <c r="I564" s="32" t="s">
        <v>1476</v>
      </c>
      <c r="J564" s="47"/>
      <c r="K564" s="47">
        <f>20*10*2.2</f>
        <v>440.00000000000006</v>
      </c>
      <c r="L564" s="48">
        <v>3</v>
      </c>
      <c r="M564" s="47"/>
      <c r="N564" s="47"/>
      <c r="O564" s="47"/>
      <c r="P564" s="47"/>
      <c r="Q564" s="47"/>
      <c r="R564" s="47"/>
      <c r="S564" s="48">
        <v>3</v>
      </c>
      <c r="T564" s="47">
        <v>0</v>
      </c>
      <c r="U564" s="47">
        <v>0</v>
      </c>
      <c r="V564" s="47">
        <v>0</v>
      </c>
      <c r="W564" s="47"/>
      <c r="X564" s="47"/>
      <c r="Y564" s="47" t="s">
        <v>51</v>
      </c>
      <c r="Z564" s="31" t="s">
        <v>146</v>
      </c>
      <c r="AA564" s="49">
        <v>4.1666666666666664E-2</v>
      </c>
      <c r="AB564" s="49"/>
      <c r="AC564" s="49"/>
      <c r="AD564" s="50"/>
      <c r="AE564" s="47"/>
      <c r="AF564" s="47"/>
      <c r="AG564"/>
      <c r="AH564"/>
      <c r="AI564"/>
      <c r="AJ564"/>
      <c r="AK564">
        <v>20</v>
      </c>
      <c r="AL564"/>
      <c r="AM564"/>
      <c r="AN564"/>
      <c r="AO564"/>
      <c r="AP564"/>
      <c r="AQ564" t="s">
        <v>1471</v>
      </c>
      <c r="AU564">
        <v>561</v>
      </c>
    </row>
    <row r="565" spans="1:47" x14ac:dyDescent="0.2">
      <c r="A565" s="37">
        <v>5959</v>
      </c>
      <c r="B565" s="38" t="s">
        <v>45</v>
      </c>
      <c r="C565" s="39" t="s">
        <v>46</v>
      </c>
      <c r="D565" s="29"/>
      <c r="E565" s="38" t="s">
        <v>788</v>
      </c>
      <c r="F565" s="32" t="s">
        <v>150</v>
      </c>
      <c r="G565" s="47" t="s">
        <v>49</v>
      </c>
      <c r="H565"/>
      <c r="I565" s="32" t="s">
        <v>1477</v>
      </c>
      <c r="J565" s="47"/>
      <c r="K565" s="47">
        <f>1200*2.2</f>
        <v>2640</v>
      </c>
      <c r="L565" s="48">
        <v>1</v>
      </c>
      <c r="M565" s="47"/>
      <c r="N565" s="47"/>
      <c r="O565" s="47"/>
      <c r="P565" s="47"/>
      <c r="Q565" s="47"/>
      <c r="R565" s="47"/>
      <c r="S565" s="48">
        <v>1</v>
      </c>
      <c r="T565" s="47"/>
      <c r="U565" s="47"/>
      <c r="V565" s="47"/>
      <c r="W565" s="47"/>
      <c r="X565" s="47"/>
      <c r="Y565" s="47" t="s">
        <v>51</v>
      </c>
      <c r="Z565" s="20" t="s">
        <v>52</v>
      </c>
      <c r="AA565" s="49"/>
      <c r="AB565" s="49"/>
      <c r="AC565" s="49"/>
      <c r="AD565" s="50"/>
      <c r="AE565" s="47"/>
      <c r="AF565" s="47">
        <v>340</v>
      </c>
      <c r="AG565"/>
      <c r="AH565"/>
      <c r="AI565"/>
      <c r="AJ565"/>
      <c r="AK565">
        <v>16</v>
      </c>
      <c r="AL565"/>
      <c r="AM565"/>
      <c r="AN565"/>
      <c r="AO565"/>
      <c r="AP565"/>
      <c r="AQ565" s="32" t="s">
        <v>566</v>
      </c>
      <c r="AU565">
        <v>562</v>
      </c>
    </row>
    <row r="566" spans="1:47" x14ac:dyDescent="0.2">
      <c r="A566" s="26">
        <v>5959</v>
      </c>
      <c r="B566" s="27">
        <v>2.7777777777777776E-2</v>
      </c>
      <c r="C566" s="28"/>
      <c r="D566" s="29"/>
      <c r="E566" s="30" t="s">
        <v>1282</v>
      </c>
      <c r="H566" s="32">
        <v>0</v>
      </c>
      <c r="I566" s="32" t="s">
        <v>1283</v>
      </c>
      <c r="AG566" s="32">
        <v>0</v>
      </c>
      <c r="AH566" s="32">
        <v>0</v>
      </c>
      <c r="AI566" s="32">
        <v>0</v>
      </c>
      <c r="AK566" s="32">
        <v>0</v>
      </c>
      <c r="AL566" s="32">
        <f>35/60</f>
        <v>0.58333333333333337</v>
      </c>
      <c r="AP566" s="32">
        <f>35/60</f>
        <v>0.58333333333333337</v>
      </c>
      <c r="AQ566" s="32" t="s">
        <v>1101</v>
      </c>
      <c r="AU566">
        <v>563</v>
      </c>
    </row>
    <row r="567" spans="1:47" x14ac:dyDescent="0.2">
      <c r="A567" s="37">
        <v>5960</v>
      </c>
      <c r="B567" s="38" t="s">
        <v>45</v>
      </c>
      <c r="C567" s="39" t="s">
        <v>142</v>
      </c>
      <c r="D567" s="29"/>
      <c r="E567" s="38" t="s">
        <v>1478</v>
      </c>
      <c r="F567" s="32" t="s">
        <v>1479</v>
      </c>
      <c r="G567" s="47" t="s">
        <v>73</v>
      </c>
      <c r="H567"/>
      <c r="I567" s="32" t="s">
        <v>1480</v>
      </c>
      <c r="J567" s="47"/>
      <c r="K567" s="47">
        <f>18*10*2.2</f>
        <v>396.00000000000006</v>
      </c>
      <c r="L567" s="48">
        <v>4</v>
      </c>
      <c r="M567" s="47"/>
      <c r="N567" s="47"/>
      <c r="O567" s="47"/>
      <c r="P567" s="47"/>
      <c r="Q567" s="47"/>
      <c r="R567" s="47"/>
      <c r="S567" s="48">
        <v>4</v>
      </c>
      <c r="T567" s="47">
        <v>0</v>
      </c>
      <c r="U567" s="47">
        <v>0</v>
      </c>
      <c r="V567" s="47">
        <v>0</v>
      </c>
      <c r="W567" s="47"/>
      <c r="X567" s="47"/>
      <c r="Y567" s="47" t="s">
        <v>51</v>
      </c>
      <c r="Z567" s="31" t="s">
        <v>146</v>
      </c>
      <c r="AA567" s="49">
        <v>0.91666666666666663</v>
      </c>
      <c r="AB567" s="49"/>
      <c r="AC567" s="49"/>
      <c r="AD567" s="50"/>
      <c r="AE567" s="47" t="s">
        <v>1323</v>
      </c>
      <c r="AF567" s="47"/>
      <c r="AG567"/>
      <c r="AH567"/>
      <c r="AI567"/>
      <c r="AJ567"/>
      <c r="AK567" s="32">
        <v>18</v>
      </c>
      <c r="AL567"/>
      <c r="AM567"/>
      <c r="AN567"/>
      <c r="AO567"/>
      <c r="AP567"/>
      <c r="AQ567" s="32" t="s">
        <v>1481</v>
      </c>
      <c r="AU567">
        <v>564</v>
      </c>
    </row>
    <row r="568" spans="1:47" x14ac:dyDescent="0.2">
      <c r="A568" s="37">
        <v>5960</v>
      </c>
      <c r="B568" s="38" t="s">
        <v>45</v>
      </c>
      <c r="C568" s="39" t="s">
        <v>1438</v>
      </c>
      <c r="D568" s="29"/>
      <c r="E568" s="38" t="s">
        <v>1482</v>
      </c>
      <c r="F568" s="32" t="s">
        <v>107</v>
      </c>
      <c r="G568" s="47"/>
      <c r="H568"/>
      <c r="I568" s="32" t="s">
        <v>1483</v>
      </c>
      <c r="J568" s="47"/>
      <c r="K568" s="47">
        <f>29*10*2.2</f>
        <v>638</v>
      </c>
      <c r="L568" s="48">
        <v>6</v>
      </c>
      <c r="M568" s="47"/>
      <c r="N568" s="47"/>
      <c r="O568" s="47"/>
      <c r="P568" s="47"/>
      <c r="Q568" s="47"/>
      <c r="R568" s="47"/>
      <c r="S568" s="48">
        <v>6</v>
      </c>
      <c r="T568" s="47">
        <v>0</v>
      </c>
      <c r="U568" s="47">
        <v>0</v>
      </c>
      <c r="V568" s="47">
        <v>0</v>
      </c>
      <c r="W568" s="47"/>
      <c r="X568" s="47"/>
      <c r="Y568" s="47" t="s">
        <v>51</v>
      </c>
      <c r="Z568" s="47" t="s">
        <v>146</v>
      </c>
      <c r="AA568" s="49"/>
      <c r="AB568" s="49"/>
      <c r="AC568" s="49"/>
      <c r="AD568" s="50"/>
      <c r="AE568" s="47" t="s">
        <v>1323</v>
      </c>
      <c r="AF568" s="47">
        <v>30</v>
      </c>
      <c r="AG568"/>
      <c r="AH568"/>
      <c r="AI568"/>
      <c r="AJ568"/>
      <c r="AK568" s="32">
        <v>29</v>
      </c>
      <c r="AL568"/>
      <c r="AM568"/>
      <c r="AN568"/>
      <c r="AO568"/>
      <c r="AP568"/>
      <c r="AQ568" s="32" t="s">
        <v>1484</v>
      </c>
      <c r="AU568">
        <v>565</v>
      </c>
    </row>
    <row r="569" spans="1:47" x14ac:dyDescent="0.2">
      <c r="A569" s="37">
        <v>5960</v>
      </c>
      <c r="B569" s="38" t="s">
        <v>45</v>
      </c>
      <c r="C569" s="39" t="s">
        <v>253</v>
      </c>
      <c r="D569" s="29"/>
      <c r="E569" s="38" t="s">
        <v>1485</v>
      </c>
      <c r="F569" s="32" t="s">
        <v>107</v>
      </c>
      <c r="G569" s="47"/>
      <c r="H569"/>
      <c r="I569" s="32"/>
      <c r="J569" s="47"/>
      <c r="K569" s="47"/>
      <c r="L569" s="48"/>
      <c r="M569" s="47"/>
      <c r="N569" s="47"/>
      <c r="O569" s="47"/>
      <c r="P569" s="47"/>
      <c r="Q569" s="47"/>
      <c r="R569" s="47"/>
      <c r="S569" s="48"/>
      <c r="T569" s="47"/>
      <c r="U569" s="47"/>
      <c r="V569" s="47"/>
      <c r="W569" s="47"/>
      <c r="X569" s="47"/>
      <c r="Y569" s="47"/>
      <c r="Z569" s="47"/>
      <c r="AA569" s="49"/>
      <c r="AB569" s="49"/>
      <c r="AC569" s="49"/>
      <c r="AD569" s="50"/>
      <c r="AE569" s="47"/>
      <c r="AF569" s="47"/>
      <c r="AG569"/>
      <c r="AH569"/>
      <c r="AI569"/>
      <c r="AJ569"/>
      <c r="AK569"/>
      <c r="AL569"/>
      <c r="AM569"/>
      <c r="AN569"/>
      <c r="AO569"/>
      <c r="AP569"/>
      <c r="AQ569" s="32" t="s">
        <v>1375</v>
      </c>
      <c r="AU569">
        <v>566</v>
      </c>
    </row>
    <row r="570" spans="1:47" x14ac:dyDescent="0.2">
      <c r="A570" s="37">
        <v>5960</v>
      </c>
      <c r="B570" s="38" t="s">
        <v>45</v>
      </c>
      <c r="C570" s="39" t="s">
        <v>253</v>
      </c>
      <c r="D570" s="29"/>
      <c r="E570" s="38" t="s">
        <v>1486</v>
      </c>
      <c r="F570" s="32" t="s">
        <v>107</v>
      </c>
      <c r="G570" s="47"/>
      <c r="H570"/>
      <c r="I570" s="32"/>
      <c r="J570" s="47"/>
      <c r="K570" s="47"/>
      <c r="L570" s="48"/>
      <c r="M570" s="47"/>
      <c r="N570" s="47"/>
      <c r="O570" s="47"/>
      <c r="P570" s="47"/>
      <c r="Q570" s="47"/>
      <c r="R570" s="47"/>
      <c r="S570" s="48"/>
      <c r="T570" s="47"/>
      <c r="U570" s="47"/>
      <c r="V570" s="47"/>
      <c r="W570" s="47"/>
      <c r="X570" s="47"/>
      <c r="Y570" s="47"/>
      <c r="Z570" s="47"/>
      <c r="AA570" s="49"/>
      <c r="AB570" s="49"/>
      <c r="AC570" s="49"/>
      <c r="AD570" s="50"/>
      <c r="AE570" s="47"/>
      <c r="AF570" s="47"/>
      <c r="AG570"/>
      <c r="AH570"/>
      <c r="AI570"/>
      <c r="AJ570"/>
      <c r="AK570"/>
      <c r="AL570"/>
      <c r="AM570"/>
      <c r="AN570"/>
      <c r="AO570"/>
      <c r="AP570"/>
      <c r="AQ570" s="32" t="s">
        <v>1375</v>
      </c>
      <c r="AU570">
        <v>567</v>
      </c>
    </row>
    <row r="571" spans="1:47" x14ac:dyDescent="0.2">
      <c r="A571" s="37">
        <v>5960</v>
      </c>
      <c r="B571" s="38" t="s">
        <v>45</v>
      </c>
      <c r="C571" s="39" t="s">
        <v>1487</v>
      </c>
      <c r="D571" s="29"/>
      <c r="E571" s="123" t="s">
        <v>1488</v>
      </c>
      <c r="F571" s="32" t="s">
        <v>1489</v>
      </c>
      <c r="G571" s="47"/>
      <c r="H571"/>
      <c r="I571" s="32"/>
      <c r="J571" s="47"/>
      <c r="K571" s="47"/>
      <c r="L571" s="48"/>
      <c r="M571" s="47"/>
      <c r="N571" s="47"/>
      <c r="O571" s="47"/>
      <c r="P571" s="47"/>
      <c r="Q571" s="47"/>
      <c r="R571" s="47"/>
      <c r="S571" s="48"/>
      <c r="T571" s="47"/>
      <c r="U571" s="47"/>
      <c r="V571" s="47"/>
      <c r="W571" s="47"/>
      <c r="X571" s="47"/>
      <c r="Y571" s="47"/>
      <c r="Z571" s="47"/>
      <c r="AA571" s="49"/>
      <c r="AB571" s="49"/>
      <c r="AC571" s="49"/>
      <c r="AD571" s="50"/>
      <c r="AE571" s="47"/>
      <c r="AF571" s="47"/>
      <c r="AG571"/>
      <c r="AH571"/>
      <c r="AI571"/>
      <c r="AJ571"/>
      <c r="AK571"/>
      <c r="AL571"/>
      <c r="AM571"/>
      <c r="AN571"/>
      <c r="AO571"/>
      <c r="AP571"/>
      <c r="AQ571" s="32" t="s">
        <v>1490</v>
      </c>
      <c r="AU571">
        <v>568</v>
      </c>
    </row>
    <row r="572" spans="1:47" x14ac:dyDescent="0.2">
      <c r="A572" s="37">
        <v>5961</v>
      </c>
      <c r="B572" s="38"/>
      <c r="C572" s="39" t="s">
        <v>46</v>
      </c>
      <c r="D572" s="29"/>
      <c r="E572" s="57" t="s">
        <v>1491</v>
      </c>
      <c r="F572" s="31" t="s">
        <v>150</v>
      </c>
      <c r="G572" s="31" t="s">
        <v>49</v>
      </c>
      <c r="I572" s="31" t="s">
        <v>1492</v>
      </c>
      <c r="K572" s="31">
        <f>30*10*2.2</f>
        <v>660</v>
      </c>
      <c r="L572" s="33">
        <v>1</v>
      </c>
      <c r="S572" s="33">
        <v>1</v>
      </c>
      <c r="Y572" s="31" t="s">
        <v>51</v>
      </c>
      <c r="Z572" s="20" t="s">
        <v>52</v>
      </c>
      <c r="AF572" s="31">
        <v>340</v>
      </c>
      <c r="AK572" s="32">
        <v>30</v>
      </c>
      <c r="AQ572" s="32" t="s">
        <v>566</v>
      </c>
      <c r="AU572">
        <v>569</v>
      </c>
    </row>
    <row r="573" spans="1:47" x14ac:dyDescent="0.2">
      <c r="A573" s="37">
        <v>5961</v>
      </c>
      <c r="B573" s="38"/>
      <c r="C573" s="39" t="s">
        <v>46</v>
      </c>
      <c r="D573" s="29"/>
      <c r="E573" s="38" t="s">
        <v>653</v>
      </c>
      <c r="F573" s="32" t="s">
        <v>107</v>
      </c>
      <c r="G573" s="47"/>
      <c r="H573"/>
      <c r="I573" s="32" t="s">
        <v>1493</v>
      </c>
      <c r="J573" s="47"/>
      <c r="K573" s="47">
        <f>(20*43+10*8)*2.2</f>
        <v>2068</v>
      </c>
      <c r="L573" s="48">
        <v>1</v>
      </c>
      <c r="M573" s="47"/>
      <c r="N573" s="47"/>
      <c r="O573" s="47"/>
      <c r="P573" s="47"/>
      <c r="Q573" s="47"/>
      <c r="R573" s="47"/>
      <c r="S573" s="48">
        <v>1</v>
      </c>
      <c r="T573" s="47"/>
      <c r="U573" s="47"/>
      <c r="V573" s="47"/>
      <c r="W573" s="47"/>
      <c r="X573" s="47"/>
      <c r="Y573" s="31" t="s">
        <v>51</v>
      </c>
      <c r="Z573" s="20" t="s">
        <v>52</v>
      </c>
      <c r="AF573" s="47">
        <v>320</v>
      </c>
      <c r="AG573"/>
      <c r="AH573"/>
      <c r="AI573"/>
      <c r="AJ573"/>
      <c r="AK573">
        <v>30</v>
      </c>
      <c r="AL573"/>
      <c r="AM573"/>
      <c r="AN573"/>
      <c r="AO573"/>
      <c r="AP573"/>
      <c r="AQ573" s="32" t="s">
        <v>566</v>
      </c>
      <c r="AU573">
        <v>570</v>
      </c>
    </row>
    <row r="574" spans="1:47" x14ac:dyDescent="0.2">
      <c r="A574" s="37">
        <v>5961</v>
      </c>
      <c r="B574" s="38" t="s">
        <v>45</v>
      </c>
      <c r="C574" s="39" t="s">
        <v>46</v>
      </c>
      <c r="D574" s="29"/>
      <c r="E574" s="38" t="s">
        <v>1404</v>
      </c>
      <c r="F574" s="32" t="s">
        <v>1494</v>
      </c>
      <c r="G574" s="47" t="s">
        <v>69</v>
      </c>
      <c r="H574"/>
      <c r="I574" s="32" t="s">
        <v>1495</v>
      </c>
      <c r="J574" s="47"/>
      <c r="K574" s="47">
        <f>1200*2.2</f>
        <v>2640</v>
      </c>
      <c r="L574" s="48">
        <v>1</v>
      </c>
      <c r="M574" s="47"/>
      <c r="N574" s="47"/>
      <c r="O574" s="47"/>
      <c r="P574" s="47"/>
      <c r="Q574" s="47"/>
      <c r="R574" s="47"/>
      <c r="S574" s="48">
        <v>1</v>
      </c>
      <c r="T574" s="47"/>
      <c r="U574" s="47"/>
      <c r="V574" s="47"/>
      <c r="W574" s="47"/>
      <c r="X574" s="47"/>
      <c r="Y574" s="31" t="s">
        <v>51</v>
      </c>
      <c r="Z574" s="20" t="s">
        <v>52</v>
      </c>
      <c r="AF574" s="47">
        <v>320</v>
      </c>
      <c r="AG574"/>
      <c r="AH574"/>
      <c r="AI574"/>
      <c r="AJ574"/>
      <c r="AK574"/>
      <c r="AL574"/>
      <c r="AM574"/>
      <c r="AN574"/>
      <c r="AO574"/>
      <c r="AP574"/>
      <c r="AQ574" s="32" t="s">
        <v>566</v>
      </c>
      <c r="AU574">
        <v>571</v>
      </c>
    </row>
    <row r="575" spans="1:47" x14ac:dyDescent="0.2">
      <c r="A575" s="37">
        <v>5961</v>
      </c>
      <c r="B575" s="38" t="s">
        <v>45</v>
      </c>
      <c r="C575" s="39" t="s">
        <v>142</v>
      </c>
      <c r="D575" s="45"/>
      <c r="E575" s="38" t="s">
        <v>1496</v>
      </c>
      <c r="F575" s="32" t="s">
        <v>1497</v>
      </c>
      <c r="G575" s="47" t="s">
        <v>69</v>
      </c>
      <c r="H575"/>
      <c r="I575" s="32" t="s">
        <v>1498</v>
      </c>
      <c r="J575" s="47"/>
      <c r="K575" s="47">
        <f>25*10*2.2</f>
        <v>550</v>
      </c>
      <c r="L575" s="48">
        <v>4</v>
      </c>
      <c r="N575" s="47"/>
      <c r="O575" s="47"/>
      <c r="P575" s="47"/>
      <c r="Q575" s="47"/>
      <c r="R575" s="47"/>
      <c r="S575" s="48">
        <v>4</v>
      </c>
      <c r="T575" s="47">
        <v>0</v>
      </c>
      <c r="U575" s="47">
        <v>0</v>
      </c>
      <c r="V575" s="47">
        <v>0</v>
      </c>
      <c r="W575" s="47"/>
      <c r="X575" s="47"/>
      <c r="Y575" s="31" t="s">
        <v>51</v>
      </c>
      <c r="Z575" s="31" t="s">
        <v>146</v>
      </c>
      <c r="AA575" s="34">
        <v>0.93055555555555547</v>
      </c>
      <c r="AE575" s="47" t="s">
        <v>1323</v>
      </c>
      <c r="AF575" s="47"/>
      <c r="AG575"/>
      <c r="AH575"/>
      <c r="AI575"/>
      <c r="AJ575"/>
      <c r="AK575">
        <v>25</v>
      </c>
      <c r="AL575"/>
      <c r="AM575"/>
      <c r="AN575"/>
      <c r="AO575"/>
      <c r="AP575"/>
      <c r="AQ575" s="32" t="s">
        <v>1484</v>
      </c>
      <c r="AU575">
        <v>572</v>
      </c>
    </row>
    <row r="576" spans="1:47" x14ac:dyDescent="0.2">
      <c r="A576" s="37">
        <v>5961</v>
      </c>
      <c r="B576" s="38" t="s">
        <v>45</v>
      </c>
      <c r="C576" s="39" t="s">
        <v>1438</v>
      </c>
      <c r="D576" s="45"/>
      <c r="E576" s="38" t="s">
        <v>1499</v>
      </c>
      <c r="F576" s="32" t="s">
        <v>1500</v>
      </c>
      <c r="G576" s="47" t="s">
        <v>49</v>
      </c>
      <c r="H576"/>
      <c r="I576" s="32" t="s">
        <v>1501</v>
      </c>
      <c r="J576" s="47"/>
      <c r="K576" s="47">
        <f>37*10*2.2</f>
        <v>814.00000000000011</v>
      </c>
      <c r="L576" s="48">
        <v>7</v>
      </c>
      <c r="N576" s="47"/>
      <c r="O576" s="47"/>
      <c r="P576" s="47"/>
      <c r="Q576" s="47"/>
      <c r="R576" s="47"/>
      <c r="S576" s="48">
        <v>7</v>
      </c>
      <c r="T576" s="47">
        <v>0</v>
      </c>
      <c r="U576" s="47">
        <v>0</v>
      </c>
      <c r="V576" s="47">
        <v>0</v>
      </c>
      <c r="W576" s="47"/>
      <c r="X576" s="47"/>
      <c r="Y576" s="31" t="s">
        <v>51</v>
      </c>
      <c r="Z576" s="47" t="s">
        <v>146</v>
      </c>
      <c r="AA576" s="34">
        <v>0.89583333333333337</v>
      </c>
      <c r="AE576" s="47" t="s">
        <v>1323</v>
      </c>
      <c r="AF576" s="47">
        <v>45</v>
      </c>
      <c r="AG576"/>
      <c r="AH576"/>
      <c r="AI576"/>
      <c r="AJ576"/>
      <c r="AK576">
        <v>37</v>
      </c>
      <c r="AL576"/>
      <c r="AM576"/>
      <c r="AN576"/>
      <c r="AO576"/>
      <c r="AP576"/>
      <c r="AQ576" s="32" t="s">
        <v>1484</v>
      </c>
      <c r="AU576">
        <v>573</v>
      </c>
    </row>
    <row r="577" spans="1:47" x14ac:dyDescent="0.2">
      <c r="A577" s="37">
        <v>5961</v>
      </c>
      <c r="B577" s="38" t="s">
        <v>45</v>
      </c>
      <c r="C577" s="39" t="s">
        <v>253</v>
      </c>
      <c r="D577" s="29"/>
      <c r="E577" s="38" t="s">
        <v>1502</v>
      </c>
      <c r="F577" s="32" t="s">
        <v>246</v>
      </c>
      <c r="G577" s="47"/>
      <c r="H577"/>
      <c r="I577" s="32"/>
      <c r="J577" s="47"/>
      <c r="K577" s="47"/>
      <c r="L577" s="48"/>
      <c r="M577" s="47"/>
      <c r="N577" s="47"/>
      <c r="O577" s="47"/>
      <c r="P577" s="47"/>
      <c r="Q577" s="47"/>
      <c r="R577" s="47"/>
      <c r="S577" s="48"/>
      <c r="T577" s="47"/>
      <c r="U577" s="47"/>
      <c r="V577" s="47"/>
      <c r="W577" s="47"/>
      <c r="X577" s="47"/>
      <c r="Y577" s="47"/>
      <c r="Z577" s="47"/>
      <c r="AA577" s="49"/>
      <c r="AB577" s="49"/>
      <c r="AC577" s="49"/>
      <c r="AD577" s="50"/>
      <c r="AE577" s="47"/>
      <c r="AF577" s="47"/>
      <c r="AG577"/>
      <c r="AH577"/>
      <c r="AI577"/>
      <c r="AJ577"/>
      <c r="AK577"/>
      <c r="AL577"/>
      <c r="AM577"/>
      <c r="AN577"/>
      <c r="AO577"/>
      <c r="AP577"/>
      <c r="AQ577" s="32" t="s">
        <v>1375</v>
      </c>
      <c r="AU577">
        <v>574</v>
      </c>
    </row>
    <row r="578" spans="1:47" x14ac:dyDescent="0.2">
      <c r="A578" s="26">
        <v>5961</v>
      </c>
      <c r="B578" s="27">
        <v>1.3888888888888888E-2</v>
      </c>
      <c r="C578" s="28"/>
      <c r="D578" s="29"/>
      <c r="E578" s="30" t="s">
        <v>1282</v>
      </c>
      <c r="H578" s="32">
        <v>0</v>
      </c>
      <c r="I578" s="32" t="s">
        <v>1283</v>
      </c>
      <c r="AG578" s="32">
        <v>0</v>
      </c>
      <c r="AH578" s="32">
        <v>0</v>
      </c>
      <c r="AI578" s="32">
        <v>0</v>
      </c>
      <c r="AK578" s="32">
        <v>0</v>
      </c>
      <c r="AL578" s="32">
        <f>5/60</f>
        <v>8.3333333333333329E-2</v>
      </c>
      <c r="AP578" s="32">
        <f>5/60</f>
        <v>8.3333333333333329E-2</v>
      </c>
      <c r="AQ578" s="32" t="s">
        <v>1101</v>
      </c>
      <c r="AU578">
        <v>575</v>
      </c>
    </row>
    <row r="579" spans="1:47" x14ac:dyDescent="0.2">
      <c r="A579" s="26">
        <v>5961</v>
      </c>
      <c r="B579" s="27">
        <v>0.95833333333333337</v>
      </c>
      <c r="C579" s="28"/>
      <c r="D579" s="29"/>
      <c r="E579" s="30" t="s">
        <v>653</v>
      </c>
      <c r="H579" s="32">
        <v>1</v>
      </c>
      <c r="I579" s="32" t="s">
        <v>654</v>
      </c>
      <c r="AI579" s="32">
        <v>0</v>
      </c>
      <c r="AK579" s="32">
        <v>9</v>
      </c>
      <c r="AO579" s="32" t="s">
        <v>655</v>
      </c>
      <c r="AQ579" s="32">
        <v>447</v>
      </c>
      <c r="AU579">
        <v>576</v>
      </c>
    </row>
    <row r="580" spans="1:47" x14ac:dyDescent="0.2">
      <c r="A580" s="37">
        <v>5962</v>
      </c>
      <c r="B580" s="38" t="s">
        <v>85</v>
      </c>
      <c r="C580" s="39" t="s">
        <v>253</v>
      </c>
      <c r="D580" s="29"/>
      <c r="E580" s="38" t="s">
        <v>1503</v>
      </c>
      <c r="F580" s="32" t="s">
        <v>150</v>
      </c>
      <c r="G580" s="47"/>
      <c r="H580"/>
      <c r="I580" s="32"/>
      <c r="J580" s="47"/>
      <c r="K580" s="47"/>
      <c r="L580" s="48"/>
      <c r="M580" s="47"/>
      <c r="N580" s="47"/>
      <c r="O580" s="47"/>
      <c r="P580" s="47"/>
      <c r="Q580" s="47"/>
      <c r="R580" s="47"/>
      <c r="S580" s="48"/>
      <c r="T580" s="47"/>
      <c r="U580" s="47"/>
      <c r="V580" s="47"/>
      <c r="W580" s="47"/>
      <c r="X580" s="47"/>
      <c r="Y580" s="47"/>
      <c r="Z580" s="47"/>
      <c r="AA580" s="49"/>
      <c r="AB580" s="49"/>
      <c r="AC580" s="49"/>
      <c r="AD580" s="50"/>
      <c r="AE580" s="47"/>
      <c r="AF580" s="47"/>
      <c r="AG580"/>
      <c r="AH580"/>
      <c r="AI580"/>
      <c r="AJ580"/>
      <c r="AK580"/>
      <c r="AL580"/>
      <c r="AM580"/>
      <c r="AN580"/>
      <c r="AO580"/>
      <c r="AP580"/>
      <c r="AQ580" s="32" t="s">
        <v>1233</v>
      </c>
      <c r="AU580">
        <v>577</v>
      </c>
    </row>
    <row r="581" spans="1:47" x14ac:dyDescent="0.2">
      <c r="A581" s="37">
        <v>5962</v>
      </c>
      <c r="B581" s="38" t="s">
        <v>45</v>
      </c>
      <c r="C581" s="39" t="s">
        <v>253</v>
      </c>
      <c r="D581" s="29"/>
      <c r="E581" s="38" t="s">
        <v>1504</v>
      </c>
      <c r="F581" s="32" t="s">
        <v>107</v>
      </c>
      <c r="G581" s="47"/>
      <c r="H581"/>
      <c r="I581" s="32"/>
      <c r="J581" s="47"/>
      <c r="K581" s="47"/>
      <c r="L581" s="48"/>
      <c r="M581" s="47"/>
      <c r="N581" s="47"/>
      <c r="O581" s="47"/>
      <c r="P581" s="47"/>
      <c r="Q581" s="47"/>
      <c r="R581" s="47"/>
      <c r="S581" s="48"/>
      <c r="T581" s="47"/>
      <c r="U581" s="47"/>
      <c r="V581" s="47"/>
      <c r="W581" s="47"/>
      <c r="X581" s="47"/>
      <c r="Y581" s="47"/>
      <c r="Z581" s="47"/>
      <c r="AA581" s="49"/>
      <c r="AB581" s="49"/>
      <c r="AC581" s="49"/>
      <c r="AD581" s="50"/>
      <c r="AE581" s="47"/>
      <c r="AF581" s="47"/>
      <c r="AG581"/>
      <c r="AH581"/>
      <c r="AI581"/>
      <c r="AJ581"/>
      <c r="AK581"/>
      <c r="AL581"/>
      <c r="AM581"/>
      <c r="AN581"/>
      <c r="AO581"/>
      <c r="AP581"/>
      <c r="AQ581" s="32" t="s">
        <v>1375</v>
      </c>
      <c r="AU581">
        <v>578</v>
      </c>
    </row>
    <row r="582" spans="1:47" x14ac:dyDescent="0.2">
      <c r="A582" s="37">
        <v>5962</v>
      </c>
      <c r="B582" s="38" t="s">
        <v>45</v>
      </c>
      <c r="C582" s="39" t="s">
        <v>142</v>
      </c>
      <c r="D582" s="29"/>
      <c r="E582" s="38" t="s">
        <v>1505</v>
      </c>
      <c r="F582" s="32" t="s">
        <v>1506</v>
      </c>
      <c r="G582" s="47" t="s">
        <v>69</v>
      </c>
      <c r="H582"/>
      <c r="I582" s="32" t="s">
        <v>1507</v>
      </c>
      <c r="J582" s="47"/>
      <c r="K582" s="47">
        <f>4*10*2.2</f>
        <v>88</v>
      </c>
      <c r="L582" s="48">
        <v>2</v>
      </c>
      <c r="M582" s="47"/>
      <c r="N582" s="47"/>
      <c r="O582" s="47"/>
      <c r="P582" s="47"/>
      <c r="Q582" s="47"/>
      <c r="R582" s="47"/>
      <c r="S582" s="48">
        <v>2</v>
      </c>
      <c r="T582" s="47"/>
      <c r="U582" s="47"/>
      <c r="V582" s="47"/>
      <c r="W582" s="47"/>
      <c r="X582" s="47"/>
      <c r="Y582" s="47" t="s">
        <v>51</v>
      </c>
      <c r="Z582" s="31" t="s">
        <v>146</v>
      </c>
      <c r="AA582" s="49">
        <v>0.91666666666666663</v>
      </c>
      <c r="AB582" s="49"/>
      <c r="AC582" s="49"/>
      <c r="AD582" s="50"/>
      <c r="AE582" s="47" t="s">
        <v>1323</v>
      </c>
      <c r="AF582" s="47">
        <v>40</v>
      </c>
      <c r="AG582"/>
      <c r="AH582"/>
      <c r="AI582"/>
      <c r="AJ582"/>
      <c r="AK582">
        <v>4</v>
      </c>
      <c r="AL582"/>
      <c r="AM582"/>
      <c r="AN582"/>
      <c r="AO582"/>
      <c r="AP582"/>
      <c r="AQ582" s="32" t="s">
        <v>1484</v>
      </c>
      <c r="AU582">
        <v>579</v>
      </c>
    </row>
    <row r="583" spans="1:47" x14ac:dyDescent="0.2">
      <c r="A583" s="37">
        <v>5962</v>
      </c>
      <c r="B583" s="38" t="s">
        <v>45</v>
      </c>
      <c r="C583" s="39" t="s">
        <v>1438</v>
      </c>
      <c r="D583" s="29"/>
      <c r="E583" s="38" t="s">
        <v>1508</v>
      </c>
      <c r="F583" s="32" t="s">
        <v>1509</v>
      </c>
      <c r="G583" s="47" t="s">
        <v>49</v>
      </c>
      <c r="H583"/>
      <c r="I583" s="32" t="s">
        <v>1510</v>
      </c>
      <c r="J583" s="47"/>
      <c r="K583" s="47">
        <f>31*10*2.2</f>
        <v>682</v>
      </c>
      <c r="L583" s="48">
        <v>5</v>
      </c>
      <c r="M583" s="47"/>
      <c r="N583" s="47"/>
      <c r="O583" s="47"/>
      <c r="P583" s="47"/>
      <c r="Q583" s="47"/>
      <c r="R583" s="47"/>
      <c r="S583" s="48">
        <v>5</v>
      </c>
      <c r="T583" s="47">
        <v>0</v>
      </c>
      <c r="U583" s="47">
        <v>0</v>
      </c>
      <c r="V583" s="47">
        <v>0</v>
      </c>
      <c r="W583" s="47"/>
      <c r="X583" s="47"/>
      <c r="Y583" s="47" t="s">
        <v>51</v>
      </c>
      <c r="Z583" s="47" t="s">
        <v>146</v>
      </c>
      <c r="AA583" s="49"/>
      <c r="AB583" s="49"/>
      <c r="AC583" s="49"/>
      <c r="AD583" s="50"/>
      <c r="AE583" s="47" t="s">
        <v>1323</v>
      </c>
      <c r="AF583" s="47">
        <v>45</v>
      </c>
      <c r="AG583"/>
      <c r="AH583"/>
      <c r="AI583"/>
      <c r="AJ583"/>
      <c r="AK583">
        <v>31</v>
      </c>
      <c r="AL583"/>
      <c r="AM583"/>
      <c r="AN583"/>
      <c r="AO583"/>
      <c r="AP583"/>
      <c r="AQ583" s="32" t="s">
        <v>1484</v>
      </c>
      <c r="AU583">
        <v>580</v>
      </c>
    </row>
    <row r="584" spans="1:47" x14ac:dyDescent="0.2">
      <c r="A584" s="37">
        <v>5963</v>
      </c>
      <c r="B584" s="38" t="s">
        <v>45</v>
      </c>
      <c r="C584" s="39" t="s">
        <v>253</v>
      </c>
      <c r="D584" s="29"/>
      <c r="E584" s="38" t="s">
        <v>1511</v>
      </c>
      <c r="F584" s="32" t="s">
        <v>107</v>
      </c>
      <c r="G584" s="47"/>
      <c r="H584"/>
      <c r="I584" s="32"/>
      <c r="J584" s="47"/>
      <c r="K584" s="47"/>
      <c r="L584" s="48"/>
      <c r="M584" s="47"/>
      <c r="N584" s="47"/>
      <c r="O584" s="47"/>
      <c r="P584" s="47"/>
      <c r="Q584" s="47"/>
      <c r="R584" s="47"/>
      <c r="S584" s="48"/>
      <c r="T584" s="47"/>
      <c r="U584" s="47"/>
      <c r="V584" s="47"/>
      <c r="W584" s="47"/>
      <c r="X584" s="47"/>
      <c r="Y584" s="47"/>
      <c r="Z584" s="47"/>
      <c r="AA584" s="49"/>
      <c r="AB584" s="49"/>
      <c r="AC584" s="49"/>
      <c r="AD584" s="50"/>
      <c r="AE584" s="47"/>
      <c r="AF584" s="47"/>
      <c r="AG584"/>
      <c r="AH584"/>
      <c r="AI584"/>
      <c r="AJ584"/>
      <c r="AK584"/>
      <c r="AL584"/>
      <c r="AM584"/>
      <c r="AN584"/>
      <c r="AO584"/>
      <c r="AP584"/>
      <c r="AQ584" s="32" t="s">
        <v>1203</v>
      </c>
      <c r="AU584">
        <v>581</v>
      </c>
    </row>
    <row r="585" spans="1:47" x14ac:dyDescent="0.2">
      <c r="A585" s="37">
        <v>5964</v>
      </c>
      <c r="B585" s="38" t="s">
        <v>45</v>
      </c>
      <c r="C585" s="39" t="s">
        <v>142</v>
      </c>
      <c r="D585" s="29"/>
      <c r="E585" s="38" t="s">
        <v>1512</v>
      </c>
      <c r="F585" s="32" t="s">
        <v>1513</v>
      </c>
      <c r="G585" s="47" t="s">
        <v>69</v>
      </c>
      <c r="H585"/>
      <c r="I585" s="32" t="s">
        <v>1514</v>
      </c>
      <c r="J585" s="47"/>
      <c r="K585" s="47">
        <f>22*10*2.2</f>
        <v>484.00000000000006</v>
      </c>
      <c r="L585" s="48">
        <v>5</v>
      </c>
      <c r="M585" s="47"/>
      <c r="N585" s="47"/>
      <c r="O585" s="47"/>
      <c r="P585" s="47"/>
      <c r="Q585" s="47"/>
      <c r="R585" s="47"/>
      <c r="S585" s="48">
        <v>5</v>
      </c>
      <c r="T585" s="47">
        <v>0</v>
      </c>
      <c r="U585" s="47">
        <v>0</v>
      </c>
      <c r="V585" s="47">
        <v>0</v>
      </c>
      <c r="W585" s="47"/>
      <c r="X585" s="47"/>
      <c r="Y585" s="47" t="s">
        <v>51</v>
      </c>
      <c r="Z585" s="31" t="s">
        <v>146</v>
      </c>
      <c r="AA585" s="49">
        <v>0.91666666666666663</v>
      </c>
      <c r="AB585" s="49"/>
      <c r="AC585" s="49"/>
      <c r="AD585" s="50"/>
      <c r="AE585" s="47" t="s">
        <v>1323</v>
      </c>
      <c r="AF585" s="47">
        <v>30</v>
      </c>
      <c r="AG585"/>
      <c r="AH585"/>
      <c r="AI585"/>
      <c r="AJ585"/>
      <c r="AK585">
        <v>22</v>
      </c>
      <c r="AL585"/>
      <c r="AM585"/>
      <c r="AN585"/>
      <c r="AO585"/>
      <c r="AP585"/>
      <c r="AQ585" s="32" t="s">
        <v>1515</v>
      </c>
      <c r="AU585">
        <v>582</v>
      </c>
    </row>
    <row r="586" spans="1:47" x14ac:dyDescent="0.2">
      <c r="A586" s="37">
        <v>5964</v>
      </c>
      <c r="B586" s="38" t="s">
        <v>45</v>
      </c>
      <c r="C586" s="39" t="s">
        <v>1438</v>
      </c>
      <c r="D586" s="29"/>
      <c r="E586" s="38" t="s">
        <v>1516</v>
      </c>
      <c r="F586" s="32" t="s">
        <v>1517</v>
      </c>
      <c r="G586" s="47"/>
      <c r="H586"/>
      <c r="I586" s="32" t="s">
        <v>1518</v>
      </c>
      <c r="J586" s="47"/>
      <c r="K586" s="47">
        <f>44*10*2.2</f>
        <v>968.00000000000011</v>
      </c>
      <c r="L586" s="48">
        <v>8</v>
      </c>
      <c r="M586" s="47"/>
      <c r="N586" s="47"/>
      <c r="O586" s="47"/>
      <c r="P586" s="47"/>
      <c r="Q586" s="47"/>
      <c r="R586" s="47"/>
      <c r="S586" s="48">
        <v>8</v>
      </c>
      <c r="T586" s="47">
        <v>0</v>
      </c>
      <c r="U586" s="47">
        <v>0</v>
      </c>
      <c r="V586" s="47">
        <v>0</v>
      </c>
      <c r="W586" s="47"/>
      <c r="X586" s="47"/>
      <c r="Y586" s="47" t="s">
        <v>51</v>
      </c>
      <c r="Z586" s="47" t="s">
        <v>146</v>
      </c>
      <c r="AA586" s="49">
        <v>0.875</v>
      </c>
      <c r="AB586" s="49"/>
      <c r="AC586" s="49"/>
      <c r="AD586" s="50"/>
      <c r="AE586" s="47" t="s">
        <v>1323</v>
      </c>
      <c r="AF586" s="47">
        <v>45</v>
      </c>
      <c r="AG586"/>
      <c r="AH586"/>
      <c r="AI586"/>
      <c r="AJ586"/>
      <c r="AK586">
        <v>44</v>
      </c>
      <c r="AL586"/>
      <c r="AM586"/>
      <c r="AN586"/>
      <c r="AO586"/>
      <c r="AP586"/>
      <c r="AQ586" s="32" t="s">
        <v>1515</v>
      </c>
      <c r="AU586">
        <v>583</v>
      </c>
    </row>
    <row r="587" spans="1:47" x14ac:dyDescent="0.2">
      <c r="A587" s="37">
        <v>5964</v>
      </c>
      <c r="B587" s="38" t="s">
        <v>45</v>
      </c>
      <c r="C587" s="39" t="s">
        <v>253</v>
      </c>
      <c r="D587" s="29"/>
      <c r="E587" s="38" t="s">
        <v>1519</v>
      </c>
      <c r="F587" s="32" t="s">
        <v>107</v>
      </c>
      <c r="G587" s="47"/>
      <c r="H587"/>
      <c r="I587" s="32"/>
      <c r="J587" s="47"/>
      <c r="K587" s="47"/>
      <c r="L587" s="48"/>
      <c r="M587" s="47"/>
      <c r="N587" s="47"/>
      <c r="O587" s="47"/>
      <c r="P587" s="47"/>
      <c r="Q587" s="47"/>
      <c r="R587" s="47"/>
      <c r="S587" s="48"/>
      <c r="T587" s="47"/>
      <c r="U587" s="47"/>
      <c r="V587" s="47"/>
      <c r="W587" s="47"/>
      <c r="X587" s="47"/>
      <c r="Y587" s="47"/>
      <c r="Z587" s="47"/>
      <c r="AA587" s="49"/>
      <c r="AB587" s="49"/>
      <c r="AC587" s="49"/>
      <c r="AD587" s="50"/>
      <c r="AE587" s="47"/>
      <c r="AF587" s="47"/>
      <c r="AG587"/>
      <c r="AH587"/>
      <c r="AI587"/>
      <c r="AJ587"/>
      <c r="AK587"/>
      <c r="AL587"/>
      <c r="AM587"/>
      <c r="AN587"/>
      <c r="AO587"/>
      <c r="AP587"/>
      <c r="AQ587" s="32" t="s">
        <v>1203</v>
      </c>
      <c r="AU587">
        <v>584</v>
      </c>
    </row>
    <row r="588" spans="1:47" x14ac:dyDescent="0.2">
      <c r="A588" s="26">
        <v>5969</v>
      </c>
      <c r="B588" s="27">
        <v>1.3888888888888888E-2</v>
      </c>
      <c r="C588" s="28"/>
      <c r="D588" s="29"/>
      <c r="E588" s="30" t="s">
        <v>1282</v>
      </c>
      <c r="H588" s="32">
        <v>0</v>
      </c>
      <c r="I588" s="32" t="s">
        <v>1283</v>
      </c>
      <c r="AG588" s="32">
        <v>0</v>
      </c>
      <c r="AH588" s="32">
        <v>0</v>
      </c>
      <c r="AI588" s="32">
        <v>0</v>
      </c>
      <c r="AK588" s="32">
        <v>0</v>
      </c>
      <c r="AL588" s="32">
        <f>20/60</f>
        <v>0.33333333333333331</v>
      </c>
      <c r="AP588" s="32">
        <f>20/60</f>
        <v>0.33333333333333331</v>
      </c>
      <c r="AQ588" s="32" t="s">
        <v>1101</v>
      </c>
      <c r="AU588">
        <v>585</v>
      </c>
    </row>
    <row r="589" spans="1:47" x14ac:dyDescent="0.2">
      <c r="A589" s="26">
        <v>5970</v>
      </c>
      <c r="B589" s="27">
        <v>2.7777777777777776E-2</v>
      </c>
      <c r="C589" s="28"/>
      <c r="D589" s="29"/>
      <c r="E589" s="30" t="s">
        <v>464</v>
      </c>
      <c r="H589" s="32">
        <v>1</v>
      </c>
      <c r="I589" s="32" t="s">
        <v>1520</v>
      </c>
      <c r="AG589" s="32">
        <v>0</v>
      </c>
      <c r="AH589" s="32">
        <v>0</v>
      </c>
      <c r="AI589" s="32">
        <v>0</v>
      </c>
      <c r="AK589" s="32">
        <v>18</v>
      </c>
      <c r="AO589" s="32" t="s">
        <v>1521</v>
      </c>
      <c r="AP589" s="32">
        <f>65/60</f>
        <v>1.0833333333333333</v>
      </c>
      <c r="AQ589" s="32" t="s">
        <v>1522</v>
      </c>
      <c r="AU589">
        <v>586</v>
      </c>
    </row>
    <row r="590" spans="1:47" x14ac:dyDescent="0.2">
      <c r="A590" s="37">
        <v>5975</v>
      </c>
      <c r="B590" s="38" t="s">
        <v>45</v>
      </c>
      <c r="C590" s="39" t="s">
        <v>142</v>
      </c>
      <c r="D590" s="29"/>
      <c r="E590" s="38" t="s">
        <v>1523</v>
      </c>
      <c r="F590" s="32" t="s">
        <v>1524</v>
      </c>
      <c r="G590" s="47" t="s">
        <v>69</v>
      </c>
      <c r="H590"/>
      <c r="I590" s="32" t="s">
        <v>1525</v>
      </c>
      <c r="J590" s="47"/>
      <c r="K590" s="47">
        <f>26*10*2.2</f>
        <v>572</v>
      </c>
      <c r="L590" s="48">
        <v>4</v>
      </c>
      <c r="M590" s="47"/>
      <c r="N590" s="47"/>
      <c r="O590" s="47"/>
      <c r="P590" s="47"/>
      <c r="Q590" s="47"/>
      <c r="R590" s="47"/>
      <c r="S590" s="48">
        <v>4</v>
      </c>
      <c r="T590" s="47">
        <v>0</v>
      </c>
      <c r="U590" s="47">
        <v>0</v>
      </c>
      <c r="V590" s="47">
        <v>0</v>
      </c>
      <c r="W590" s="47"/>
      <c r="X590" s="47"/>
      <c r="Y590" s="47" t="s">
        <v>51</v>
      </c>
      <c r="Z590" s="47"/>
      <c r="AA590" s="49">
        <v>0.89583333333333337</v>
      </c>
      <c r="AB590" s="49"/>
      <c r="AC590" s="49"/>
      <c r="AD590" s="50"/>
      <c r="AE590" s="47"/>
      <c r="AF590" s="47"/>
      <c r="AG590"/>
      <c r="AH590"/>
      <c r="AI590"/>
      <c r="AJ590"/>
      <c r="AK590" s="32">
        <v>26</v>
      </c>
      <c r="AL590"/>
      <c r="AM590"/>
      <c r="AN590"/>
      <c r="AO590"/>
      <c r="AP590"/>
      <c r="AQ590" s="32" t="s">
        <v>1526</v>
      </c>
      <c r="AU590">
        <v>587</v>
      </c>
    </row>
    <row r="591" spans="1:47" x14ac:dyDescent="0.2">
      <c r="A591" s="37">
        <v>5977</v>
      </c>
      <c r="B591" s="38" t="s">
        <v>45</v>
      </c>
      <c r="C591" s="39" t="s">
        <v>1438</v>
      </c>
      <c r="D591" s="29"/>
      <c r="E591" s="38" t="s">
        <v>1527</v>
      </c>
      <c r="F591" s="32" t="s">
        <v>1528</v>
      </c>
      <c r="G591" s="47" t="s">
        <v>69</v>
      </c>
      <c r="H591"/>
      <c r="I591" s="32" t="s">
        <v>1529</v>
      </c>
      <c r="J591" s="47"/>
      <c r="K591" s="47">
        <f>(44*10+4*7.25)*2.2</f>
        <v>1031.8000000000002</v>
      </c>
      <c r="L591" s="48">
        <v>10</v>
      </c>
      <c r="M591" s="47"/>
      <c r="N591" s="47"/>
      <c r="O591" s="47"/>
      <c r="P591" s="47"/>
      <c r="Q591" s="47"/>
      <c r="R591" s="47"/>
      <c r="S591" s="48">
        <v>10</v>
      </c>
      <c r="T591" s="47">
        <v>0</v>
      </c>
      <c r="U591" s="47">
        <v>0</v>
      </c>
      <c r="V591" s="47">
        <v>0</v>
      </c>
      <c r="W591" s="47"/>
      <c r="X591" s="47"/>
      <c r="Y591" s="47" t="s">
        <v>51</v>
      </c>
      <c r="Z591" s="47" t="s">
        <v>146</v>
      </c>
      <c r="AA591" s="49">
        <v>0.88541666666666663</v>
      </c>
      <c r="AB591" s="49"/>
      <c r="AC591" s="49"/>
      <c r="AD591" s="50"/>
      <c r="AE591" s="47" t="s">
        <v>1323</v>
      </c>
      <c r="AF591" s="47">
        <v>35</v>
      </c>
      <c r="AG591"/>
      <c r="AH591"/>
      <c r="AI591"/>
      <c r="AJ591"/>
      <c r="AK591" s="32">
        <v>48</v>
      </c>
      <c r="AL591"/>
      <c r="AM591"/>
      <c r="AN591"/>
      <c r="AO591"/>
      <c r="AP591"/>
      <c r="AQ591" s="32" t="s">
        <v>1530</v>
      </c>
      <c r="AU591">
        <v>588</v>
      </c>
    </row>
    <row r="592" spans="1:47" x14ac:dyDescent="0.2">
      <c r="A592" s="26">
        <v>5977</v>
      </c>
      <c r="B592" s="27" t="s">
        <v>45</v>
      </c>
      <c r="C592" s="28"/>
      <c r="D592" s="29"/>
      <c r="E592" s="30" t="s">
        <v>1531</v>
      </c>
      <c r="H592" s="32">
        <v>0</v>
      </c>
      <c r="I592" s="32" t="s">
        <v>1532</v>
      </c>
      <c r="AG592" s="32">
        <v>0</v>
      </c>
      <c r="AH592" s="32">
        <v>0</v>
      </c>
      <c r="AI592" s="32">
        <v>0</v>
      </c>
      <c r="AK592" s="32">
        <v>0</v>
      </c>
      <c r="AM592" s="32">
        <f>498*29</f>
        <v>14442</v>
      </c>
      <c r="AO592" s="32" t="s">
        <v>1533</v>
      </c>
      <c r="AQ592" s="32" t="s">
        <v>1101</v>
      </c>
      <c r="AU592">
        <v>589</v>
      </c>
    </row>
    <row r="593" spans="1:47" x14ac:dyDescent="0.2">
      <c r="A593" s="26">
        <v>5978</v>
      </c>
      <c r="B593" s="27">
        <v>4.1666666666666664E-2</v>
      </c>
      <c r="C593" s="28"/>
      <c r="D593" s="29"/>
      <c r="E593" s="30" t="s">
        <v>1124</v>
      </c>
      <c r="H593" s="32">
        <v>1</v>
      </c>
      <c r="I593" s="32" t="s">
        <v>1534</v>
      </c>
      <c r="AG593" s="32">
        <v>0</v>
      </c>
      <c r="AH593" s="32">
        <v>1</v>
      </c>
      <c r="AK593" s="32">
        <v>3</v>
      </c>
      <c r="AL593" s="32">
        <v>0.33300000000000002</v>
      </c>
      <c r="AO593" s="46" t="s">
        <v>1126</v>
      </c>
      <c r="AP593" s="32">
        <v>0.33300000000000002</v>
      </c>
      <c r="AQ593" s="32" t="s">
        <v>589</v>
      </c>
      <c r="AU593">
        <v>590</v>
      </c>
    </row>
    <row r="594" spans="1:47" x14ac:dyDescent="0.2">
      <c r="A594" s="37">
        <v>5979</v>
      </c>
      <c r="B594" s="38"/>
      <c r="C594" s="39" t="s">
        <v>1535</v>
      </c>
      <c r="D594" s="29"/>
      <c r="E594" s="38" t="s">
        <v>1536</v>
      </c>
      <c r="F594" s="31" t="s">
        <v>1537</v>
      </c>
      <c r="G594" s="31" t="s">
        <v>205</v>
      </c>
      <c r="H594" s="32"/>
      <c r="I594" s="32" t="s">
        <v>1538</v>
      </c>
      <c r="K594" s="31">
        <f>11*12.25*2.2</f>
        <v>296.45000000000005</v>
      </c>
      <c r="S594" s="33">
        <v>1</v>
      </c>
      <c r="Z594" s="31" t="s">
        <v>1080</v>
      </c>
      <c r="AE594" s="31" t="s">
        <v>1312</v>
      </c>
      <c r="AF594" s="31">
        <v>55</v>
      </c>
      <c r="AO594" s="46"/>
      <c r="AU594">
        <v>591</v>
      </c>
    </row>
    <row r="595" spans="1:47" x14ac:dyDescent="0.2">
      <c r="A595" s="37">
        <v>5981</v>
      </c>
      <c r="B595" s="38" t="s">
        <v>45</v>
      </c>
      <c r="C595" s="39" t="s">
        <v>1438</v>
      </c>
      <c r="D595" s="29"/>
      <c r="E595" s="38" t="s">
        <v>1539</v>
      </c>
      <c r="F595" s="31" t="s">
        <v>1540</v>
      </c>
      <c r="G595" s="47" t="s">
        <v>69</v>
      </c>
      <c r="H595"/>
      <c r="I595" s="32" t="s">
        <v>1541</v>
      </c>
      <c r="J595" s="47"/>
      <c r="K595" s="47">
        <f>70*10*2.2</f>
        <v>1540.0000000000002</v>
      </c>
      <c r="L595" s="48">
        <v>13</v>
      </c>
      <c r="M595" s="47"/>
      <c r="N595" s="47"/>
      <c r="O595" s="47"/>
      <c r="P595" s="47"/>
      <c r="Q595" s="47"/>
      <c r="R595" s="47"/>
      <c r="S595" s="48">
        <v>13</v>
      </c>
      <c r="T595" s="47">
        <v>0</v>
      </c>
      <c r="U595" s="47">
        <v>0</v>
      </c>
      <c r="V595" s="47">
        <v>0</v>
      </c>
      <c r="W595" s="47"/>
      <c r="X595" s="47"/>
      <c r="Y595" s="47" t="s">
        <v>51</v>
      </c>
      <c r="Z595" s="47" t="s">
        <v>146</v>
      </c>
      <c r="AA595" s="49">
        <v>0.89583333333333337</v>
      </c>
      <c r="AB595" s="49"/>
      <c r="AC595" s="49"/>
      <c r="AD595" s="50"/>
      <c r="AE595" s="47" t="s">
        <v>1323</v>
      </c>
      <c r="AF595" s="47"/>
      <c r="AG595"/>
      <c r="AH595"/>
      <c r="AI595"/>
      <c r="AJ595"/>
      <c r="AK595" s="32">
        <v>70</v>
      </c>
      <c r="AL595"/>
      <c r="AM595"/>
      <c r="AN595"/>
      <c r="AO595"/>
      <c r="AP595"/>
      <c r="AQ595" s="32" t="s">
        <v>1542</v>
      </c>
      <c r="AU595">
        <v>592</v>
      </c>
    </row>
    <row r="596" spans="1:47" x14ac:dyDescent="0.2">
      <c r="A596" s="37">
        <v>5981</v>
      </c>
      <c r="B596" s="38" t="s">
        <v>45</v>
      </c>
      <c r="C596" s="39" t="s">
        <v>253</v>
      </c>
      <c r="D596" s="29"/>
      <c r="E596" s="38" t="s">
        <v>1543</v>
      </c>
      <c r="F596" s="32" t="s">
        <v>107</v>
      </c>
      <c r="G596" s="47"/>
      <c r="H596"/>
      <c r="I596" s="32"/>
      <c r="J596" s="47"/>
      <c r="K596" s="47"/>
      <c r="L596" s="48"/>
      <c r="M596" s="47"/>
      <c r="N596" s="47"/>
      <c r="O596" s="47"/>
      <c r="P596" s="47"/>
      <c r="Q596" s="47"/>
      <c r="R596" s="47"/>
      <c r="S596" s="48"/>
      <c r="T596" s="47"/>
      <c r="U596" s="47"/>
      <c r="V596" s="47"/>
      <c r="W596" s="47"/>
      <c r="X596" s="47"/>
      <c r="Y596" s="47"/>
      <c r="Z596" s="47"/>
      <c r="AA596" s="49"/>
      <c r="AB596" s="49"/>
      <c r="AC596" s="49"/>
      <c r="AD596" s="50"/>
      <c r="AE596" s="47"/>
      <c r="AF596" s="47"/>
      <c r="AG596"/>
      <c r="AH596"/>
      <c r="AI596"/>
      <c r="AJ596"/>
      <c r="AK596"/>
      <c r="AL596"/>
      <c r="AM596"/>
      <c r="AN596"/>
      <c r="AO596"/>
      <c r="AP596"/>
      <c r="AQ596" s="32" t="s">
        <v>1203</v>
      </c>
      <c r="AU596">
        <v>593</v>
      </c>
    </row>
    <row r="597" spans="1:47" x14ac:dyDescent="0.2">
      <c r="A597" s="37">
        <v>5982</v>
      </c>
      <c r="B597" s="38" t="s">
        <v>85</v>
      </c>
      <c r="C597" s="38" t="s">
        <v>1251</v>
      </c>
      <c r="D597" s="29"/>
      <c r="E597" s="38" t="s">
        <v>1104</v>
      </c>
      <c r="F597" s="32" t="s">
        <v>150</v>
      </c>
      <c r="G597" s="47" t="s">
        <v>49</v>
      </c>
      <c r="H597"/>
      <c r="I597" s="32" t="s">
        <v>1544</v>
      </c>
      <c r="J597" s="47"/>
      <c r="K597" s="47">
        <f>25*10*2.2</f>
        <v>550</v>
      </c>
      <c r="L597" s="48">
        <v>8</v>
      </c>
      <c r="M597" s="47"/>
      <c r="N597" s="47">
        <v>3</v>
      </c>
      <c r="O597" s="47"/>
      <c r="P597" s="47"/>
      <c r="Q597" s="47"/>
      <c r="R597" s="47"/>
      <c r="S597" s="48">
        <v>5</v>
      </c>
      <c r="T597" s="47">
        <v>0</v>
      </c>
      <c r="U597" s="47">
        <v>0</v>
      </c>
      <c r="V597" s="47">
        <v>0</v>
      </c>
      <c r="W597" s="47"/>
      <c r="X597" s="47"/>
      <c r="Y597" s="47" t="s">
        <v>51</v>
      </c>
      <c r="Z597" s="47" t="s">
        <v>1241</v>
      </c>
      <c r="AA597" s="34">
        <v>0.45833333333333331</v>
      </c>
      <c r="AB597" s="34">
        <v>0.57986111111111105</v>
      </c>
      <c r="AC597" s="49">
        <f>AVERAGE(AA597:AB597)</f>
        <v>0.51909722222222221</v>
      </c>
      <c r="AD597" s="50">
        <f>(AB597-AA597)*24</f>
        <v>2.9166666666666656</v>
      </c>
      <c r="AE597" s="47" t="s">
        <v>342</v>
      </c>
      <c r="AF597" s="47">
        <v>40</v>
      </c>
      <c r="AG597"/>
      <c r="AH597"/>
      <c r="AI597"/>
      <c r="AJ597"/>
      <c r="AK597">
        <v>25</v>
      </c>
      <c r="AL597"/>
      <c r="AM597"/>
      <c r="AN597"/>
      <c r="AO597"/>
      <c r="AP597"/>
      <c r="AQ597" t="s">
        <v>1545</v>
      </c>
      <c r="AU597">
        <v>594</v>
      </c>
    </row>
    <row r="598" spans="1:47" x14ac:dyDescent="0.2">
      <c r="A598" s="37">
        <v>5982</v>
      </c>
      <c r="B598" s="38" t="s">
        <v>45</v>
      </c>
      <c r="C598" s="39" t="s">
        <v>253</v>
      </c>
      <c r="D598" s="29"/>
      <c r="E598" s="38" t="s">
        <v>1546</v>
      </c>
      <c r="F598" s="32" t="s">
        <v>107</v>
      </c>
      <c r="G598" s="47"/>
      <c r="H598"/>
      <c r="I598" s="32"/>
      <c r="J598" s="47"/>
      <c r="K598" s="47"/>
      <c r="L598" s="48"/>
      <c r="M598" s="47"/>
      <c r="N598" s="47"/>
      <c r="O598" s="47"/>
      <c r="P598" s="47"/>
      <c r="Q598" s="47"/>
      <c r="R598" s="47"/>
      <c r="S598" s="48"/>
      <c r="T598" s="47"/>
      <c r="U598" s="47"/>
      <c r="V598" s="47"/>
      <c r="W598" s="47"/>
      <c r="X598" s="47"/>
      <c r="Y598" s="47"/>
      <c r="Z598" s="47"/>
      <c r="AA598" s="49"/>
      <c r="AB598" s="49"/>
      <c r="AC598" s="49"/>
      <c r="AD598" s="50"/>
      <c r="AE598" s="47"/>
      <c r="AF598" s="47"/>
      <c r="AG598"/>
      <c r="AH598"/>
      <c r="AI598"/>
      <c r="AJ598"/>
      <c r="AK598"/>
      <c r="AL598"/>
      <c r="AM598"/>
      <c r="AN598"/>
      <c r="AO598"/>
      <c r="AP598"/>
      <c r="AQ598" s="32" t="s">
        <v>1203</v>
      </c>
      <c r="AU598">
        <v>595</v>
      </c>
    </row>
    <row r="599" spans="1:47" x14ac:dyDescent="0.2">
      <c r="A599" s="37">
        <v>5982</v>
      </c>
      <c r="B599" s="38" t="s">
        <v>45</v>
      </c>
      <c r="C599" s="39" t="s">
        <v>1438</v>
      </c>
      <c r="D599" s="29"/>
      <c r="E599" s="38" t="s">
        <v>1547</v>
      </c>
      <c r="F599" s="32" t="s">
        <v>1548</v>
      </c>
      <c r="G599" s="47" t="s">
        <v>49</v>
      </c>
      <c r="H599"/>
      <c r="I599" s="32" t="s">
        <v>1549</v>
      </c>
      <c r="J599" s="47"/>
      <c r="K599" s="47">
        <f>73*10*2.2</f>
        <v>1606.0000000000002</v>
      </c>
      <c r="L599" s="48">
        <v>14</v>
      </c>
      <c r="M599" s="47"/>
      <c r="N599" s="47"/>
      <c r="O599" s="47"/>
      <c r="P599" s="47"/>
      <c r="Q599" s="47"/>
      <c r="R599" s="47"/>
      <c r="S599" s="48">
        <v>14</v>
      </c>
      <c r="T599" s="47">
        <v>0</v>
      </c>
      <c r="U599" s="47">
        <v>0</v>
      </c>
      <c r="V599" s="47">
        <v>0</v>
      </c>
      <c r="W599" s="47"/>
      <c r="X599" s="47"/>
      <c r="Y599" s="47" t="s">
        <v>51</v>
      </c>
      <c r="Z599" s="47" t="s">
        <v>146</v>
      </c>
      <c r="AA599" s="49">
        <v>0.93402777777777779</v>
      </c>
      <c r="AB599" s="49"/>
      <c r="AC599" s="49"/>
      <c r="AD599" s="50"/>
      <c r="AE599" s="47" t="s">
        <v>1323</v>
      </c>
      <c r="AF599" s="47"/>
      <c r="AG599"/>
      <c r="AH599"/>
      <c r="AI599"/>
      <c r="AJ599"/>
      <c r="AK599">
        <v>73</v>
      </c>
      <c r="AL599"/>
      <c r="AM599"/>
      <c r="AN599"/>
      <c r="AO599"/>
      <c r="AP599"/>
      <c r="AQ599" s="32" t="s">
        <v>1530</v>
      </c>
      <c r="AU599">
        <v>596</v>
      </c>
    </row>
    <row r="600" spans="1:47" x14ac:dyDescent="0.2">
      <c r="A600" s="26">
        <v>5982</v>
      </c>
      <c r="B600" s="27">
        <v>0.625</v>
      </c>
      <c r="C600" s="28"/>
      <c r="D600" s="29"/>
      <c r="E600" s="30" t="s">
        <v>1124</v>
      </c>
      <c r="H600" s="32">
        <v>1</v>
      </c>
      <c r="I600" s="32"/>
      <c r="AG600" s="32">
        <v>1</v>
      </c>
      <c r="AH600" s="32">
        <v>1</v>
      </c>
      <c r="AK600" s="32">
        <v>20</v>
      </c>
      <c r="AL600" s="32">
        <v>0.33300000000000002</v>
      </c>
      <c r="AO600" s="46" t="s">
        <v>1126</v>
      </c>
      <c r="AP600" s="32">
        <v>0.33300000000000002</v>
      </c>
      <c r="AQ600" s="32" t="s">
        <v>589</v>
      </c>
      <c r="AU600">
        <v>597</v>
      </c>
    </row>
    <row r="601" spans="1:47" x14ac:dyDescent="0.2">
      <c r="A601" s="26">
        <v>5982</v>
      </c>
      <c r="B601" s="27" t="s">
        <v>45</v>
      </c>
      <c r="C601" s="124"/>
      <c r="D601" s="29"/>
      <c r="E601" s="30" t="s">
        <v>464</v>
      </c>
      <c r="H601" s="32">
        <v>1</v>
      </c>
      <c r="I601" s="32" t="s">
        <v>1550</v>
      </c>
      <c r="AG601" s="32">
        <v>0</v>
      </c>
      <c r="AH601" s="32">
        <v>0</v>
      </c>
      <c r="AI601" s="32">
        <v>0</v>
      </c>
      <c r="AJ601" s="32">
        <v>0</v>
      </c>
      <c r="AK601" s="32">
        <v>39</v>
      </c>
      <c r="AO601" s="32" t="s">
        <v>487</v>
      </c>
      <c r="AQ601" s="32">
        <v>385</v>
      </c>
      <c r="AU601">
        <v>598</v>
      </c>
    </row>
    <row r="602" spans="1:47" x14ac:dyDescent="0.2">
      <c r="A602" s="37">
        <v>5983</v>
      </c>
      <c r="B602" s="38" t="s">
        <v>85</v>
      </c>
      <c r="C602" s="38" t="s">
        <v>1251</v>
      </c>
      <c r="D602" s="29"/>
      <c r="E602" s="38" t="s">
        <v>1551</v>
      </c>
      <c r="F602" s="31" t="s">
        <v>1552</v>
      </c>
      <c r="G602" s="31" t="s">
        <v>73</v>
      </c>
      <c r="H602" s="32"/>
      <c r="I602" s="32" t="s">
        <v>1553</v>
      </c>
      <c r="K602" s="31">
        <f>25*10*2.2</f>
        <v>550</v>
      </c>
      <c r="L602" s="33">
        <v>5</v>
      </c>
      <c r="S602" s="33">
        <v>5</v>
      </c>
      <c r="T602" s="31">
        <v>0</v>
      </c>
      <c r="U602" s="31">
        <v>0</v>
      </c>
      <c r="V602" s="31">
        <v>0</v>
      </c>
      <c r="Y602" s="47" t="s">
        <v>51</v>
      </c>
      <c r="Z602" s="47" t="s">
        <v>1241</v>
      </c>
      <c r="AA602" s="34">
        <v>0.46875</v>
      </c>
      <c r="AB602" s="34">
        <v>0.55902777777777779</v>
      </c>
      <c r="AC602" s="49">
        <f>AVERAGE(AA602:AB602)</f>
        <v>0.51388888888888884</v>
      </c>
      <c r="AD602" s="50">
        <f>(AB602-AA602)*24</f>
        <v>2.166666666666667</v>
      </c>
      <c r="AE602" s="47" t="s">
        <v>342</v>
      </c>
      <c r="AF602" s="31">
        <v>40</v>
      </c>
      <c r="AK602" s="32">
        <v>25</v>
      </c>
      <c r="AQ602" s="32" t="s">
        <v>1554</v>
      </c>
      <c r="AU602">
        <v>599</v>
      </c>
    </row>
    <row r="603" spans="1:47" x14ac:dyDescent="0.2">
      <c r="A603" s="37">
        <v>5983</v>
      </c>
      <c r="B603" s="38" t="s">
        <v>45</v>
      </c>
      <c r="C603" s="39" t="s">
        <v>253</v>
      </c>
      <c r="D603" s="29"/>
      <c r="E603" s="38" t="s">
        <v>1555</v>
      </c>
      <c r="F603" s="32" t="s">
        <v>107</v>
      </c>
      <c r="G603" s="47"/>
      <c r="H603"/>
      <c r="I603" s="32"/>
      <c r="J603" s="47"/>
      <c r="K603" s="47"/>
      <c r="L603" s="48"/>
      <c r="M603" s="47"/>
      <c r="N603" s="47"/>
      <c r="O603" s="47"/>
      <c r="P603" s="47"/>
      <c r="Q603" s="47"/>
      <c r="R603" s="47"/>
      <c r="S603" s="48"/>
      <c r="T603" s="47"/>
      <c r="U603" s="47"/>
      <c r="V603" s="47"/>
      <c r="W603" s="47"/>
      <c r="X603" s="47"/>
      <c r="Y603" s="47"/>
      <c r="Z603" s="47"/>
      <c r="AA603" s="49"/>
      <c r="AB603" s="49"/>
      <c r="AC603" s="49"/>
      <c r="AD603" s="50"/>
      <c r="AE603" s="47"/>
      <c r="AF603" s="47"/>
      <c r="AG603"/>
      <c r="AH603"/>
      <c r="AI603"/>
      <c r="AJ603"/>
      <c r="AK603"/>
      <c r="AL603"/>
      <c r="AM603"/>
      <c r="AN603"/>
      <c r="AO603"/>
      <c r="AP603"/>
      <c r="AQ603" s="32" t="s">
        <v>1203</v>
      </c>
      <c r="AU603">
        <v>600</v>
      </c>
    </row>
    <row r="604" spans="1:47" x14ac:dyDescent="0.2">
      <c r="A604" s="37">
        <v>5983</v>
      </c>
      <c r="B604" s="38" t="s">
        <v>45</v>
      </c>
      <c r="C604" s="39" t="s">
        <v>1262</v>
      </c>
      <c r="D604" s="29"/>
      <c r="E604" s="38" t="s">
        <v>1556</v>
      </c>
      <c r="F604" s="31" t="s">
        <v>340</v>
      </c>
      <c r="G604" s="47" t="s">
        <v>49</v>
      </c>
      <c r="H604"/>
      <c r="I604" s="32" t="s">
        <v>1557</v>
      </c>
      <c r="J604" s="47"/>
      <c r="K604" s="47">
        <f>24*10*2.2</f>
        <v>528</v>
      </c>
      <c r="L604" s="48"/>
      <c r="M604" s="47"/>
      <c r="N604" s="47"/>
      <c r="O604" s="47"/>
      <c r="P604" s="47"/>
      <c r="Q604" s="47"/>
      <c r="R604" s="47"/>
      <c r="S604" s="48"/>
      <c r="T604" s="47"/>
      <c r="U604" s="47"/>
      <c r="V604" s="47"/>
      <c r="W604" s="47"/>
      <c r="X604" s="47"/>
      <c r="Y604" s="47" t="s">
        <v>51</v>
      </c>
      <c r="Z604" s="47" t="s">
        <v>146</v>
      </c>
      <c r="AA604" s="49"/>
      <c r="AB604" s="49"/>
      <c r="AC604" s="49"/>
      <c r="AD604" s="50"/>
      <c r="AE604" s="47" t="s">
        <v>1558</v>
      </c>
      <c r="AF604" s="47"/>
      <c r="AG604"/>
      <c r="AH604"/>
      <c r="AI604"/>
      <c r="AJ604"/>
      <c r="AK604">
        <v>24</v>
      </c>
      <c r="AL604"/>
      <c r="AM604"/>
      <c r="AN604"/>
      <c r="AO604"/>
      <c r="AP604"/>
      <c r="AQ604" s="32" t="s">
        <v>1559</v>
      </c>
      <c r="AR604" s="32" t="s">
        <v>1560</v>
      </c>
      <c r="AU604">
        <v>601</v>
      </c>
    </row>
    <row r="605" spans="1:47" x14ac:dyDescent="0.2">
      <c r="A605" s="37">
        <v>5983</v>
      </c>
      <c r="B605" s="38" t="s">
        <v>45</v>
      </c>
      <c r="C605" s="39" t="s">
        <v>1561</v>
      </c>
      <c r="D605" s="29"/>
      <c r="E605" s="38" t="s">
        <v>1562</v>
      </c>
      <c r="F605" s="32" t="s">
        <v>1563</v>
      </c>
      <c r="G605" s="47" t="s">
        <v>69</v>
      </c>
      <c r="H605"/>
      <c r="I605" s="32" t="s">
        <v>1564</v>
      </c>
      <c r="J605" s="47"/>
      <c r="K605" s="47">
        <f>25*0.555*2.2</f>
        <v>30.525000000000006</v>
      </c>
      <c r="L605" s="48">
        <v>1</v>
      </c>
      <c r="M605" s="47"/>
      <c r="N605" s="47"/>
      <c r="O605" s="47"/>
      <c r="P605" s="47"/>
      <c r="Q605" s="47"/>
      <c r="R605" s="47"/>
      <c r="S605" s="48">
        <v>1</v>
      </c>
      <c r="T605" s="47">
        <v>0</v>
      </c>
      <c r="U605" s="47">
        <v>0</v>
      </c>
      <c r="V605" s="47">
        <v>0</v>
      </c>
      <c r="W605" s="47"/>
      <c r="X605" s="47"/>
      <c r="Y605" s="47" t="s">
        <v>51</v>
      </c>
      <c r="Z605" s="47" t="s">
        <v>1565</v>
      </c>
      <c r="AA605" s="49">
        <v>0.95833333333333337</v>
      </c>
      <c r="AB605" s="49"/>
      <c r="AC605" s="49"/>
      <c r="AD605" s="50"/>
      <c r="AE605" s="31" t="s">
        <v>342</v>
      </c>
      <c r="AF605" s="47">
        <v>100</v>
      </c>
      <c r="AG605"/>
      <c r="AH605"/>
      <c r="AI605"/>
      <c r="AJ605"/>
      <c r="AK605">
        <v>25</v>
      </c>
      <c r="AL605"/>
      <c r="AM605"/>
      <c r="AN605"/>
      <c r="AO605"/>
      <c r="AP605"/>
      <c r="AQ605" s="32" t="s">
        <v>1559</v>
      </c>
      <c r="AU605">
        <v>602</v>
      </c>
    </row>
    <row r="606" spans="1:47" x14ac:dyDescent="0.2">
      <c r="A606" s="37">
        <v>5983</v>
      </c>
      <c r="B606" s="38" t="s">
        <v>45</v>
      </c>
      <c r="C606" s="39" t="s">
        <v>425</v>
      </c>
      <c r="D606" s="29"/>
      <c r="E606" s="38" t="s">
        <v>1566</v>
      </c>
      <c r="F606" s="31" t="s">
        <v>1567</v>
      </c>
      <c r="G606" s="47" t="s">
        <v>49</v>
      </c>
      <c r="H606"/>
      <c r="I606" s="32" t="s">
        <v>1568</v>
      </c>
      <c r="J606" s="47"/>
      <c r="K606" s="47">
        <f>45*10*2.2</f>
        <v>990.00000000000011</v>
      </c>
      <c r="L606" s="48"/>
      <c r="M606" s="47"/>
      <c r="N606" s="47"/>
      <c r="O606" s="47"/>
      <c r="P606" s="47"/>
      <c r="Q606" s="47"/>
      <c r="R606" s="47"/>
      <c r="S606" s="48"/>
      <c r="T606" s="47"/>
      <c r="U606" s="47"/>
      <c r="V606" s="47"/>
      <c r="W606" s="47"/>
      <c r="X606" s="47"/>
      <c r="Y606" s="47" t="s">
        <v>51</v>
      </c>
      <c r="Z606" s="47" t="s">
        <v>146</v>
      </c>
      <c r="AA606" s="49"/>
      <c r="AB606" s="49"/>
      <c r="AC606" s="49"/>
      <c r="AD606" s="50"/>
      <c r="AE606" s="47" t="s">
        <v>1323</v>
      </c>
      <c r="AF606" s="47">
        <v>40</v>
      </c>
      <c r="AG606"/>
      <c r="AH606"/>
      <c r="AI606"/>
      <c r="AJ606"/>
      <c r="AK606">
        <v>45</v>
      </c>
      <c r="AL606"/>
      <c r="AM606"/>
      <c r="AN606"/>
      <c r="AO606"/>
      <c r="AP606"/>
      <c r="AQ606" s="32" t="s">
        <v>1530</v>
      </c>
      <c r="AU606">
        <v>603</v>
      </c>
    </row>
    <row r="607" spans="1:47" x14ac:dyDescent="0.2">
      <c r="A607" s="26">
        <v>5983</v>
      </c>
      <c r="B607" s="27">
        <v>4.7222222222222221E-2</v>
      </c>
      <c r="C607" s="125"/>
      <c r="D607" s="126"/>
      <c r="E607" s="30" t="s">
        <v>1282</v>
      </c>
      <c r="H607" s="32"/>
      <c r="I607" s="32" t="s">
        <v>1569</v>
      </c>
      <c r="AG607" s="32">
        <v>0</v>
      </c>
      <c r="AH607" s="32">
        <v>0</v>
      </c>
      <c r="AL607" s="32">
        <f>24/60</f>
        <v>0.4</v>
      </c>
      <c r="AP607" s="32">
        <f>18/60</f>
        <v>0.3</v>
      </c>
      <c r="AQ607" s="32" t="s">
        <v>1101</v>
      </c>
      <c r="AU607">
        <v>604</v>
      </c>
    </row>
    <row r="608" spans="1:47" x14ac:dyDescent="0.2">
      <c r="A608" s="26">
        <v>5983</v>
      </c>
      <c r="B608" s="27" t="s">
        <v>45</v>
      </c>
      <c r="C608" s="124"/>
      <c r="D608" s="29"/>
      <c r="E608" s="30" t="s">
        <v>1531</v>
      </c>
      <c r="H608" s="32">
        <v>1</v>
      </c>
      <c r="I608" s="32" t="s">
        <v>1570</v>
      </c>
      <c r="AM608" s="32">
        <f>498*72</f>
        <v>35856</v>
      </c>
      <c r="AO608" s="32" t="s">
        <v>1533</v>
      </c>
      <c r="AQ608" s="32" t="s">
        <v>1101</v>
      </c>
      <c r="AU608">
        <v>605</v>
      </c>
    </row>
    <row r="609" spans="1:47" x14ac:dyDescent="0.2">
      <c r="A609" s="26">
        <v>5983</v>
      </c>
      <c r="B609" s="27"/>
      <c r="C609" s="28"/>
      <c r="D609" s="29"/>
      <c r="E609" s="30" t="s">
        <v>1124</v>
      </c>
      <c r="H609" s="32">
        <v>1</v>
      </c>
      <c r="I609" s="32" t="s">
        <v>1571</v>
      </c>
      <c r="AG609" s="32">
        <v>0</v>
      </c>
      <c r="AH609" s="32">
        <v>0</v>
      </c>
      <c r="AK609" s="32">
        <v>0</v>
      </c>
      <c r="AL609" s="32">
        <v>0.33300000000000002</v>
      </c>
      <c r="AO609" s="46" t="s">
        <v>1126</v>
      </c>
      <c r="AP609" s="32">
        <v>0.33300000000000002</v>
      </c>
      <c r="AQ609" s="32" t="s">
        <v>589</v>
      </c>
      <c r="AU609">
        <v>606</v>
      </c>
    </row>
    <row r="610" spans="1:47" x14ac:dyDescent="0.2">
      <c r="A610" s="37">
        <v>5984</v>
      </c>
      <c r="B610" s="38" t="s">
        <v>45</v>
      </c>
      <c r="C610" s="39" t="s">
        <v>253</v>
      </c>
      <c r="D610" s="29"/>
      <c r="E610" s="38" t="s">
        <v>1572</v>
      </c>
      <c r="F610" s="32" t="s">
        <v>107</v>
      </c>
      <c r="G610" s="47"/>
      <c r="H610"/>
      <c r="I610" s="32" t="s">
        <v>1410</v>
      </c>
      <c r="J610" s="47"/>
      <c r="K610" s="47"/>
      <c r="L610" s="48"/>
      <c r="M610" s="47"/>
      <c r="N610" s="47"/>
      <c r="O610" s="47"/>
      <c r="P610" s="47"/>
      <c r="Q610" s="47"/>
      <c r="R610" s="47"/>
      <c r="S610" s="48"/>
      <c r="T610" s="47"/>
      <c r="U610" s="47"/>
      <c r="V610" s="47"/>
      <c r="W610" s="47"/>
      <c r="X610" s="47"/>
      <c r="Y610" s="47"/>
      <c r="Z610" s="47"/>
      <c r="AA610" s="49"/>
      <c r="AB610" s="49"/>
      <c r="AC610" s="49"/>
      <c r="AD610" s="50"/>
      <c r="AE610" s="47"/>
      <c r="AF610" s="47"/>
      <c r="AG610"/>
      <c r="AH610"/>
      <c r="AI610"/>
      <c r="AJ610"/>
      <c r="AK610"/>
      <c r="AL610"/>
      <c r="AM610"/>
      <c r="AN610"/>
      <c r="AO610"/>
      <c r="AP610"/>
      <c r="AQ610" s="32" t="s">
        <v>1203</v>
      </c>
      <c r="AU610">
        <v>607</v>
      </c>
    </row>
    <row r="611" spans="1:47" x14ac:dyDescent="0.2">
      <c r="A611" s="37">
        <v>5984</v>
      </c>
      <c r="B611" s="38" t="s">
        <v>45</v>
      </c>
      <c r="C611" s="39" t="s">
        <v>1438</v>
      </c>
      <c r="D611" s="29"/>
      <c r="E611" s="38" t="s">
        <v>1573</v>
      </c>
      <c r="F611" s="32" t="s">
        <v>1574</v>
      </c>
      <c r="G611" s="47" t="s">
        <v>49</v>
      </c>
      <c r="H611"/>
      <c r="I611" s="32" t="s">
        <v>1575</v>
      </c>
      <c r="J611" s="47"/>
      <c r="K611" s="47">
        <f>(78*10+27*0.555)*2.2</f>
        <v>1748.9670000000001</v>
      </c>
      <c r="L611" s="48">
        <v>14</v>
      </c>
      <c r="M611" s="47"/>
      <c r="N611" s="47"/>
      <c r="O611" s="47"/>
      <c r="P611" s="47"/>
      <c r="Q611" s="47"/>
      <c r="R611" s="47"/>
      <c r="S611" s="48">
        <v>14</v>
      </c>
      <c r="T611" s="47">
        <v>0</v>
      </c>
      <c r="U611" s="47">
        <v>0</v>
      </c>
      <c r="V611" s="47">
        <v>0</v>
      </c>
      <c r="W611" s="47"/>
      <c r="X611" s="47"/>
      <c r="Y611" s="47" t="s">
        <v>51</v>
      </c>
      <c r="Z611" s="47" t="s">
        <v>146</v>
      </c>
      <c r="AA611" s="49"/>
      <c r="AB611" s="49"/>
      <c r="AC611" s="49"/>
      <c r="AD611" s="50"/>
      <c r="AE611" s="47" t="s">
        <v>1323</v>
      </c>
      <c r="AF611" s="47">
        <v>45</v>
      </c>
      <c r="AG611"/>
      <c r="AH611"/>
      <c r="AI611"/>
      <c r="AJ611"/>
      <c r="AK611">
        <f>78+27</f>
        <v>105</v>
      </c>
      <c r="AL611"/>
      <c r="AM611"/>
      <c r="AN611"/>
      <c r="AO611"/>
      <c r="AP611"/>
      <c r="AQ611" s="32" t="s">
        <v>1559</v>
      </c>
      <c r="AU611">
        <v>608</v>
      </c>
    </row>
    <row r="612" spans="1:47" x14ac:dyDescent="0.2">
      <c r="A612" s="37">
        <v>5984</v>
      </c>
      <c r="B612" s="38" t="s">
        <v>45</v>
      </c>
      <c r="C612" s="39" t="s">
        <v>59</v>
      </c>
      <c r="D612" s="29"/>
      <c r="E612" s="38" t="s">
        <v>1576</v>
      </c>
      <c r="F612" s="32" t="s">
        <v>150</v>
      </c>
      <c r="G612" s="47" t="s">
        <v>49</v>
      </c>
      <c r="H612"/>
      <c r="I612" s="32" t="s">
        <v>1577</v>
      </c>
      <c r="J612" s="47"/>
      <c r="K612" s="47"/>
      <c r="L612" s="48"/>
      <c r="M612" s="47"/>
      <c r="N612" s="47"/>
      <c r="O612" s="47"/>
      <c r="P612" s="47"/>
      <c r="Q612" s="47"/>
      <c r="R612" s="47"/>
      <c r="S612" s="48"/>
      <c r="T612" s="47"/>
      <c r="U612" s="47"/>
      <c r="V612" s="47"/>
      <c r="W612" s="47"/>
      <c r="X612" s="47"/>
      <c r="Y612" s="47"/>
      <c r="Z612" s="47" t="s">
        <v>675</v>
      </c>
      <c r="AA612" s="49"/>
      <c r="AB612" s="49"/>
      <c r="AC612" s="49"/>
      <c r="AE612" s="47" t="s">
        <v>1578</v>
      </c>
      <c r="AF612" s="47">
        <v>40</v>
      </c>
      <c r="AG612"/>
      <c r="AH612"/>
      <c r="AI612"/>
      <c r="AJ612"/>
      <c r="AK612"/>
      <c r="AL612"/>
      <c r="AM612"/>
      <c r="AN612"/>
      <c r="AO612"/>
      <c r="AP612"/>
      <c r="AQ612" t="s">
        <v>1579</v>
      </c>
      <c r="AU612">
        <v>609</v>
      </c>
    </row>
    <row r="613" spans="1:47" x14ac:dyDescent="0.2">
      <c r="A613" s="26">
        <v>5984</v>
      </c>
      <c r="B613" s="27" t="s">
        <v>45</v>
      </c>
      <c r="C613" s="28"/>
      <c r="D613" s="29"/>
      <c r="E613" s="30" t="s">
        <v>1531</v>
      </c>
      <c r="H613" s="32">
        <v>1</v>
      </c>
      <c r="I613" s="32" t="s">
        <v>1580</v>
      </c>
      <c r="AM613" s="32">
        <f>498*37</f>
        <v>18426</v>
      </c>
      <c r="AO613" s="32" t="s">
        <v>1533</v>
      </c>
      <c r="AQ613" s="32" t="s">
        <v>1101</v>
      </c>
      <c r="AU613">
        <v>610</v>
      </c>
    </row>
    <row r="614" spans="1:47" x14ac:dyDescent="0.2">
      <c r="A614" s="37">
        <v>5985</v>
      </c>
      <c r="B614" s="38" t="s">
        <v>45</v>
      </c>
      <c r="C614" s="39" t="s">
        <v>253</v>
      </c>
      <c r="D614" s="29"/>
      <c r="E614" s="38" t="s">
        <v>1581</v>
      </c>
      <c r="F614" s="32" t="s">
        <v>107</v>
      </c>
      <c r="G614" s="47"/>
      <c r="H614"/>
      <c r="I614" s="32"/>
      <c r="J614" s="47"/>
      <c r="K614" s="47"/>
      <c r="L614" s="48"/>
      <c r="M614" s="47"/>
      <c r="N614" s="47"/>
      <c r="O614" s="47"/>
      <c r="P614" s="47"/>
      <c r="Q614" s="47"/>
      <c r="R614" s="47"/>
      <c r="S614" s="48"/>
      <c r="T614" s="47"/>
      <c r="U614" s="47"/>
      <c r="V614" s="47"/>
      <c r="W614" s="47"/>
      <c r="X614" s="47"/>
      <c r="Y614" s="47"/>
      <c r="Z614" s="47"/>
      <c r="AA614" s="49"/>
      <c r="AB614" s="49"/>
      <c r="AC614" s="49"/>
      <c r="AD614" s="50"/>
      <c r="AE614" s="47"/>
      <c r="AF614" s="47"/>
      <c r="AG614"/>
      <c r="AH614"/>
      <c r="AI614"/>
      <c r="AJ614"/>
      <c r="AK614"/>
      <c r="AL614"/>
      <c r="AM614"/>
      <c r="AN614"/>
      <c r="AO614"/>
      <c r="AP614"/>
      <c r="AQ614" s="32" t="s">
        <v>1203</v>
      </c>
      <c r="AU614">
        <v>611</v>
      </c>
    </row>
    <row r="615" spans="1:47" x14ac:dyDescent="0.2">
      <c r="A615" s="37">
        <v>5985</v>
      </c>
      <c r="B615" s="38" t="s">
        <v>45</v>
      </c>
      <c r="C615" s="39" t="s">
        <v>156</v>
      </c>
      <c r="D615" s="29"/>
      <c r="E615" s="38" t="s">
        <v>1582</v>
      </c>
      <c r="F615" s="32" t="s">
        <v>246</v>
      </c>
      <c r="G615" s="47" t="s">
        <v>49</v>
      </c>
      <c r="H615"/>
      <c r="I615" s="32" t="s">
        <v>896</v>
      </c>
      <c r="J615" s="47"/>
      <c r="K615" s="47"/>
      <c r="L615" s="48"/>
      <c r="M615" s="47"/>
      <c r="N615" s="47"/>
      <c r="O615" s="47"/>
      <c r="P615" s="47"/>
      <c r="Q615" s="47"/>
      <c r="R615" s="47"/>
      <c r="S615" s="48">
        <v>4</v>
      </c>
      <c r="T615" s="47"/>
      <c r="U615" s="47"/>
      <c r="V615" s="47"/>
      <c r="W615" s="47"/>
      <c r="X615" s="47"/>
      <c r="Y615" s="47"/>
      <c r="Z615" s="47"/>
      <c r="AA615" s="49"/>
      <c r="AB615" s="49"/>
      <c r="AC615" s="49"/>
      <c r="AD615" s="50"/>
      <c r="AE615" s="47"/>
      <c r="AF615" s="47"/>
      <c r="AG615"/>
      <c r="AH615"/>
      <c r="AI615"/>
      <c r="AJ615"/>
      <c r="AK615"/>
      <c r="AL615"/>
      <c r="AM615"/>
      <c r="AN615"/>
      <c r="AO615"/>
      <c r="AP615"/>
      <c r="AQ615" s="32" t="s">
        <v>1490</v>
      </c>
      <c r="AU615">
        <v>612</v>
      </c>
    </row>
    <row r="616" spans="1:47" x14ac:dyDescent="0.2">
      <c r="A616" s="37">
        <v>5985</v>
      </c>
      <c r="B616" s="38" t="s">
        <v>45</v>
      </c>
      <c r="C616" s="39" t="s">
        <v>1438</v>
      </c>
      <c r="D616" s="29"/>
      <c r="E616" s="38" t="s">
        <v>1583</v>
      </c>
      <c r="F616" s="32" t="s">
        <v>1584</v>
      </c>
      <c r="G616" s="47" t="s">
        <v>49</v>
      </c>
      <c r="H616"/>
      <c r="I616" s="32"/>
      <c r="J616" s="47"/>
      <c r="K616" s="47">
        <f>56*10*2.2</f>
        <v>1232</v>
      </c>
      <c r="L616" s="48">
        <v>8</v>
      </c>
      <c r="M616" s="47"/>
      <c r="N616" s="47"/>
      <c r="O616" s="47"/>
      <c r="P616" s="47"/>
      <c r="Q616" s="47"/>
      <c r="R616" s="47"/>
      <c r="S616" s="48">
        <v>8</v>
      </c>
      <c r="T616" s="47">
        <v>0</v>
      </c>
      <c r="U616" s="47">
        <v>0</v>
      </c>
      <c r="V616" s="47">
        <v>0</v>
      </c>
      <c r="W616" s="47"/>
      <c r="X616" s="47"/>
      <c r="Y616" s="47" t="s">
        <v>51</v>
      </c>
      <c r="Z616" s="47" t="s">
        <v>146</v>
      </c>
      <c r="AA616" s="49"/>
      <c r="AB616" s="49"/>
      <c r="AC616" s="49"/>
      <c r="AD616" s="50"/>
      <c r="AE616" s="47" t="s">
        <v>1323</v>
      </c>
      <c r="AF616" s="47">
        <v>40</v>
      </c>
      <c r="AG616"/>
      <c r="AH616"/>
      <c r="AI616"/>
      <c r="AJ616"/>
      <c r="AK616">
        <v>56</v>
      </c>
      <c r="AL616"/>
      <c r="AM616"/>
      <c r="AN616"/>
      <c r="AO616"/>
      <c r="AP616"/>
      <c r="AQ616" s="32" t="s">
        <v>1559</v>
      </c>
      <c r="AU616">
        <v>613</v>
      </c>
    </row>
    <row r="617" spans="1:47" x14ac:dyDescent="0.2">
      <c r="A617" s="37">
        <v>5985</v>
      </c>
      <c r="B617" s="38" t="s">
        <v>45</v>
      </c>
      <c r="C617" s="39" t="s">
        <v>425</v>
      </c>
      <c r="D617" s="29"/>
      <c r="E617" s="38" t="s">
        <v>1585</v>
      </c>
      <c r="F617" s="32" t="s">
        <v>1586</v>
      </c>
      <c r="G617" s="47" t="s">
        <v>49</v>
      </c>
      <c r="H617"/>
      <c r="I617" s="32" t="s">
        <v>1587</v>
      </c>
      <c r="J617" s="47"/>
      <c r="K617" s="47">
        <f>8*10*2.2</f>
        <v>176</v>
      </c>
      <c r="L617" s="48">
        <v>1</v>
      </c>
      <c r="M617" s="47"/>
      <c r="N617" s="47"/>
      <c r="O617" s="47"/>
      <c r="P617" s="47"/>
      <c r="Q617" s="47"/>
      <c r="R617" s="47"/>
      <c r="S617" s="48">
        <v>1</v>
      </c>
      <c r="T617" s="47">
        <v>0</v>
      </c>
      <c r="U617" s="47">
        <v>0</v>
      </c>
      <c r="V617" s="47">
        <v>0</v>
      </c>
      <c r="W617" s="47"/>
      <c r="X617" s="47"/>
      <c r="Y617" s="47" t="s">
        <v>51</v>
      </c>
      <c r="Z617" s="47" t="s">
        <v>146</v>
      </c>
      <c r="AA617" s="49"/>
      <c r="AB617" s="49"/>
      <c r="AC617" s="49"/>
      <c r="AD617" s="50"/>
      <c r="AE617" s="47" t="s">
        <v>1323</v>
      </c>
      <c r="AF617" s="47">
        <v>80</v>
      </c>
      <c r="AG617"/>
      <c r="AH617"/>
      <c r="AI617"/>
      <c r="AJ617"/>
      <c r="AK617">
        <v>8</v>
      </c>
      <c r="AL617"/>
      <c r="AM617"/>
      <c r="AN617"/>
      <c r="AO617"/>
      <c r="AP617"/>
      <c r="AQ617" t="s">
        <v>1588</v>
      </c>
      <c r="AU617">
        <v>614</v>
      </c>
    </row>
    <row r="618" spans="1:47" x14ac:dyDescent="0.2">
      <c r="A618" s="37">
        <v>5985</v>
      </c>
      <c r="B618" s="38" t="s">
        <v>45</v>
      </c>
      <c r="C618" s="39" t="s">
        <v>142</v>
      </c>
      <c r="D618" s="29"/>
      <c r="E618" s="38" t="s">
        <v>1589</v>
      </c>
      <c r="F618" s="32" t="s">
        <v>1590</v>
      </c>
      <c r="G618" s="47" t="s">
        <v>69</v>
      </c>
      <c r="H618"/>
      <c r="I618" s="32" t="s">
        <v>1591</v>
      </c>
      <c r="J618" s="47"/>
      <c r="K618" s="47">
        <f>9*0.555*2.2</f>
        <v>10.989000000000001</v>
      </c>
      <c r="L618" s="48">
        <v>1</v>
      </c>
      <c r="M618" s="47"/>
      <c r="N618" s="47"/>
      <c r="O618" s="47"/>
      <c r="P618" s="47"/>
      <c r="Q618" s="47"/>
      <c r="R618" s="47"/>
      <c r="S618" s="48">
        <v>1</v>
      </c>
      <c r="T618" s="47">
        <v>0</v>
      </c>
      <c r="U618" s="47">
        <v>0</v>
      </c>
      <c r="V618" s="47">
        <v>0</v>
      </c>
      <c r="W618" s="47"/>
      <c r="X618" s="47"/>
      <c r="Y618" s="47" t="s">
        <v>51</v>
      </c>
      <c r="Z618" s="47" t="s">
        <v>146</v>
      </c>
      <c r="AA618" s="49"/>
      <c r="AB618" s="49"/>
      <c r="AC618" s="49"/>
      <c r="AD618" s="50"/>
      <c r="AE618" s="47"/>
      <c r="AF618" s="47"/>
      <c r="AG618"/>
      <c r="AH618"/>
      <c r="AI618"/>
      <c r="AJ618"/>
      <c r="AK618">
        <v>9</v>
      </c>
      <c r="AL618"/>
      <c r="AM618"/>
      <c r="AN618"/>
      <c r="AO618"/>
      <c r="AP618"/>
      <c r="AQ618" s="32" t="s">
        <v>1559</v>
      </c>
      <c r="AU618">
        <v>615</v>
      </c>
    </row>
    <row r="619" spans="1:47" x14ac:dyDescent="0.2">
      <c r="A619" s="37">
        <v>5985</v>
      </c>
      <c r="B619" s="38" t="s">
        <v>45</v>
      </c>
      <c r="C619" s="39" t="s">
        <v>253</v>
      </c>
      <c r="D619" s="29"/>
      <c r="E619" s="38" t="s">
        <v>1592</v>
      </c>
      <c r="F619" s="32" t="s">
        <v>107</v>
      </c>
      <c r="G619" s="47"/>
      <c r="H619"/>
      <c r="J619" s="47"/>
      <c r="K619" s="47"/>
      <c r="L619" s="48"/>
      <c r="M619" s="47"/>
      <c r="N619" s="47"/>
      <c r="O619" s="47"/>
      <c r="P619" s="47"/>
      <c r="Q619" s="47"/>
      <c r="R619" s="47"/>
      <c r="S619" s="48"/>
      <c r="T619" s="47"/>
      <c r="U619" s="47"/>
      <c r="V619" s="47"/>
      <c r="W619" s="47"/>
      <c r="X619" s="47"/>
      <c r="Y619" s="47"/>
      <c r="Z619" s="47"/>
      <c r="AA619" s="49"/>
      <c r="AB619" s="49"/>
      <c r="AC619" s="49"/>
      <c r="AD619" s="50"/>
      <c r="AE619" s="47"/>
      <c r="AF619" s="47"/>
      <c r="AG619"/>
      <c r="AH619"/>
      <c r="AI619"/>
      <c r="AJ619"/>
      <c r="AK619"/>
      <c r="AL619"/>
      <c r="AM619"/>
      <c r="AN619"/>
      <c r="AO619"/>
      <c r="AP619"/>
      <c r="AQ619" s="32" t="s">
        <v>1203</v>
      </c>
      <c r="AU619">
        <v>616</v>
      </c>
    </row>
    <row r="620" spans="1:47" x14ac:dyDescent="0.2">
      <c r="A620" s="37">
        <v>5985</v>
      </c>
      <c r="B620" s="38" t="s">
        <v>45</v>
      </c>
      <c r="C620" s="39" t="s">
        <v>332</v>
      </c>
      <c r="D620" s="29"/>
      <c r="E620" s="38" t="s">
        <v>1593</v>
      </c>
      <c r="F620" s="32" t="s">
        <v>150</v>
      </c>
      <c r="G620" s="47" t="s">
        <v>49</v>
      </c>
      <c r="H620"/>
      <c r="J620" s="47"/>
      <c r="K620" s="47"/>
      <c r="L620" s="48"/>
      <c r="M620" s="47"/>
      <c r="N620" s="47"/>
      <c r="O620" s="47"/>
      <c r="P620" s="47"/>
      <c r="Q620" s="47"/>
      <c r="R620" s="47"/>
      <c r="S620" s="48"/>
      <c r="T620" s="47"/>
      <c r="U620" s="47"/>
      <c r="V620" s="47"/>
      <c r="W620" s="47"/>
      <c r="X620" s="47"/>
      <c r="Y620" s="47"/>
      <c r="Z620" s="47" t="s">
        <v>146</v>
      </c>
      <c r="AA620" s="49"/>
      <c r="AB620" s="49"/>
      <c r="AC620" s="49"/>
      <c r="AD620" s="50"/>
      <c r="AE620" s="47" t="s">
        <v>1594</v>
      </c>
      <c r="AF620" s="47">
        <v>35</v>
      </c>
      <c r="AG620"/>
      <c r="AH620"/>
      <c r="AI620"/>
      <c r="AJ620"/>
      <c r="AK620"/>
      <c r="AL620"/>
      <c r="AM620"/>
      <c r="AN620"/>
      <c r="AO620"/>
      <c r="AP620"/>
      <c r="AQ620" s="32" t="s">
        <v>1579</v>
      </c>
      <c r="AU620">
        <v>617</v>
      </c>
    </row>
    <row r="621" spans="1:47" x14ac:dyDescent="0.2">
      <c r="A621" s="26">
        <v>5985</v>
      </c>
      <c r="B621" s="27">
        <v>0.10069444444444443</v>
      </c>
      <c r="C621" s="28"/>
      <c r="D621" s="29"/>
      <c r="E621" s="30" t="s">
        <v>1282</v>
      </c>
      <c r="H621" s="32">
        <v>0</v>
      </c>
      <c r="I621" s="32" t="s">
        <v>1595</v>
      </c>
      <c r="AG621" s="32">
        <v>0</v>
      </c>
      <c r="AH621" s="32">
        <v>0</v>
      </c>
      <c r="AI621" s="32">
        <v>0</v>
      </c>
      <c r="AK621" s="32">
        <v>0</v>
      </c>
      <c r="AL621" s="32">
        <f>10/60</f>
        <v>0.16666666666666666</v>
      </c>
      <c r="AP621" s="32">
        <f>25/60</f>
        <v>0.41666666666666669</v>
      </c>
      <c r="AQ621" s="32" t="s">
        <v>1101</v>
      </c>
      <c r="AU621">
        <v>619</v>
      </c>
    </row>
    <row r="622" spans="1:47" x14ac:dyDescent="0.2">
      <c r="A622" s="26">
        <v>5985</v>
      </c>
      <c r="B622" s="27" t="s">
        <v>45</v>
      </c>
      <c r="C622" s="28"/>
      <c r="D622" s="29"/>
      <c r="E622" s="30" t="s">
        <v>1531</v>
      </c>
      <c r="H622" s="32">
        <v>0</v>
      </c>
      <c r="I622" s="32" t="s">
        <v>1596</v>
      </c>
      <c r="AG622" s="32">
        <v>0</v>
      </c>
      <c r="AH622" s="32">
        <v>0</v>
      </c>
      <c r="AI622" s="32">
        <v>0</v>
      </c>
      <c r="AK622" s="32">
        <v>0</v>
      </c>
      <c r="AM622" s="32">
        <f>498*70</f>
        <v>34860</v>
      </c>
      <c r="AO622" s="32" t="s">
        <v>1533</v>
      </c>
      <c r="AQ622" s="32" t="s">
        <v>1101</v>
      </c>
      <c r="AU622">
        <v>620</v>
      </c>
    </row>
    <row r="623" spans="1:47" x14ac:dyDescent="0.2">
      <c r="A623" s="37">
        <v>5985</v>
      </c>
      <c r="B623" s="51" t="s">
        <v>45</v>
      </c>
      <c r="C623" s="38" t="s">
        <v>1251</v>
      </c>
      <c r="D623" s="29"/>
      <c r="E623" s="38" t="s">
        <v>1104</v>
      </c>
      <c r="F623" s="32" t="s">
        <v>150</v>
      </c>
      <c r="G623" s="47"/>
      <c r="H623"/>
      <c r="I623" s="32" t="s">
        <v>1597</v>
      </c>
      <c r="J623" s="47"/>
      <c r="K623" s="47">
        <f>5*10*2.2</f>
        <v>110.00000000000001</v>
      </c>
      <c r="L623" s="48">
        <v>1</v>
      </c>
      <c r="M623" s="47"/>
      <c r="N623" s="47"/>
      <c r="O623" s="47"/>
      <c r="P623" s="47"/>
      <c r="Q623" s="47"/>
      <c r="R623" s="47"/>
      <c r="S623" s="48">
        <v>1</v>
      </c>
      <c r="T623" s="47"/>
      <c r="U623" s="47"/>
      <c r="V623" s="47"/>
      <c r="W623" s="47"/>
      <c r="X623" s="47"/>
      <c r="Y623" s="47" t="s">
        <v>51</v>
      </c>
      <c r="Z623" s="47" t="s">
        <v>1241</v>
      </c>
      <c r="AA623" s="49"/>
      <c r="AB623" s="49"/>
      <c r="AC623" s="49">
        <v>0.12152777777777778</v>
      </c>
      <c r="AD623" s="50"/>
      <c r="AE623" s="47" t="s">
        <v>342</v>
      </c>
      <c r="AF623" s="47">
        <v>40</v>
      </c>
      <c r="AG623"/>
      <c r="AH623"/>
      <c r="AI623"/>
      <c r="AJ623"/>
      <c r="AK623">
        <v>5</v>
      </c>
      <c r="AL623"/>
      <c r="AM623"/>
      <c r="AN623"/>
      <c r="AO623"/>
      <c r="AP623"/>
      <c r="AQ623" t="s">
        <v>1598</v>
      </c>
      <c r="AU623">
        <v>621</v>
      </c>
    </row>
    <row r="624" spans="1:47" x14ac:dyDescent="0.2">
      <c r="A624" s="37">
        <v>5986</v>
      </c>
      <c r="B624" s="38" t="s">
        <v>85</v>
      </c>
      <c r="C624" s="39" t="s">
        <v>253</v>
      </c>
      <c r="D624" s="29"/>
      <c r="E624" s="38" t="s">
        <v>1599</v>
      </c>
      <c r="F624" s="32" t="s">
        <v>1600</v>
      </c>
      <c r="G624" s="47"/>
      <c r="H624"/>
      <c r="I624" s="32"/>
      <c r="J624" s="47"/>
      <c r="K624" s="47"/>
      <c r="L624" s="48"/>
      <c r="M624" s="47"/>
      <c r="N624" s="47"/>
      <c r="O624" s="47"/>
      <c r="P624" s="47"/>
      <c r="Q624" s="47"/>
      <c r="R624" s="47"/>
      <c r="S624" s="48"/>
      <c r="T624" s="47"/>
      <c r="U624" s="47"/>
      <c r="V624" s="47"/>
      <c r="W624" s="47"/>
      <c r="X624" s="47"/>
      <c r="Y624" s="47"/>
      <c r="Z624" s="47"/>
      <c r="AA624" s="49"/>
      <c r="AB624" s="49"/>
      <c r="AC624" s="49"/>
      <c r="AD624" s="50"/>
      <c r="AE624" s="47"/>
      <c r="AF624" s="47"/>
      <c r="AG624"/>
      <c r="AH624"/>
      <c r="AI624"/>
      <c r="AJ624"/>
      <c r="AK624"/>
      <c r="AL624"/>
      <c r="AM624"/>
      <c r="AN624"/>
      <c r="AO624"/>
      <c r="AP624"/>
      <c r="AQ624" s="32" t="s">
        <v>1233</v>
      </c>
      <c r="AU624">
        <v>622</v>
      </c>
    </row>
    <row r="625" spans="1:47" x14ac:dyDescent="0.2">
      <c r="A625" s="37">
        <v>5986</v>
      </c>
      <c r="B625" s="38"/>
      <c r="C625" s="38" t="s">
        <v>46</v>
      </c>
      <c r="D625" s="29"/>
      <c r="E625" s="38" t="s">
        <v>1310</v>
      </c>
      <c r="F625" s="32" t="s">
        <v>150</v>
      </c>
      <c r="G625" s="47" t="s">
        <v>49</v>
      </c>
      <c r="H625"/>
      <c r="I625" s="32" t="s">
        <v>1601</v>
      </c>
      <c r="J625" s="47"/>
      <c r="K625" s="47">
        <f>1100*2.2</f>
        <v>2420</v>
      </c>
      <c r="L625" s="48">
        <v>1</v>
      </c>
      <c r="M625" s="47"/>
      <c r="N625" s="47"/>
      <c r="O625" s="47"/>
      <c r="P625" s="47"/>
      <c r="Q625" s="47"/>
      <c r="R625" s="47"/>
      <c r="S625" s="48">
        <v>1</v>
      </c>
      <c r="T625" s="47">
        <v>0</v>
      </c>
      <c r="U625" s="47">
        <v>0</v>
      </c>
      <c r="V625" s="47">
        <v>1</v>
      </c>
      <c r="W625" s="47"/>
      <c r="X625" s="47"/>
      <c r="Y625" s="47" t="s">
        <v>51</v>
      </c>
      <c r="Z625" s="20" t="s">
        <v>52</v>
      </c>
      <c r="AA625" s="49"/>
      <c r="AB625" s="49"/>
      <c r="AC625" s="49"/>
      <c r="AD625" s="50"/>
      <c r="AE625" s="47"/>
      <c r="AF625" s="47">
        <v>320</v>
      </c>
      <c r="AG625"/>
      <c r="AH625"/>
      <c r="AI625"/>
      <c r="AJ625"/>
      <c r="AK625"/>
      <c r="AL625"/>
      <c r="AM625"/>
      <c r="AN625"/>
      <c r="AO625"/>
      <c r="AP625"/>
      <c r="AQ625" s="32" t="s">
        <v>566</v>
      </c>
      <c r="AU625">
        <v>623</v>
      </c>
    </row>
    <row r="626" spans="1:47" x14ac:dyDescent="0.2">
      <c r="A626" s="37">
        <v>5986</v>
      </c>
      <c r="B626" s="38" t="s">
        <v>45</v>
      </c>
      <c r="C626" s="52" t="s">
        <v>46</v>
      </c>
      <c r="D626" s="29"/>
      <c r="E626" s="38" t="s">
        <v>1602</v>
      </c>
      <c r="F626" s="32" t="s">
        <v>1603</v>
      </c>
      <c r="G626" s="47" t="s">
        <v>49</v>
      </c>
      <c r="H626"/>
      <c r="I626" s="32" t="s">
        <v>1604</v>
      </c>
      <c r="J626" s="47"/>
      <c r="K626" s="54">
        <f>30*10*2.2</f>
        <v>660</v>
      </c>
      <c r="L626" s="48">
        <v>1</v>
      </c>
      <c r="M626" s="47"/>
      <c r="N626" s="47"/>
      <c r="O626" s="47"/>
      <c r="P626" s="47"/>
      <c r="Q626" s="47"/>
      <c r="R626" s="47"/>
      <c r="S626" s="48">
        <v>1</v>
      </c>
      <c r="T626" s="47"/>
      <c r="U626" s="47"/>
      <c r="V626" s="47"/>
      <c r="W626" s="47"/>
      <c r="X626" s="47"/>
      <c r="Y626" s="47" t="s">
        <v>51</v>
      </c>
      <c r="Z626" s="20" t="s">
        <v>52</v>
      </c>
      <c r="AA626" s="49"/>
      <c r="AB626" s="49"/>
      <c r="AC626" s="49"/>
      <c r="AD626" s="50"/>
      <c r="AE626" s="47"/>
      <c r="AF626" s="47">
        <v>250</v>
      </c>
      <c r="AG626"/>
      <c r="AH626"/>
      <c r="AI626"/>
      <c r="AJ626"/>
      <c r="AK626">
        <v>30</v>
      </c>
      <c r="AL626"/>
      <c r="AM626"/>
      <c r="AN626"/>
      <c r="AO626"/>
      <c r="AP626"/>
      <c r="AQ626" s="32" t="s">
        <v>566</v>
      </c>
      <c r="AU626">
        <v>624</v>
      </c>
    </row>
    <row r="627" spans="1:47" x14ac:dyDescent="0.2">
      <c r="A627" s="37">
        <v>5986</v>
      </c>
      <c r="B627" s="38" t="s">
        <v>45</v>
      </c>
      <c r="C627" s="39" t="s">
        <v>1438</v>
      </c>
      <c r="D627" s="29"/>
      <c r="E627" s="38" t="s">
        <v>1605</v>
      </c>
      <c r="F627" s="32" t="s">
        <v>1606</v>
      </c>
      <c r="G627" s="47" t="s">
        <v>69</v>
      </c>
      <c r="H627"/>
      <c r="I627" s="32" t="s">
        <v>1607</v>
      </c>
      <c r="J627" s="47"/>
      <c r="K627" s="47">
        <f>((36+23)*10+17*0.555)*2.2</f>
        <v>1318.7570000000001</v>
      </c>
      <c r="L627" s="48">
        <v>10</v>
      </c>
      <c r="M627" s="47"/>
      <c r="N627" s="47"/>
      <c r="O627" s="47"/>
      <c r="P627" s="47"/>
      <c r="Q627" s="47">
        <v>3</v>
      </c>
      <c r="R627" s="47"/>
      <c r="S627" s="48">
        <v>10</v>
      </c>
      <c r="T627" s="47">
        <v>0</v>
      </c>
      <c r="U627" s="47">
        <v>0</v>
      </c>
      <c r="V627" s="47">
        <v>0</v>
      </c>
      <c r="W627" s="47"/>
      <c r="X627" s="47"/>
      <c r="Y627" s="47" t="s">
        <v>51</v>
      </c>
      <c r="Z627" s="47" t="s">
        <v>146</v>
      </c>
      <c r="AA627" s="49">
        <v>2.0833333333333332E-2</v>
      </c>
      <c r="AB627" s="49"/>
      <c r="AC627" s="49"/>
      <c r="AD627" s="50"/>
      <c r="AE627" s="47" t="s">
        <v>1323</v>
      </c>
      <c r="AF627" s="47">
        <v>40</v>
      </c>
      <c r="AG627"/>
      <c r="AH627"/>
      <c r="AI627"/>
      <c r="AJ627"/>
      <c r="AK627">
        <f>36+23+17</f>
        <v>76</v>
      </c>
      <c r="AL627"/>
      <c r="AM627"/>
      <c r="AN627"/>
      <c r="AO627"/>
      <c r="AP627"/>
      <c r="AQ627" s="32" t="s">
        <v>1559</v>
      </c>
      <c r="AU627">
        <v>625</v>
      </c>
    </row>
    <row r="628" spans="1:47" x14ac:dyDescent="0.2">
      <c r="A628" s="37">
        <v>5986</v>
      </c>
      <c r="B628" s="51" t="s">
        <v>45</v>
      </c>
      <c r="C628" s="38" t="s">
        <v>1251</v>
      </c>
      <c r="D628" s="29"/>
      <c r="E628" s="38" t="s">
        <v>1104</v>
      </c>
      <c r="F628" s="32" t="s">
        <v>150</v>
      </c>
      <c r="G628" s="47" t="s">
        <v>49</v>
      </c>
      <c r="H628"/>
      <c r="I628" s="32" t="s">
        <v>1608</v>
      </c>
      <c r="J628" s="47"/>
      <c r="K628" s="47">
        <f>5*10*2.2</f>
        <v>110.00000000000001</v>
      </c>
      <c r="L628" s="48">
        <v>1</v>
      </c>
      <c r="M628" s="47"/>
      <c r="N628" s="47"/>
      <c r="O628" s="47"/>
      <c r="P628" s="47"/>
      <c r="Q628" s="47"/>
      <c r="R628" s="47"/>
      <c r="S628" s="48">
        <v>1</v>
      </c>
      <c r="T628" s="47">
        <v>0</v>
      </c>
      <c r="U628" s="47">
        <v>0</v>
      </c>
      <c r="V628" s="47">
        <v>0</v>
      </c>
      <c r="W628" s="47"/>
      <c r="X628" s="47"/>
      <c r="Y628" s="47" t="s">
        <v>51</v>
      </c>
      <c r="Z628" s="47" t="s">
        <v>1241</v>
      </c>
      <c r="AA628" s="49">
        <v>9.375E-2</v>
      </c>
      <c r="AB628" s="49">
        <v>0.15625</v>
      </c>
      <c r="AC628" s="49">
        <f>AVERAGE(AA628:AB628)</f>
        <v>0.125</v>
      </c>
      <c r="AD628" s="50">
        <f>(AB628-AA628)*24</f>
        <v>1.5</v>
      </c>
      <c r="AE628" s="47" t="s">
        <v>342</v>
      </c>
      <c r="AF628" s="47">
        <v>40</v>
      </c>
      <c r="AG628"/>
      <c r="AH628"/>
      <c r="AI628"/>
      <c r="AJ628"/>
      <c r="AK628">
        <v>5</v>
      </c>
      <c r="AL628"/>
      <c r="AM628"/>
      <c r="AN628"/>
      <c r="AO628"/>
      <c r="AP628"/>
      <c r="AQ628" t="s">
        <v>1598</v>
      </c>
      <c r="AU628">
        <v>626</v>
      </c>
    </row>
    <row r="629" spans="1:47" x14ac:dyDescent="0.2">
      <c r="A629" s="26">
        <v>5987</v>
      </c>
      <c r="B629" s="27">
        <v>0.20833333333333334</v>
      </c>
      <c r="C629" s="28"/>
      <c r="D629" s="29"/>
      <c r="E629" s="30" t="s">
        <v>1124</v>
      </c>
      <c r="H629" s="32">
        <v>1</v>
      </c>
      <c r="I629" s="32"/>
      <c r="AG629" s="32">
        <v>0</v>
      </c>
      <c r="AH629" s="32">
        <v>1</v>
      </c>
      <c r="AK629" s="32">
        <v>10</v>
      </c>
      <c r="AL629" s="32">
        <v>0.33300000000000002</v>
      </c>
      <c r="AO629" s="46" t="s">
        <v>1126</v>
      </c>
      <c r="AP629" s="32">
        <v>0.33300000000000002</v>
      </c>
      <c r="AQ629" s="32" t="s">
        <v>589</v>
      </c>
      <c r="AU629">
        <v>627</v>
      </c>
    </row>
    <row r="630" spans="1:47" x14ac:dyDescent="0.2">
      <c r="A630" s="26">
        <v>5987</v>
      </c>
      <c r="B630" s="27" t="s">
        <v>45</v>
      </c>
      <c r="C630" s="28"/>
      <c r="D630" s="29"/>
      <c r="E630" s="30" t="s">
        <v>1531</v>
      </c>
      <c r="H630" s="32">
        <v>0</v>
      </c>
      <c r="I630" s="32" t="s">
        <v>1532</v>
      </c>
      <c r="AG630" s="32">
        <v>0</v>
      </c>
      <c r="AH630" s="32">
        <v>0</v>
      </c>
      <c r="AI630" s="32">
        <v>0</v>
      </c>
      <c r="AK630" s="32">
        <v>0</v>
      </c>
      <c r="AM630" s="32">
        <f>498*140</f>
        <v>69720</v>
      </c>
      <c r="AO630" s="32" t="s">
        <v>1533</v>
      </c>
      <c r="AQ630" s="32" t="s">
        <v>1101</v>
      </c>
      <c r="AU630">
        <v>628</v>
      </c>
    </row>
    <row r="631" spans="1:47" x14ac:dyDescent="0.2">
      <c r="A631" s="26">
        <v>5988</v>
      </c>
      <c r="B631" s="27" t="s">
        <v>45</v>
      </c>
      <c r="C631" s="28"/>
      <c r="D631" s="29"/>
      <c r="E631" s="30" t="s">
        <v>1531</v>
      </c>
      <c r="H631" s="32">
        <v>0</v>
      </c>
      <c r="I631" s="32" t="s">
        <v>1532</v>
      </c>
      <c r="AG631" s="32">
        <v>0</v>
      </c>
      <c r="AH631" s="32">
        <v>0</v>
      </c>
      <c r="AI631" s="32">
        <v>0</v>
      </c>
      <c r="AK631" s="32">
        <v>0</v>
      </c>
      <c r="AM631" s="32">
        <f>498*140</f>
        <v>69720</v>
      </c>
      <c r="AO631" s="32" t="s">
        <v>1533</v>
      </c>
      <c r="AQ631" s="32" t="s">
        <v>1101</v>
      </c>
      <c r="AU631">
        <v>629</v>
      </c>
    </row>
    <row r="632" spans="1:47" x14ac:dyDescent="0.2">
      <c r="A632" s="26">
        <v>5996</v>
      </c>
      <c r="B632" s="27" t="s">
        <v>45</v>
      </c>
      <c r="C632" s="28"/>
      <c r="D632" s="29"/>
      <c r="E632" s="30" t="s">
        <v>1531</v>
      </c>
      <c r="H632" s="32">
        <v>0</v>
      </c>
      <c r="I632" s="32" t="s">
        <v>1532</v>
      </c>
      <c r="AG632" s="32">
        <v>0</v>
      </c>
      <c r="AH632" s="32">
        <v>0</v>
      </c>
      <c r="AI632" s="32">
        <v>0</v>
      </c>
      <c r="AK632" s="32">
        <v>0</v>
      </c>
      <c r="AM632" s="32">
        <f>498*70</f>
        <v>34860</v>
      </c>
      <c r="AO632" s="32" t="s">
        <v>1533</v>
      </c>
      <c r="AQ632" s="32" t="s">
        <v>1101</v>
      </c>
      <c r="AU632">
        <v>630</v>
      </c>
    </row>
    <row r="633" spans="1:47" x14ac:dyDescent="0.2">
      <c r="A633" s="37">
        <v>5997</v>
      </c>
      <c r="B633" s="38" t="s">
        <v>85</v>
      </c>
      <c r="C633" s="39" t="s">
        <v>156</v>
      </c>
      <c r="D633" s="29"/>
      <c r="E633" s="38" t="s">
        <v>1609</v>
      </c>
      <c r="F633" s="31" t="s">
        <v>176</v>
      </c>
      <c r="G633" s="31" t="s">
        <v>69</v>
      </c>
      <c r="H633" s="32"/>
      <c r="I633" s="32" t="s">
        <v>1610</v>
      </c>
      <c r="K633" s="31">
        <f>28*10*2.2</f>
        <v>616</v>
      </c>
      <c r="AQ633" s="32" t="s">
        <v>1611</v>
      </c>
      <c r="AU633">
        <v>631</v>
      </c>
    </row>
    <row r="634" spans="1:47" x14ac:dyDescent="0.2">
      <c r="A634" s="37">
        <v>5997</v>
      </c>
      <c r="B634" s="38" t="s">
        <v>45</v>
      </c>
      <c r="C634" s="39" t="s">
        <v>46</v>
      </c>
      <c r="D634" s="29"/>
      <c r="E634" s="38" t="s">
        <v>1612</v>
      </c>
      <c r="F634" s="31" t="s">
        <v>1528</v>
      </c>
      <c r="G634" s="31" t="s">
        <v>69</v>
      </c>
      <c r="H634" s="32"/>
      <c r="I634" s="32" t="s">
        <v>1613</v>
      </c>
      <c r="K634" s="127">
        <f>30*10*2.2</f>
        <v>660</v>
      </c>
      <c r="L634" s="33">
        <v>1</v>
      </c>
      <c r="S634" s="33">
        <v>1</v>
      </c>
      <c r="T634" s="31">
        <v>0</v>
      </c>
      <c r="U634" s="31">
        <v>0</v>
      </c>
      <c r="V634" s="31">
        <v>1</v>
      </c>
      <c r="Y634" s="31" t="s">
        <v>51</v>
      </c>
      <c r="Z634" s="20" t="s">
        <v>52</v>
      </c>
      <c r="AF634" s="31">
        <v>250</v>
      </c>
      <c r="AK634" s="32">
        <v>30</v>
      </c>
      <c r="AQ634" s="32" t="s">
        <v>566</v>
      </c>
      <c r="AU634">
        <v>632</v>
      </c>
    </row>
    <row r="635" spans="1:47" x14ac:dyDescent="0.2">
      <c r="A635" s="37">
        <v>5999</v>
      </c>
      <c r="B635" s="38" t="s">
        <v>45</v>
      </c>
      <c r="C635" s="39" t="s">
        <v>253</v>
      </c>
      <c r="D635" s="29"/>
      <c r="E635" s="38" t="s">
        <v>1614</v>
      </c>
      <c r="F635" s="32" t="s">
        <v>107</v>
      </c>
      <c r="G635" s="47"/>
      <c r="H635"/>
      <c r="I635" s="32"/>
      <c r="J635" s="47"/>
      <c r="K635" s="47"/>
      <c r="L635" s="48"/>
      <c r="M635" s="47"/>
      <c r="N635" s="47"/>
      <c r="O635" s="47"/>
      <c r="P635" s="47"/>
      <c r="Q635" s="47"/>
      <c r="R635" s="47"/>
      <c r="S635" s="48"/>
      <c r="T635" s="47"/>
      <c r="U635" s="47"/>
      <c r="V635" s="47"/>
      <c r="W635" s="47"/>
      <c r="X635" s="47"/>
      <c r="Y635" s="47"/>
      <c r="Z635" s="47"/>
      <c r="AA635" s="49"/>
      <c r="AB635" s="49"/>
      <c r="AC635" s="49"/>
      <c r="AD635" s="50"/>
      <c r="AE635" s="47"/>
      <c r="AF635" s="47"/>
      <c r="AG635"/>
      <c r="AH635"/>
      <c r="AI635"/>
      <c r="AJ635"/>
      <c r="AK635"/>
      <c r="AL635"/>
      <c r="AM635"/>
      <c r="AN635"/>
      <c r="AO635"/>
      <c r="AP635"/>
      <c r="AQ635" s="32" t="s">
        <v>1203</v>
      </c>
      <c r="AU635">
        <v>633</v>
      </c>
    </row>
    <row r="636" spans="1:47" x14ac:dyDescent="0.2">
      <c r="A636" s="37">
        <v>6000</v>
      </c>
      <c r="B636" s="38" t="s">
        <v>45</v>
      </c>
      <c r="C636" s="39" t="s">
        <v>253</v>
      </c>
      <c r="D636" s="29"/>
      <c r="E636" s="38" t="s">
        <v>1615</v>
      </c>
      <c r="F636" s="32" t="s">
        <v>1616</v>
      </c>
      <c r="G636" s="47"/>
      <c r="H636"/>
      <c r="I636" s="32"/>
      <c r="J636" s="47"/>
      <c r="K636" s="47"/>
      <c r="L636" s="48"/>
      <c r="M636" s="47"/>
      <c r="N636" s="47"/>
      <c r="O636" s="47"/>
      <c r="P636" s="47"/>
      <c r="Q636" s="47"/>
      <c r="R636" s="47"/>
      <c r="S636" s="48"/>
      <c r="T636" s="47"/>
      <c r="U636" s="47"/>
      <c r="V636" s="47"/>
      <c r="W636" s="47"/>
      <c r="X636" s="47"/>
      <c r="Y636" s="47"/>
      <c r="Z636" s="47"/>
      <c r="AA636" s="49"/>
      <c r="AB636" s="49"/>
      <c r="AC636" s="49"/>
      <c r="AD636" s="50"/>
      <c r="AE636" s="47"/>
      <c r="AF636" s="47"/>
      <c r="AG636"/>
      <c r="AH636"/>
      <c r="AI636"/>
      <c r="AJ636"/>
      <c r="AK636"/>
      <c r="AL636"/>
      <c r="AM636"/>
      <c r="AN636"/>
      <c r="AO636"/>
      <c r="AP636"/>
      <c r="AQ636" s="32" t="s">
        <v>1203</v>
      </c>
      <c r="AU636">
        <v>634</v>
      </c>
    </row>
    <row r="637" spans="1:47" x14ac:dyDescent="0.2">
      <c r="A637" s="37">
        <v>6005</v>
      </c>
      <c r="B637" s="38" t="s">
        <v>45</v>
      </c>
      <c r="C637" s="39" t="s">
        <v>253</v>
      </c>
      <c r="D637" s="29"/>
      <c r="E637" s="38" t="s">
        <v>1617</v>
      </c>
      <c r="F637" s="32" t="s">
        <v>246</v>
      </c>
      <c r="G637" s="47"/>
      <c r="H637"/>
      <c r="I637" s="32"/>
      <c r="J637" s="47"/>
      <c r="K637" s="47"/>
      <c r="L637" s="48"/>
      <c r="M637" s="47"/>
      <c r="N637" s="47"/>
      <c r="O637" s="47"/>
      <c r="P637" s="47"/>
      <c r="Q637" s="47"/>
      <c r="R637" s="47"/>
      <c r="S637" s="48"/>
      <c r="T637" s="47"/>
      <c r="U637" s="47"/>
      <c r="V637" s="47"/>
      <c r="W637" s="47"/>
      <c r="X637" s="47"/>
      <c r="Y637" s="47"/>
      <c r="Z637" s="47"/>
      <c r="AA637" s="49"/>
      <c r="AB637" s="49"/>
      <c r="AC637" s="49"/>
      <c r="AD637" s="50"/>
      <c r="AE637" s="47"/>
      <c r="AF637" s="47"/>
      <c r="AG637"/>
      <c r="AH637"/>
      <c r="AI637"/>
      <c r="AJ637"/>
      <c r="AK637"/>
      <c r="AL637"/>
      <c r="AM637"/>
      <c r="AN637"/>
      <c r="AO637"/>
      <c r="AP637"/>
      <c r="AQ637" s="32" t="s">
        <v>1203</v>
      </c>
      <c r="AU637">
        <v>635</v>
      </c>
    </row>
    <row r="638" spans="1:47" x14ac:dyDescent="0.2">
      <c r="A638" s="37">
        <v>6007</v>
      </c>
      <c r="B638" s="38" t="s">
        <v>45</v>
      </c>
      <c r="C638" s="39" t="s">
        <v>253</v>
      </c>
      <c r="D638" s="29"/>
      <c r="E638" s="38" t="s">
        <v>1618</v>
      </c>
      <c r="F638" s="32" t="s">
        <v>107</v>
      </c>
      <c r="G638" s="47"/>
      <c r="H638"/>
      <c r="I638" s="32" t="s">
        <v>1619</v>
      </c>
      <c r="J638" s="47"/>
      <c r="K638" s="47"/>
      <c r="L638" s="48"/>
      <c r="M638" s="47"/>
      <c r="N638" s="47"/>
      <c r="O638" s="47"/>
      <c r="P638" s="47"/>
      <c r="Q638" s="47"/>
      <c r="R638" s="47"/>
      <c r="S638" s="48"/>
      <c r="T638" s="47"/>
      <c r="U638" s="47"/>
      <c r="V638" s="47"/>
      <c r="W638" s="47"/>
      <c r="X638" s="47"/>
      <c r="Y638" s="47"/>
      <c r="Z638" s="47"/>
      <c r="AA638" s="49"/>
      <c r="AB638" s="49"/>
      <c r="AC638" s="49"/>
      <c r="AD638" s="50"/>
      <c r="AE638" s="47"/>
      <c r="AF638" s="47"/>
      <c r="AG638"/>
      <c r="AH638"/>
      <c r="AI638"/>
      <c r="AJ638"/>
      <c r="AK638"/>
      <c r="AL638"/>
      <c r="AM638"/>
      <c r="AN638"/>
      <c r="AO638"/>
      <c r="AP638"/>
      <c r="AQ638" s="32" t="s">
        <v>1203</v>
      </c>
      <c r="AU638">
        <v>636</v>
      </c>
    </row>
    <row r="639" spans="1:47" x14ac:dyDescent="0.2">
      <c r="A639" s="37">
        <v>6009</v>
      </c>
      <c r="B639" s="38" t="s">
        <v>45</v>
      </c>
      <c r="C639" s="39" t="s">
        <v>253</v>
      </c>
      <c r="D639" s="29"/>
      <c r="E639" s="38" t="s">
        <v>894</v>
      </c>
      <c r="F639" s="32" t="s">
        <v>107</v>
      </c>
      <c r="G639" s="47"/>
      <c r="H639"/>
      <c r="I639" s="32" t="s">
        <v>1620</v>
      </c>
      <c r="J639" s="47"/>
      <c r="K639" s="47"/>
      <c r="L639" s="48"/>
      <c r="M639" s="47"/>
      <c r="N639" s="47"/>
      <c r="O639" s="47"/>
      <c r="P639" s="47"/>
      <c r="Q639" s="47"/>
      <c r="R639" s="47"/>
      <c r="S639" s="48"/>
      <c r="T639" s="47"/>
      <c r="U639" s="47"/>
      <c r="V639" s="47"/>
      <c r="W639" s="47"/>
      <c r="X639" s="47"/>
      <c r="Y639" s="47"/>
      <c r="Z639" s="47"/>
      <c r="AA639" s="49"/>
      <c r="AB639" s="49"/>
      <c r="AC639" s="49"/>
      <c r="AD639" s="50"/>
      <c r="AE639" s="47"/>
      <c r="AF639" s="47"/>
      <c r="AG639"/>
      <c r="AH639"/>
      <c r="AI639"/>
      <c r="AJ639"/>
      <c r="AK639"/>
      <c r="AL639"/>
      <c r="AM639"/>
      <c r="AN639"/>
      <c r="AO639"/>
      <c r="AP639"/>
      <c r="AQ639" s="32" t="s">
        <v>1203</v>
      </c>
      <c r="AU639">
        <v>637</v>
      </c>
    </row>
    <row r="640" spans="1:47" x14ac:dyDescent="0.2">
      <c r="A640" s="37">
        <v>6011</v>
      </c>
      <c r="B640" s="38" t="s">
        <v>45</v>
      </c>
      <c r="C640" s="39" t="s">
        <v>253</v>
      </c>
      <c r="D640" s="29"/>
      <c r="E640" s="38" t="s">
        <v>1621</v>
      </c>
      <c r="F640" s="32" t="s">
        <v>107</v>
      </c>
      <c r="G640" s="47"/>
      <c r="H640"/>
      <c r="I640" s="32"/>
      <c r="J640" s="47"/>
      <c r="K640" s="47"/>
      <c r="L640" s="48"/>
      <c r="M640" s="47"/>
      <c r="N640" s="47"/>
      <c r="O640" s="47"/>
      <c r="P640" s="47"/>
      <c r="Q640" s="47"/>
      <c r="R640" s="47"/>
      <c r="S640" s="48"/>
      <c r="T640" s="47"/>
      <c r="U640" s="47"/>
      <c r="V640" s="47"/>
      <c r="W640" s="47"/>
      <c r="X640" s="47"/>
      <c r="Y640" s="47"/>
      <c r="Z640" s="47"/>
      <c r="AA640" s="49"/>
      <c r="AB640" s="49"/>
      <c r="AC640" s="49"/>
      <c r="AD640" s="50"/>
      <c r="AE640" s="47"/>
      <c r="AF640" s="47"/>
      <c r="AG640"/>
      <c r="AH640"/>
      <c r="AI640"/>
      <c r="AJ640"/>
      <c r="AK640"/>
      <c r="AL640"/>
      <c r="AM640"/>
      <c r="AN640"/>
      <c r="AO640"/>
      <c r="AP640"/>
      <c r="AQ640" s="32" t="s">
        <v>1203</v>
      </c>
      <c r="AU640">
        <v>638</v>
      </c>
    </row>
    <row r="641" spans="1:47" x14ac:dyDescent="0.2">
      <c r="A641" s="37">
        <v>6012</v>
      </c>
      <c r="B641" s="38" t="s">
        <v>45</v>
      </c>
      <c r="C641" s="39" t="s">
        <v>253</v>
      </c>
      <c r="D641" s="29"/>
      <c r="E641" s="38" t="s">
        <v>1622</v>
      </c>
      <c r="F641" s="32" t="s">
        <v>107</v>
      </c>
      <c r="G641" s="47"/>
      <c r="H641"/>
      <c r="I641" s="32"/>
      <c r="J641" s="47"/>
      <c r="K641" s="47"/>
      <c r="L641" s="48"/>
      <c r="M641" s="47"/>
      <c r="N641" s="47"/>
      <c r="O641" s="47"/>
      <c r="P641" s="47"/>
      <c r="Q641" s="47"/>
      <c r="R641" s="47"/>
      <c r="S641" s="48"/>
      <c r="T641" s="47"/>
      <c r="U641" s="47"/>
      <c r="V641" s="47"/>
      <c r="W641" s="47"/>
      <c r="X641" s="47"/>
      <c r="Y641" s="47"/>
      <c r="Z641" s="47"/>
      <c r="AA641" s="49"/>
      <c r="AB641" s="49"/>
      <c r="AC641" s="49"/>
      <c r="AD641" s="50"/>
      <c r="AE641" s="47"/>
      <c r="AF641" s="47"/>
      <c r="AG641"/>
      <c r="AH641"/>
      <c r="AI641"/>
      <c r="AJ641"/>
      <c r="AK641"/>
      <c r="AL641"/>
      <c r="AM641"/>
      <c r="AN641"/>
      <c r="AO641"/>
      <c r="AP641"/>
      <c r="AQ641" s="32" t="s">
        <v>1203</v>
      </c>
      <c r="AU641">
        <v>639</v>
      </c>
    </row>
    <row r="642" spans="1:47" x14ac:dyDescent="0.2">
      <c r="A642" s="26">
        <v>6013</v>
      </c>
      <c r="B642" s="27" t="s">
        <v>45</v>
      </c>
      <c r="C642" s="28"/>
      <c r="D642" s="29"/>
      <c r="E642" s="30" t="s">
        <v>1531</v>
      </c>
      <c r="H642" s="32">
        <v>0</v>
      </c>
      <c r="I642" s="32" t="s">
        <v>1532</v>
      </c>
      <c r="AG642" s="32">
        <v>0</v>
      </c>
      <c r="AH642" s="32">
        <v>0</v>
      </c>
      <c r="AI642" s="32">
        <v>0</v>
      </c>
      <c r="AK642" s="32">
        <v>0</v>
      </c>
      <c r="AM642" s="32">
        <f>498*23</f>
        <v>11454</v>
      </c>
      <c r="AO642" s="32" t="s">
        <v>1533</v>
      </c>
      <c r="AQ642" s="32" t="s">
        <v>1101</v>
      </c>
      <c r="AU642">
        <v>640</v>
      </c>
    </row>
    <row r="643" spans="1:47" x14ac:dyDescent="0.2">
      <c r="A643" s="37">
        <v>6014</v>
      </c>
      <c r="B643" s="38" t="s">
        <v>85</v>
      </c>
      <c r="C643" s="39" t="s">
        <v>253</v>
      </c>
      <c r="D643" s="29"/>
      <c r="E643" s="38" t="s">
        <v>1623</v>
      </c>
      <c r="F643" s="32" t="s">
        <v>107</v>
      </c>
      <c r="G643" s="47"/>
      <c r="H643"/>
      <c r="I643" s="32"/>
      <c r="J643" s="47"/>
      <c r="K643" s="47"/>
      <c r="L643" s="48"/>
      <c r="M643" s="47"/>
      <c r="N643" s="47"/>
      <c r="O643" s="47"/>
      <c r="P643" s="47"/>
      <c r="Q643" s="47"/>
      <c r="R643" s="47"/>
      <c r="S643" s="48"/>
      <c r="T643" s="47"/>
      <c r="U643" s="47"/>
      <c r="V643" s="47"/>
      <c r="W643" s="47"/>
      <c r="X643" s="47"/>
      <c r="Y643" s="47"/>
      <c r="Z643" s="47"/>
      <c r="AA643" s="49"/>
      <c r="AB643" s="49"/>
      <c r="AC643" s="49"/>
      <c r="AD643" s="50"/>
      <c r="AE643" s="47"/>
      <c r="AF643" s="47"/>
      <c r="AG643"/>
      <c r="AH643"/>
      <c r="AI643"/>
      <c r="AJ643"/>
      <c r="AK643"/>
      <c r="AL643"/>
      <c r="AM643"/>
      <c r="AN643"/>
      <c r="AO643"/>
      <c r="AP643"/>
      <c r="AQ643" s="32" t="s">
        <v>1233</v>
      </c>
      <c r="AU643">
        <v>641</v>
      </c>
    </row>
    <row r="644" spans="1:47" x14ac:dyDescent="0.2">
      <c r="A644" s="37">
        <v>6014</v>
      </c>
      <c r="B644" s="38" t="s">
        <v>45</v>
      </c>
      <c r="C644" s="39" t="s">
        <v>253</v>
      </c>
      <c r="D644" s="29"/>
      <c r="E644" s="38" t="s">
        <v>1624</v>
      </c>
      <c r="F644" s="32" t="s">
        <v>1625</v>
      </c>
      <c r="G644" s="47"/>
      <c r="H644"/>
      <c r="I644" s="32"/>
      <c r="J644" s="47"/>
      <c r="K644" s="47"/>
      <c r="L644" s="48"/>
      <c r="M644" s="47"/>
      <c r="N644" s="47"/>
      <c r="O644" s="47"/>
      <c r="P644" s="47"/>
      <c r="Q644" s="47"/>
      <c r="R644" s="47"/>
      <c r="S644" s="48"/>
      <c r="T644" s="47"/>
      <c r="U644" s="47"/>
      <c r="V644" s="47"/>
      <c r="W644" s="47"/>
      <c r="X644" s="47"/>
      <c r="Y644" s="47"/>
      <c r="Z644" s="47"/>
      <c r="AA644" s="49"/>
      <c r="AB644" s="49"/>
      <c r="AC644" s="49"/>
      <c r="AD644" s="50"/>
      <c r="AE644" s="47"/>
      <c r="AF644" s="47"/>
      <c r="AG644"/>
      <c r="AH644"/>
      <c r="AI644"/>
      <c r="AJ644"/>
      <c r="AK644"/>
      <c r="AL644"/>
      <c r="AM644"/>
      <c r="AN644"/>
      <c r="AO644"/>
      <c r="AP644"/>
      <c r="AQ644" s="32" t="s">
        <v>1203</v>
      </c>
      <c r="AU644">
        <v>642</v>
      </c>
    </row>
    <row r="645" spans="1:47" x14ac:dyDescent="0.2">
      <c r="A645" s="37">
        <v>6014</v>
      </c>
      <c r="B645" s="38" t="s">
        <v>45</v>
      </c>
      <c r="C645" s="39" t="s">
        <v>1262</v>
      </c>
      <c r="D645" s="29"/>
      <c r="E645" s="38" t="s">
        <v>1626</v>
      </c>
      <c r="F645" s="32" t="s">
        <v>150</v>
      </c>
      <c r="G645" s="47" t="s">
        <v>49</v>
      </c>
      <c r="H645"/>
      <c r="I645" s="32"/>
      <c r="J645" s="47"/>
      <c r="K645" s="47">
        <f>5*10*2.2</f>
        <v>110.00000000000001</v>
      </c>
      <c r="L645" s="48">
        <v>1</v>
      </c>
      <c r="M645" s="47"/>
      <c r="N645" s="47"/>
      <c r="O645" s="47"/>
      <c r="P645" s="47"/>
      <c r="Q645" s="47"/>
      <c r="R645" s="47"/>
      <c r="S645" s="48">
        <v>1</v>
      </c>
      <c r="T645" s="47">
        <v>0</v>
      </c>
      <c r="U645" s="47">
        <v>0</v>
      </c>
      <c r="V645" s="47">
        <v>0</v>
      </c>
      <c r="W645" s="47"/>
      <c r="X645" s="47"/>
      <c r="Y645" s="47" t="s">
        <v>51</v>
      </c>
      <c r="Z645" s="47" t="s">
        <v>146</v>
      </c>
      <c r="AA645" s="49"/>
      <c r="AB645" s="49"/>
      <c r="AC645" s="49"/>
      <c r="AD645" s="50"/>
      <c r="AE645" s="47" t="s">
        <v>1558</v>
      </c>
      <c r="AF645" s="47">
        <v>40</v>
      </c>
      <c r="AG645"/>
      <c r="AH645"/>
      <c r="AI645"/>
      <c r="AJ645"/>
      <c r="AK645">
        <v>5</v>
      </c>
      <c r="AL645"/>
      <c r="AM645"/>
      <c r="AN645"/>
      <c r="AO645"/>
      <c r="AP645"/>
      <c r="AQ645" s="32" t="s">
        <v>1627</v>
      </c>
      <c r="AR645" s="32" t="s">
        <v>1560</v>
      </c>
      <c r="AU645">
        <v>643</v>
      </c>
    </row>
    <row r="646" spans="1:47" x14ac:dyDescent="0.2">
      <c r="A646" s="37">
        <v>6015</v>
      </c>
      <c r="B646" s="38" t="s">
        <v>45</v>
      </c>
      <c r="C646" s="39" t="s">
        <v>253</v>
      </c>
      <c r="D646" s="29"/>
      <c r="E646" s="38" t="s">
        <v>1628</v>
      </c>
      <c r="F646" s="32" t="s">
        <v>107</v>
      </c>
      <c r="G646" s="47"/>
      <c r="H646"/>
      <c r="I646" s="32"/>
      <c r="J646" s="47"/>
      <c r="K646" s="47"/>
      <c r="L646" s="48"/>
      <c r="M646" s="47"/>
      <c r="N646" s="47"/>
      <c r="O646" s="47"/>
      <c r="P646" s="47"/>
      <c r="Q646" s="47"/>
      <c r="R646" s="47"/>
      <c r="S646" s="48"/>
      <c r="T646" s="47"/>
      <c r="U646" s="47"/>
      <c r="V646" s="47"/>
      <c r="W646" s="47"/>
      <c r="X646" s="47"/>
      <c r="Y646" s="47"/>
      <c r="Z646" s="47"/>
      <c r="AA646" s="49"/>
      <c r="AB646" s="49"/>
      <c r="AC646" s="49"/>
      <c r="AD646" s="50"/>
      <c r="AE646" s="47"/>
      <c r="AF646" s="47"/>
      <c r="AG646"/>
      <c r="AH646"/>
      <c r="AI646"/>
      <c r="AJ646"/>
      <c r="AK646"/>
      <c r="AL646"/>
      <c r="AM646"/>
      <c r="AN646"/>
      <c r="AO646"/>
      <c r="AP646"/>
      <c r="AQ646" s="32" t="s">
        <v>1203</v>
      </c>
      <c r="AU646">
        <v>644</v>
      </c>
    </row>
    <row r="647" spans="1:47" x14ac:dyDescent="0.2">
      <c r="A647" s="37">
        <v>6015</v>
      </c>
      <c r="B647" s="38" t="s">
        <v>45</v>
      </c>
      <c r="C647" s="39" t="s">
        <v>253</v>
      </c>
      <c r="D647" s="29"/>
      <c r="E647" s="38" t="s">
        <v>1629</v>
      </c>
      <c r="F647" s="32" t="s">
        <v>1630</v>
      </c>
      <c r="G647" s="47"/>
      <c r="H647"/>
      <c r="I647" s="32" t="s">
        <v>1631</v>
      </c>
      <c r="J647" s="47"/>
      <c r="K647" s="47"/>
      <c r="L647" s="48"/>
      <c r="M647" s="47"/>
      <c r="N647" s="47"/>
      <c r="O647" s="47"/>
      <c r="P647" s="47"/>
      <c r="Q647" s="47"/>
      <c r="R647" s="47"/>
      <c r="S647" s="48"/>
      <c r="T647" s="47"/>
      <c r="U647" s="47"/>
      <c r="V647" s="47"/>
      <c r="W647" s="47"/>
      <c r="X647" s="47"/>
      <c r="Y647" s="47"/>
      <c r="Z647" s="47"/>
      <c r="AA647" s="49"/>
      <c r="AB647" s="49"/>
      <c r="AC647" s="49"/>
      <c r="AD647" s="50"/>
      <c r="AE647" s="47"/>
      <c r="AF647" s="47"/>
      <c r="AG647"/>
      <c r="AH647"/>
      <c r="AI647"/>
      <c r="AJ647"/>
      <c r="AK647"/>
      <c r="AL647"/>
      <c r="AM647"/>
      <c r="AN647"/>
      <c r="AO647"/>
      <c r="AP647"/>
      <c r="AQ647" s="32" t="s">
        <v>1203</v>
      </c>
      <c r="AU647">
        <v>645</v>
      </c>
    </row>
    <row r="648" spans="1:47" x14ac:dyDescent="0.2">
      <c r="A648" s="37">
        <v>6016</v>
      </c>
      <c r="B648" s="38" t="s">
        <v>45</v>
      </c>
      <c r="C648" s="39" t="s">
        <v>1535</v>
      </c>
      <c r="D648" s="29"/>
      <c r="E648" s="38" t="s">
        <v>1632</v>
      </c>
      <c r="F648" s="32" t="s">
        <v>409</v>
      </c>
      <c r="G648" s="47" t="s">
        <v>49</v>
      </c>
      <c r="H648"/>
      <c r="I648" s="32" t="s">
        <v>1633</v>
      </c>
      <c r="J648" s="47"/>
      <c r="K648" s="47"/>
      <c r="L648" s="48"/>
      <c r="M648" s="47"/>
      <c r="N648" s="47"/>
      <c r="O648" s="47"/>
      <c r="P648" s="47"/>
      <c r="Q648" s="47"/>
      <c r="R648" s="47"/>
      <c r="S648" s="48">
        <v>18</v>
      </c>
      <c r="T648" s="47"/>
      <c r="U648" s="47"/>
      <c r="V648" s="47"/>
      <c r="W648" s="47"/>
      <c r="X648" s="47"/>
      <c r="Y648" s="47"/>
      <c r="Z648" s="31" t="s">
        <v>1080</v>
      </c>
      <c r="AA648" s="49"/>
      <c r="AB648" s="49"/>
      <c r="AC648" s="49"/>
      <c r="AD648" s="50"/>
      <c r="AE648" s="47" t="s">
        <v>1312</v>
      </c>
      <c r="AF648" s="47">
        <v>60</v>
      </c>
      <c r="AG648"/>
      <c r="AH648"/>
      <c r="AI648"/>
      <c r="AJ648"/>
      <c r="AK648"/>
      <c r="AL648"/>
      <c r="AM648"/>
      <c r="AN648"/>
      <c r="AO648"/>
      <c r="AP648"/>
      <c r="AQ648" s="32" t="s">
        <v>1634</v>
      </c>
      <c r="AU648">
        <v>646</v>
      </c>
    </row>
    <row r="649" spans="1:47" x14ac:dyDescent="0.2">
      <c r="A649" s="37">
        <v>6017</v>
      </c>
      <c r="B649" s="38" t="s">
        <v>45</v>
      </c>
      <c r="C649" s="39" t="s">
        <v>253</v>
      </c>
      <c r="D649" s="29"/>
      <c r="E649" s="38" t="s">
        <v>1635</v>
      </c>
      <c r="F649" s="32" t="s">
        <v>107</v>
      </c>
      <c r="G649" s="47"/>
      <c r="H649"/>
      <c r="I649" s="32"/>
      <c r="J649" s="47"/>
      <c r="K649" s="47"/>
      <c r="L649" s="48"/>
      <c r="M649" s="47"/>
      <c r="N649" s="47"/>
      <c r="O649" s="47"/>
      <c r="P649" s="47"/>
      <c r="Q649" s="47"/>
      <c r="R649" s="47"/>
      <c r="S649" s="48"/>
      <c r="T649" s="47"/>
      <c r="U649" s="47"/>
      <c r="V649" s="47"/>
      <c r="W649" s="47"/>
      <c r="X649" s="47"/>
      <c r="Y649" s="47"/>
      <c r="Z649" s="47"/>
      <c r="AA649" s="49"/>
      <c r="AB649" s="49"/>
      <c r="AC649" s="49"/>
      <c r="AD649" s="50"/>
      <c r="AE649" s="47"/>
      <c r="AF649" s="47"/>
      <c r="AG649"/>
      <c r="AH649"/>
      <c r="AI649"/>
      <c r="AJ649"/>
      <c r="AK649"/>
      <c r="AL649"/>
      <c r="AM649"/>
      <c r="AN649"/>
      <c r="AO649"/>
      <c r="AP649"/>
      <c r="AQ649" s="32" t="s">
        <v>1203</v>
      </c>
      <c r="AU649">
        <v>647</v>
      </c>
    </row>
    <row r="650" spans="1:47" x14ac:dyDescent="0.2">
      <c r="A650" s="37">
        <v>6017</v>
      </c>
      <c r="B650" s="38" t="s">
        <v>45</v>
      </c>
      <c r="C650" s="39" t="s">
        <v>1262</v>
      </c>
      <c r="D650" s="29"/>
      <c r="E650" s="38" t="s">
        <v>1636</v>
      </c>
      <c r="F650" s="32" t="s">
        <v>1637</v>
      </c>
      <c r="G650" s="47" t="s">
        <v>73</v>
      </c>
      <c r="H650"/>
      <c r="I650" s="32" t="s">
        <v>1638</v>
      </c>
      <c r="J650" s="47"/>
      <c r="K650" s="47">
        <f>(25*10+8*7.25)*2.2</f>
        <v>677.6</v>
      </c>
      <c r="L650" s="48"/>
      <c r="M650" s="47"/>
      <c r="N650" s="47"/>
      <c r="O650" s="47"/>
      <c r="P650" s="47"/>
      <c r="Q650" s="47"/>
      <c r="R650" s="47"/>
      <c r="S650" s="48">
        <v>8</v>
      </c>
      <c r="T650" s="47">
        <v>0</v>
      </c>
      <c r="U650" s="47">
        <v>0</v>
      </c>
      <c r="V650" s="47">
        <v>0</v>
      </c>
      <c r="W650" s="47"/>
      <c r="X650" s="47"/>
      <c r="Y650" s="47" t="s">
        <v>51</v>
      </c>
      <c r="Z650" s="47" t="s">
        <v>146</v>
      </c>
      <c r="AA650" s="49"/>
      <c r="AB650" s="49"/>
      <c r="AC650" s="49"/>
      <c r="AD650" s="50"/>
      <c r="AE650" s="47" t="s">
        <v>1558</v>
      </c>
      <c r="AF650" s="47">
        <v>35</v>
      </c>
      <c r="AG650"/>
      <c r="AH650"/>
      <c r="AI650"/>
      <c r="AJ650"/>
      <c r="AK650">
        <v>33</v>
      </c>
      <c r="AL650"/>
      <c r="AM650"/>
      <c r="AN650"/>
      <c r="AO650"/>
      <c r="AP650"/>
      <c r="AQ650" s="32" t="s">
        <v>1639</v>
      </c>
      <c r="AR650" s="32" t="s">
        <v>1560</v>
      </c>
      <c r="AU650">
        <v>648</v>
      </c>
    </row>
    <row r="651" spans="1:47" x14ac:dyDescent="0.2">
      <c r="A651" s="37">
        <v>6017</v>
      </c>
      <c r="B651" s="38" t="s">
        <v>45</v>
      </c>
      <c r="C651" s="39" t="s">
        <v>156</v>
      </c>
      <c r="D651" s="29"/>
      <c r="E651" s="38" t="s">
        <v>1006</v>
      </c>
      <c r="F651" s="113" t="s">
        <v>1640</v>
      </c>
      <c r="G651" s="114" t="s">
        <v>722</v>
      </c>
      <c r="H651" s="115"/>
      <c r="I651" s="113" t="s">
        <v>1641</v>
      </c>
      <c r="J651" s="114"/>
      <c r="K651" s="116">
        <f>224*2</f>
        <v>448</v>
      </c>
      <c r="L651" s="117"/>
      <c r="M651" s="114"/>
      <c r="N651" s="114"/>
      <c r="O651" s="114"/>
      <c r="P651" s="114"/>
      <c r="Q651" s="114"/>
      <c r="R651" s="114"/>
      <c r="S651" s="117">
        <v>2</v>
      </c>
      <c r="T651" s="114"/>
      <c r="U651" s="114"/>
      <c r="V651" s="114"/>
      <c r="W651" s="114"/>
      <c r="X651" s="114"/>
      <c r="Y651" s="114" t="s">
        <v>51</v>
      </c>
      <c r="Z651" s="118" t="s">
        <v>146</v>
      </c>
      <c r="AA651" s="128"/>
      <c r="AB651" s="128"/>
      <c r="AC651" s="128"/>
      <c r="AD651" s="129"/>
      <c r="AE651" s="114" t="s">
        <v>1642</v>
      </c>
      <c r="AF651" s="47"/>
      <c r="AG651"/>
      <c r="AH651"/>
      <c r="AI651"/>
      <c r="AJ651"/>
      <c r="AK651"/>
      <c r="AL651"/>
      <c r="AM651"/>
      <c r="AN651"/>
      <c r="AO651"/>
      <c r="AP651"/>
      <c r="AQ651" s="32" t="s">
        <v>1634</v>
      </c>
      <c r="AU651">
        <v>649</v>
      </c>
    </row>
    <row r="652" spans="1:47" x14ac:dyDescent="0.2">
      <c r="A652" s="37">
        <v>6017</v>
      </c>
      <c r="B652" s="38" t="s">
        <v>45</v>
      </c>
      <c r="C652" s="39" t="s">
        <v>156</v>
      </c>
      <c r="D652" s="29"/>
      <c r="E652" s="38" t="s">
        <v>1643</v>
      </c>
      <c r="F652" s="32" t="s">
        <v>1644</v>
      </c>
      <c r="G652" s="47" t="s">
        <v>73</v>
      </c>
      <c r="H652"/>
      <c r="I652" s="32"/>
      <c r="J652" s="47"/>
      <c r="K652" s="47"/>
      <c r="L652" s="48"/>
      <c r="M652" s="47"/>
      <c r="N652" s="47"/>
      <c r="O652" s="47"/>
      <c r="P652" s="47"/>
      <c r="Q652" s="47"/>
      <c r="R652" s="47"/>
      <c r="S652" s="48"/>
      <c r="T652" s="47"/>
      <c r="U652" s="47"/>
      <c r="V652" s="47"/>
      <c r="W652" s="47"/>
      <c r="X652" s="47"/>
      <c r="Y652" s="47"/>
      <c r="Z652" s="47"/>
      <c r="AA652" s="49"/>
      <c r="AB652" s="49"/>
      <c r="AC652" s="49"/>
      <c r="AD652" s="50"/>
      <c r="AE652" s="114" t="s">
        <v>1642</v>
      </c>
      <c r="AF652" s="47"/>
      <c r="AG652"/>
      <c r="AH652"/>
      <c r="AI652"/>
      <c r="AJ652"/>
      <c r="AK652"/>
      <c r="AL652"/>
      <c r="AM652"/>
      <c r="AN652"/>
      <c r="AO652"/>
      <c r="AP652"/>
      <c r="AQ652" s="32" t="s">
        <v>1645</v>
      </c>
      <c r="AU652">
        <v>650</v>
      </c>
    </row>
    <row r="653" spans="1:47" x14ac:dyDescent="0.2">
      <c r="A653" s="37">
        <v>6017</v>
      </c>
      <c r="B653" s="38" t="s">
        <v>45</v>
      </c>
      <c r="C653" s="39" t="s">
        <v>253</v>
      </c>
      <c r="D653" s="29"/>
      <c r="E653" s="38" t="s">
        <v>1646</v>
      </c>
      <c r="F653" s="32" t="s">
        <v>107</v>
      </c>
      <c r="G653" s="47"/>
      <c r="H653"/>
      <c r="I653" s="32"/>
      <c r="J653" s="47"/>
      <c r="K653" s="47"/>
      <c r="L653" s="48"/>
      <c r="M653" s="47"/>
      <c r="N653" s="47"/>
      <c r="O653" s="47"/>
      <c r="P653" s="47"/>
      <c r="Q653" s="47"/>
      <c r="R653" s="47"/>
      <c r="S653" s="48"/>
      <c r="T653" s="47"/>
      <c r="U653" s="47"/>
      <c r="V653" s="47"/>
      <c r="W653" s="47"/>
      <c r="X653" s="47"/>
      <c r="Y653" s="47"/>
      <c r="Z653" s="47"/>
      <c r="AA653" s="49"/>
      <c r="AB653" s="49"/>
      <c r="AC653" s="49"/>
      <c r="AD653" s="50"/>
      <c r="AE653" s="47"/>
      <c r="AF653" s="47"/>
      <c r="AG653"/>
      <c r="AH653"/>
      <c r="AI653"/>
      <c r="AJ653"/>
      <c r="AK653"/>
      <c r="AL653"/>
      <c r="AM653"/>
      <c r="AN653"/>
      <c r="AO653"/>
      <c r="AP653"/>
      <c r="AQ653" s="32" t="s">
        <v>1203</v>
      </c>
      <c r="AU653">
        <v>651</v>
      </c>
    </row>
    <row r="654" spans="1:47" x14ac:dyDescent="0.2">
      <c r="A654" s="26">
        <v>6017</v>
      </c>
      <c r="B654" s="27" t="s">
        <v>45</v>
      </c>
      <c r="C654" s="28"/>
      <c r="D654" s="29"/>
      <c r="E654" s="30" t="s">
        <v>1531</v>
      </c>
      <c r="H654" s="32">
        <v>0</v>
      </c>
      <c r="I654" s="32" t="s">
        <v>1647</v>
      </c>
      <c r="AG654" s="32">
        <v>0</v>
      </c>
      <c r="AH654" s="32">
        <v>0</v>
      </c>
      <c r="AI654" s="32">
        <v>0</v>
      </c>
      <c r="AK654" s="32">
        <v>0</v>
      </c>
      <c r="AM654" s="32">
        <f>498*239</f>
        <v>119022</v>
      </c>
      <c r="AO654" s="32" t="s">
        <v>1533</v>
      </c>
      <c r="AQ654" s="32" t="s">
        <v>1101</v>
      </c>
      <c r="AU654">
        <v>653</v>
      </c>
    </row>
    <row r="655" spans="1:47" x14ac:dyDescent="0.2">
      <c r="A655" s="26">
        <v>6017</v>
      </c>
      <c r="B655" s="27"/>
      <c r="C655" s="28"/>
      <c r="D655" s="29"/>
      <c r="E655" s="30" t="s">
        <v>75</v>
      </c>
      <c r="H655" s="32">
        <v>1</v>
      </c>
      <c r="I655" s="32" t="s">
        <v>1648</v>
      </c>
      <c r="AG655" s="32">
        <v>0</v>
      </c>
      <c r="AH655" s="32">
        <v>0</v>
      </c>
      <c r="AI655" s="32">
        <v>220</v>
      </c>
      <c r="AL655" s="32">
        <v>0</v>
      </c>
      <c r="AQ655" s="32">
        <v>413</v>
      </c>
      <c r="AU655">
        <v>654</v>
      </c>
    </row>
    <row r="656" spans="1:47" x14ac:dyDescent="0.2">
      <c r="A656" s="37">
        <v>6018</v>
      </c>
      <c r="B656" s="38" t="s">
        <v>85</v>
      </c>
      <c r="C656" s="39" t="s">
        <v>1649</v>
      </c>
      <c r="D656" s="29"/>
      <c r="E656" s="38" t="s">
        <v>894</v>
      </c>
      <c r="F656" s="32" t="s">
        <v>1650</v>
      </c>
      <c r="G656" s="47" t="s">
        <v>73</v>
      </c>
      <c r="H656"/>
      <c r="I656" s="32" t="s">
        <v>1651</v>
      </c>
      <c r="J656" s="47"/>
      <c r="K656" s="47">
        <f>(48*10+2*50)*2.2</f>
        <v>1276</v>
      </c>
      <c r="L656" s="48">
        <v>10</v>
      </c>
      <c r="M656" s="47"/>
      <c r="N656" s="47">
        <v>1</v>
      </c>
      <c r="O656" s="47"/>
      <c r="P656" s="47"/>
      <c r="Q656" s="47"/>
      <c r="R656" s="47"/>
      <c r="S656" s="48">
        <v>9</v>
      </c>
      <c r="T656" s="47">
        <v>1</v>
      </c>
      <c r="U656" s="47">
        <v>0</v>
      </c>
      <c r="V656" s="47">
        <v>0</v>
      </c>
      <c r="W656" s="47">
        <f>2000*39.37/12</f>
        <v>6561.666666666667</v>
      </c>
      <c r="X656" s="47"/>
      <c r="Y656" s="47" t="s">
        <v>120</v>
      </c>
      <c r="Z656" s="47" t="s">
        <v>1652</v>
      </c>
      <c r="AA656" s="49">
        <v>0.72916666666666663</v>
      </c>
      <c r="AB656" s="49">
        <v>0.83680555555555547</v>
      </c>
      <c r="AC656" s="49">
        <f>AVERAGE(AA656:AB656)</f>
        <v>0.78298611111111105</v>
      </c>
      <c r="AD656" s="50">
        <f>(AB656-AA656)*24</f>
        <v>2.5833333333333321</v>
      </c>
      <c r="AE656" s="47" t="s">
        <v>1653</v>
      </c>
      <c r="AF656" s="47">
        <v>90</v>
      </c>
      <c r="AG656"/>
      <c r="AH656"/>
      <c r="AI656"/>
      <c r="AJ656"/>
      <c r="AK656" s="32">
        <v>50</v>
      </c>
      <c r="AL656"/>
      <c r="AM656"/>
      <c r="AN656"/>
      <c r="AO656"/>
      <c r="AP656"/>
      <c r="AQ656" s="32" t="s">
        <v>1654</v>
      </c>
      <c r="AU656">
        <v>655</v>
      </c>
    </row>
    <row r="657" spans="1:47" x14ac:dyDescent="0.2">
      <c r="A657" s="37">
        <v>6018</v>
      </c>
      <c r="B657" s="38" t="s">
        <v>85</v>
      </c>
      <c r="C657" s="39" t="s">
        <v>1655</v>
      </c>
      <c r="D657" s="29"/>
      <c r="E657" s="38" t="s">
        <v>720</v>
      </c>
      <c r="F657" s="32" t="s">
        <v>748</v>
      </c>
      <c r="G657" s="47" t="s">
        <v>722</v>
      </c>
      <c r="H657"/>
      <c r="I657" s="32" t="s">
        <v>1656</v>
      </c>
      <c r="J657" s="47"/>
      <c r="K657" s="47">
        <f>38*10*2.2</f>
        <v>836.00000000000011</v>
      </c>
      <c r="L657" s="48">
        <v>9</v>
      </c>
      <c r="M657" s="47"/>
      <c r="N657" s="47"/>
      <c r="O657" s="47"/>
      <c r="P657" s="47"/>
      <c r="Q657" s="47"/>
      <c r="R657" s="47"/>
      <c r="S657" s="48">
        <v>9</v>
      </c>
      <c r="T657" s="47">
        <v>3</v>
      </c>
      <c r="U657" s="47">
        <v>0</v>
      </c>
      <c r="V657" s="47">
        <v>0</v>
      </c>
      <c r="W657" s="47"/>
      <c r="X657" s="47"/>
      <c r="Y657" s="47" t="s">
        <v>120</v>
      </c>
      <c r="Z657" s="47" t="s">
        <v>1241</v>
      </c>
      <c r="AA657" s="49">
        <v>0.5</v>
      </c>
      <c r="AB657" s="49"/>
      <c r="AC657" s="49"/>
      <c r="AD657" s="50"/>
      <c r="AE657" s="47" t="s">
        <v>342</v>
      </c>
      <c r="AF657" s="47">
        <v>165</v>
      </c>
      <c r="AG657"/>
      <c r="AH657"/>
      <c r="AI657"/>
      <c r="AJ657"/>
      <c r="AK657" s="32">
        <v>38</v>
      </c>
      <c r="AL657"/>
      <c r="AM657"/>
      <c r="AN657"/>
      <c r="AO657"/>
      <c r="AP657"/>
      <c r="AQ657" s="32" t="s">
        <v>1657</v>
      </c>
      <c r="AU657">
        <v>656</v>
      </c>
    </row>
    <row r="658" spans="1:47" x14ac:dyDescent="0.2">
      <c r="A658" s="37">
        <v>6018</v>
      </c>
      <c r="B658" s="38" t="s">
        <v>45</v>
      </c>
      <c r="C658" s="39" t="s">
        <v>1262</v>
      </c>
      <c r="D658" s="29"/>
      <c r="E658" s="38" t="s">
        <v>1658</v>
      </c>
      <c r="F658" s="32" t="s">
        <v>1659</v>
      </c>
      <c r="G658" s="47" t="s">
        <v>73</v>
      </c>
      <c r="H658"/>
      <c r="I658" s="32" t="s">
        <v>1660</v>
      </c>
      <c r="J658" s="47"/>
      <c r="K658" s="47">
        <f>28*10*2.2</f>
        <v>616</v>
      </c>
      <c r="L658" s="48"/>
      <c r="M658" s="47"/>
      <c r="N658" s="47"/>
      <c r="O658" s="47"/>
      <c r="P658" s="47"/>
      <c r="Q658" s="47"/>
      <c r="R658" s="47"/>
      <c r="S658" s="48">
        <v>6</v>
      </c>
      <c r="T658" s="47">
        <v>0</v>
      </c>
      <c r="U658" s="47">
        <v>0</v>
      </c>
      <c r="V658" s="47">
        <v>0</v>
      </c>
      <c r="W658" s="47"/>
      <c r="X658" s="47"/>
      <c r="Y658" s="47" t="s">
        <v>51</v>
      </c>
      <c r="Z658" s="47" t="s">
        <v>146</v>
      </c>
      <c r="AA658" s="49"/>
      <c r="AB658" s="49"/>
      <c r="AC658" s="49"/>
      <c r="AD658" s="50"/>
      <c r="AE658" s="47" t="s">
        <v>1558</v>
      </c>
      <c r="AF658" s="47"/>
      <c r="AG658"/>
      <c r="AH658"/>
      <c r="AI658"/>
      <c r="AJ658"/>
      <c r="AK658" s="32">
        <v>28</v>
      </c>
      <c r="AL658"/>
      <c r="AM658"/>
      <c r="AN658"/>
      <c r="AO658"/>
      <c r="AP658"/>
      <c r="AQ658" s="32" t="s">
        <v>1661</v>
      </c>
      <c r="AR658" s="32" t="s">
        <v>1560</v>
      </c>
      <c r="AU658">
        <v>657</v>
      </c>
    </row>
    <row r="659" spans="1:47" x14ac:dyDescent="0.2">
      <c r="A659" s="37">
        <v>6018</v>
      </c>
      <c r="B659" s="38" t="s">
        <v>45</v>
      </c>
      <c r="C659" s="39" t="s">
        <v>156</v>
      </c>
      <c r="D659" s="29"/>
      <c r="E659" s="38" t="s">
        <v>1662</v>
      </c>
      <c r="F659" s="32" t="s">
        <v>1663</v>
      </c>
      <c r="G659" s="47" t="s">
        <v>481</v>
      </c>
      <c r="H659"/>
      <c r="I659" s="32" t="s">
        <v>1664</v>
      </c>
      <c r="J659" s="47"/>
      <c r="K659" s="47"/>
      <c r="L659" s="48"/>
      <c r="M659" s="47"/>
      <c r="N659" s="47"/>
      <c r="O659" s="47"/>
      <c r="P659" s="47"/>
      <c r="Q659" s="47"/>
      <c r="R659" s="47"/>
      <c r="S659" s="48"/>
      <c r="T659" s="47"/>
      <c r="U659" s="47"/>
      <c r="V659" s="47"/>
      <c r="W659" s="47"/>
      <c r="X659" s="47"/>
      <c r="Y659" s="47"/>
      <c r="Z659" s="47" t="s">
        <v>675</v>
      </c>
      <c r="AA659" s="49"/>
      <c r="AB659" s="49"/>
      <c r="AC659" s="49"/>
      <c r="AD659" s="50"/>
      <c r="AE659" s="47"/>
      <c r="AF659" s="47"/>
      <c r="AG659"/>
      <c r="AH659"/>
      <c r="AI659"/>
      <c r="AJ659"/>
      <c r="AK659"/>
      <c r="AL659"/>
      <c r="AM659"/>
      <c r="AN659"/>
      <c r="AO659"/>
      <c r="AP659"/>
      <c r="AQ659" t="s">
        <v>1611</v>
      </c>
      <c r="AU659">
        <v>658</v>
      </c>
    </row>
    <row r="660" spans="1:47" x14ac:dyDescent="0.2">
      <c r="A660" s="37">
        <v>6018</v>
      </c>
      <c r="B660" s="38" t="s">
        <v>45</v>
      </c>
      <c r="C660" s="39" t="s">
        <v>253</v>
      </c>
      <c r="D660" s="29"/>
      <c r="E660" s="38" t="s">
        <v>1665</v>
      </c>
      <c r="F660" s="32" t="s">
        <v>107</v>
      </c>
      <c r="G660" s="47"/>
      <c r="H660"/>
      <c r="I660" s="32"/>
      <c r="J660" s="47"/>
      <c r="K660" s="47"/>
      <c r="L660" s="48"/>
      <c r="M660" s="47"/>
      <c r="N660" s="47"/>
      <c r="O660" s="47"/>
      <c r="P660" s="47"/>
      <c r="Q660" s="47"/>
      <c r="R660" s="47"/>
      <c r="S660" s="48"/>
      <c r="T660" s="47"/>
      <c r="U660" s="47"/>
      <c r="V660" s="47"/>
      <c r="W660" s="47"/>
      <c r="X660" s="47"/>
      <c r="Y660" s="47"/>
      <c r="Z660" s="47"/>
      <c r="AA660" s="49"/>
      <c r="AB660" s="49"/>
      <c r="AC660" s="49"/>
      <c r="AD660" s="50"/>
      <c r="AE660" s="47"/>
      <c r="AF660" s="47"/>
      <c r="AG660"/>
      <c r="AH660"/>
      <c r="AI660"/>
      <c r="AJ660"/>
      <c r="AK660"/>
      <c r="AL660"/>
      <c r="AM660"/>
      <c r="AN660"/>
      <c r="AO660"/>
      <c r="AP660"/>
      <c r="AQ660" s="32" t="s">
        <v>1203</v>
      </c>
      <c r="AU660">
        <v>659</v>
      </c>
    </row>
    <row r="661" spans="1:47" x14ac:dyDescent="0.2">
      <c r="A661" s="26">
        <v>6018</v>
      </c>
      <c r="B661" s="27">
        <v>0.10555555555555556</v>
      </c>
      <c r="C661" s="28"/>
      <c r="D661" s="29"/>
      <c r="E661" s="30" t="s">
        <v>1666</v>
      </c>
      <c r="H661" s="32">
        <v>1</v>
      </c>
      <c r="I661" s="32" t="s">
        <v>1667</v>
      </c>
      <c r="AG661" s="32">
        <v>7</v>
      </c>
      <c r="AH661" s="32">
        <v>2</v>
      </c>
      <c r="AI661" s="32">
        <f>66855+45+4200</f>
        <v>71100</v>
      </c>
      <c r="AK661" s="32">
        <f>13+1+1</f>
        <v>15</v>
      </c>
      <c r="AL661" s="32">
        <f>13/60</f>
        <v>0.21666666666666667</v>
      </c>
      <c r="AM661" s="32">
        <v>200</v>
      </c>
      <c r="AO661" s="32" t="s">
        <v>1006</v>
      </c>
      <c r="AP661" s="32">
        <f>13/60</f>
        <v>0.21666666666666667</v>
      </c>
      <c r="AQ661" s="91" t="s">
        <v>1668</v>
      </c>
      <c r="AU661">
        <v>660</v>
      </c>
    </row>
    <row r="662" spans="1:47" x14ac:dyDescent="0.2">
      <c r="A662" s="26">
        <v>6018</v>
      </c>
      <c r="B662" s="27">
        <v>0.1076388888888889</v>
      </c>
      <c r="C662" s="28"/>
      <c r="D662" s="29"/>
      <c r="E662" s="30" t="s">
        <v>1282</v>
      </c>
      <c r="H662" s="32">
        <v>0</v>
      </c>
      <c r="I662" s="32" t="s">
        <v>1669</v>
      </c>
      <c r="AG662" s="32">
        <v>0</v>
      </c>
      <c r="AH662" s="32">
        <v>0</v>
      </c>
      <c r="AI662" s="32">
        <v>0</v>
      </c>
      <c r="AK662" s="32">
        <v>0</v>
      </c>
      <c r="AL662" s="32">
        <f>35/60</f>
        <v>0.58333333333333337</v>
      </c>
      <c r="AP662" s="32">
        <f>35/60</f>
        <v>0.58333333333333337</v>
      </c>
      <c r="AQ662" s="32" t="s">
        <v>1101</v>
      </c>
      <c r="AU662">
        <v>661</v>
      </c>
    </row>
    <row r="663" spans="1:47" x14ac:dyDescent="0.2">
      <c r="A663" s="26">
        <v>6018</v>
      </c>
      <c r="B663" s="27" t="s">
        <v>85</v>
      </c>
      <c r="C663" s="28"/>
      <c r="D663" s="29"/>
      <c r="E663" s="30" t="s">
        <v>720</v>
      </c>
      <c r="H663" s="32">
        <v>1</v>
      </c>
      <c r="I663" s="32" t="s">
        <v>1670</v>
      </c>
      <c r="AG663" s="32">
        <v>117</v>
      </c>
      <c r="AH663" s="32">
        <v>152</v>
      </c>
      <c r="AQ663" s="32">
        <v>460</v>
      </c>
      <c r="AU663">
        <v>662</v>
      </c>
    </row>
    <row r="664" spans="1:47" x14ac:dyDescent="0.2">
      <c r="A664" s="26">
        <v>6018</v>
      </c>
      <c r="B664" s="27" t="s">
        <v>45</v>
      </c>
      <c r="C664" s="28"/>
      <c r="D664" s="29"/>
      <c r="E664" s="30" t="s">
        <v>1531</v>
      </c>
      <c r="H664" s="32">
        <v>0</v>
      </c>
      <c r="I664" s="32" t="s">
        <v>1532</v>
      </c>
      <c r="AG664" s="32">
        <v>0</v>
      </c>
      <c r="AH664" s="32">
        <v>0</v>
      </c>
      <c r="AI664" s="32">
        <v>0</v>
      </c>
      <c r="AK664" s="32">
        <v>0</v>
      </c>
      <c r="AM664" s="32">
        <f>498*64</f>
        <v>31872</v>
      </c>
      <c r="AO664" s="32" t="s">
        <v>1533</v>
      </c>
      <c r="AQ664" s="32" t="s">
        <v>1101</v>
      </c>
      <c r="AU664">
        <v>663</v>
      </c>
    </row>
    <row r="665" spans="1:47" x14ac:dyDescent="0.2">
      <c r="A665" s="37">
        <v>6020</v>
      </c>
      <c r="B665" s="38" t="s">
        <v>45</v>
      </c>
      <c r="C665" s="39" t="s">
        <v>253</v>
      </c>
      <c r="D665" s="29"/>
      <c r="E665" s="38" t="s">
        <v>1671</v>
      </c>
      <c r="F665" s="32" t="s">
        <v>107</v>
      </c>
      <c r="G665" s="47"/>
      <c r="H665"/>
      <c r="I665" s="32"/>
      <c r="J665" s="47"/>
      <c r="K665" s="47"/>
      <c r="L665" s="48"/>
      <c r="M665" s="47"/>
      <c r="N665" s="47"/>
      <c r="O665" s="47"/>
      <c r="P665" s="47"/>
      <c r="Q665" s="47"/>
      <c r="R665" s="47"/>
      <c r="S665" s="48"/>
      <c r="T665" s="47"/>
      <c r="U665" s="47"/>
      <c r="V665" s="47"/>
      <c r="W665" s="47"/>
      <c r="X665" s="47"/>
      <c r="Y665" s="47"/>
      <c r="Z665" s="47"/>
      <c r="AA665" s="49"/>
      <c r="AB665" s="49"/>
      <c r="AC665" s="49"/>
      <c r="AD665" s="50"/>
      <c r="AE665" s="47"/>
      <c r="AF665" s="47"/>
      <c r="AG665"/>
      <c r="AH665"/>
      <c r="AI665"/>
      <c r="AJ665"/>
      <c r="AK665"/>
      <c r="AL665"/>
      <c r="AM665"/>
      <c r="AN665"/>
      <c r="AO665"/>
      <c r="AP665"/>
      <c r="AQ665" s="32" t="s">
        <v>1203</v>
      </c>
      <c r="AU665">
        <v>664</v>
      </c>
    </row>
    <row r="666" spans="1:47" x14ac:dyDescent="0.2">
      <c r="A666" s="37">
        <v>6021</v>
      </c>
      <c r="B666" s="38" t="s">
        <v>45</v>
      </c>
      <c r="C666" s="39" t="s">
        <v>253</v>
      </c>
      <c r="D666" s="29"/>
      <c r="E666" s="38" t="s">
        <v>1672</v>
      </c>
      <c r="F666" s="32" t="s">
        <v>107</v>
      </c>
      <c r="G666" s="47"/>
      <c r="H666"/>
      <c r="I666" s="32"/>
      <c r="J666" s="47"/>
      <c r="K666" s="47"/>
      <c r="L666" s="48"/>
      <c r="M666" s="47"/>
      <c r="N666" s="47"/>
      <c r="O666" s="47"/>
      <c r="P666" s="47"/>
      <c r="Q666" s="47"/>
      <c r="R666" s="47"/>
      <c r="S666" s="48"/>
      <c r="T666" s="47"/>
      <c r="U666" s="47"/>
      <c r="V666" s="47"/>
      <c r="W666" s="47"/>
      <c r="X666" s="47"/>
      <c r="Y666" s="47"/>
      <c r="Z666" s="47"/>
      <c r="AA666" s="49"/>
      <c r="AB666" s="49"/>
      <c r="AC666" s="49"/>
      <c r="AD666" s="50"/>
      <c r="AE666" s="47"/>
      <c r="AF666" s="47"/>
      <c r="AG666"/>
      <c r="AH666"/>
      <c r="AI666"/>
      <c r="AJ666"/>
      <c r="AK666"/>
      <c r="AL666"/>
      <c r="AM666"/>
      <c r="AN666"/>
      <c r="AO666"/>
      <c r="AP666"/>
      <c r="AQ666" s="32" t="s">
        <v>1203</v>
      </c>
      <c r="AU666">
        <v>665</v>
      </c>
    </row>
    <row r="667" spans="1:47" x14ac:dyDescent="0.2">
      <c r="A667" s="26">
        <v>6021</v>
      </c>
      <c r="B667" s="27">
        <v>0</v>
      </c>
      <c r="C667" s="28"/>
      <c r="D667" s="29"/>
      <c r="E667" s="102" t="s">
        <v>1102</v>
      </c>
      <c r="H667" s="32">
        <v>0</v>
      </c>
      <c r="I667" s="32" t="s">
        <v>1103</v>
      </c>
      <c r="AG667" s="32">
        <v>0</v>
      </c>
      <c r="AH667" s="32">
        <v>0</v>
      </c>
      <c r="AI667" s="32">
        <v>0</v>
      </c>
      <c r="AK667" s="32">
        <v>0</v>
      </c>
      <c r="AL667" s="32">
        <v>1</v>
      </c>
      <c r="AO667" s="73" t="s">
        <v>1006</v>
      </c>
      <c r="AP667" s="32">
        <v>1</v>
      </c>
      <c r="AQ667" s="32" t="s">
        <v>589</v>
      </c>
      <c r="AU667">
        <v>666</v>
      </c>
    </row>
    <row r="668" spans="1:47" x14ac:dyDescent="0.2">
      <c r="A668" s="37">
        <v>6022</v>
      </c>
      <c r="B668" s="38" t="s">
        <v>45</v>
      </c>
      <c r="C668" s="39" t="s">
        <v>253</v>
      </c>
      <c r="D668" s="29"/>
      <c r="E668" s="38" t="s">
        <v>1673</v>
      </c>
      <c r="F668" s="32" t="s">
        <v>107</v>
      </c>
      <c r="G668" s="47"/>
      <c r="H668"/>
      <c r="I668" s="32"/>
      <c r="J668" s="47"/>
      <c r="K668" s="47"/>
      <c r="L668" s="48"/>
      <c r="M668" s="47"/>
      <c r="N668" s="47"/>
      <c r="O668" s="47"/>
      <c r="P668" s="47"/>
      <c r="Q668" s="47"/>
      <c r="R668" s="47"/>
      <c r="S668" s="48"/>
      <c r="T668" s="47"/>
      <c r="U668" s="47"/>
      <c r="V668" s="47"/>
      <c r="W668" s="47"/>
      <c r="X668" s="47"/>
      <c r="Y668" s="47"/>
      <c r="Z668" s="47"/>
      <c r="AA668" s="49"/>
      <c r="AB668" s="49"/>
      <c r="AC668" s="49"/>
      <c r="AD668" s="50"/>
      <c r="AE668" s="47"/>
      <c r="AF668" s="47"/>
      <c r="AG668"/>
      <c r="AH668"/>
      <c r="AI668"/>
      <c r="AJ668"/>
      <c r="AK668"/>
      <c r="AL668"/>
      <c r="AM668"/>
      <c r="AN668"/>
      <c r="AO668"/>
      <c r="AP668"/>
      <c r="AQ668" s="32" t="s">
        <v>1203</v>
      </c>
      <c r="AU668">
        <v>667</v>
      </c>
    </row>
    <row r="669" spans="1:47" x14ac:dyDescent="0.2">
      <c r="A669" s="37">
        <v>6025</v>
      </c>
      <c r="B669" s="38" t="s">
        <v>45</v>
      </c>
      <c r="C669" s="39" t="s">
        <v>425</v>
      </c>
      <c r="D669" s="29"/>
      <c r="E669" s="38" t="s">
        <v>1674</v>
      </c>
      <c r="F669" s="32" t="s">
        <v>1675</v>
      </c>
      <c r="G669" s="47" t="s">
        <v>274</v>
      </c>
      <c r="H669"/>
      <c r="I669" s="32" t="s">
        <v>1676</v>
      </c>
      <c r="J669" s="47"/>
      <c r="K669" s="47">
        <f>60*10*2.2</f>
        <v>1320</v>
      </c>
      <c r="L669" s="48"/>
      <c r="M669" s="47"/>
      <c r="N669" s="47"/>
      <c r="O669" s="47"/>
      <c r="P669" s="47"/>
      <c r="Q669" s="47"/>
      <c r="R669" s="47"/>
      <c r="S669" s="48">
        <v>13</v>
      </c>
      <c r="T669" s="47">
        <v>0</v>
      </c>
      <c r="U669" s="47">
        <v>0</v>
      </c>
      <c r="V669" s="47">
        <v>0</v>
      </c>
      <c r="W669" s="47"/>
      <c r="X669" s="47"/>
      <c r="Y669" s="47" t="s">
        <v>51</v>
      </c>
      <c r="Z669" s="47" t="s">
        <v>146</v>
      </c>
      <c r="AA669" s="49"/>
      <c r="AB669" s="49"/>
      <c r="AC669" s="49"/>
      <c r="AD669" s="50"/>
      <c r="AE669" s="47" t="s">
        <v>1578</v>
      </c>
      <c r="AF669" s="47">
        <v>40</v>
      </c>
      <c r="AG669"/>
      <c r="AH669"/>
      <c r="AI669"/>
      <c r="AJ669"/>
      <c r="AK669">
        <v>60</v>
      </c>
      <c r="AL669"/>
      <c r="AM669"/>
      <c r="AN669"/>
      <c r="AO669"/>
      <c r="AP669"/>
      <c r="AQ669" s="32" t="s">
        <v>1677</v>
      </c>
      <c r="AU669">
        <v>668</v>
      </c>
    </row>
    <row r="670" spans="1:47" x14ac:dyDescent="0.2">
      <c r="A670" s="37">
        <v>6026</v>
      </c>
      <c r="B670" s="38" t="s">
        <v>85</v>
      </c>
      <c r="C670" s="39" t="s">
        <v>332</v>
      </c>
      <c r="D670" s="29"/>
      <c r="E670" s="38" t="s">
        <v>1678</v>
      </c>
      <c r="F670" s="32" t="s">
        <v>246</v>
      </c>
      <c r="G670" s="47" t="s">
        <v>49</v>
      </c>
      <c r="H670"/>
      <c r="I670" s="32" t="s">
        <v>1679</v>
      </c>
      <c r="J670" s="47"/>
      <c r="K670" s="47"/>
      <c r="L670" s="48"/>
      <c r="M670" s="47"/>
      <c r="N670" s="47"/>
      <c r="O670" s="47"/>
      <c r="P670" s="47"/>
      <c r="Q670" s="47"/>
      <c r="R670" s="47"/>
      <c r="S670" s="48"/>
      <c r="T670" s="47"/>
      <c r="U670" s="47"/>
      <c r="V670" s="47"/>
      <c r="W670" s="47"/>
      <c r="X670" s="47"/>
      <c r="Y670" s="47"/>
      <c r="Z670" s="47" t="s">
        <v>146</v>
      </c>
      <c r="AA670" s="49"/>
      <c r="AB670" s="49"/>
      <c r="AC670" s="49"/>
      <c r="AD670" s="50"/>
      <c r="AE670" s="47" t="s">
        <v>1594</v>
      </c>
      <c r="AF670" s="47">
        <v>75</v>
      </c>
      <c r="AG670"/>
      <c r="AH670"/>
      <c r="AI670"/>
      <c r="AJ670"/>
      <c r="AK670"/>
      <c r="AL670"/>
      <c r="AM670"/>
      <c r="AN670"/>
      <c r="AO670"/>
      <c r="AP670"/>
      <c r="AU670">
        <v>669</v>
      </c>
    </row>
    <row r="671" spans="1:47" x14ac:dyDescent="0.2">
      <c r="A671" s="37">
        <v>6026</v>
      </c>
      <c r="B671" s="38" t="s">
        <v>45</v>
      </c>
      <c r="C671" s="39" t="s">
        <v>253</v>
      </c>
      <c r="D671" s="29"/>
      <c r="E671" s="38" t="s">
        <v>1680</v>
      </c>
      <c r="F671" s="32" t="s">
        <v>107</v>
      </c>
      <c r="G671" s="47"/>
      <c r="H671"/>
      <c r="I671" s="32" t="s">
        <v>1681</v>
      </c>
      <c r="J671" s="47"/>
      <c r="K671" s="47"/>
      <c r="L671" s="48"/>
      <c r="M671" s="47"/>
      <c r="N671" s="47"/>
      <c r="O671" s="47"/>
      <c r="P671" s="47"/>
      <c r="Q671" s="47"/>
      <c r="R671" s="47"/>
      <c r="S671" s="48"/>
      <c r="T671" s="47"/>
      <c r="U671" s="47"/>
      <c r="V671" s="47"/>
      <c r="W671" s="47"/>
      <c r="X671" s="47"/>
      <c r="Y671" s="47"/>
      <c r="Z671" s="47"/>
      <c r="AA671" s="49"/>
      <c r="AB671" s="49"/>
      <c r="AC671" s="49"/>
      <c r="AD671" s="50"/>
      <c r="AE671" s="47"/>
      <c r="AF671" s="47"/>
      <c r="AG671"/>
      <c r="AH671"/>
      <c r="AI671"/>
      <c r="AJ671"/>
      <c r="AK671"/>
      <c r="AL671"/>
      <c r="AM671"/>
      <c r="AN671"/>
      <c r="AO671"/>
      <c r="AP671"/>
      <c r="AQ671" s="32" t="s">
        <v>1203</v>
      </c>
      <c r="AU671">
        <v>670</v>
      </c>
    </row>
    <row r="672" spans="1:47" x14ac:dyDescent="0.2">
      <c r="A672" s="37">
        <v>6027</v>
      </c>
      <c r="B672" s="38" t="s">
        <v>85</v>
      </c>
      <c r="C672" s="39" t="s">
        <v>253</v>
      </c>
      <c r="D672" s="29"/>
      <c r="E672" s="38" t="s">
        <v>1682</v>
      </c>
      <c r="F672" s="32" t="s">
        <v>150</v>
      </c>
      <c r="G672" s="47"/>
      <c r="H672"/>
      <c r="I672" s="32" t="s">
        <v>1683</v>
      </c>
      <c r="J672" s="47"/>
      <c r="K672" s="47"/>
      <c r="L672" s="48"/>
      <c r="M672" s="47"/>
      <c r="N672" s="47"/>
      <c r="O672" s="47"/>
      <c r="P672" s="47"/>
      <c r="Q672" s="47"/>
      <c r="R672" s="47"/>
      <c r="S672" s="48"/>
      <c r="T672" s="47"/>
      <c r="U672" s="47"/>
      <c r="V672" s="47"/>
      <c r="W672" s="47"/>
      <c r="X672" s="47"/>
      <c r="Y672" s="47"/>
      <c r="Z672" s="47"/>
      <c r="AA672" s="49"/>
      <c r="AB672" s="49"/>
      <c r="AC672" s="49"/>
      <c r="AD672" s="50"/>
      <c r="AE672" s="47"/>
      <c r="AF672" s="47"/>
      <c r="AG672"/>
      <c r="AH672"/>
      <c r="AI672"/>
      <c r="AJ672"/>
      <c r="AK672"/>
      <c r="AL672"/>
      <c r="AM672"/>
      <c r="AN672"/>
      <c r="AO672"/>
      <c r="AP672"/>
      <c r="AQ672" s="32" t="s">
        <v>1579</v>
      </c>
      <c r="AU672">
        <v>671</v>
      </c>
    </row>
    <row r="673" spans="1:47" x14ac:dyDescent="0.2">
      <c r="A673" s="37">
        <v>6027</v>
      </c>
      <c r="B673" s="38" t="s">
        <v>45</v>
      </c>
      <c r="C673" s="39" t="s">
        <v>1561</v>
      </c>
      <c r="D673" s="29"/>
      <c r="E673" s="38" t="s">
        <v>1684</v>
      </c>
      <c r="F673" s="32" t="s">
        <v>1685</v>
      </c>
      <c r="G673" s="47" t="s">
        <v>49</v>
      </c>
      <c r="H673"/>
      <c r="I673" s="32" t="b">
        <v>1</v>
      </c>
      <c r="J673" s="47" t="b">
        <v>1</v>
      </c>
      <c r="K673" s="47">
        <f>(12*10+20*0.555)*2.2</f>
        <v>288.42</v>
      </c>
      <c r="L673" s="48">
        <v>6</v>
      </c>
      <c r="M673" s="47"/>
      <c r="N673" s="47">
        <v>3</v>
      </c>
      <c r="O673" s="47"/>
      <c r="P673" s="47"/>
      <c r="Q673" s="47"/>
      <c r="R673" s="47"/>
      <c r="S673" s="48">
        <v>3</v>
      </c>
      <c r="T673" s="47">
        <v>0</v>
      </c>
      <c r="U673" s="47">
        <v>0</v>
      </c>
      <c r="V673" s="47">
        <v>0</v>
      </c>
      <c r="W673" s="47"/>
      <c r="X673" s="47"/>
      <c r="Y673" s="47" t="s">
        <v>51</v>
      </c>
      <c r="Z673" s="47" t="s">
        <v>1565</v>
      </c>
      <c r="AA673" s="49">
        <v>0.94791666666666663</v>
      </c>
      <c r="AB673" s="49"/>
      <c r="AC673" s="49"/>
      <c r="AD673" s="50"/>
      <c r="AE673" s="31" t="s">
        <v>342</v>
      </c>
      <c r="AF673" s="47">
        <v>55</v>
      </c>
      <c r="AG673"/>
      <c r="AH673"/>
      <c r="AI673"/>
      <c r="AJ673"/>
      <c r="AK673">
        <v>32</v>
      </c>
      <c r="AL673"/>
      <c r="AM673"/>
      <c r="AN673"/>
      <c r="AO673"/>
      <c r="AP673"/>
      <c r="AQ673" s="32" t="s">
        <v>1677</v>
      </c>
      <c r="AR673" s="32" t="s">
        <v>1686</v>
      </c>
      <c r="AU673">
        <v>672</v>
      </c>
    </row>
    <row r="674" spans="1:47" x14ac:dyDescent="0.2">
      <c r="A674" s="37">
        <v>6027</v>
      </c>
      <c r="B674" s="38" t="s">
        <v>45</v>
      </c>
      <c r="C674" s="39" t="s">
        <v>1561</v>
      </c>
      <c r="D674" s="29"/>
      <c r="E674" s="38" t="s">
        <v>788</v>
      </c>
      <c r="F674" s="32" t="s">
        <v>150</v>
      </c>
      <c r="G674" s="47" t="s">
        <v>49</v>
      </c>
      <c r="H674"/>
      <c r="I674" s="32" t="b">
        <v>0</v>
      </c>
      <c r="J674" s="31" t="b">
        <v>1</v>
      </c>
      <c r="K674" s="47">
        <f>12*10*2.2</f>
        <v>264</v>
      </c>
      <c r="L674" s="48"/>
      <c r="M674" s="47"/>
      <c r="N674" s="47"/>
      <c r="O674" s="47"/>
      <c r="P674" s="47"/>
      <c r="Q674" s="47"/>
      <c r="R674" s="47"/>
      <c r="S674" s="48">
        <v>2</v>
      </c>
      <c r="T674" s="47"/>
      <c r="U674" s="47"/>
      <c r="V674" s="47"/>
      <c r="W674" s="47"/>
      <c r="X674" s="47"/>
      <c r="Y674" s="47" t="s">
        <v>51</v>
      </c>
      <c r="Z674" s="47" t="s">
        <v>1565</v>
      </c>
      <c r="AA674" s="49">
        <v>0.94791666666666663</v>
      </c>
      <c r="AB674" s="49"/>
      <c r="AC674" s="49"/>
      <c r="AD674" s="50"/>
      <c r="AE674" s="31" t="s">
        <v>342</v>
      </c>
      <c r="AF674" s="47">
        <v>55</v>
      </c>
      <c r="AG674"/>
      <c r="AH674"/>
      <c r="AI674"/>
      <c r="AJ674"/>
      <c r="AK674">
        <v>12</v>
      </c>
      <c r="AL674"/>
      <c r="AM674"/>
      <c r="AN674"/>
      <c r="AO674"/>
      <c r="AP674"/>
      <c r="AQ674" s="32" t="s">
        <v>1677</v>
      </c>
      <c r="AR674" s="32" t="s">
        <v>1687</v>
      </c>
      <c r="AU674">
        <v>673</v>
      </c>
    </row>
    <row r="675" spans="1:47" x14ac:dyDescent="0.2">
      <c r="A675" s="37">
        <v>6027</v>
      </c>
      <c r="B675" s="38" t="s">
        <v>45</v>
      </c>
      <c r="C675" s="39" t="s">
        <v>1561</v>
      </c>
      <c r="D675" s="29"/>
      <c r="E675" s="38" t="s">
        <v>364</v>
      </c>
      <c r="F675" s="32" t="s">
        <v>1688</v>
      </c>
      <c r="G675" s="47" t="s">
        <v>49</v>
      </c>
      <c r="H675"/>
      <c r="I675" s="32" t="b">
        <v>0</v>
      </c>
      <c r="J675" s="31" t="b">
        <v>1</v>
      </c>
      <c r="K675" s="47">
        <f>20*0.555*2.2</f>
        <v>24.420000000000005</v>
      </c>
      <c r="L675" s="48"/>
      <c r="M675" s="47"/>
      <c r="N675" s="47"/>
      <c r="O675" s="47"/>
      <c r="P675" s="47"/>
      <c r="Q675" s="47"/>
      <c r="R675" s="47"/>
      <c r="S675" s="48">
        <v>1</v>
      </c>
      <c r="T675" s="47"/>
      <c r="U675" s="47"/>
      <c r="V675" s="47"/>
      <c r="W675" s="47"/>
      <c r="X675" s="47"/>
      <c r="Y675" s="47" t="s">
        <v>51</v>
      </c>
      <c r="Z675" s="47" t="s">
        <v>1565</v>
      </c>
      <c r="AA675" s="49">
        <v>0.94791666666666663</v>
      </c>
      <c r="AB675" s="49"/>
      <c r="AC675" s="49"/>
      <c r="AD675" s="50"/>
      <c r="AE675" s="31" t="s">
        <v>342</v>
      </c>
      <c r="AF675" s="47">
        <v>45</v>
      </c>
      <c r="AG675"/>
      <c r="AH675"/>
      <c r="AI675"/>
      <c r="AJ675"/>
      <c r="AK675">
        <v>20</v>
      </c>
      <c r="AL675"/>
      <c r="AM675"/>
      <c r="AN675"/>
      <c r="AO675"/>
      <c r="AP675"/>
      <c r="AQ675" s="32" t="s">
        <v>1677</v>
      </c>
      <c r="AR675" s="32" t="s">
        <v>1689</v>
      </c>
      <c r="AU675">
        <v>674</v>
      </c>
    </row>
    <row r="676" spans="1:47" x14ac:dyDescent="0.2">
      <c r="A676" s="37">
        <v>6027</v>
      </c>
      <c r="B676" s="38" t="s">
        <v>45</v>
      </c>
      <c r="C676" s="39" t="s">
        <v>1690</v>
      </c>
      <c r="D676" s="29"/>
      <c r="E676" s="38" t="s">
        <v>1397</v>
      </c>
      <c r="F676" s="32" t="s">
        <v>150</v>
      </c>
      <c r="G676" s="47" t="s">
        <v>49</v>
      </c>
      <c r="H676"/>
      <c r="I676" s="32" t="s">
        <v>1691</v>
      </c>
      <c r="J676" s="47"/>
      <c r="K676" s="47">
        <f>38*10*2.2</f>
        <v>836.00000000000011</v>
      </c>
      <c r="L676" s="48"/>
      <c r="M676" s="47"/>
      <c r="N676" s="47"/>
      <c r="O676" s="47"/>
      <c r="P676" s="47"/>
      <c r="Q676" s="47"/>
      <c r="R676" s="47"/>
      <c r="S676" s="48">
        <v>6</v>
      </c>
      <c r="T676" s="47"/>
      <c r="U676" s="47"/>
      <c r="V676" s="47"/>
      <c r="W676" s="47"/>
      <c r="X676" s="47"/>
      <c r="Y676" s="47"/>
      <c r="Z676" s="47"/>
      <c r="AA676" s="49"/>
      <c r="AB676" s="49"/>
      <c r="AC676" s="49"/>
      <c r="AD676" s="50"/>
      <c r="AE676" s="47"/>
      <c r="AF676" s="47"/>
      <c r="AG676"/>
      <c r="AH676"/>
      <c r="AI676"/>
      <c r="AJ676"/>
      <c r="AK676"/>
      <c r="AL676"/>
      <c r="AM676"/>
      <c r="AN676"/>
      <c r="AO676"/>
      <c r="AP676"/>
      <c r="AQ676" t="s">
        <v>1692</v>
      </c>
      <c r="AU676">
        <v>675</v>
      </c>
    </row>
    <row r="677" spans="1:47" x14ac:dyDescent="0.2">
      <c r="A677" s="37">
        <v>6027</v>
      </c>
      <c r="B677" s="38" t="s">
        <v>45</v>
      </c>
      <c r="C677" s="39" t="s">
        <v>425</v>
      </c>
      <c r="D677" s="29"/>
      <c r="E677" s="38" t="s">
        <v>1693</v>
      </c>
      <c r="F677" s="32" t="s">
        <v>150</v>
      </c>
      <c r="G677" s="47" t="s">
        <v>49</v>
      </c>
      <c r="H677"/>
      <c r="I677" s="32" t="s">
        <v>1694</v>
      </c>
      <c r="J677" s="47"/>
      <c r="K677" s="47">
        <f>77*10*2.2</f>
        <v>1694.0000000000002</v>
      </c>
      <c r="L677" s="48"/>
      <c r="M677" s="47"/>
      <c r="N677" s="47"/>
      <c r="O677" s="47"/>
      <c r="P677" s="47"/>
      <c r="Q677" s="47"/>
      <c r="R677" s="47"/>
      <c r="S677" s="48">
        <v>10</v>
      </c>
      <c r="T677" s="47">
        <v>0</v>
      </c>
      <c r="U677" s="47">
        <v>0</v>
      </c>
      <c r="V677" s="47">
        <v>0</v>
      </c>
      <c r="W677" s="47"/>
      <c r="X677" s="47"/>
      <c r="Y677" s="47" t="s">
        <v>51</v>
      </c>
      <c r="Z677" s="47" t="s">
        <v>146</v>
      </c>
      <c r="AA677" s="49"/>
      <c r="AB677" s="49"/>
      <c r="AC677" s="49"/>
      <c r="AD677" s="50"/>
      <c r="AE677" s="47" t="s">
        <v>1578</v>
      </c>
      <c r="AF677" s="47">
        <v>50</v>
      </c>
      <c r="AG677"/>
      <c r="AH677"/>
      <c r="AI677"/>
      <c r="AJ677"/>
      <c r="AK677">
        <v>77</v>
      </c>
      <c r="AL677"/>
      <c r="AM677"/>
      <c r="AN677"/>
      <c r="AO677"/>
      <c r="AP677"/>
      <c r="AQ677" s="32" t="s">
        <v>1677</v>
      </c>
      <c r="AU677">
        <v>676</v>
      </c>
    </row>
    <row r="678" spans="1:47" x14ac:dyDescent="0.2">
      <c r="A678" s="37">
        <v>6027</v>
      </c>
      <c r="B678" s="38" t="s">
        <v>45</v>
      </c>
      <c r="C678" s="39" t="s">
        <v>1262</v>
      </c>
      <c r="D678" s="29"/>
      <c r="E678" s="38" t="s">
        <v>1695</v>
      </c>
      <c r="F678" s="32" t="s">
        <v>107</v>
      </c>
      <c r="G678" s="47" t="s">
        <v>73</v>
      </c>
      <c r="H678"/>
      <c r="I678" s="32"/>
      <c r="J678" s="47"/>
      <c r="K678" s="47">
        <f>(31*10+7*7.25)*2.2</f>
        <v>793.65000000000009</v>
      </c>
      <c r="L678" s="48"/>
      <c r="M678" s="47"/>
      <c r="N678" s="47"/>
      <c r="O678" s="47"/>
      <c r="P678" s="47"/>
      <c r="Q678" s="47"/>
      <c r="R678" s="47"/>
      <c r="S678" s="48">
        <v>6</v>
      </c>
      <c r="T678" s="47">
        <v>0</v>
      </c>
      <c r="U678" s="47">
        <v>0</v>
      </c>
      <c r="V678" s="47">
        <v>0</v>
      </c>
      <c r="W678" s="47"/>
      <c r="X678" s="47"/>
      <c r="Y678" s="47" t="s">
        <v>51</v>
      </c>
      <c r="Z678" s="47" t="s">
        <v>146</v>
      </c>
      <c r="AA678" s="49"/>
      <c r="AB678" s="49"/>
      <c r="AC678" s="49"/>
      <c r="AD678" s="50"/>
      <c r="AE678" s="47" t="s">
        <v>1558</v>
      </c>
      <c r="AF678" s="47"/>
      <c r="AG678"/>
      <c r="AH678"/>
      <c r="AI678"/>
      <c r="AJ678"/>
      <c r="AK678">
        <v>38</v>
      </c>
      <c r="AL678"/>
      <c r="AM678"/>
      <c r="AN678"/>
      <c r="AO678"/>
      <c r="AP678"/>
      <c r="AQ678" s="32" t="s">
        <v>1677</v>
      </c>
      <c r="AR678" s="32" t="s">
        <v>1560</v>
      </c>
      <c r="AU678">
        <v>677</v>
      </c>
    </row>
    <row r="679" spans="1:47" x14ac:dyDescent="0.2">
      <c r="A679" s="26">
        <v>6027</v>
      </c>
      <c r="B679" s="27" t="s">
        <v>85</v>
      </c>
      <c r="C679" s="28"/>
      <c r="D679" s="29"/>
      <c r="E679" s="30" t="s">
        <v>1531</v>
      </c>
      <c r="H679" s="32">
        <v>1</v>
      </c>
      <c r="I679" s="32" t="s">
        <v>1696</v>
      </c>
      <c r="AM679" s="32">
        <f>498*76</f>
        <v>37848</v>
      </c>
      <c r="AO679" s="32" t="s">
        <v>1533</v>
      </c>
      <c r="AQ679" s="32" t="s">
        <v>1101</v>
      </c>
      <c r="AU679">
        <v>678</v>
      </c>
    </row>
    <row r="680" spans="1:47" x14ac:dyDescent="0.2">
      <c r="A680" s="26">
        <v>6027</v>
      </c>
      <c r="B680" s="27" t="s">
        <v>45</v>
      </c>
      <c r="C680" s="28"/>
      <c r="D680" s="29"/>
      <c r="E680" s="30" t="s">
        <v>464</v>
      </c>
      <c r="H680" s="32">
        <v>1</v>
      </c>
      <c r="I680" s="32" t="s">
        <v>1697</v>
      </c>
      <c r="AG680" s="32">
        <v>0</v>
      </c>
      <c r="AH680" s="32">
        <v>0</v>
      </c>
      <c r="AK680" s="32">
        <v>5</v>
      </c>
      <c r="AO680" s="32" t="s">
        <v>487</v>
      </c>
      <c r="AQ680" s="32">
        <v>385</v>
      </c>
      <c r="AU680">
        <v>679</v>
      </c>
    </row>
    <row r="681" spans="1:47" x14ac:dyDescent="0.2">
      <c r="A681" s="37">
        <v>6028</v>
      </c>
      <c r="B681" s="38" t="s">
        <v>45</v>
      </c>
      <c r="C681" s="39" t="s">
        <v>425</v>
      </c>
      <c r="D681" s="29"/>
      <c r="E681" s="38" t="s">
        <v>1698</v>
      </c>
      <c r="F681" s="31" t="s">
        <v>1699</v>
      </c>
      <c r="G681" s="31" t="s">
        <v>73</v>
      </c>
      <c r="H681" s="32"/>
      <c r="I681" s="32" t="s">
        <v>1700</v>
      </c>
      <c r="K681" s="31">
        <f>70*10*2.2</f>
        <v>1540.0000000000002</v>
      </c>
      <c r="S681" s="33">
        <v>14</v>
      </c>
      <c r="T681" s="47">
        <v>0</v>
      </c>
      <c r="U681" s="47">
        <v>0</v>
      </c>
      <c r="V681" s="47">
        <v>0</v>
      </c>
      <c r="W681" s="47"/>
      <c r="X681" s="47"/>
      <c r="Y681" s="47" t="s">
        <v>51</v>
      </c>
      <c r="Z681" s="47" t="s">
        <v>146</v>
      </c>
      <c r="AA681" s="49"/>
      <c r="AB681" s="49"/>
      <c r="AC681" s="49"/>
      <c r="AD681" s="50"/>
      <c r="AE681" s="47" t="s">
        <v>1578</v>
      </c>
      <c r="AF681" s="31">
        <v>65</v>
      </c>
      <c r="AK681" s="32">
        <v>70</v>
      </c>
      <c r="AQ681" s="32" t="s">
        <v>1701</v>
      </c>
      <c r="AU681">
        <v>680</v>
      </c>
    </row>
    <row r="682" spans="1:47" x14ac:dyDescent="0.2">
      <c r="A682" s="37">
        <v>6028</v>
      </c>
      <c r="B682" s="38" t="s">
        <v>45</v>
      </c>
      <c r="C682" s="39" t="s">
        <v>1262</v>
      </c>
      <c r="D682" s="29"/>
      <c r="E682" s="38" t="s">
        <v>1702</v>
      </c>
      <c r="F682" s="31" t="s">
        <v>340</v>
      </c>
      <c r="G682" s="31" t="s">
        <v>49</v>
      </c>
      <c r="H682" s="32"/>
      <c r="I682" s="32" t="s">
        <v>1703</v>
      </c>
      <c r="K682" s="31">
        <f>46*10*2.2</f>
        <v>1012.0000000000001</v>
      </c>
      <c r="S682" s="33">
        <v>9</v>
      </c>
      <c r="T682" s="47">
        <v>0</v>
      </c>
      <c r="U682" s="47">
        <v>0</v>
      </c>
      <c r="V682" s="47">
        <v>0</v>
      </c>
      <c r="W682" s="47"/>
      <c r="X682" s="47"/>
      <c r="Y682" s="47" t="s">
        <v>51</v>
      </c>
      <c r="Z682" s="47" t="s">
        <v>146</v>
      </c>
      <c r="AA682" s="49"/>
      <c r="AB682" s="49"/>
      <c r="AC682" s="49"/>
      <c r="AD682" s="50"/>
      <c r="AE682" s="47" t="s">
        <v>1558</v>
      </c>
      <c r="AF682" s="31">
        <v>35</v>
      </c>
      <c r="AK682" s="32">
        <v>46</v>
      </c>
      <c r="AQ682" s="32" t="s">
        <v>1701</v>
      </c>
      <c r="AR682" s="32" t="s">
        <v>1560</v>
      </c>
      <c r="AU682">
        <v>681</v>
      </c>
    </row>
    <row r="683" spans="1:47" x14ac:dyDescent="0.2">
      <c r="A683" s="37">
        <v>6029</v>
      </c>
      <c r="B683" s="38" t="s">
        <v>85</v>
      </c>
      <c r="C683" s="39" t="s">
        <v>1704</v>
      </c>
      <c r="D683" s="29"/>
      <c r="E683" s="38" t="s">
        <v>1397</v>
      </c>
      <c r="F683" s="32" t="s">
        <v>150</v>
      </c>
      <c r="H683" s="32"/>
      <c r="I683" s="32" t="s">
        <v>1705</v>
      </c>
      <c r="S683" s="33">
        <v>9</v>
      </c>
      <c r="T683" s="31">
        <v>1</v>
      </c>
      <c r="AQ683" t="s">
        <v>1692</v>
      </c>
      <c r="AU683">
        <v>682</v>
      </c>
    </row>
    <row r="684" spans="1:47" x14ac:dyDescent="0.2">
      <c r="A684" s="26">
        <v>6029</v>
      </c>
      <c r="B684" s="27" t="s">
        <v>45</v>
      </c>
      <c r="C684" s="28"/>
      <c r="D684" s="29"/>
      <c r="E684" s="30" t="s">
        <v>1531</v>
      </c>
      <c r="H684" s="32">
        <v>0</v>
      </c>
      <c r="I684" s="32" t="s">
        <v>1706</v>
      </c>
      <c r="AG684" s="32">
        <v>0</v>
      </c>
      <c r="AH684" s="32">
        <v>0</v>
      </c>
      <c r="AI684" s="32">
        <v>0</v>
      </c>
      <c r="AK684" s="32">
        <v>0</v>
      </c>
      <c r="AM684" s="32">
        <f>498*99</f>
        <v>49302</v>
      </c>
      <c r="AO684" s="32" t="s">
        <v>1533</v>
      </c>
      <c r="AQ684" s="32" t="s">
        <v>1101</v>
      </c>
      <c r="AU684">
        <v>683</v>
      </c>
    </row>
    <row r="685" spans="1:47" x14ac:dyDescent="0.2">
      <c r="A685" s="37">
        <v>6031</v>
      </c>
      <c r="B685" s="38" t="s">
        <v>45</v>
      </c>
      <c r="C685" s="39" t="s">
        <v>425</v>
      </c>
      <c r="D685" s="29"/>
      <c r="E685" s="38" t="s">
        <v>1698</v>
      </c>
      <c r="F685" s="31" t="s">
        <v>1707</v>
      </c>
      <c r="G685" s="31" t="s">
        <v>73</v>
      </c>
      <c r="H685" s="32"/>
      <c r="I685" s="32" t="s">
        <v>1708</v>
      </c>
      <c r="K685" s="31">
        <f>53*10*2.2</f>
        <v>1166</v>
      </c>
      <c r="S685" s="33">
        <v>7</v>
      </c>
      <c r="T685" s="47">
        <v>0</v>
      </c>
      <c r="U685" s="47">
        <v>0</v>
      </c>
      <c r="V685" s="47">
        <v>0</v>
      </c>
      <c r="W685" s="47"/>
      <c r="X685" s="47"/>
      <c r="Y685" s="47" t="s">
        <v>51</v>
      </c>
      <c r="Z685" s="47" t="s">
        <v>146</v>
      </c>
      <c r="AA685" s="49"/>
      <c r="AB685" s="49"/>
      <c r="AC685" s="49"/>
      <c r="AD685" s="50"/>
      <c r="AE685" s="47" t="s">
        <v>1578</v>
      </c>
      <c r="AF685" s="31">
        <v>65</v>
      </c>
      <c r="AK685" s="32">
        <v>53</v>
      </c>
      <c r="AQ685" s="32" t="s">
        <v>1701</v>
      </c>
      <c r="AU685">
        <v>684</v>
      </c>
    </row>
    <row r="686" spans="1:47" x14ac:dyDescent="0.2">
      <c r="A686" s="37">
        <v>6031</v>
      </c>
      <c r="B686" s="38" t="s">
        <v>45</v>
      </c>
      <c r="C686" s="39" t="s">
        <v>332</v>
      </c>
      <c r="D686" s="29"/>
      <c r="E686" s="38" t="s">
        <v>1709</v>
      </c>
      <c r="F686" s="31" t="s">
        <v>1710</v>
      </c>
      <c r="G686" s="31" t="s">
        <v>73</v>
      </c>
      <c r="H686" s="32"/>
      <c r="I686" s="32" t="s">
        <v>1711</v>
      </c>
      <c r="Z686" s="47" t="s">
        <v>146</v>
      </c>
      <c r="AE686" s="47" t="s">
        <v>1594</v>
      </c>
      <c r="AF686" s="31">
        <v>50</v>
      </c>
      <c r="AQ686" s="32" t="s">
        <v>1692</v>
      </c>
      <c r="AU686">
        <v>685</v>
      </c>
    </row>
    <row r="687" spans="1:47" x14ac:dyDescent="0.2">
      <c r="A687" s="37">
        <v>6032</v>
      </c>
      <c r="B687" s="38" t="s">
        <v>85</v>
      </c>
      <c r="C687" s="39" t="s">
        <v>253</v>
      </c>
      <c r="D687" s="29"/>
      <c r="E687" s="38" t="s">
        <v>1712</v>
      </c>
      <c r="F687" s="32" t="s">
        <v>430</v>
      </c>
      <c r="G687" s="47"/>
      <c r="H687"/>
      <c r="I687" s="32"/>
      <c r="J687" s="47"/>
      <c r="K687" s="47"/>
      <c r="L687" s="48"/>
      <c r="M687" s="47"/>
      <c r="N687" s="47"/>
      <c r="O687" s="47"/>
      <c r="P687" s="47"/>
      <c r="Q687" s="47"/>
      <c r="R687" s="47"/>
      <c r="S687" s="48"/>
      <c r="T687" s="47"/>
      <c r="U687" s="47"/>
      <c r="V687" s="47"/>
      <c r="W687" s="47"/>
      <c r="X687" s="47"/>
      <c r="Y687" s="47"/>
      <c r="Z687" s="47"/>
      <c r="AA687" s="49"/>
      <c r="AB687" s="49"/>
      <c r="AC687" s="49"/>
      <c r="AD687" s="50"/>
      <c r="AE687" s="47"/>
      <c r="AF687" s="47"/>
      <c r="AG687"/>
      <c r="AH687"/>
      <c r="AI687"/>
      <c r="AJ687"/>
      <c r="AK687"/>
      <c r="AL687"/>
      <c r="AM687"/>
      <c r="AN687"/>
      <c r="AO687"/>
      <c r="AP687"/>
      <c r="AQ687" s="32" t="s">
        <v>1375</v>
      </c>
      <c r="AU687">
        <v>686</v>
      </c>
    </row>
    <row r="688" spans="1:47" x14ac:dyDescent="0.2">
      <c r="A688" s="37">
        <v>6036</v>
      </c>
      <c r="B688" s="38" t="s">
        <v>45</v>
      </c>
      <c r="C688" s="39" t="s">
        <v>1561</v>
      </c>
      <c r="D688" s="29"/>
      <c r="E688" s="38" t="s">
        <v>1713</v>
      </c>
      <c r="F688" s="32" t="s">
        <v>1714</v>
      </c>
      <c r="G688" s="47" t="s">
        <v>49</v>
      </c>
      <c r="H688"/>
      <c r="I688" s="32" t="b">
        <v>1</v>
      </c>
      <c r="J688" s="47" t="b">
        <v>1</v>
      </c>
      <c r="K688" s="47">
        <f>484+35</f>
        <v>519</v>
      </c>
      <c r="L688" s="48">
        <v>7</v>
      </c>
      <c r="M688" s="47"/>
      <c r="N688" s="47">
        <v>2</v>
      </c>
      <c r="O688" s="47"/>
      <c r="P688" s="47"/>
      <c r="Q688" s="47"/>
      <c r="R688" s="47"/>
      <c r="S688" s="48">
        <v>5</v>
      </c>
      <c r="T688" s="47">
        <v>0</v>
      </c>
      <c r="U688" s="47">
        <v>0</v>
      </c>
      <c r="V688" s="47">
        <v>0</v>
      </c>
      <c r="W688" s="47"/>
      <c r="X688" s="47"/>
      <c r="Y688" s="47" t="s">
        <v>51</v>
      </c>
      <c r="Z688" s="47" t="s">
        <v>1565</v>
      </c>
      <c r="AA688" s="49">
        <v>0.94791666666666663</v>
      </c>
      <c r="AB688" s="49"/>
      <c r="AC688" s="49"/>
      <c r="AD688" s="50"/>
      <c r="AE688" s="31" t="s">
        <v>342</v>
      </c>
      <c r="AF688" s="47">
        <v>55</v>
      </c>
      <c r="AG688"/>
      <c r="AH688"/>
      <c r="AI688"/>
      <c r="AJ688"/>
      <c r="AK688">
        <f>22+29</f>
        <v>51</v>
      </c>
      <c r="AL688"/>
      <c r="AM688"/>
      <c r="AN688"/>
      <c r="AO688"/>
      <c r="AP688"/>
      <c r="AQ688" s="32" t="s">
        <v>1701</v>
      </c>
      <c r="AR688" s="32" t="s">
        <v>1715</v>
      </c>
      <c r="AU688">
        <v>687</v>
      </c>
    </row>
    <row r="689" spans="1:47" x14ac:dyDescent="0.2">
      <c r="A689" s="37">
        <v>6036</v>
      </c>
      <c r="B689" s="38" t="s">
        <v>45</v>
      </c>
      <c r="C689" s="39" t="s">
        <v>1561</v>
      </c>
      <c r="D689" s="29"/>
      <c r="E689" s="38" t="s">
        <v>1389</v>
      </c>
      <c r="F689" s="32" t="s">
        <v>220</v>
      </c>
      <c r="G689" s="47" t="s">
        <v>49</v>
      </c>
      <c r="H689"/>
      <c r="I689" s="32" t="b">
        <v>0</v>
      </c>
      <c r="J689" s="31" t="b">
        <v>1</v>
      </c>
      <c r="K689" s="47">
        <f>22*10*2.2</f>
        <v>484.00000000000006</v>
      </c>
      <c r="L689" s="48"/>
      <c r="M689" s="47"/>
      <c r="N689" s="47"/>
      <c r="O689" s="47"/>
      <c r="P689" s="47"/>
      <c r="Q689" s="47"/>
      <c r="R689" s="47"/>
      <c r="S689" s="48">
        <v>3</v>
      </c>
      <c r="T689" s="47">
        <v>0</v>
      </c>
      <c r="U689" s="47">
        <v>0</v>
      </c>
      <c r="V689" s="47">
        <v>0</v>
      </c>
      <c r="W689" s="47"/>
      <c r="X689" s="47"/>
      <c r="Y689" s="47" t="s">
        <v>51</v>
      </c>
      <c r="Z689" s="47" t="s">
        <v>1565</v>
      </c>
      <c r="AA689" s="49">
        <v>0.94791666666666663</v>
      </c>
      <c r="AB689" s="49"/>
      <c r="AC689" s="49"/>
      <c r="AD689" s="50"/>
      <c r="AE689" s="31" t="s">
        <v>342</v>
      </c>
      <c r="AF689" s="47">
        <v>55</v>
      </c>
      <c r="AG689"/>
      <c r="AH689"/>
      <c r="AI689"/>
      <c r="AJ689"/>
      <c r="AK689">
        <v>22</v>
      </c>
      <c r="AL689"/>
      <c r="AM689"/>
      <c r="AN689"/>
      <c r="AO689"/>
      <c r="AP689"/>
      <c r="AQ689" s="32" t="s">
        <v>1701</v>
      </c>
      <c r="AR689" s="32" t="s">
        <v>1715</v>
      </c>
      <c r="AU689">
        <v>688</v>
      </c>
    </row>
    <row r="690" spans="1:47" x14ac:dyDescent="0.2">
      <c r="A690" s="37">
        <v>6036</v>
      </c>
      <c r="B690" s="38" t="s">
        <v>45</v>
      </c>
      <c r="C690" s="39" t="s">
        <v>1561</v>
      </c>
      <c r="D690" s="29"/>
      <c r="E690" s="38" t="s">
        <v>1716</v>
      </c>
      <c r="F690" s="32" t="s">
        <v>1717</v>
      </c>
      <c r="G690" s="47" t="s">
        <v>69</v>
      </c>
      <c r="H690"/>
      <c r="I690" s="32" t="b">
        <v>0</v>
      </c>
      <c r="J690" s="31" t="b">
        <v>1</v>
      </c>
      <c r="K690" s="47">
        <f>29*0.555*2.2</f>
        <v>35.409000000000006</v>
      </c>
      <c r="L690" s="48"/>
      <c r="M690" s="47"/>
      <c r="N690" s="47"/>
      <c r="O690" s="47"/>
      <c r="P690" s="47"/>
      <c r="Q690" s="47"/>
      <c r="R690" s="47"/>
      <c r="S690" s="48">
        <v>2</v>
      </c>
      <c r="T690" s="47">
        <v>0</v>
      </c>
      <c r="U690" s="47">
        <v>0</v>
      </c>
      <c r="V690" s="47">
        <v>0</v>
      </c>
      <c r="W690" s="47"/>
      <c r="X690" s="47"/>
      <c r="Y690" s="47" t="s">
        <v>51</v>
      </c>
      <c r="Z690" s="47" t="s">
        <v>1565</v>
      </c>
      <c r="AA690" s="49">
        <v>0.94791666666666663</v>
      </c>
      <c r="AB690" s="49"/>
      <c r="AC690" s="49"/>
      <c r="AD690" s="50"/>
      <c r="AE690" s="31" t="s">
        <v>342</v>
      </c>
      <c r="AF690" s="31">
        <v>35</v>
      </c>
      <c r="AG690"/>
      <c r="AH690"/>
      <c r="AI690"/>
      <c r="AJ690"/>
      <c r="AK690">
        <v>29</v>
      </c>
      <c r="AL690"/>
      <c r="AM690"/>
      <c r="AN690"/>
      <c r="AO690"/>
      <c r="AP690"/>
      <c r="AQ690" s="32" t="s">
        <v>1701</v>
      </c>
      <c r="AR690" s="32" t="s">
        <v>1715</v>
      </c>
      <c r="AU690">
        <v>689</v>
      </c>
    </row>
    <row r="691" spans="1:47" x14ac:dyDescent="0.2">
      <c r="A691" s="37">
        <v>6036</v>
      </c>
      <c r="B691" s="38" t="s">
        <v>45</v>
      </c>
      <c r="C691" s="39" t="s">
        <v>425</v>
      </c>
      <c r="D691" s="29"/>
      <c r="E691" s="38" t="s">
        <v>124</v>
      </c>
      <c r="F691" s="32" t="s">
        <v>353</v>
      </c>
      <c r="G691" s="47" t="s">
        <v>49</v>
      </c>
      <c r="H691"/>
      <c r="I691" s="32" t="s">
        <v>1708</v>
      </c>
      <c r="K691" s="47">
        <f>79*10*2.2</f>
        <v>1738.0000000000002</v>
      </c>
      <c r="L691" s="48"/>
      <c r="M691" s="47"/>
      <c r="N691" s="47"/>
      <c r="O691" s="47"/>
      <c r="P691" s="47"/>
      <c r="Q691" s="47"/>
      <c r="R691" s="47"/>
      <c r="S691" s="48">
        <v>11</v>
      </c>
      <c r="T691" s="47">
        <v>0</v>
      </c>
      <c r="U691" s="47">
        <v>0</v>
      </c>
      <c r="V691" s="47">
        <v>0</v>
      </c>
      <c r="W691" s="47"/>
      <c r="X691" s="47"/>
      <c r="Y691" s="47" t="s">
        <v>51</v>
      </c>
      <c r="Z691" s="47" t="s">
        <v>146</v>
      </c>
      <c r="AA691" s="49"/>
      <c r="AB691" s="49"/>
      <c r="AC691" s="49"/>
      <c r="AD691" s="50"/>
      <c r="AE691" s="47" t="s">
        <v>1578</v>
      </c>
      <c r="AF691" s="47">
        <v>65</v>
      </c>
      <c r="AG691"/>
      <c r="AH691"/>
      <c r="AI691"/>
      <c r="AJ691"/>
      <c r="AK691">
        <v>79</v>
      </c>
      <c r="AL691"/>
      <c r="AM691"/>
      <c r="AN691"/>
      <c r="AO691"/>
      <c r="AP691"/>
      <c r="AQ691" s="32" t="s">
        <v>1701</v>
      </c>
      <c r="AU691">
        <v>690</v>
      </c>
    </row>
    <row r="692" spans="1:47" x14ac:dyDescent="0.2">
      <c r="A692" s="37">
        <v>6036</v>
      </c>
      <c r="B692" s="38" t="s">
        <v>45</v>
      </c>
      <c r="C692" s="39" t="s">
        <v>1262</v>
      </c>
      <c r="D692" s="29"/>
      <c r="E692" s="38" t="s">
        <v>1718</v>
      </c>
      <c r="F692" s="32" t="s">
        <v>107</v>
      </c>
      <c r="G692" s="47"/>
      <c r="H692"/>
      <c r="I692" s="32" t="s">
        <v>1719</v>
      </c>
      <c r="K692" s="47">
        <f>18*(10+7.25)*2.2</f>
        <v>683.1</v>
      </c>
      <c r="L692" s="48"/>
      <c r="M692" s="47"/>
      <c r="N692" s="47"/>
      <c r="O692" s="47"/>
      <c r="P692" s="47"/>
      <c r="Q692" s="47"/>
      <c r="R692" s="47"/>
      <c r="S692" s="48">
        <v>6</v>
      </c>
      <c r="T692" s="47">
        <v>0</v>
      </c>
      <c r="U692" s="47">
        <v>0</v>
      </c>
      <c r="V692" s="47">
        <v>0</v>
      </c>
      <c r="W692" s="47"/>
      <c r="X692" s="47"/>
      <c r="Y692" s="47" t="s">
        <v>51</v>
      </c>
      <c r="Z692" s="47" t="s">
        <v>146</v>
      </c>
      <c r="AA692" s="49"/>
      <c r="AB692" s="49"/>
      <c r="AC692" s="49"/>
      <c r="AD692" s="50"/>
      <c r="AE692" s="47" t="s">
        <v>1558</v>
      </c>
      <c r="AF692" s="47">
        <v>35</v>
      </c>
      <c r="AG692"/>
      <c r="AH692"/>
      <c r="AI692"/>
      <c r="AJ692"/>
      <c r="AK692">
        <v>36</v>
      </c>
      <c r="AL692"/>
      <c r="AM692"/>
      <c r="AN692"/>
      <c r="AO692"/>
      <c r="AP692"/>
      <c r="AQ692" s="32" t="s">
        <v>1701</v>
      </c>
      <c r="AR692" s="32" t="s">
        <v>1560</v>
      </c>
      <c r="AU692">
        <v>691</v>
      </c>
    </row>
    <row r="693" spans="1:47" x14ac:dyDescent="0.2">
      <c r="A693" s="37">
        <v>6036</v>
      </c>
      <c r="B693" s="38" t="s">
        <v>45</v>
      </c>
      <c r="C693" s="39" t="s">
        <v>156</v>
      </c>
      <c r="D693" s="29"/>
      <c r="E693" s="38" t="s">
        <v>1585</v>
      </c>
      <c r="F693" s="32" t="s">
        <v>76</v>
      </c>
      <c r="G693" s="47" t="s">
        <v>49</v>
      </c>
      <c r="H693"/>
      <c r="I693" s="32" t="s">
        <v>1720</v>
      </c>
      <c r="J693" s="47"/>
      <c r="K693" s="47"/>
      <c r="L693" s="48"/>
      <c r="M693" s="47"/>
      <c r="N693" s="47"/>
      <c r="O693" s="47"/>
      <c r="P693" s="47"/>
      <c r="Q693" s="47"/>
      <c r="R693" s="47"/>
      <c r="S693" s="48">
        <v>6</v>
      </c>
      <c r="T693" s="47"/>
      <c r="U693" s="47"/>
      <c r="V693" s="47"/>
      <c r="W693" s="47"/>
      <c r="X693" s="47"/>
      <c r="Y693" s="47"/>
      <c r="Z693" s="47"/>
      <c r="AA693" s="49"/>
      <c r="AB693" s="49"/>
      <c r="AC693" s="49"/>
      <c r="AD693" s="50"/>
      <c r="AE693" s="47"/>
      <c r="AF693" s="47"/>
      <c r="AG693"/>
      <c r="AH693"/>
      <c r="AI693"/>
      <c r="AJ693"/>
      <c r="AK693"/>
      <c r="AL693"/>
      <c r="AM693"/>
      <c r="AN693"/>
      <c r="AO693"/>
      <c r="AP693"/>
      <c r="AQ693" t="s">
        <v>1721</v>
      </c>
      <c r="AU693">
        <v>692</v>
      </c>
    </row>
    <row r="694" spans="1:47" x14ac:dyDescent="0.2">
      <c r="A694" s="26">
        <v>6036</v>
      </c>
      <c r="B694" s="27" t="s">
        <v>45</v>
      </c>
      <c r="C694" s="28"/>
      <c r="D694" s="29"/>
      <c r="E694" s="30" t="s">
        <v>586</v>
      </c>
      <c r="H694" s="32">
        <v>1</v>
      </c>
      <c r="I694" s="32" t="s">
        <v>1722</v>
      </c>
      <c r="AI694" s="32">
        <v>5492</v>
      </c>
      <c r="AO694" s="46" t="s">
        <v>588</v>
      </c>
      <c r="AQ694" s="32" t="s">
        <v>589</v>
      </c>
      <c r="AU694">
        <v>693</v>
      </c>
    </row>
    <row r="695" spans="1:47" x14ac:dyDescent="0.2">
      <c r="A695" s="26">
        <v>6036</v>
      </c>
      <c r="B695" s="27" t="s">
        <v>45</v>
      </c>
      <c r="C695" s="28"/>
      <c r="D695" s="29"/>
      <c r="E695" s="30" t="s">
        <v>1531</v>
      </c>
      <c r="H695" s="32">
        <v>0</v>
      </c>
      <c r="I695" s="32" t="s">
        <v>1532</v>
      </c>
      <c r="AG695" s="32">
        <v>0</v>
      </c>
      <c r="AH695" s="32">
        <v>0</v>
      </c>
      <c r="AI695" s="32">
        <v>0</v>
      </c>
      <c r="AK695" s="32">
        <v>0</v>
      </c>
      <c r="AM695" s="32">
        <f>498*227</f>
        <v>113046</v>
      </c>
      <c r="AO695" s="32" t="s">
        <v>1533</v>
      </c>
      <c r="AQ695" s="32" t="s">
        <v>1101</v>
      </c>
      <c r="AU695">
        <v>694</v>
      </c>
    </row>
    <row r="696" spans="1:47" x14ac:dyDescent="0.2">
      <c r="A696" s="37">
        <v>6039</v>
      </c>
      <c r="B696" s="38" t="s">
        <v>45</v>
      </c>
      <c r="C696" s="39" t="s">
        <v>1234</v>
      </c>
      <c r="D696" s="29"/>
      <c r="E696" s="38" t="s">
        <v>894</v>
      </c>
      <c r="F696" s="32" t="s">
        <v>1625</v>
      </c>
      <c r="G696" s="47" t="s">
        <v>49</v>
      </c>
      <c r="H696"/>
      <c r="I696" s="32" t="s">
        <v>1723</v>
      </c>
      <c r="J696" s="47"/>
      <c r="K696" s="47">
        <f>2*50*2.2</f>
        <v>220.00000000000003</v>
      </c>
      <c r="L696" s="48">
        <v>1</v>
      </c>
      <c r="M696" s="47"/>
      <c r="N696" s="47"/>
      <c r="O696" s="47"/>
      <c r="P696" s="47"/>
      <c r="Q696" s="47"/>
      <c r="R696" s="47"/>
      <c r="S696" s="48">
        <v>1</v>
      </c>
      <c r="T696" s="47">
        <v>0</v>
      </c>
      <c r="U696" s="47">
        <v>0</v>
      </c>
      <c r="V696" s="47">
        <v>0</v>
      </c>
      <c r="W696" s="47">
        <f>500*39.37/12</f>
        <v>1640.4166666666667</v>
      </c>
      <c r="X696" s="47"/>
      <c r="Y696" s="47" t="s">
        <v>51</v>
      </c>
      <c r="Z696" s="47" t="s">
        <v>675</v>
      </c>
      <c r="AA696" s="49">
        <v>2.0833333333333332E-2</v>
      </c>
      <c r="AB696" s="49">
        <v>0.125</v>
      </c>
      <c r="AC696" s="49">
        <f>AVERAGE(AA696:AB696)</f>
        <v>7.2916666666666671E-2</v>
      </c>
      <c r="AD696" s="50">
        <f>(AB696-AA696)*24</f>
        <v>2.5</v>
      </c>
      <c r="AE696" s="47" t="s">
        <v>1653</v>
      </c>
      <c r="AF696" s="47">
        <v>90</v>
      </c>
      <c r="AG696"/>
      <c r="AH696"/>
      <c r="AI696"/>
      <c r="AJ696"/>
      <c r="AK696">
        <v>2</v>
      </c>
      <c r="AL696"/>
      <c r="AM696"/>
      <c r="AN696"/>
      <c r="AO696"/>
      <c r="AP696"/>
      <c r="AQ696" s="32" t="s">
        <v>1724</v>
      </c>
      <c r="AU696">
        <v>695</v>
      </c>
    </row>
    <row r="697" spans="1:47" x14ac:dyDescent="0.2">
      <c r="A697" s="37">
        <v>6041</v>
      </c>
      <c r="B697" s="38" t="s">
        <v>45</v>
      </c>
      <c r="C697" s="39" t="s">
        <v>425</v>
      </c>
      <c r="D697" s="29"/>
      <c r="E697" s="38" t="s">
        <v>1725</v>
      </c>
      <c r="F697" s="31" t="s">
        <v>1726</v>
      </c>
      <c r="G697" s="31" t="s">
        <v>49</v>
      </c>
      <c r="H697" s="32"/>
      <c r="I697" s="32" t="s">
        <v>1708</v>
      </c>
      <c r="J697" s="47"/>
      <c r="K697" s="47">
        <f>20*10*2.2</f>
        <v>440.00000000000006</v>
      </c>
      <c r="L697" s="48"/>
      <c r="M697" s="47"/>
      <c r="N697" s="47"/>
      <c r="O697" s="47"/>
      <c r="P697" s="47"/>
      <c r="Q697" s="47"/>
      <c r="R697" s="47"/>
      <c r="S697" s="48">
        <v>12</v>
      </c>
      <c r="T697" s="47">
        <v>0</v>
      </c>
      <c r="U697" s="47">
        <v>0</v>
      </c>
      <c r="V697" s="47">
        <v>0</v>
      </c>
      <c r="W697" s="47"/>
      <c r="X697" s="47"/>
      <c r="Y697" s="47" t="s">
        <v>51</v>
      </c>
      <c r="Z697" s="47" t="s">
        <v>146</v>
      </c>
      <c r="AA697" s="49"/>
      <c r="AB697" s="49"/>
      <c r="AC697" s="49"/>
      <c r="AD697" s="50"/>
      <c r="AE697" s="47" t="s">
        <v>1578</v>
      </c>
      <c r="AF697" s="47">
        <v>65</v>
      </c>
      <c r="AG697"/>
      <c r="AH697"/>
      <c r="AI697"/>
      <c r="AJ697"/>
      <c r="AK697">
        <v>20</v>
      </c>
      <c r="AL697"/>
      <c r="AM697"/>
      <c r="AN697"/>
      <c r="AO697"/>
      <c r="AP697"/>
      <c r="AQ697" s="32" t="s">
        <v>1727</v>
      </c>
      <c r="AU697">
        <v>696</v>
      </c>
    </row>
    <row r="698" spans="1:47" x14ac:dyDescent="0.2">
      <c r="A698" s="37">
        <v>6041</v>
      </c>
      <c r="B698" s="38" t="s">
        <v>45</v>
      </c>
      <c r="C698" s="39" t="s">
        <v>1234</v>
      </c>
      <c r="D698" s="29" t="s">
        <v>120</v>
      </c>
      <c r="E698" s="38" t="s">
        <v>894</v>
      </c>
      <c r="F698" s="32"/>
      <c r="G698" s="47"/>
      <c r="H698"/>
      <c r="I698" s="32" t="s">
        <v>1728</v>
      </c>
      <c r="J698" s="47"/>
      <c r="K698" s="47">
        <v>0</v>
      </c>
      <c r="L698" s="48">
        <v>2</v>
      </c>
      <c r="M698" s="47"/>
      <c r="N698" s="47">
        <v>1</v>
      </c>
      <c r="O698" s="47"/>
      <c r="P698" s="47"/>
      <c r="Q698" s="47"/>
      <c r="R698" s="47"/>
      <c r="S698" s="48">
        <v>0</v>
      </c>
      <c r="T698" s="47">
        <v>1</v>
      </c>
      <c r="U698" s="47">
        <v>0</v>
      </c>
      <c r="V698" s="47">
        <v>0</v>
      </c>
      <c r="W698" s="47"/>
      <c r="X698" s="47"/>
      <c r="Y698" s="47"/>
      <c r="Z698" s="47"/>
      <c r="AA698" s="49">
        <v>1.0416666666666666E-2</v>
      </c>
      <c r="AB698" s="49"/>
      <c r="AC698" s="49"/>
      <c r="AD698" s="50"/>
      <c r="AE698" s="47" t="s">
        <v>1653</v>
      </c>
      <c r="AF698" s="47">
        <v>90</v>
      </c>
      <c r="AG698"/>
      <c r="AH698"/>
      <c r="AI698"/>
      <c r="AJ698"/>
      <c r="AK698">
        <v>0</v>
      </c>
      <c r="AL698"/>
      <c r="AM698"/>
      <c r="AN698"/>
      <c r="AO698"/>
      <c r="AP698"/>
      <c r="AQ698" s="32" t="s">
        <v>1729</v>
      </c>
      <c r="AU698">
        <v>697</v>
      </c>
    </row>
    <row r="699" spans="1:47" x14ac:dyDescent="0.2">
      <c r="A699" s="37">
        <v>6043</v>
      </c>
      <c r="B699" s="38" t="s">
        <v>45</v>
      </c>
      <c r="C699" s="39" t="s">
        <v>1234</v>
      </c>
      <c r="D699" s="29"/>
      <c r="E699" s="38" t="s">
        <v>1730</v>
      </c>
      <c r="F699" s="32" t="s">
        <v>150</v>
      </c>
      <c r="G699" s="47" t="s">
        <v>49</v>
      </c>
      <c r="H699"/>
      <c r="I699" s="32" t="s">
        <v>1731</v>
      </c>
      <c r="J699" s="47"/>
      <c r="K699" s="47">
        <f>(2*50+6*7.25)*2.2</f>
        <v>315.70000000000005</v>
      </c>
      <c r="L699" s="48">
        <v>1</v>
      </c>
      <c r="M699" s="47"/>
      <c r="N699" s="47"/>
      <c r="O699" s="47"/>
      <c r="P699" s="47"/>
      <c r="Q699" s="47"/>
      <c r="R699" s="47"/>
      <c r="S699" s="48">
        <v>1</v>
      </c>
      <c r="T699" s="47">
        <v>0</v>
      </c>
      <c r="U699" s="47">
        <v>0</v>
      </c>
      <c r="V699" s="47">
        <v>0</v>
      </c>
      <c r="W699" s="47"/>
      <c r="X699" s="47"/>
      <c r="Y699" s="47" t="s">
        <v>51</v>
      </c>
      <c r="Z699" s="47" t="s">
        <v>675</v>
      </c>
      <c r="AA699" s="49"/>
      <c r="AB699" s="49">
        <v>1</v>
      </c>
      <c r="AC699" s="49"/>
      <c r="AD699" s="50"/>
      <c r="AE699" s="47" t="s">
        <v>1653</v>
      </c>
      <c r="AF699" s="47">
        <v>95</v>
      </c>
      <c r="AG699"/>
      <c r="AH699"/>
      <c r="AI699"/>
      <c r="AJ699"/>
      <c r="AK699">
        <v>8</v>
      </c>
      <c r="AL699"/>
      <c r="AM699"/>
      <c r="AN699"/>
      <c r="AO699"/>
      <c r="AP699"/>
      <c r="AQ699" s="32" t="s">
        <v>1732</v>
      </c>
      <c r="AU699">
        <v>698</v>
      </c>
    </row>
    <row r="700" spans="1:47" x14ac:dyDescent="0.2">
      <c r="A700" s="26">
        <v>6043</v>
      </c>
      <c r="B700" s="27">
        <v>0.42708333333333331</v>
      </c>
      <c r="C700" s="28"/>
      <c r="D700" s="29"/>
      <c r="E700" s="30" t="s">
        <v>1282</v>
      </c>
      <c r="H700" s="32">
        <v>0</v>
      </c>
      <c r="I700" s="32" t="s">
        <v>1669</v>
      </c>
      <c r="AG700" s="32">
        <v>0</v>
      </c>
      <c r="AH700" s="32">
        <v>0</v>
      </c>
      <c r="AI700" s="32">
        <v>0</v>
      </c>
      <c r="AK700" s="32">
        <v>0</v>
      </c>
      <c r="AL700" s="32">
        <f>5/60</f>
        <v>8.3333333333333329E-2</v>
      </c>
      <c r="AP700" s="32">
        <f>5/60</f>
        <v>8.3333333333333329E-2</v>
      </c>
      <c r="AQ700" s="32" t="s">
        <v>1101</v>
      </c>
      <c r="AU700">
        <v>699</v>
      </c>
    </row>
    <row r="701" spans="1:47" x14ac:dyDescent="0.2">
      <c r="A701" s="37">
        <v>6045</v>
      </c>
      <c r="B701" s="38" t="s">
        <v>45</v>
      </c>
      <c r="C701" s="39" t="s">
        <v>1733</v>
      </c>
      <c r="D701" s="29"/>
      <c r="E701" s="38" t="s">
        <v>1734</v>
      </c>
      <c r="F701" s="31" t="s">
        <v>1735</v>
      </c>
      <c r="H701" s="32"/>
      <c r="I701" s="32"/>
      <c r="Z701" s="31" t="s">
        <v>1652</v>
      </c>
      <c r="AE701" s="31" t="s">
        <v>1736</v>
      </c>
      <c r="AF701" s="31">
        <v>55</v>
      </c>
      <c r="AQ701" s="32" t="s">
        <v>1737</v>
      </c>
      <c r="AU701">
        <v>700</v>
      </c>
    </row>
    <row r="702" spans="1:47" x14ac:dyDescent="0.2">
      <c r="A702" s="37">
        <v>6045</v>
      </c>
      <c r="B702" s="38" t="s">
        <v>45</v>
      </c>
      <c r="C702" s="39" t="s">
        <v>1561</v>
      </c>
      <c r="D702" s="29"/>
      <c r="E702" s="38" t="s">
        <v>1738</v>
      </c>
      <c r="F702" s="31" t="s">
        <v>1739</v>
      </c>
      <c r="G702" s="31" t="s">
        <v>69</v>
      </c>
      <c r="H702" s="32"/>
      <c r="I702" s="32" t="s">
        <v>1740</v>
      </c>
      <c r="K702" s="31">
        <f>20*10*2.2</f>
        <v>440.00000000000006</v>
      </c>
      <c r="L702" s="33">
        <v>4</v>
      </c>
      <c r="M702" s="31">
        <v>1</v>
      </c>
      <c r="S702" s="33">
        <v>3</v>
      </c>
      <c r="T702" s="31">
        <v>0</v>
      </c>
      <c r="U702" s="31">
        <v>0</v>
      </c>
      <c r="V702" s="31">
        <v>0</v>
      </c>
      <c r="Y702" s="31" t="s">
        <v>51</v>
      </c>
      <c r="Z702" s="47" t="s">
        <v>1565</v>
      </c>
      <c r="AA702" s="34">
        <v>0.97916666666666663</v>
      </c>
      <c r="AE702" s="31" t="s">
        <v>342</v>
      </c>
      <c r="AF702" s="31">
        <v>45</v>
      </c>
      <c r="AK702" s="32">
        <v>20</v>
      </c>
      <c r="AQ702" s="32" t="s">
        <v>1741</v>
      </c>
      <c r="AU702">
        <v>701</v>
      </c>
    </row>
    <row r="703" spans="1:47" x14ac:dyDescent="0.2">
      <c r="A703" s="37">
        <v>6045</v>
      </c>
      <c r="B703" s="38" t="s">
        <v>45</v>
      </c>
      <c r="C703" s="39" t="s">
        <v>425</v>
      </c>
      <c r="D703" s="29"/>
      <c r="E703" s="38" t="s">
        <v>1742</v>
      </c>
      <c r="F703" s="31" t="s">
        <v>1743</v>
      </c>
      <c r="G703" s="31" t="s">
        <v>49</v>
      </c>
      <c r="H703" s="32"/>
      <c r="I703" s="32" t="s">
        <v>1744</v>
      </c>
      <c r="K703" s="31">
        <f>8*10*2.2</f>
        <v>176</v>
      </c>
      <c r="S703" s="33">
        <v>1</v>
      </c>
      <c r="T703" s="31">
        <v>0</v>
      </c>
      <c r="U703" s="31">
        <v>0</v>
      </c>
      <c r="V703" s="31">
        <v>0</v>
      </c>
      <c r="Y703" s="31" t="s">
        <v>51</v>
      </c>
      <c r="Z703" s="47" t="s">
        <v>146</v>
      </c>
      <c r="AE703" s="47" t="s">
        <v>1578</v>
      </c>
      <c r="AF703" s="31">
        <v>60</v>
      </c>
      <c r="AK703" s="32">
        <v>8</v>
      </c>
      <c r="AQ703" s="32" t="s">
        <v>1741</v>
      </c>
      <c r="AU703">
        <v>702</v>
      </c>
    </row>
    <row r="704" spans="1:47" x14ac:dyDescent="0.2">
      <c r="A704" s="37">
        <v>6045</v>
      </c>
      <c r="B704" s="38" t="s">
        <v>45</v>
      </c>
      <c r="C704" s="39" t="s">
        <v>1262</v>
      </c>
      <c r="D704" s="29"/>
      <c r="E704" s="38" t="s">
        <v>1310</v>
      </c>
      <c r="F704" s="32" t="s">
        <v>1745</v>
      </c>
      <c r="G704" s="31" t="s">
        <v>73</v>
      </c>
      <c r="H704" s="32"/>
      <c r="I704" s="122" t="s">
        <v>1746</v>
      </c>
      <c r="K704" s="31">
        <f>(3*7.25+40*10)*2.2</f>
        <v>927.85</v>
      </c>
      <c r="S704" s="33">
        <v>7</v>
      </c>
      <c r="T704" s="31">
        <v>0</v>
      </c>
      <c r="U704" s="31">
        <v>0</v>
      </c>
      <c r="V704" s="31">
        <v>0</v>
      </c>
      <c r="Y704" s="31" t="s">
        <v>51</v>
      </c>
      <c r="Z704" s="47" t="s">
        <v>146</v>
      </c>
      <c r="AC704" s="34">
        <v>0.95833333333333337</v>
      </c>
      <c r="AE704" s="47" t="s">
        <v>1558</v>
      </c>
      <c r="AF704" s="47">
        <v>35</v>
      </c>
      <c r="AK704" s="32">
        <v>43</v>
      </c>
      <c r="AQ704" s="32" t="s">
        <v>1741</v>
      </c>
      <c r="AR704" s="32" t="s">
        <v>1560</v>
      </c>
      <c r="AU704">
        <v>703</v>
      </c>
    </row>
    <row r="705" spans="1:47" x14ac:dyDescent="0.2">
      <c r="A705" s="26">
        <v>6045</v>
      </c>
      <c r="B705" s="27">
        <v>0.99791666666666667</v>
      </c>
      <c r="C705" s="28"/>
      <c r="D705" s="29"/>
      <c r="E705" s="30" t="s">
        <v>1282</v>
      </c>
      <c r="H705" s="32">
        <v>0</v>
      </c>
      <c r="I705" s="32" t="s">
        <v>1747</v>
      </c>
      <c r="AG705" s="32">
        <v>0</v>
      </c>
      <c r="AH705" s="32">
        <v>0</v>
      </c>
      <c r="AI705" s="32">
        <v>0</v>
      </c>
      <c r="AK705" s="32">
        <v>0</v>
      </c>
      <c r="AL705" s="32">
        <f>5/60</f>
        <v>8.3333333333333329E-2</v>
      </c>
      <c r="AP705" s="32">
        <f>5/60</f>
        <v>8.3333333333333329E-2</v>
      </c>
      <c r="AQ705" s="32" t="s">
        <v>1101</v>
      </c>
      <c r="AU705">
        <v>704</v>
      </c>
    </row>
    <row r="706" spans="1:47" x14ac:dyDescent="0.2">
      <c r="A706" s="26">
        <v>6045</v>
      </c>
      <c r="B706" s="27" t="s">
        <v>45</v>
      </c>
      <c r="C706" s="28"/>
      <c r="D706" s="29"/>
      <c r="E706" s="30" t="s">
        <v>1531</v>
      </c>
      <c r="H706" s="32">
        <v>1</v>
      </c>
      <c r="I706" s="32" t="s">
        <v>1748</v>
      </c>
      <c r="AM706" s="32">
        <f>498*171</f>
        <v>85158</v>
      </c>
      <c r="AO706" s="32" t="s">
        <v>1533</v>
      </c>
      <c r="AQ706" s="32" t="s">
        <v>1101</v>
      </c>
      <c r="AU706">
        <v>705</v>
      </c>
    </row>
    <row r="707" spans="1:47" x14ac:dyDescent="0.2">
      <c r="A707" s="37">
        <v>6046</v>
      </c>
      <c r="B707" s="38" t="s">
        <v>85</v>
      </c>
      <c r="C707" s="39" t="s">
        <v>253</v>
      </c>
      <c r="D707" s="29"/>
      <c r="E707" s="38" t="s">
        <v>1749</v>
      </c>
      <c r="F707" s="32" t="s">
        <v>1750</v>
      </c>
      <c r="G707" s="47"/>
      <c r="H707"/>
      <c r="I707" s="32"/>
      <c r="J707" s="47"/>
      <c r="K707" s="47"/>
      <c r="L707" s="48"/>
      <c r="M707" s="47"/>
      <c r="N707" s="47"/>
      <c r="O707" s="47"/>
      <c r="P707" s="47"/>
      <c r="Q707" s="47"/>
      <c r="R707" s="47"/>
      <c r="S707" s="48"/>
      <c r="T707" s="47"/>
      <c r="U707" s="47"/>
      <c r="V707" s="47"/>
      <c r="W707" s="47"/>
      <c r="X707" s="47"/>
      <c r="Y707" s="47"/>
      <c r="Z707" s="47"/>
      <c r="AA707" s="49"/>
      <c r="AB707" s="49"/>
      <c r="AC707" s="49"/>
      <c r="AD707" s="50"/>
      <c r="AE707" s="47"/>
      <c r="AF707" s="47"/>
      <c r="AG707"/>
      <c r="AH707"/>
      <c r="AI707"/>
      <c r="AJ707"/>
      <c r="AK707"/>
      <c r="AL707"/>
      <c r="AM707"/>
      <c r="AN707"/>
      <c r="AO707"/>
      <c r="AP707"/>
      <c r="AQ707" s="32" t="s">
        <v>1375</v>
      </c>
      <c r="AU707">
        <v>706</v>
      </c>
    </row>
    <row r="708" spans="1:47" x14ac:dyDescent="0.2">
      <c r="A708" s="37">
        <v>6046</v>
      </c>
      <c r="B708" s="38" t="s">
        <v>85</v>
      </c>
      <c r="C708" s="39" t="s">
        <v>1751</v>
      </c>
      <c r="D708" s="29"/>
      <c r="E708" s="38" t="s">
        <v>1752</v>
      </c>
      <c r="F708" s="32" t="s">
        <v>246</v>
      </c>
      <c r="G708" s="47"/>
      <c r="H708"/>
      <c r="I708" s="32" t="s">
        <v>1753</v>
      </c>
      <c r="J708" s="47"/>
      <c r="K708" s="47"/>
      <c r="L708" s="48"/>
      <c r="M708" s="47"/>
      <c r="N708" s="47"/>
      <c r="O708" s="47"/>
      <c r="P708" s="47"/>
      <c r="Q708" s="47"/>
      <c r="R708" s="47"/>
      <c r="S708" s="48">
        <v>8</v>
      </c>
      <c r="T708" s="47">
        <v>0</v>
      </c>
      <c r="U708" s="47"/>
      <c r="V708" s="47"/>
      <c r="W708" s="47"/>
      <c r="X708" s="47"/>
      <c r="Y708" s="47"/>
      <c r="Z708" s="47" t="s">
        <v>1652</v>
      </c>
      <c r="AA708" s="49"/>
      <c r="AB708" s="49"/>
      <c r="AC708" s="49"/>
      <c r="AE708" s="47" t="s">
        <v>1754</v>
      </c>
      <c r="AF708" s="47">
        <v>45</v>
      </c>
      <c r="AG708"/>
      <c r="AH708"/>
      <c r="AI708"/>
      <c r="AJ708"/>
      <c r="AK708"/>
      <c r="AL708"/>
      <c r="AM708"/>
      <c r="AN708"/>
      <c r="AO708"/>
      <c r="AP708"/>
      <c r="AQ708" s="32" t="s">
        <v>1755</v>
      </c>
      <c r="AU708">
        <v>707</v>
      </c>
    </row>
    <row r="709" spans="1:47" x14ac:dyDescent="0.2">
      <c r="A709" s="37">
        <v>6046</v>
      </c>
      <c r="B709" s="38" t="s">
        <v>45</v>
      </c>
      <c r="C709" s="39" t="s">
        <v>425</v>
      </c>
      <c r="D709" s="29"/>
      <c r="E709" s="38" t="s">
        <v>1756</v>
      </c>
      <c r="F709" s="32" t="s">
        <v>1757</v>
      </c>
      <c r="G709" s="47" t="s">
        <v>49</v>
      </c>
      <c r="H709"/>
      <c r="I709" s="32" t="s">
        <v>1758</v>
      </c>
      <c r="J709" s="47"/>
      <c r="K709" s="47">
        <f>102*10*2.2</f>
        <v>2244</v>
      </c>
      <c r="L709" s="48"/>
      <c r="M709" s="47"/>
      <c r="N709" s="47"/>
      <c r="O709" s="47"/>
      <c r="P709" s="47"/>
      <c r="Q709" s="47"/>
      <c r="R709" s="47"/>
      <c r="S709" s="48">
        <v>13</v>
      </c>
      <c r="T709" s="31">
        <v>0</v>
      </c>
      <c r="U709" s="31">
        <v>0</v>
      </c>
      <c r="V709" s="31">
        <v>0</v>
      </c>
      <c r="Y709" s="31" t="s">
        <v>51</v>
      </c>
      <c r="Z709" s="47" t="s">
        <v>146</v>
      </c>
      <c r="AE709" s="47" t="s">
        <v>1578</v>
      </c>
      <c r="AF709" s="47">
        <v>65</v>
      </c>
      <c r="AG709"/>
      <c r="AH709"/>
      <c r="AI709"/>
      <c r="AJ709"/>
      <c r="AK709">
        <v>102</v>
      </c>
      <c r="AL709"/>
      <c r="AM709"/>
      <c r="AN709"/>
      <c r="AO709"/>
      <c r="AP709"/>
      <c r="AQ709" s="32" t="s">
        <v>1741</v>
      </c>
      <c r="AU709">
        <v>708</v>
      </c>
    </row>
    <row r="710" spans="1:47" x14ac:dyDescent="0.2">
      <c r="A710" s="37">
        <v>6046</v>
      </c>
      <c r="B710" s="38" t="s">
        <v>45</v>
      </c>
      <c r="C710" s="39" t="s">
        <v>1262</v>
      </c>
      <c r="D710" s="29"/>
      <c r="E710" s="38" t="s">
        <v>1310</v>
      </c>
      <c r="F710" s="32" t="s">
        <v>150</v>
      </c>
      <c r="G710" s="47" t="s">
        <v>49</v>
      </c>
      <c r="H710"/>
      <c r="I710" s="96" t="s">
        <v>1759</v>
      </c>
      <c r="J710" s="97"/>
      <c r="K710" s="99">
        <f>8*928/7</f>
        <v>1060.5714285714287</v>
      </c>
      <c r="L710" s="48"/>
      <c r="M710" s="47"/>
      <c r="N710" s="47"/>
      <c r="O710" s="47"/>
      <c r="P710" s="47"/>
      <c r="Q710" s="47"/>
      <c r="R710" s="47"/>
      <c r="S710" s="48">
        <v>8</v>
      </c>
      <c r="T710" s="31">
        <v>0</v>
      </c>
      <c r="U710" s="31">
        <v>0</v>
      </c>
      <c r="V710" s="31">
        <v>0</v>
      </c>
      <c r="Y710" s="31" t="s">
        <v>51</v>
      </c>
      <c r="Z710" s="47" t="s">
        <v>146</v>
      </c>
      <c r="AE710" s="47" t="s">
        <v>1558</v>
      </c>
      <c r="AF710" s="47">
        <v>35</v>
      </c>
      <c r="AG710"/>
      <c r="AH710"/>
      <c r="AI710"/>
      <c r="AJ710"/>
      <c r="AK710">
        <v>47</v>
      </c>
      <c r="AL710"/>
      <c r="AM710"/>
      <c r="AN710"/>
      <c r="AO710"/>
      <c r="AP710"/>
      <c r="AQ710" s="32" t="s">
        <v>1741</v>
      </c>
      <c r="AR710" s="32" t="s">
        <v>1560</v>
      </c>
      <c r="AU710">
        <v>709</v>
      </c>
    </row>
    <row r="711" spans="1:47" x14ac:dyDescent="0.2">
      <c r="A711" s="26">
        <v>6046</v>
      </c>
      <c r="B711" s="27" t="s">
        <v>45</v>
      </c>
      <c r="C711" s="28"/>
      <c r="D711" s="29"/>
      <c r="E711" s="30" t="s">
        <v>1531</v>
      </c>
      <c r="H711" s="32">
        <v>0</v>
      </c>
      <c r="I711" s="32" t="s">
        <v>1532</v>
      </c>
      <c r="AG711" s="32">
        <v>0</v>
      </c>
      <c r="AH711" s="32">
        <v>0</v>
      </c>
      <c r="AI711" s="32">
        <v>0</v>
      </c>
      <c r="AK711" s="32">
        <v>0</v>
      </c>
      <c r="AM711" s="32">
        <f>498*63</f>
        <v>31374</v>
      </c>
      <c r="AO711" s="32" t="s">
        <v>1533</v>
      </c>
      <c r="AQ711" s="32" t="s">
        <v>1101</v>
      </c>
      <c r="AU711">
        <v>710</v>
      </c>
    </row>
    <row r="712" spans="1:47" x14ac:dyDescent="0.2">
      <c r="A712" s="37">
        <v>6047</v>
      </c>
      <c r="B712" s="38" t="s">
        <v>85</v>
      </c>
      <c r="C712" s="39" t="s">
        <v>1655</v>
      </c>
      <c r="D712" s="29"/>
      <c r="E712" s="38" t="s">
        <v>1104</v>
      </c>
      <c r="F712" s="32" t="s">
        <v>150</v>
      </c>
      <c r="G712" s="47" t="s">
        <v>49</v>
      </c>
      <c r="H712"/>
      <c r="I712" s="32" t="s">
        <v>1760</v>
      </c>
      <c r="J712" s="47"/>
      <c r="K712" s="47">
        <f>40*10*2.2</f>
        <v>880.00000000000011</v>
      </c>
      <c r="L712" s="48">
        <v>9</v>
      </c>
      <c r="M712" s="47"/>
      <c r="N712" s="47"/>
      <c r="O712" s="47"/>
      <c r="P712" s="47"/>
      <c r="Q712" s="47"/>
      <c r="R712" s="47"/>
      <c r="S712" s="48">
        <v>9</v>
      </c>
      <c r="T712" s="47">
        <v>0</v>
      </c>
      <c r="U712" s="47">
        <v>0</v>
      </c>
      <c r="V712" s="47">
        <v>0</v>
      </c>
      <c r="W712" s="47"/>
      <c r="X712" s="47"/>
      <c r="Y712" s="47" t="s">
        <v>120</v>
      </c>
      <c r="Z712" s="47" t="s">
        <v>1241</v>
      </c>
      <c r="AA712" s="49">
        <v>0.18055555555555555</v>
      </c>
      <c r="AB712" s="49"/>
      <c r="AC712" s="49">
        <v>0.25</v>
      </c>
      <c r="AD712" s="50"/>
      <c r="AE712" s="47" t="s">
        <v>342</v>
      </c>
      <c r="AF712" s="47">
        <v>40</v>
      </c>
      <c r="AG712"/>
      <c r="AH712"/>
      <c r="AI712"/>
      <c r="AJ712"/>
      <c r="AK712" s="32">
        <v>40</v>
      </c>
      <c r="AL712"/>
      <c r="AM712"/>
      <c r="AN712"/>
      <c r="AO712"/>
      <c r="AP712"/>
      <c r="AQ712" s="32" t="s">
        <v>1741</v>
      </c>
      <c r="AU712">
        <v>711</v>
      </c>
    </row>
    <row r="713" spans="1:47" x14ac:dyDescent="0.2">
      <c r="A713" s="37">
        <v>6047</v>
      </c>
      <c r="B713" s="38" t="s">
        <v>85</v>
      </c>
      <c r="C713" s="39" t="s">
        <v>1655</v>
      </c>
      <c r="D713" s="29"/>
      <c r="E713" s="38" t="s">
        <v>1104</v>
      </c>
      <c r="F713" s="32" t="s">
        <v>150</v>
      </c>
      <c r="G713" s="47" t="s">
        <v>49</v>
      </c>
      <c r="H713"/>
      <c r="I713" s="32" t="s">
        <v>1761</v>
      </c>
      <c r="J713" s="47"/>
      <c r="K713" s="47">
        <f>40*10*2.2</f>
        <v>880.00000000000011</v>
      </c>
      <c r="L713" s="48">
        <v>8</v>
      </c>
      <c r="M713" s="47"/>
      <c r="N713" s="47"/>
      <c r="O713" s="47"/>
      <c r="P713" s="47"/>
      <c r="Q713" s="47"/>
      <c r="R713" s="47"/>
      <c r="S713" s="48">
        <v>8</v>
      </c>
      <c r="T713" s="47">
        <v>0</v>
      </c>
      <c r="U713" s="47">
        <v>0</v>
      </c>
      <c r="V713" s="47">
        <v>0</v>
      </c>
      <c r="W713" s="47"/>
      <c r="X713" s="47"/>
      <c r="Y713" s="47" t="s">
        <v>120</v>
      </c>
      <c r="Z713" s="47" t="s">
        <v>1241</v>
      </c>
      <c r="AA713" s="49">
        <v>0.4201388888888889</v>
      </c>
      <c r="AB713" s="49"/>
      <c r="AC713" s="49">
        <v>0.48958333333333331</v>
      </c>
      <c r="AD713" s="50"/>
      <c r="AE713" s="47" t="s">
        <v>342</v>
      </c>
      <c r="AF713" s="47">
        <v>40</v>
      </c>
      <c r="AG713"/>
      <c r="AH713"/>
      <c r="AI713"/>
      <c r="AJ713"/>
      <c r="AK713" s="32">
        <v>40</v>
      </c>
      <c r="AL713"/>
      <c r="AM713"/>
      <c r="AN713"/>
      <c r="AO713"/>
      <c r="AP713"/>
      <c r="AQ713" s="32" t="s">
        <v>1741</v>
      </c>
      <c r="AU713">
        <v>712</v>
      </c>
    </row>
    <row r="714" spans="1:47" x14ac:dyDescent="0.2">
      <c r="A714" s="37">
        <v>6047</v>
      </c>
      <c r="B714" s="38" t="s">
        <v>85</v>
      </c>
      <c r="C714" s="39" t="s">
        <v>1655</v>
      </c>
      <c r="D714" s="29"/>
      <c r="E714" s="38" t="s">
        <v>1104</v>
      </c>
      <c r="F714" s="32" t="s">
        <v>150</v>
      </c>
      <c r="G714" s="47" t="s">
        <v>49</v>
      </c>
      <c r="H714"/>
      <c r="I714" s="32" t="s">
        <v>1762</v>
      </c>
      <c r="J714" s="47"/>
      <c r="K714" s="47">
        <f>35*10*2.2</f>
        <v>770.00000000000011</v>
      </c>
      <c r="L714" s="48">
        <v>9</v>
      </c>
      <c r="M714" s="47"/>
      <c r="N714" s="47"/>
      <c r="O714" s="47"/>
      <c r="P714" s="47"/>
      <c r="Q714" s="47"/>
      <c r="R714" s="47"/>
      <c r="S714" s="48">
        <v>7</v>
      </c>
      <c r="T714" s="47">
        <v>0</v>
      </c>
      <c r="U714" s="47">
        <v>0</v>
      </c>
      <c r="V714" s="47">
        <v>0</v>
      </c>
      <c r="W714" s="47"/>
      <c r="X714" s="47"/>
      <c r="Y714" s="47" t="s">
        <v>51</v>
      </c>
      <c r="Z714" s="47" t="s">
        <v>1241</v>
      </c>
      <c r="AA714" s="49">
        <v>0.66666666666666663</v>
      </c>
      <c r="AB714" s="49"/>
      <c r="AC714" s="49"/>
      <c r="AD714" s="50"/>
      <c r="AE714" s="47" t="s">
        <v>342</v>
      </c>
      <c r="AF714" s="47">
        <v>40</v>
      </c>
      <c r="AG714"/>
      <c r="AH714"/>
      <c r="AI714"/>
      <c r="AJ714"/>
      <c r="AK714" s="32">
        <v>35</v>
      </c>
      <c r="AL714"/>
      <c r="AM714"/>
      <c r="AN714"/>
      <c r="AO714"/>
      <c r="AP714"/>
      <c r="AQ714" s="32" t="s">
        <v>1741</v>
      </c>
      <c r="AU714">
        <v>713</v>
      </c>
    </row>
    <row r="715" spans="1:47" x14ac:dyDescent="0.2">
      <c r="A715" s="37">
        <v>6047</v>
      </c>
      <c r="B715" s="38" t="s">
        <v>85</v>
      </c>
      <c r="C715" s="39" t="s">
        <v>253</v>
      </c>
      <c r="D715" s="29"/>
      <c r="E715" s="38" t="s">
        <v>1763</v>
      </c>
      <c r="F715" s="32" t="s">
        <v>150</v>
      </c>
      <c r="G715" s="47"/>
      <c r="H715"/>
      <c r="I715" s="32"/>
      <c r="J715" s="47"/>
      <c r="K715" s="47"/>
      <c r="L715" s="48"/>
      <c r="M715" s="47"/>
      <c r="N715" s="47"/>
      <c r="O715" s="47"/>
      <c r="P715" s="47"/>
      <c r="Q715" s="47"/>
      <c r="R715" s="47"/>
      <c r="S715" s="48"/>
      <c r="T715" s="47"/>
      <c r="U715" s="47"/>
      <c r="V715" s="47"/>
      <c r="W715" s="47"/>
      <c r="X715" s="47"/>
      <c r="Y715" s="47"/>
      <c r="Z715" s="47"/>
      <c r="AA715" s="49"/>
      <c r="AB715" s="49"/>
      <c r="AC715" s="49"/>
      <c r="AD715" s="50"/>
      <c r="AE715" s="47"/>
      <c r="AF715" s="47"/>
      <c r="AG715"/>
      <c r="AH715"/>
      <c r="AI715"/>
      <c r="AJ715"/>
      <c r="AK715"/>
      <c r="AL715"/>
      <c r="AM715"/>
      <c r="AN715"/>
      <c r="AO715"/>
      <c r="AP715"/>
      <c r="AQ715" s="32" t="s">
        <v>1375</v>
      </c>
      <c r="AU715">
        <v>714</v>
      </c>
    </row>
    <row r="716" spans="1:47" x14ac:dyDescent="0.2">
      <c r="A716" s="37">
        <v>6047</v>
      </c>
      <c r="B716" s="38" t="s">
        <v>45</v>
      </c>
      <c r="C716" s="39" t="s">
        <v>1561</v>
      </c>
      <c r="D716" s="29"/>
      <c r="E716" s="38" t="s">
        <v>1764</v>
      </c>
      <c r="F716" s="32" t="s">
        <v>150</v>
      </c>
      <c r="G716" s="47" t="s">
        <v>49</v>
      </c>
      <c r="H716"/>
      <c r="I716" s="32" t="s">
        <v>1765</v>
      </c>
      <c r="J716" s="47"/>
      <c r="K716" s="47">
        <f>19*10*2.2</f>
        <v>418.00000000000006</v>
      </c>
      <c r="L716" s="48"/>
      <c r="M716" s="47"/>
      <c r="N716" s="47"/>
      <c r="O716" s="47"/>
      <c r="P716" s="47"/>
      <c r="Q716" s="47"/>
      <c r="R716" s="47"/>
      <c r="S716" s="48">
        <v>2</v>
      </c>
      <c r="T716" s="31">
        <v>0</v>
      </c>
      <c r="U716" s="31">
        <v>0</v>
      </c>
      <c r="V716" s="31">
        <v>0</v>
      </c>
      <c r="Y716" s="31" t="s">
        <v>51</v>
      </c>
      <c r="Z716" s="47" t="s">
        <v>1565</v>
      </c>
      <c r="AE716" s="31" t="s">
        <v>342</v>
      </c>
      <c r="AF716" s="47">
        <v>70</v>
      </c>
      <c r="AG716"/>
      <c r="AH716"/>
      <c r="AI716"/>
      <c r="AJ716"/>
      <c r="AK716">
        <v>19</v>
      </c>
      <c r="AL716"/>
      <c r="AM716"/>
      <c r="AN716"/>
      <c r="AO716"/>
      <c r="AP716"/>
      <c r="AQ716" s="32" t="s">
        <v>1766</v>
      </c>
      <c r="AU716">
        <v>715</v>
      </c>
    </row>
    <row r="717" spans="1:47" x14ac:dyDescent="0.2">
      <c r="A717" s="37">
        <v>6047</v>
      </c>
      <c r="B717" s="38" t="s">
        <v>45</v>
      </c>
      <c r="C717" s="39" t="s">
        <v>1561</v>
      </c>
      <c r="D717" s="29"/>
      <c r="E717" s="38" t="s">
        <v>512</v>
      </c>
      <c r="F717" s="32" t="s">
        <v>150</v>
      </c>
      <c r="G717" s="47" t="s">
        <v>49</v>
      </c>
      <c r="H717"/>
      <c r="I717" s="32" t="s">
        <v>1767</v>
      </c>
      <c r="J717" s="47"/>
      <c r="K717" s="47">
        <f>8*10*2.2</f>
        <v>176</v>
      </c>
      <c r="L717" s="48"/>
      <c r="M717" s="47"/>
      <c r="N717" s="47"/>
      <c r="O717" s="47"/>
      <c r="P717" s="47"/>
      <c r="Q717" s="47"/>
      <c r="R717" s="47"/>
      <c r="S717" s="48">
        <v>1</v>
      </c>
      <c r="T717" s="31">
        <v>0</v>
      </c>
      <c r="U717" s="31">
        <v>0</v>
      </c>
      <c r="V717" s="31">
        <v>0</v>
      </c>
      <c r="Y717" s="31" t="s">
        <v>51</v>
      </c>
      <c r="Z717" s="47" t="s">
        <v>1565</v>
      </c>
      <c r="AE717" s="31" t="s">
        <v>342</v>
      </c>
      <c r="AF717" s="47">
        <v>35</v>
      </c>
      <c r="AG717"/>
      <c r="AH717"/>
      <c r="AI717"/>
      <c r="AJ717"/>
      <c r="AK717">
        <v>8</v>
      </c>
      <c r="AL717"/>
      <c r="AM717"/>
      <c r="AN717"/>
      <c r="AO717"/>
      <c r="AP717"/>
      <c r="AQ717" s="32" t="s">
        <v>1766</v>
      </c>
      <c r="AU717">
        <v>716</v>
      </c>
    </row>
    <row r="718" spans="1:47" x14ac:dyDescent="0.2">
      <c r="A718" s="37">
        <v>6047</v>
      </c>
      <c r="B718" s="38" t="s">
        <v>45</v>
      </c>
      <c r="C718" s="39" t="s">
        <v>425</v>
      </c>
      <c r="D718" s="29"/>
      <c r="E718" s="38" t="s">
        <v>1768</v>
      </c>
      <c r="F718" s="32" t="s">
        <v>1757</v>
      </c>
      <c r="G718" s="47" t="s">
        <v>49</v>
      </c>
      <c r="H718"/>
      <c r="I718" s="32" t="s">
        <v>1769</v>
      </c>
      <c r="J718" s="47"/>
      <c r="K718" s="47">
        <f>106*10*2.2</f>
        <v>2332</v>
      </c>
      <c r="L718" s="48"/>
      <c r="M718" s="47"/>
      <c r="N718" s="47"/>
      <c r="O718" s="47"/>
      <c r="P718" s="47"/>
      <c r="Q718" s="47"/>
      <c r="R718" s="47"/>
      <c r="S718" s="48">
        <v>13</v>
      </c>
      <c r="T718" s="31">
        <v>0</v>
      </c>
      <c r="U718" s="31">
        <v>0</v>
      </c>
      <c r="V718" s="31">
        <v>0</v>
      </c>
      <c r="Y718" s="31" t="s">
        <v>51</v>
      </c>
      <c r="Z718" s="47" t="s">
        <v>146</v>
      </c>
      <c r="AE718" s="47" t="s">
        <v>1578</v>
      </c>
      <c r="AF718" s="47">
        <v>65</v>
      </c>
      <c r="AG718"/>
      <c r="AH718"/>
      <c r="AI718"/>
      <c r="AJ718"/>
      <c r="AK718">
        <v>108</v>
      </c>
      <c r="AL718"/>
      <c r="AM718"/>
      <c r="AN718"/>
      <c r="AO718"/>
      <c r="AP718"/>
      <c r="AQ718" s="32" t="s">
        <v>1766</v>
      </c>
      <c r="AU718">
        <v>717</v>
      </c>
    </row>
    <row r="719" spans="1:47" x14ac:dyDescent="0.2">
      <c r="A719" s="37">
        <v>6047</v>
      </c>
      <c r="B719" s="38" t="s">
        <v>45</v>
      </c>
      <c r="C719" s="39" t="s">
        <v>156</v>
      </c>
      <c r="D719" s="29"/>
      <c r="E719" s="38" t="s">
        <v>1764</v>
      </c>
      <c r="F719" s="32" t="s">
        <v>1770</v>
      </c>
      <c r="G719" s="47" t="s">
        <v>459</v>
      </c>
      <c r="H719"/>
      <c r="I719" s="32" t="s">
        <v>1771</v>
      </c>
      <c r="J719" s="47"/>
      <c r="K719" s="47"/>
      <c r="L719" s="48"/>
      <c r="M719" s="47"/>
      <c r="N719" s="47"/>
      <c r="O719" s="47"/>
      <c r="P719" s="47"/>
      <c r="Q719" s="47"/>
      <c r="R719" s="47"/>
      <c r="S719" s="48"/>
      <c r="T719" s="47"/>
      <c r="U719" s="47"/>
      <c r="V719" s="47"/>
      <c r="W719" s="47"/>
      <c r="X719" s="47"/>
      <c r="Y719" s="47"/>
      <c r="Z719" s="47"/>
      <c r="AA719" s="49"/>
      <c r="AB719" s="49"/>
      <c r="AC719" s="49"/>
      <c r="AD719" s="50"/>
      <c r="AE719" s="47"/>
      <c r="AF719" s="47"/>
      <c r="AG719"/>
      <c r="AH719"/>
      <c r="AI719"/>
      <c r="AJ719"/>
      <c r="AK719"/>
      <c r="AL719"/>
      <c r="AM719"/>
      <c r="AN719"/>
      <c r="AO719"/>
      <c r="AP719"/>
      <c r="AQ719" t="s">
        <v>1721</v>
      </c>
      <c r="AU719">
        <v>718</v>
      </c>
    </row>
    <row r="720" spans="1:47" x14ac:dyDescent="0.2">
      <c r="A720" s="26">
        <v>6047</v>
      </c>
      <c r="B720" s="27">
        <v>0.28472222222222221</v>
      </c>
      <c r="C720" s="28"/>
      <c r="D720" s="29"/>
      <c r="E720" s="30" t="s">
        <v>1124</v>
      </c>
      <c r="H720" s="32">
        <v>1</v>
      </c>
      <c r="I720" s="32" t="s">
        <v>1534</v>
      </c>
      <c r="AG720" s="32">
        <v>0</v>
      </c>
      <c r="AH720" s="32">
        <v>0</v>
      </c>
      <c r="AK720" s="32">
        <v>12</v>
      </c>
      <c r="AL720" s="32">
        <f>35/60</f>
        <v>0.58333333333333337</v>
      </c>
      <c r="AO720" s="46" t="s">
        <v>1126</v>
      </c>
      <c r="AP720" s="32">
        <f>35/60</f>
        <v>0.58333333333333337</v>
      </c>
      <c r="AQ720" s="32" t="s">
        <v>589</v>
      </c>
      <c r="AU720">
        <v>719</v>
      </c>
    </row>
    <row r="721" spans="1:47" x14ac:dyDescent="0.2">
      <c r="A721" s="26">
        <v>6047</v>
      </c>
      <c r="B721" s="27">
        <v>0.53125</v>
      </c>
      <c r="C721" s="28"/>
      <c r="D721" s="29"/>
      <c r="E721" s="30" t="s">
        <v>1124</v>
      </c>
      <c r="H721" s="32">
        <v>1</v>
      </c>
      <c r="I721" s="32"/>
      <c r="AG721" s="32">
        <v>0</v>
      </c>
      <c r="AH721" s="32">
        <v>7</v>
      </c>
      <c r="AK721" s="32">
        <v>16</v>
      </c>
      <c r="AL721" s="32">
        <v>0.33300000000000002</v>
      </c>
      <c r="AO721" s="46" t="s">
        <v>1126</v>
      </c>
      <c r="AP721" s="32">
        <v>0.33300000000000002</v>
      </c>
      <c r="AQ721" s="32" t="s">
        <v>589</v>
      </c>
      <c r="AU721">
        <v>720</v>
      </c>
    </row>
    <row r="722" spans="1:47" x14ac:dyDescent="0.2">
      <c r="A722" s="26">
        <v>6047</v>
      </c>
      <c r="B722" s="27" t="s">
        <v>45</v>
      </c>
      <c r="C722" s="28"/>
      <c r="D722" s="29"/>
      <c r="E722" s="30" t="s">
        <v>1531</v>
      </c>
      <c r="H722" s="32">
        <v>1</v>
      </c>
      <c r="I722" s="32" t="s">
        <v>1772</v>
      </c>
      <c r="AM722" s="32">
        <f>498*82</f>
        <v>40836</v>
      </c>
      <c r="AO722" s="32" t="s">
        <v>1533</v>
      </c>
      <c r="AQ722" s="32" t="s">
        <v>1101</v>
      </c>
      <c r="AU722">
        <v>721</v>
      </c>
    </row>
    <row r="723" spans="1:47" x14ac:dyDescent="0.2">
      <c r="A723" s="37">
        <v>6048</v>
      </c>
      <c r="B723" s="38" t="s">
        <v>85</v>
      </c>
      <c r="C723" s="39" t="s">
        <v>1234</v>
      </c>
      <c r="D723" s="29"/>
      <c r="E723" s="38" t="s">
        <v>894</v>
      </c>
      <c r="F723" s="32" t="s">
        <v>1650</v>
      </c>
      <c r="G723" s="47" t="s">
        <v>73</v>
      </c>
      <c r="H723"/>
      <c r="I723" s="32" t="s">
        <v>1773</v>
      </c>
      <c r="J723" s="47"/>
      <c r="K723" s="47">
        <f>(30*10+2*50)*2.2</f>
        <v>880.00000000000011</v>
      </c>
      <c r="L723" s="48">
        <v>6</v>
      </c>
      <c r="M723" s="47"/>
      <c r="N723" s="47"/>
      <c r="O723" s="47"/>
      <c r="P723" s="47"/>
      <c r="Q723" s="47"/>
      <c r="R723" s="47"/>
      <c r="S723" s="48">
        <v>6</v>
      </c>
      <c r="T723" s="47">
        <v>1</v>
      </c>
      <c r="U723" s="47">
        <v>0</v>
      </c>
      <c r="V723" s="47">
        <v>0</v>
      </c>
      <c r="W723" s="47"/>
      <c r="X723" s="47"/>
      <c r="Y723" s="47" t="s">
        <v>120</v>
      </c>
      <c r="Z723" s="47"/>
      <c r="AA723" s="49">
        <v>0.72569444444444453</v>
      </c>
      <c r="AB723" s="49">
        <v>0.83680555555555547</v>
      </c>
      <c r="AC723" s="49">
        <f>AVERAGE(AA723:AB723)</f>
        <v>0.78125</v>
      </c>
      <c r="AD723" s="50">
        <f>(AB723-AA723)*24</f>
        <v>2.6666666666666625</v>
      </c>
      <c r="AE723" s="47" t="s">
        <v>1653</v>
      </c>
      <c r="AF723" s="47">
        <v>90</v>
      </c>
      <c r="AG723"/>
      <c r="AH723"/>
      <c r="AI723"/>
      <c r="AJ723"/>
      <c r="AK723" s="32">
        <v>32</v>
      </c>
      <c r="AL723"/>
      <c r="AM723"/>
      <c r="AN723"/>
      <c r="AO723"/>
      <c r="AP723"/>
      <c r="AQ723" s="32" t="s">
        <v>1774</v>
      </c>
      <c r="AU723">
        <v>722</v>
      </c>
    </row>
    <row r="724" spans="1:47" x14ac:dyDescent="0.2">
      <c r="A724" s="26">
        <v>6048</v>
      </c>
      <c r="B724" s="27">
        <v>5.2083333333333336E-2</v>
      </c>
      <c r="C724" s="28"/>
      <c r="D724" s="29"/>
      <c r="E724" s="30" t="s">
        <v>1282</v>
      </c>
      <c r="H724" s="32">
        <v>0</v>
      </c>
      <c r="I724" s="32" t="s">
        <v>1669</v>
      </c>
      <c r="AG724" s="32">
        <v>0</v>
      </c>
      <c r="AH724" s="32">
        <v>0</v>
      </c>
      <c r="AI724" s="32">
        <v>0</v>
      </c>
      <c r="AK724" s="32">
        <v>0</v>
      </c>
      <c r="AL724" s="32">
        <f>35/60</f>
        <v>0.58333333333333337</v>
      </c>
      <c r="AP724" s="32">
        <f>35/60</f>
        <v>0.58333333333333337</v>
      </c>
      <c r="AQ724" s="32" t="s">
        <v>1101</v>
      </c>
      <c r="AU724">
        <v>723</v>
      </c>
    </row>
    <row r="725" spans="1:47" x14ac:dyDescent="0.2">
      <c r="A725" s="26">
        <v>6048</v>
      </c>
      <c r="B725" s="27">
        <v>0.79166666666666663</v>
      </c>
      <c r="C725" s="28"/>
      <c r="D725" s="29"/>
      <c r="E725" s="30" t="s">
        <v>1124</v>
      </c>
      <c r="H725" s="32">
        <v>1</v>
      </c>
      <c r="I725" s="32"/>
      <c r="AG725" s="32">
        <v>2</v>
      </c>
      <c r="AH725" s="32">
        <v>27</v>
      </c>
      <c r="AK725" s="32">
        <v>13</v>
      </c>
      <c r="AL725" s="32">
        <v>0.33300000000000002</v>
      </c>
      <c r="AO725" s="46" t="s">
        <v>1126</v>
      </c>
      <c r="AP725" s="32">
        <v>0.33300000000000002</v>
      </c>
      <c r="AQ725" s="32" t="s">
        <v>589</v>
      </c>
      <c r="AU725">
        <v>724</v>
      </c>
    </row>
    <row r="726" spans="1:47" x14ac:dyDescent="0.2">
      <c r="A726" s="26">
        <v>6048</v>
      </c>
      <c r="B726" s="27" t="s">
        <v>45</v>
      </c>
      <c r="C726" s="28"/>
      <c r="D726" s="29"/>
      <c r="E726" s="30" t="s">
        <v>1531</v>
      </c>
      <c r="H726" s="32">
        <v>1</v>
      </c>
      <c r="I726" s="32" t="s">
        <v>1775</v>
      </c>
      <c r="AM726" s="32">
        <f>498*155</f>
        <v>77190</v>
      </c>
      <c r="AO726" s="32" t="s">
        <v>1533</v>
      </c>
      <c r="AQ726" s="32" t="s">
        <v>1101</v>
      </c>
      <c r="AU726">
        <v>725</v>
      </c>
    </row>
    <row r="727" spans="1:47" x14ac:dyDescent="0.2">
      <c r="A727" s="37">
        <v>6049</v>
      </c>
      <c r="B727" s="38" t="s">
        <v>85</v>
      </c>
      <c r="C727" s="39" t="s">
        <v>1655</v>
      </c>
      <c r="D727" s="29"/>
      <c r="E727" s="38" t="s">
        <v>153</v>
      </c>
      <c r="F727" s="31" t="s">
        <v>1776</v>
      </c>
      <c r="G727" s="31" t="s">
        <v>73</v>
      </c>
      <c r="H727" s="32"/>
      <c r="I727" s="32" t="s">
        <v>1777</v>
      </c>
      <c r="K727" s="31">
        <f>35*10*2.2</f>
        <v>770.00000000000011</v>
      </c>
      <c r="L727" s="33">
        <v>7</v>
      </c>
      <c r="S727" s="33">
        <v>7</v>
      </c>
      <c r="T727" s="31">
        <v>0</v>
      </c>
      <c r="U727" s="31">
        <v>0</v>
      </c>
      <c r="V727" s="31">
        <v>0</v>
      </c>
      <c r="Y727" s="31" t="s">
        <v>51</v>
      </c>
      <c r="Z727" s="47" t="s">
        <v>1241</v>
      </c>
      <c r="AA727" s="34">
        <v>0.41666666666666669</v>
      </c>
      <c r="AC727" s="34">
        <v>0.48958333333333331</v>
      </c>
      <c r="AE727" s="47" t="s">
        <v>342</v>
      </c>
      <c r="AF727" s="47">
        <v>40</v>
      </c>
      <c r="AK727" s="32">
        <v>35</v>
      </c>
      <c r="AQ727" s="32" t="s">
        <v>1766</v>
      </c>
      <c r="AU727">
        <v>726</v>
      </c>
    </row>
    <row r="728" spans="1:47" x14ac:dyDescent="0.2">
      <c r="A728" s="26">
        <v>6049</v>
      </c>
      <c r="B728" s="27"/>
      <c r="C728" s="28"/>
      <c r="D728" s="29"/>
      <c r="E728" s="30" t="s">
        <v>153</v>
      </c>
      <c r="H728" s="32">
        <v>1</v>
      </c>
      <c r="I728" s="32" t="s">
        <v>1778</v>
      </c>
      <c r="AG728" s="130">
        <v>5</v>
      </c>
      <c r="AK728" s="32">
        <v>25</v>
      </c>
      <c r="AO728" s="46" t="s">
        <v>155</v>
      </c>
      <c r="AP728" s="46"/>
      <c r="AQ728" s="32">
        <v>448</v>
      </c>
      <c r="AU728">
        <v>727</v>
      </c>
    </row>
    <row r="729" spans="1:47" x14ac:dyDescent="0.2">
      <c r="A729" s="37">
        <v>6049</v>
      </c>
      <c r="B729" s="38" t="s">
        <v>85</v>
      </c>
      <c r="C729" s="39" t="s">
        <v>1655</v>
      </c>
      <c r="D729" s="29"/>
      <c r="E729" s="38" t="s">
        <v>1764</v>
      </c>
      <c r="F729" s="32" t="s">
        <v>150</v>
      </c>
      <c r="G729" s="47" t="s">
        <v>49</v>
      </c>
      <c r="H729" s="32"/>
      <c r="I729" s="122" t="s">
        <v>1779</v>
      </c>
      <c r="K729" s="31">
        <f>5*10*2.2</f>
        <v>110.00000000000001</v>
      </c>
      <c r="L729" s="33">
        <v>1</v>
      </c>
      <c r="S729" s="33">
        <v>1</v>
      </c>
      <c r="T729" s="31">
        <v>0</v>
      </c>
      <c r="U729" s="31">
        <v>0</v>
      </c>
      <c r="V729" s="31">
        <v>0</v>
      </c>
      <c r="Y729" s="31" t="s">
        <v>51</v>
      </c>
      <c r="Z729" s="47" t="s">
        <v>1241</v>
      </c>
      <c r="AA729" s="34">
        <v>0.125</v>
      </c>
      <c r="AE729" s="47" t="s">
        <v>342</v>
      </c>
      <c r="AF729" s="31">
        <v>70</v>
      </c>
      <c r="AK729" s="32">
        <v>5</v>
      </c>
      <c r="AO729" s="46"/>
      <c r="AP729" s="46"/>
      <c r="AQ729" s="32" t="s">
        <v>1766</v>
      </c>
      <c r="AU729">
        <v>728</v>
      </c>
    </row>
    <row r="730" spans="1:47" x14ac:dyDescent="0.2">
      <c r="A730" s="37">
        <v>6050</v>
      </c>
      <c r="B730" s="38" t="s">
        <v>85</v>
      </c>
      <c r="C730" s="39" t="s">
        <v>1655</v>
      </c>
      <c r="D730" s="29"/>
      <c r="E730" s="38" t="s">
        <v>107</v>
      </c>
      <c r="F730" s="32" t="s">
        <v>107</v>
      </c>
      <c r="G730" s="47" t="s">
        <v>73</v>
      </c>
      <c r="H730" s="32"/>
      <c r="I730" s="122" t="s">
        <v>1780</v>
      </c>
      <c r="K730" s="31">
        <f>12*10*2.2</f>
        <v>264</v>
      </c>
      <c r="L730" s="33">
        <v>7</v>
      </c>
      <c r="T730" s="31">
        <v>0</v>
      </c>
      <c r="U730" s="31">
        <v>0</v>
      </c>
      <c r="V730" s="31">
        <v>0</v>
      </c>
      <c r="Y730" s="31" t="s">
        <v>120</v>
      </c>
      <c r="Z730" s="47" t="s">
        <v>1241</v>
      </c>
      <c r="AA730" s="34">
        <v>0.70833333333333337</v>
      </c>
      <c r="AE730" s="47" t="s">
        <v>342</v>
      </c>
      <c r="AK730" s="32">
        <v>12</v>
      </c>
      <c r="AO730" s="46"/>
      <c r="AP730" s="46"/>
      <c r="AQ730" s="32" t="s">
        <v>1781</v>
      </c>
      <c r="AU730">
        <v>729</v>
      </c>
    </row>
    <row r="731" spans="1:47" x14ac:dyDescent="0.2">
      <c r="A731" s="37">
        <v>6050</v>
      </c>
      <c r="B731" s="38" t="s">
        <v>45</v>
      </c>
      <c r="C731" s="39" t="s">
        <v>1262</v>
      </c>
      <c r="D731" s="29" t="s">
        <v>120</v>
      </c>
      <c r="E731" s="38" t="s">
        <v>107</v>
      </c>
      <c r="F731" s="32" t="s">
        <v>107</v>
      </c>
      <c r="G731" s="47"/>
      <c r="H731" s="32"/>
      <c r="I731" s="122" t="s">
        <v>1782</v>
      </c>
      <c r="S731" s="33">
        <v>0</v>
      </c>
      <c r="T731" s="31">
        <v>0</v>
      </c>
      <c r="U731" s="31">
        <v>0</v>
      </c>
      <c r="V731" s="31">
        <v>1</v>
      </c>
      <c r="Y731" s="31" t="s">
        <v>51</v>
      </c>
      <c r="Z731" s="47" t="s">
        <v>146</v>
      </c>
      <c r="AE731" s="47" t="s">
        <v>1558</v>
      </c>
      <c r="AK731" s="32">
        <v>0</v>
      </c>
      <c r="AO731" s="46"/>
      <c r="AP731" s="46"/>
      <c r="AQ731" s="32" t="s">
        <v>1781</v>
      </c>
      <c r="AR731" s="32" t="s">
        <v>1560</v>
      </c>
      <c r="AU731">
        <v>730</v>
      </c>
    </row>
    <row r="732" spans="1:47" x14ac:dyDescent="0.2">
      <c r="A732" s="26">
        <v>6050</v>
      </c>
      <c r="B732" s="27">
        <v>0.22569444444444445</v>
      </c>
      <c r="C732" s="28"/>
      <c r="D732" s="29"/>
      <c r="E732" s="30" t="s">
        <v>1282</v>
      </c>
      <c r="H732" s="32">
        <v>0</v>
      </c>
      <c r="I732" s="32" t="s">
        <v>1783</v>
      </c>
      <c r="AG732" s="32">
        <v>0</v>
      </c>
      <c r="AH732" s="32">
        <v>0</v>
      </c>
      <c r="AI732" s="32">
        <v>0</v>
      </c>
      <c r="AK732" s="32">
        <v>0</v>
      </c>
      <c r="AL732" s="32">
        <f>35/60</f>
        <v>0.58333333333333337</v>
      </c>
      <c r="AP732" s="32">
        <f>35/60</f>
        <v>0.58333333333333337</v>
      </c>
      <c r="AQ732" s="32" t="s">
        <v>1101</v>
      </c>
      <c r="AU732">
        <v>731</v>
      </c>
    </row>
    <row r="733" spans="1:47" x14ac:dyDescent="0.2">
      <c r="A733" s="26">
        <v>6050</v>
      </c>
      <c r="B733" s="27" t="s">
        <v>45</v>
      </c>
      <c r="C733" s="28"/>
      <c r="D733" s="29"/>
      <c r="E733" s="30" t="s">
        <v>1531</v>
      </c>
      <c r="H733" s="32">
        <v>0</v>
      </c>
      <c r="I733" s="32" t="s">
        <v>1706</v>
      </c>
      <c r="AG733" s="32">
        <v>0</v>
      </c>
      <c r="AH733" s="32">
        <v>0</v>
      </c>
      <c r="AI733" s="32">
        <v>0</v>
      </c>
      <c r="AK733" s="32">
        <v>0</v>
      </c>
      <c r="AM733" s="32">
        <f>498*187</f>
        <v>93126</v>
      </c>
      <c r="AO733" s="32" t="s">
        <v>1533</v>
      </c>
      <c r="AQ733" s="32" t="s">
        <v>1101</v>
      </c>
      <c r="AU733">
        <v>732</v>
      </c>
    </row>
    <row r="734" spans="1:47" x14ac:dyDescent="0.2">
      <c r="A734" s="37">
        <v>6051</v>
      </c>
      <c r="B734" s="38" t="s">
        <v>85</v>
      </c>
      <c r="C734" s="39" t="s">
        <v>1655</v>
      </c>
      <c r="D734" s="29"/>
      <c r="E734" s="38" t="s">
        <v>1784</v>
      </c>
      <c r="F734" s="131" t="s">
        <v>1785</v>
      </c>
      <c r="G734" s="31" t="s">
        <v>205</v>
      </c>
      <c r="H734" s="32"/>
      <c r="I734" s="96" t="s">
        <v>1786</v>
      </c>
      <c r="J734" s="104"/>
      <c r="K734" s="105">
        <f>(2*5*10)*2.2</f>
        <v>220.00000000000003</v>
      </c>
      <c r="L734" s="33">
        <v>7</v>
      </c>
      <c r="M734" s="31">
        <v>5</v>
      </c>
      <c r="P734" s="31">
        <v>1</v>
      </c>
      <c r="S734" s="33">
        <v>2</v>
      </c>
      <c r="T734" s="31">
        <v>0</v>
      </c>
      <c r="U734" s="31">
        <v>0</v>
      </c>
      <c r="V734" s="31">
        <v>0</v>
      </c>
      <c r="Y734" s="31" t="s">
        <v>51</v>
      </c>
      <c r="Z734" s="47" t="s">
        <v>1241</v>
      </c>
      <c r="AA734" s="34">
        <v>0.40277777777777773</v>
      </c>
      <c r="AE734" s="47" t="s">
        <v>342</v>
      </c>
      <c r="AF734" s="31">
        <v>65</v>
      </c>
      <c r="AK734" s="132">
        <v>10</v>
      </c>
      <c r="AQ734" s="32" t="s">
        <v>1781</v>
      </c>
      <c r="AU734">
        <v>733</v>
      </c>
    </row>
    <row r="735" spans="1:47" x14ac:dyDescent="0.2">
      <c r="A735" s="37">
        <v>6051</v>
      </c>
      <c r="B735" s="38" t="s">
        <v>45</v>
      </c>
      <c r="C735" s="39" t="s">
        <v>1262</v>
      </c>
      <c r="D735" s="29"/>
      <c r="E735" s="38" t="s">
        <v>1787</v>
      </c>
      <c r="F735" s="131" t="s">
        <v>107</v>
      </c>
      <c r="G735" s="31" t="s">
        <v>73</v>
      </c>
      <c r="H735" s="32"/>
      <c r="I735" s="32" t="s">
        <v>1703</v>
      </c>
      <c r="K735" s="31">
        <f>29*10*2.2</f>
        <v>638</v>
      </c>
      <c r="S735" s="33">
        <v>7</v>
      </c>
      <c r="T735" s="31">
        <v>0</v>
      </c>
      <c r="U735" s="31">
        <v>0</v>
      </c>
      <c r="V735" s="31">
        <v>0</v>
      </c>
      <c r="Y735" s="31" t="s">
        <v>51</v>
      </c>
      <c r="Z735" s="47" t="s">
        <v>146</v>
      </c>
      <c r="AE735" s="47" t="s">
        <v>1558</v>
      </c>
      <c r="AK735" s="32">
        <v>29</v>
      </c>
      <c r="AQ735" s="32" t="s">
        <v>1781</v>
      </c>
      <c r="AR735" s="32" t="s">
        <v>1560</v>
      </c>
      <c r="AU735">
        <v>734</v>
      </c>
    </row>
    <row r="736" spans="1:47" x14ac:dyDescent="0.2">
      <c r="A736" s="26">
        <v>6051</v>
      </c>
      <c r="B736" s="27" t="s">
        <v>45</v>
      </c>
      <c r="C736" s="28"/>
      <c r="D736" s="29"/>
      <c r="E736" s="30" t="s">
        <v>464</v>
      </c>
      <c r="H736" s="32">
        <v>1</v>
      </c>
      <c r="I736" s="32" t="s">
        <v>1788</v>
      </c>
      <c r="AG736" s="32">
        <v>0</v>
      </c>
      <c r="AH736" s="32">
        <v>4</v>
      </c>
      <c r="AK736" s="32">
        <v>7</v>
      </c>
      <c r="AO736" s="32" t="s">
        <v>487</v>
      </c>
      <c r="AQ736" s="32">
        <v>385</v>
      </c>
      <c r="AU736">
        <v>735</v>
      </c>
    </row>
    <row r="737" spans="1:47" x14ac:dyDescent="0.2">
      <c r="A737" s="26">
        <v>6051</v>
      </c>
      <c r="B737" s="27" t="s">
        <v>45</v>
      </c>
      <c r="C737" s="28"/>
      <c r="D737" s="29"/>
      <c r="E737" s="30" t="s">
        <v>1531</v>
      </c>
      <c r="H737" s="32">
        <v>0</v>
      </c>
      <c r="I737" s="32" t="s">
        <v>1532</v>
      </c>
      <c r="AG737" s="32">
        <v>0</v>
      </c>
      <c r="AH737" s="32">
        <v>0</v>
      </c>
      <c r="AI737" s="32">
        <v>0</v>
      </c>
      <c r="AK737" s="32">
        <v>0</v>
      </c>
      <c r="AM737" s="32">
        <f>498*70</f>
        <v>34860</v>
      </c>
      <c r="AO737" s="32" t="s">
        <v>1533</v>
      </c>
      <c r="AQ737" s="32" t="s">
        <v>1101</v>
      </c>
      <c r="AU737">
        <v>736</v>
      </c>
    </row>
    <row r="738" spans="1:47" x14ac:dyDescent="0.2">
      <c r="A738" s="44">
        <v>6052</v>
      </c>
      <c r="B738" s="42" t="s">
        <v>45</v>
      </c>
      <c r="C738" s="43" t="s">
        <v>1789</v>
      </c>
      <c r="D738" s="29"/>
      <c r="E738" s="36" t="s">
        <v>1004</v>
      </c>
      <c r="F738" s="31" t="s">
        <v>1494</v>
      </c>
      <c r="H738" s="32"/>
      <c r="I738" s="32" t="s">
        <v>1790</v>
      </c>
      <c r="K738" s="31">
        <f>(7*104.75+16*43)*2.2</f>
        <v>3126.7500000000005</v>
      </c>
      <c r="L738" s="33">
        <v>1</v>
      </c>
      <c r="S738" s="33">
        <v>1</v>
      </c>
      <c r="Y738" s="31" t="s">
        <v>51</v>
      </c>
      <c r="Z738" s="20" t="s">
        <v>52</v>
      </c>
      <c r="AF738" s="31">
        <v>250</v>
      </c>
      <c r="AK738" s="32">
        <v>23</v>
      </c>
      <c r="AQ738" s="32" t="s">
        <v>566</v>
      </c>
      <c r="AU738">
        <v>737</v>
      </c>
    </row>
    <row r="739" spans="1:47" x14ac:dyDescent="0.2">
      <c r="A739" s="44">
        <v>6052</v>
      </c>
      <c r="B739" s="42" t="s">
        <v>45</v>
      </c>
      <c r="C739" s="39" t="s">
        <v>425</v>
      </c>
      <c r="D739" s="29"/>
      <c r="E739" s="38" t="s">
        <v>1791</v>
      </c>
      <c r="F739" s="31" t="s">
        <v>1792</v>
      </c>
      <c r="G739" s="31" t="s">
        <v>73</v>
      </c>
      <c r="H739" s="32"/>
      <c r="I739" s="32" t="s">
        <v>1793</v>
      </c>
      <c r="K739" s="31">
        <f>62*10*2.2</f>
        <v>1364</v>
      </c>
      <c r="S739" s="33">
        <v>8</v>
      </c>
      <c r="T739" s="31">
        <v>0</v>
      </c>
      <c r="U739" s="31">
        <v>0</v>
      </c>
      <c r="V739" s="31">
        <v>0</v>
      </c>
      <c r="Y739" s="31" t="s">
        <v>51</v>
      </c>
      <c r="Z739" s="47" t="s">
        <v>146</v>
      </c>
      <c r="AE739" s="47" t="s">
        <v>1578</v>
      </c>
      <c r="AF739" s="31">
        <v>65</v>
      </c>
      <c r="AK739" s="32">
        <v>62</v>
      </c>
      <c r="AQ739" s="32" t="s">
        <v>1781</v>
      </c>
      <c r="AU739">
        <v>738</v>
      </c>
    </row>
    <row r="740" spans="1:47" x14ac:dyDescent="0.2">
      <c r="A740" s="44">
        <v>6052</v>
      </c>
      <c r="B740" s="42" t="s">
        <v>45</v>
      </c>
      <c r="C740" s="39" t="s">
        <v>1262</v>
      </c>
      <c r="D740" s="29"/>
      <c r="E740" s="36" t="s">
        <v>1310</v>
      </c>
      <c r="F740" s="31" t="s">
        <v>1794</v>
      </c>
      <c r="G740" s="31" t="s">
        <v>73</v>
      </c>
      <c r="H740" s="32"/>
      <c r="I740" s="32" t="s">
        <v>1703</v>
      </c>
      <c r="K740" s="31">
        <f>27*10*2.2</f>
        <v>594</v>
      </c>
      <c r="S740" s="33">
        <v>5</v>
      </c>
      <c r="T740" s="31">
        <v>0</v>
      </c>
      <c r="U740" s="31">
        <v>0</v>
      </c>
      <c r="V740" s="31">
        <v>0</v>
      </c>
      <c r="Y740" s="31" t="s">
        <v>51</v>
      </c>
      <c r="Z740" s="47" t="s">
        <v>146</v>
      </c>
      <c r="AE740" s="47" t="s">
        <v>1558</v>
      </c>
      <c r="AF740" s="47">
        <v>35</v>
      </c>
      <c r="AK740" s="32">
        <v>27</v>
      </c>
      <c r="AQ740" s="32" t="s">
        <v>1781</v>
      </c>
      <c r="AR740" s="32" t="s">
        <v>1560</v>
      </c>
      <c r="AU740">
        <v>739</v>
      </c>
    </row>
    <row r="741" spans="1:47" x14ac:dyDescent="0.2">
      <c r="A741" s="26">
        <v>6052</v>
      </c>
      <c r="B741" s="27">
        <v>4.1666666666666664E-2</v>
      </c>
      <c r="C741" s="28"/>
      <c r="D741" s="29"/>
      <c r="E741" s="30" t="s">
        <v>1282</v>
      </c>
      <c r="H741" s="32">
        <v>0</v>
      </c>
      <c r="I741" s="32" t="s">
        <v>1795</v>
      </c>
      <c r="AG741" s="32">
        <v>0</v>
      </c>
      <c r="AH741" s="32">
        <v>0</v>
      </c>
      <c r="AI741" s="32">
        <v>0</v>
      </c>
      <c r="AK741" s="32">
        <v>0</v>
      </c>
      <c r="AL741" s="32">
        <f>85/60</f>
        <v>1.4166666666666667</v>
      </c>
      <c r="AP741" s="32">
        <v>1.5</v>
      </c>
      <c r="AQ741" s="32" t="s">
        <v>1101</v>
      </c>
      <c r="AU741">
        <v>740</v>
      </c>
    </row>
    <row r="742" spans="1:47" x14ac:dyDescent="0.2">
      <c r="A742" s="26">
        <v>6052</v>
      </c>
      <c r="B742" s="27" t="s">
        <v>45</v>
      </c>
      <c r="C742" s="28"/>
      <c r="D742" s="29"/>
      <c r="E742" s="30" t="s">
        <v>1531</v>
      </c>
      <c r="H742" s="32">
        <v>1</v>
      </c>
      <c r="I742" s="32" t="s">
        <v>1796</v>
      </c>
      <c r="AM742" s="32">
        <f>498*140</f>
        <v>69720</v>
      </c>
      <c r="AO742" s="32" t="s">
        <v>1533</v>
      </c>
      <c r="AQ742" s="32" t="s">
        <v>1101</v>
      </c>
      <c r="AU742">
        <v>741</v>
      </c>
    </row>
    <row r="743" spans="1:47" x14ac:dyDescent="0.2">
      <c r="A743" s="37">
        <v>6053</v>
      </c>
      <c r="B743" s="38" t="s">
        <v>85</v>
      </c>
      <c r="C743" s="39" t="s">
        <v>1655</v>
      </c>
      <c r="D743" s="29"/>
      <c r="E743" s="38" t="s">
        <v>1797</v>
      </c>
      <c r="F743" s="31" t="s">
        <v>1798</v>
      </c>
      <c r="G743" s="31" t="s">
        <v>73</v>
      </c>
      <c r="H743" s="32"/>
      <c r="I743" s="96" t="s">
        <v>1799</v>
      </c>
      <c r="J743" s="104"/>
      <c r="K743" s="105">
        <f>40*10*2.2</f>
        <v>880.00000000000011</v>
      </c>
      <c r="L743" s="33">
        <v>8</v>
      </c>
      <c r="S743" s="33">
        <v>8</v>
      </c>
      <c r="T743" s="31">
        <v>0</v>
      </c>
      <c r="U743" s="31">
        <v>0</v>
      </c>
      <c r="V743" s="31">
        <v>0</v>
      </c>
      <c r="Y743" s="31" t="s">
        <v>51</v>
      </c>
      <c r="Z743" s="47" t="s">
        <v>1241</v>
      </c>
      <c r="AA743" s="34">
        <v>0.3611111111111111</v>
      </c>
      <c r="AC743" s="34">
        <v>0.42708333333333331</v>
      </c>
      <c r="AE743" s="47" t="s">
        <v>342</v>
      </c>
      <c r="AK743" s="32">
        <v>40</v>
      </c>
      <c r="AQ743" s="32" t="s">
        <v>1800</v>
      </c>
      <c r="AU743">
        <v>742</v>
      </c>
    </row>
    <row r="744" spans="1:47" x14ac:dyDescent="0.2">
      <c r="A744" s="37">
        <v>6054</v>
      </c>
      <c r="B744" s="38" t="s">
        <v>45</v>
      </c>
      <c r="C744" s="39" t="s">
        <v>425</v>
      </c>
      <c r="D744" s="29"/>
      <c r="E744" s="38" t="s">
        <v>1801</v>
      </c>
      <c r="F744" s="31" t="s">
        <v>1757</v>
      </c>
      <c r="G744" s="31" t="s">
        <v>49</v>
      </c>
      <c r="H744" s="32"/>
      <c r="I744" s="32"/>
      <c r="K744" s="31">
        <f>86*10*2.2</f>
        <v>1892.0000000000002</v>
      </c>
      <c r="S744" s="33">
        <v>11</v>
      </c>
      <c r="T744" s="31">
        <v>0</v>
      </c>
      <c r="U744" s="31">
        <v>0</v>
      </c>
      <c r="V744" s="31">
        <v>1</v>
      </c>
      <c r="Y744" s="31" t="s">
        <v>51</v>
      </c>
      <c r="Z744" s="47" t="s">
        <v>146</v>
      </c>
      <c r="AE744" s="47" t="s">
        <v>1578</v>
      </c>
      <c r="AF744" s="31">
        <v>65</v>
      </c>
      <c r="AK744" s="32">
        <v>86</v>
      </c>
      <c r="AQ744" s="32" t="s">
        <v>1800</v>
      </c>
      <c r="AU744">
        <v>743</v>
      </c>
    </row>
    <row r="745" spans="1:47" x14ac:dyDescent="0.2">
      <c r="A745" s="37">
        <v>6054</v>
      </c>
      <c r="B745" s="38" t="s">
        <v>45</v>
      </c>
      <c r="C745" s="39" t="s">
        <v>1262</v>
      </c>
      <c r="D745" s="29"/>
      <c r="E745" s="36" t="s">
        <v>1310</v>
      </c>
      <c r="F745" s="31" t="s">
        <v>107</v>
      </c>
      <c r="H745" s="32"/>
      <c r="I745" s="32" t="s">
        <v>1802</v>
      </c>
      <c r="K745" s="31">
        <f>(16*10+1*7.25)*2.2</f>
        <v>367.95000000000005</v>
      </c>
      <c r="L745" s="33">
        <v>6</v>
      </c>
      <c r="S745" s="33">
        <v>4</v>
      </c>
      <c r="T745" s="31">
        <v>0</v>
      </c>
      <c r="U745" s="31">
        <v>0</v>
      </c>
      <c r="V745" s="31">
        <v>0</v>
      </c>
      <c r="Y745" s="31" t="s">
        <v>51</v>
      </c>
      <c r="Z745" s="47" t="s">
        <v>146</v>
      </c>
      <c r="AA745" s="34">
        <v>0.92361111111111116</v>
      </c>
      <c r="AE745" s="47" t="s">
        <v>1558</v>
      </c>
      <c r="AF745" s="47">
        <v>35</v>
      </c>
      <c r="AK745" s="32">
        <v>17</v>
      </c>
      <c r="AQ745" s="32" t="s">
        <v>1800</v>
      </c>
      <c r="AR745" s="32" t="s">
        <v>1560</v>
      </c>
      <c r="AU745">
        <v>744</v>
      </c>
    </row>
    <row r="746" spans="1:47" x14ac:dyDescent="0.2">
      <c r="A746" s="37">
        <v>6054</v>
      </c>
      <c r="B746" s="38" t="s">
        <v>45</v>
      </c>
      <c r="C746" s="39" t="s">
        <v>1803</v>
      </c>
      <c r="D746" s="29"/>
      <c r="E746" s="38" t="s">
        <v>124</v>
      </c>
      <c r="F746" s="31" t="s">
        <v>150</v>
      </c>
      <c r="G746" s="31" t="s">
        <v>49</v>
      </c>
      <c r="H746" s="32"/>
      <c r="I746" s="32" t="s">
        <v>1804</v>
      </c>
      <c r="S746" s="33">
        <v>1</v>
      </c>
      <c r="Z746" s="31" t="s">
        <v>1080</v>
      </c>
      <c r="AE746" s="47" t="s">
        <v>1805</v>
      </c>
      <c r="AF746" s="31">
        <v>45</v>
      </c>
      <c r="AQ746" s="32" t="s">
        <v>1692</v>
      </c>
      <c r="AU746">
        <v>745</v>
      </c>
    </row>
    <row r="747" spans="1:47" x14ac:dyDescent="0.2">
      <c r="A747" s="26">
        <v>6054</v>
      </c>
      <c r="B747" s="27" t="s">
        <v>45</v>
      </c>
      <c r="C747" s="28"/>
      <c r="D747" s="29"/>
      <c r="E747" s="30" t="s">
        <v>1531</v>
      </c>
      <c r="H747" s="32">
        <v>0</v>
      </c>
      <c r="I747" s="32" t="s">
        <v>1706</v>
      </c>
      <c r="AG747" s="32">
        <v>0</v>
      </c>
      <c r="AH747" s="32">
        <v>0</v>
      </c>
      <c r="AI747" s="32">
        <v>0</v>
      </c>
      <c r="AK747" s="32">
        <v>0</v>
      </c>
      <c r="AM747" s="32">
        <f>498*198</f>
        <v>98604</v>
      </c>
      <c r="AO747" s="32" t="s">
        <v>1533</v>
      </c>
      <c r="AQ747" s="32" t="s">
        <v>1101</v>
      </c>
      <c r="AU747">
        <v>746</v>
      </c>
    </row>
    <row r="748" spans="1:47" x14ac:dyDescent="0.2">
      <c r="A748" s="26">
        <v>6055</v>
      </c>
      <c r="B748" s="27" t="s">
        <v>45</v>
      </c>
      <c r="C748" s="28"/>
      <c r="D748" s="29"/>
      <c r="E748" s="30" t="s">
        <v>1531</v>
      </c>
      <c r="H748" s="32">
        <v>0</v>
      </c>
      <c r="I748" s="32" t="s">
        <v>1532</v>
      </c>
      <c r="AG748" s="32">
        <v>0</v>
      </c>
      <c r="AH748" s="32">
        <v>0</v>
      </c>
      <c r="AI748" s="32">
        <v>0</v>
      </c>
      <c r="AK748" s="32">
        <v>0</v>
      </c>
      <c r="AM748" s="32">
        <f>498*82</f>
        <v>40836</v>
      </c>
      <c r="AO748" s="32" t="s">
        <v>1533</v>
      </c>
      <c r="AQ748" s="32" t="s">
        <v>1101</v>
      </c>
      <c r="AU748">
        <v>747</v>
      </c>
    </row>
    <row r="749" spans="1:47" x14ac:dyDescent="0.2">
      <c r="A749" s="133">
        <v>6056</v>
      </c>
      <c r="B749" s="39" t="s">
        <v>85</v>
      </c>
      <c r="C749" s="39" t="s">
        <v>1806</v>
      </c>
      <c r="D749" s="29" t="b">
        <v>0</v>
      </c>
      <c r="E749" s="39" t="s">
        <v>894</v>
      </c>
      <c r="F749" s="47" t="s">
        <v>1807</v>
      </c>
      <c r="G749" s="47" t="s">
        <v>459</v>
      </c>
      <c r="H749"/>
      <c r="I749" s="134" t="s">
        <v>1808</v>
      </c>
      <c r="J749" s="47" t="b">
        <v>1</v>
      </c>
      <c r="K749" s="47">
        <f>8*65</f>
        <v>520</v>
      </c>
      <c r="L749" s="48">
        <v>4</v>
      </c>
      <c r="M749" s="47">
        <v>0</v>
      </c>
      <c r="N749" s="47">
        <v>1</v>
      </c>
      <c r="O749" s="47">
        <v>1</v>
      </c>
      <c r="P749" s="47">
        <v>0</v>
      </c>
      <c r="Q749" s="47">
        <v>0</v>
      </c>
      <c r="R749" s="47">
        <v>0</v>
      </c>
      <c r="S749" s="48">
        <v>2</v>
      </c>
      <c r="T749" s="47">
        <v>0</v>
      </c>
      <c r="U749" s="47">
        <v>0</v>
      </c>
      <c r="V749" s="47">
        <v>0</v>
      </c>
      <c r="W749" s="47"/>
      <c r="X749" s="47">
        <v>1</v>
      </c>
      <c r="Y749" s="47" t="s">
        <v>51</v>
      </c>
      <c r="Z749" s="47" t="s">
        <v>1809</v>
      </c>
      <c r="AA749" s="49">
        <v>0.19027777777777777</v>
      </c>
      <c r="AB749" s="49">
        <v>0.28819444444444448</v>
      </c>
      <c r="AC749" s="49">
        <f>AVERAGE(AA749:AB749)</f>
        <v>0.23923611111111112</v>
      </c>
      <c r="AD749" s="50">
        <f>(AB749-AA749)*24</f>
        <v>2.350000000000001</v>
      </c>
      <c r="AE749" s="47" t="s">
        <v>1810</v>
      </c>
      <c r="AF749" s="47">
        <v>90</v>
      </c>
      <c r="AG749"/>
      <c r="AH749"/>
      <c r="AI749"/>
      <c r="AJ749"/>
      <c r="AK749">
        <v>8</v>
      </c>
      <c r="AL749"/>
      <c r="AM749"/>
      <c r="AN749"/>
      <c r="AO749"/>
      <c r="AP749"/>
      <c r="AQ749" s="32" t="s">
        <v>1811</v>
      </c>
      <c r="AR749" s="32" t="s">
        <v>1812</v>
      </c>
      <c r="AU749">
        <v>748</v>
      </c>
    </row>
    <row r="750" spans="1:47" x14ac:dyDescent="0.2">
      <c r="A750" s="37">
        <v>6056</v>
      </c>
      <c r="B750" s="38" t="s">
        <v>85</v>
      </c>
      <c r="C750" s="38" t="s">
        <v>1234</v>
      </c>
      <c r="D750" s="29"/>
      <c r="E750" s="38" t="s">
        <v>894</v>
      </c>
      <c r="F750" s="31" t="s">
        <v>433</v>
      </c>
      <c r="G750" s="47"/>
      <c r="H750"/>
      <c r="I750" s="31" t="s">
        <v>1813</v>
      </c>
      <c r="J750" s="47"/>
      <c r="K750" s="47">
        <f>6*25*2.2</f>
        <v>330</v>
      </c>
      <c r="L750" s="48">
        <v>4</v>
      </c>
      <c r="M750" s="47"/>
      <c r="N750" s="47">
        <v>2</v>
      </c>
      <c r="O750" s="47"/>
      <c r="P750" s="47"/>
      <c r="Q750" s="47"/>
      <c r="R750" s="47"/>
      <c r="S750" s="48">
        <v>2</v>
      </c>
      <c r="T750" s="47">
        <v>1</v>
      </c>
      <c r="U750" s="47">
        <v>0</v>
      </c>
      <c r="V750" s="47">
        <v>0</v>
      </c>
      <c r="W750" s="47"/>
      <c r="X750" s="47"/>
      <c r="Y750" s="47" t="s">
        <v>51</v>
      </c>
      <c r="Z750" s="47"/>
      <c r="AA750" s="49">
        <v>0.1875</v>
      </c>
      <c r="AB750" s="49">
        <v>0.28611111111111115</v>
      </c>
      <c r="AC750" s="49">
        <f>AVERAGE(AA750:AB750)</f>
        <v>0.23680555555555557</v>
      </c>
      <c r="AD750" s="50">
        <f>(AB750-AA750)*24</f>
        <v>2.3666666666666676</v>
      </c>
      <c r="AE750" s="47" t="s">
        <v>1653</v>
      </c>
      <c r="AF750" s="47">
        <v>90</v>
      </c>
      <c r="AG750"/>
      <c r="AH750"/>
      <c r="AI750"/>
      <c r="AJ750"/>
      <c r="AK750">
        <v>6</v>
      </c>
      <c r="AL750"/>
      <c r="AM750"/>
      <c r="AN750"/>
      <c r="AO750"/>
      <c r="AP750"/>
      <c r="AQ750" t="s">
        <v>1814</v>
      </c>
      <c r="AU750">
        <v>749</v>
      </c>
    </row>
    <row r="751" spans="1:47" x14ac:dyDescent="0.2">
      <c r="A751" s="37">
        <v>6056</v>
      </c>
      <c r="B751" s="38" t="s">
        <v>85</v>
      </c>
      <c r="C751" s="38" t="s">
        <v>1815</v>
      </c>
      <c r="D751" s="29"/>
      <c r="E751" s="38" t="s">
        <v>1816</v>
      </c>
      <c r="F751" s="32"/>
      <c r="G751" s="47"/>
      <c r="H751"/>
      <c r="I751" s="31" t="s">
        <v>1817</v>
      </c>
      <c r="J751" s="47"/>
      <c r="K751" s="47"/>
      <c r="L751" s="48"/>
      <c r="M751" s="47"/>
      <c r="N751" s="47"/>
      <c r="O751" s="47"/>
      <c r="P751" s="47"/>
      <c r="Q751" s="47"/>
      <c r="R751" s="47"/>
      <c r="S751" s="48"/>
      <c r="T751" s="47"/>
      <c r="U751" s="47"/>
      <c r="V751" s="47"/>
      <c r="W751" s="47"/>
      <c r="X751" s="47"/>
      <c r="Y751" s="47"/>
      <c r="Z751" s="47"/>
      <c r="AA751" s="49"/>
      <c r="AB751" s="49"/>
      <c r="AC751" s="49"/>
      <c r="AD751" s="50"/>
      <c r="AE751" s="47"/>
      <c r="AF751" s="47"/>
      <c r="AG751"/>
      <c r="AH751"/>
      <c r="AI751"/>
      <c r="AJ751"/>
      <c r="AK751"/>
      <c r="AL751"/>
      <c r="AM751"/>
      <c r="AN751"/>
      <c r="AO751"/>
      <c r="AP751"/>
      <c r="AQ751" t="s">
        <v>1818</v>
      </c>
      <c r="AU751">
        <v>750</v>
      </c>
    </row>
    <row r="752" spans="1:47" x14ac:dyDescent="0.2">
      <c r="A752" s="37">
        <v>6056</v>
      </c>
      <c r="B752" s="38" t="s">
        <v>45</v>
      </c>
      <c r="C752" s="39" t="s">
        <v>1262</v>
      </c>
      <c r="D752" s="29"/>
      <c r="E752" s="38" t="s">
        <v>1626</v>
      </c>
      <c r="F752" s="32" t="s">
        <v>150</v>
      </c>
      <c r="G752" s="47" t="s">
        <v>49</v>
      </c>
      <c r="H752"/>
      <c r="I752" s="32" t="s">
        <v>1703</v>
      </c>
      <c r="J752" s="47"/>
      <c r="K752" s="47">
        <f>12*10*2.2</f>
        <v>264</v>
      </c>
      <c r="L752" s="48"/>
      <c r="M752" s="47"/>
      <c r="N752" s="47"/>
      <c r="O752" s="47"/>
      <c r="P752" s="47"/>
      <c r="Q752" s="47"/>
      <c r="R752" s="47"/>
      <c r="S752" s="48">
        <v>2</v>
      </c>
      <c r="T752" s="31">
        <v>0</v>
      </c>
      <c r="U752" s="31">
        <v>0</v>
      </c>
      <c r="V752" s="31">
        <v>0</v>
      </c>
      <c r="Y752" s="31" t="s">
        <v>51</v>
      </c>
      <c r="Z752" s="47" t="s">
        <v>146</v>
      </c>
      <c r="AE752" s="47" t="s">
        <v>1558</v>
      </c>
      <c r="AF752" s="47">
        <v>40</v>
      </c>
      <c r="AG752"/>
      <c r="AH752"/>
      <c r="AI752"/>
      <c r="AJ752"/>
      <c r="AK752">
        <v>12</v>
      </c>
      <c r="AL752"/>
      <c r="AM752"/>
      <c r="AN752"/>
      <c r="AO752"/>
      <c r="AP752"/>
      <c r="AQ752" s="32" t="s">
        <v>1800</v>
      </c>
      <c r="AR752" s="32" t="s">
        <v>1560</v>
      </c>
      <c r="AU752">
        <v>751</v>
      </c>
    </row>
    <row r="753" spans="1:47" x14ac:dyDescent="0.2">
      <c r="A753" s="26">
        <v>6056</v>
      </c>
      <c r="B753" s="27" t="s">
        <v>45</v>
      </c>
      <c r="C753" s="28"/>
      <c r="D753" s="29"/>
      <c r="E753" s="30" t="s">
        <v>1819</v>
      </c>
      <c r="H753" s="32">
        <v>0</v>
      </c>
      <c r="I753" s="32" t="s">
        <v>1820</v>
      </c>
      <c r="AG753" s="32">
        <v>0</v>
      </c>
      <c r="AH753" s="32">
        <v>0</v>
      </c>
      <c r="AI753" s="32">
        <v>0</v>
      </c>
      <c r="AK753" s="32">
        <v>0</v>
      </c>
      <c r="AM753" s="32">
        <v>5000</v>
      </c>
      <c r="AO753" s="73" t="s">
        <v>75</v>
      </c>
      <c r="AQ753" s="32" t="s">
        <v>589</v>
      </c>
      <c r="AU753">
        <v>752</v>
      </c>
    </row>
    <row r="754" spans="1:47" x14ac:dyDescent="0.2">
      <c r="A754" s="37">
        <v>6057</v>
      </c>
      <c r="B754" s="38" t="s">
        <v>45</v>
      </c>
      <c r="C754" s="39" t="s">
        <v>156</v>
      </c>
      <c r="D754" s="29"/>
      <c r="E754" s="38" t="s">
        <v>1764</v>
      </c>
      <c r="F754" s="32" t="s">
        <v>1770</v>
      </c>
      <c r="G754" s="47" t="s">
        <v>459</v>
      </c>
      <c r="H754"/>
      <c r="I754" s="32" t="s">
        <v>1821</v>
      </c>
      <c r="J754" s="47"/>
      <c r="K754" s="47"/>
      <c r="L754" s="48"/>
      <c r="M754" s="47"/>
      <c r="N754" s="47"/>
      <c r="O754" s="47"/>
      <c r="P754" s="47"/>
      <c r="Q754" s="47"/>
      <c r="R754" s="47"/>
      <c r="S754" s="48"/>
      <c r="T754" s="47"/>
      <c r="U754" s="47"/>
      <c r="V754" s="47"/>
      <c r="W754" s="47"/>
      <c r="X754" s="47"/>
      <c r="Y754" s="47"/>
      <c r="Z754" s="47"/>
      <c r="AA754" s="49"/>
      <c r="AB754" s="49"/>
      <c r="AC754" s="49"/>
      <c r="AD754" s="50"/>
      <c r="AE754" s="47"/>
      <c r="AF754" s="47"/>
      <c r="AG754"/>
      <c r="AH754"/>
      <c r="AI754"/>
      <c r="AJ754"/>
      <c r="AK754"/>
      <c r="AL754"/>
      <c r="AM754"/>
      <c r="AN754"/>
      <c r="AO754"/>
      <c r="AP754"/>
      <c r="AQ754" t="s">
        <v>1721</v>
      </c>
      <c r="AU754">
        <v>753</v>
      </c>
    </row>
    <row r="755" spans="1:47" x14ac:dyDescent="0.2">
      <c r="A755" s="37">
        <v>6057</v>
      </c>
      <c r="B755" s="38" t="s">
        <v>45</v>
      </c>
      <c r="C755" s="85" t="s">
        <v>1262</v>
      </c>
      <c r="D755" s="29"/>
      <c r="E755" s="38" t="s">
        <v>1822</v>
      </c>
      <c r="F755" s="32" t="s">
        <v>150</v>
      </c>
      <c r="G755" s="47" t="s">
        <v>49</v>
      </c>
      <c r="H755"/>
      <c r="I755" s="32" t="s">
        <v>1703</v>
      </c>
      <c r="J755" s="47"/>
      <c r="K755" s="47">
        <f>7*10*2.2</f>
        <v>154</v>
      </c>
      <c r="L755" s="48"/>
      <c r="M755" s="47"/>
      <c r="N755" s="47"/>
      <c r="O755" s="47"/>
      <c r="P755" s="47"/>
      <c r="Q755" s="47"/>
      <c r="R755" s="47"/>
      <c r="S755" s="48">
        <v>1</v>
      </c>
      <c r="T755" s="47">
        <v>0</v>
      </c>
      <c r="U755" s="47">
        <v>0</v>
      </c>
      <c r="V755" s="47">
        <v>0</v>
      </c>
      <c r="W755" s="47"/>
      <c r="X755" s="47"/>
      <c r="Y755" s="47" t="s">
        <v>51</v>
      </c>
      <c r="Z755" s="47" t="s">
        <v>146</v>
      </c>
      <c r="AA755" s="49"/>
      <c r="AB755" s="49"/>
      <c r="AC755" s="49"/>
      <c r="AD755" s="50"/>
      <c r="AE755" s="47" t="s">
        <v>1558</v>
      </c>
      <c r="AF755" s="47">
        <v>35</v>
      </c>
      <c r="AG755"/>
      <c r="AH755"/>
      <c r="AI755"/>
      <c r="AJ755"/>
      <c r="AK755">
        <v>7</v>
      </c>
      <c r="AL755"/>
      <c r="AM755"/>
      <c r="AN755"/>
      <c r="AO755"/>
      <c r="AP755"/>
      <c r="AQ755" s="32" t="s">
        <v>1800</v>
      </c>
      <c r="AR755" s="32" t="s">
        <v>1560</v>
      </c>
      <c r="AU755">
        <v>754</v>
      </c>
    </row>
    <row r="756" spans="1:47" x14ac:dyDescent="0.2">
      <c r="A756" s="26">
        <v>6057</v>
      </c>
      <c r="B756" s="27" t="s">
        <v>45</v>
      </c>
      <c r="C756" s="28"/>
      <c r="D756" s="29"/>
      <c r="E756" s="30" t="s">
        <v>1531</v>
      </c>
      <c r="H756" s="32">
        <v>0</v>
      </c>
      <c r="I756" s="32" t="s">
        <v>1532</v>
      </c>
      <c r="AG756" s="32">
        <v>0</v>
      </c>
      <c r="AH756" s="32">
        <v>0</v>
      </c>
      <c r="AI756" s="32">
        <v>0</v>
      </c>
      <c r="AK756" s="32">
        <v>0</v>
      </c>
      <c r="AM756" s="32">
        <f>498*70</f>
        <v>34860</v>
      </c>
      <c r="AO756" s="32" t="s">
        <v>1533</v>
      </c>
      <c r="AQ756" s="32" t="s">
        <v>1101</v>
      </c>
      <c r="AU756">
        <v>755</v>
      </c>
    </row>
    <row r="757" spans="1:47" x14ac:dyDescent="0.2">
      <c r="A757" s="26">
        <v>6057</v>
      </c>
      <c r="B757" s="27" t="s">
        <v>45</v>
      </c>
      <c r="C757" s="28"/>
      <c r="D757" s="29"/>
      <c r="E757" s="30" t="s">
        <v>1823</v>
      </c>
      <c r="H757" s="32">
        <v>0</v>
      </c>
      <c r="I757" s="32" t="s">
        <v>1824</v>
      </c>
      <c r="AG757" s="32">
        <v>0</v>
      </c>
      <c r="AH757" s="32">
        <v>0</v>
      </c>
      <c r="AI757" s="32">
        <v>0</v>
      </c>
      <c r="AK757" s="32">
        <v>0</v>
      </c>
      <c r="AM757" s="32">
        <v>5000</v>
      </c>
      <c r="AO757" s="73" t="s">
        <v>75</v>
      </c>
      <c r="AQ757" s="32" t="s">
        <v>589</v>
      </c>
      <c r="AU757">
        <v>756</v>
      </c>
    </row>
    <row r="758" spans="1:47" x14ac:dyDescent="0.2">
      <c r="A758" s="37">
        <v>6058</v>
      </c>
      <c r="B758" s="38" t="s">
        <v>45</v>
      </c>
      <c r="C758" s="39" t="s">
        <v>156</v>
      </c>
      <c r="D758" s="29"/>
      <c r="E758" s="38" t="s">
        <v>1455</v>
      </c>
      <c r="F758" s="31" t="s">
        <v>1663</v>
      </c>
      <c r="H758" s="32"/>
      <c r="I758" s="32" t="s">
        <v>1825</v>
      </c>
      <c r="AO758" s="73"/>
      <c r="AQ758" s="32" t="s">
        <v>1721</v>
      </c>
      <c r="AU758">
        <v>757</v>
      </c>
    </row>
    <row r="759" spans="1:47" x14ac:dyDescent="0.2">
      <c r="A759" s="37">
        <v>6058</v>
      </c>
      <c r="B759" s="38" t="s">
        <v>45</v>
      </c>
      <c r="C759" s="39" t="s">
        <v>1262</v>
      </c>
      <c r="D759" s="29"/>
      <c r="E759" s="38" t="s">
        <v>1826</v>
      </c>
      <c r="F759" s="31" t="s">
        <v>83</v>
      </c>
      <c r="G759" s="31" t="s">
        <v>69</v>
      </c>
      <c r="H759" s="32"/>
      <c r="I759" s="32" t="s">
        <v>1827</v>
      </c>
      <c r="K759" s="135">
        <f>14*10*2.2</f>
        <v>308</v>
      </c>
      <c r="S759" s="33">
        <v>2</v>
      </c>
      <c r="T759" s="47">
        <v>0</v>
      </c>
      <c r="U759" s="47">
        <v>0</v>
      </c>
      <c r="V759" s="47">
        <v>0</v>
      </c>
      <c r="W759" s="47"/>
      <c r="X759" s="47"/>
      <c r="Y759" s="47" t="s">
        <v>51</v>
      </c>
      <c r="Z759" s="47" t="s">
        <v>146</v>
      </c>
      <c r="AA759" s="49"/>
      <c r="AB759" s="49"/>
      <c r="AC759" s="49"/>
      <c r="AD759" s="50"/>
      <c r="AE759" s="47" t="s">
        <v>1558</v>
      </c>
      <c r="AF759" s="31">
        <v>30</v>
      </c>
      <c r="AK759" s="32">
        <v>14</v>
      </c>
      <c r="AO759" s="73"/>
      <c r="AQ759" s="32" t="s">
        <v>1828</v>
      </c>
      <c r="AR759" s="32" t="s">
        <v>1560</v>
      </c>
      <c r="AU759">
        <v>758</v>
      </c>
    </row>
    <row r="760" spans="1:47" x14ac:dyDescent="0.2">
      <c r="A760" s="26">
        <v>6058</v>
      </c>
      <c r="B760" s="27">
        <v>0.99652777777777779</v>
      </c>
      <c r="C760" s="28"/>
      <c r="D760" s="29"/>
      <c r="E760" s="30" t="s">
        <v>1282</v>
      </c>
      <c r="H760" s="32">
        <v>1</v>
      </c>
      <c r="I760" s="32" t="s">
        <v>1829</v>
      </c>
      <c r="AG760" s="32">
        <v>0</v>
      </c>
      <c r="AH760" s="32">
        <v>2</v>
      </c>
      <c r="AL760" s="32">
        <f>55/60</f>
        <v>0.91666666666666663</v>
      </c>
      <c r="AP760" s="32">
        <f>55/60</f>
        <v>0.91666666666666663</v>
      </c>
      <c r="AQ760" s="32" t="s">
        <v>1101</v>
      </c>
      <c r="AU760">
        <v>759</v>
      </c>
    </row>
    <row r="761" spans="1:47" x14ac:dyDescent="0.2">
      <c r="A761" s="26">
        <v>6058</v>
      </c>
      <c r="B761" s="27" t="s">
        <v>45</v>
      </c>
      <c r="C761" s="28"/>
      <c r="D761" s="29"/>
      <c r="E761" s="30" t="s">
        <v>1531</v>
      </c>
      <c r="H761" s="32">
        <v>0</v>
      </c>
      <c r="I761" s="32" t="s">
        <v>1532</v>
      </c>
      <c r="AG761" s="32">
        <v>0</v>
      </c>
      <c r="AH761" s="32">
        <v>0</v>
      </c>
      <c r="AI761" s="32">
        <v>0</v>
      </c>
      <c r="AK761" s="32">
        <v>0</v>
      </c>
      <c r="AM761" s="32">
        <f>498*99</f>
        <v>49302</v>
      </c>
      <c r="AO761" s="32" t="s">
        <v>1533</v>
      </c>
      <c r="AQ761" s="32" t="s">
        <v>1101</v>
      </c>
      <c r="AU761">
        <v>760</v>
      </c>
    </row>
    <row r="762" spans="1:47" x14ac:dyDescent="0.2">
      <c r="A762" s="26">
        <v>6058</v>
      </c>
      <c r="B762" s="27" t="s">
        <v>45</v>
      </c>
      <c r="C762" s="28"/>
      <c r="D762" s="29"/>
      <c r="E762" s="30" t="s">
        <v>1823</v>
      </c>
      <c r="H762" s="32">
        <v>0</v>
      </c>
      <c r="I762" s="32" t="s">
        <v>1824</v>
      </c>
      <c r="AG762" s="32">
        <v>0</v>
      </c>
      <c r="AH762" s="32">
        <v>0</v>
      </c>
      <c r="AI762" s="32">
        <v>0</v>
      </c>
      <c r="AK762" s="32">
        <v>0</v>
      </c>
      <c r="AM762" s="32">
        <v>2500</v>
      </c>
      <c r="AO762" s="73" t="s">
        <v>75</v>
      </c>
      <c r="AQ762" s="32" t="s">
        <v>589</v>
      </c>
      <c r="AU762">
        <v>761</v>
      </c>
    </row>
    <row r="763" spans="1:47" x14ac:dyDescent="0.2">
      <c r="A763" s="37">
        <v>6059</v>
      </c>
      <c r="B763" s="38" t="s">
        <v>45</v>
      </c>
      <c r="C763" s="39" t="s">
        <v>253</v>
      </c>
      <c r="D763" s="29"/>
      <c r="E763" s="38" t="s">
        <v>1830</v>
      </c>
      <c r="F763" s="32" t="s">
        <v>107</v>
      </c>
      <c r="G763" s="47"/>
      <c r="H763"/>
      <c r="I763" s="32" t="s">
        <v>1831</v>
      </c>
      <c r="J763" s="47"/>
      <c r="K763" s="47"/>
      <c r="L763" s="48"/>
      <c r="M763" s="47"/>
      <c r="N763" s="47"/>
      <c r="O763" s="47"/>
      <c r="P763" s="47"/>
      <c r="Q763" s="47"/>
      <c r="R763" s="47"/>
      <c r="S763" s="48"/>
      <c r="T763" s="47"/>
      <c r="U763" s="47"/>
      <c r="V763" s="47"/>
      <c r="W763" s="47"/>
      <c r="X763" s="47"/>
      <c r="Y763" s="47"/>
      <c r="Z763" s="47"/>
      <c r="AA763" s="49"/>
      <c r="AB763" s="49"/>
      <c r="AC763" s="49"/>
      <c r="AD763" s="50"/>
      <c r="AE763" s="47"/>
      <c r="AF763" s="47"/>
      <c r="AG763"/>
      <c r="AH763"/>
      <c r="AI763"/>
      <c r="AJ763"/>
      <c r="AK763"/>
      <c r="AL763"/>
      <c r="AM763"/>
      <c r="AN763"/>
      <c r="AO763"/>
      <c r="AP763"/>
      <c r="AQ763" s="32" t="s">
        <v>1203</v>
      </c>
      <c r="AU763">
        <v>762</v>
      </c>
    </row>
    <row r="764" spans="1:47" x14ac:dyDescent="0.2">
      <c r="A764" s="37">
        <v>6059</v>
      </c>
      <c r="B764" s="38" t="s">
        <v>45</v>
      </c>
      <c r="C764" s="39" t="s">
        <v>425</v>
      </c>
      <c r="D764" s="29"/>
      <c r="E764" s="38" t="s">
        <v>1576</v>
      </c>
      <c r="F764" s="32" t="s">
        <v>150</v>
      </c>
      <c r="G764" s="47" t="s">
        <v>49</v>
      </c>
      <c r="H764"/>
      <c r="I764" s="32" t="s">
        <v>1832</v>
      </c>
      <c r="J764" s="47"/>
      <c r="K764" s="47">
        <f>7*10*2.2</f>
        <v>154</v>
      </c>
      <c r="L764" s="48">
        <v>11</v>
      </c>
      <c r="M764" s="47">
        <v>10</v>
      </c>
      <c r="N764" s="47"/>
      <c r="O764" s="47"/>
      <c r="P764" s="47"/>
      <c r="Q764" s="47"/>
      <c r="R764" s="47"/>
      <c r="S764" s="48">
        <v>1</v>
      </c>
      <c r="T764" s="47">
        <v>0</v>
      </c>
      <c r="U764" s="47">
        <v>0</v>
      </c>
      <c r="V764" s="47">
        <v>0</v>
      </c>
      <c r="W764" s="47"/>
      <c r="X764" s="47"/>
      <c r="Y764" s="47" t="s">
        <v>51</v>
      </c>
      <c r="Z764" s="47" t="s">
        <v>146</v>
      </c>
      <c r="AA764" s="49"/>
      <c r="AB764" s="49"/>
      <c r="AC764" s="49"/>
      <c r="AD764" s="50"/>
      <c r="AE764" s="47" t="s">
        <v>1578</v>
      </c>
      <c r="AF764" s="47">
        <v>40</v>
      </c>
      <c r="AG764"/>
      <c r="AH764"/>
      <c r="AI764"/>
      <c r="AJ764"/>
      <c r="AK764">
        <v>7</v>
      </c>
      <c r="AL764"/>
      <c r="AM764"/>
      <c r="AN764"/>
      <c r="AO764"/>
      <c r="AP764"/>
      <c r="AQ764" s="32" t="s">
        <v>1828</v>
      </c>
      <c r="AU764">
        <v>763</v>
      </c>
    </row>
    <row r="765" spans="1:47" x14ac:dyDescent="0.2">
      <c r="A765" s="26">
        <v>6059</v>
      </c>
      <c r="B765" s="27" t="s">
        <v>45</v>
      </c>
      <c r="C765" s="28"/>
      <c r="D765" s="29"/>
      <c r="E765" s="30" t="s">
        <v>1531</v>
      </c>
      <c r="H765" s="32">
        <v>0</v>
      </c>
      <c r="I765" s="32" t="s">
        <v>1532</v>
      </c>
      <c r="AG765" s="32">
        <v>0</v>
      </c>
      <c r="AH765" s="32">
        <v>0</v>
      </c>
      <c r="AI765" s="32">
        <v>0</v>
      </c>
      <c r="AK765" s="32">
        <v>0</v>
      </c>
      <c r="AM765" s="32">
        <f>498*105</f>
        <v>52290</v>
      </c>
      <c r="AO765" s="32" t="s">
        <v>1533</v>
      </c>
      <c r="AQ765" s="32" t="s">
        <v>1101</v>
      </c>
      <c r="AU765">
        <v>764</v>
      </c>
    </row>
    <row r="766" spans="1:47" x14ac:dyDescent="0.2">
      <c r="A766" s="37">
        <v>6060</v>
      </c>
      <c r="B766" s="38" t="s">
        <v>45</v>
      </c>
      <c r="C766" s="39" t="s">
        <v>253</v>
      </c>
      <c r="D766" s="29"/>
      <c r="E766" s="38" t="s">
        <v>1833</v>
      </c>
      <c r="F766" s="32" t="s">
        <v>107</v>
      </c>
      <c r="G766" s="47"/>
      <c r="H766"/>
      <c r="I766" s="32" t="s">
        <v>1834</v>
      </c>
      <c r="J766" s="47"/>
      <c r="K766" s="47"/>
      <c r="L766" s="48"/>
      <c r="M766" s="47"/>
      <c r="N766" s="47"/>
      <c r="O766" s="47"/>
      <c r="P766" s="47"/>
      <c r="Q766" s="47"/>
      <c r="R766" s="47"/>
      <c r="S766" s="48"/>
      <c r="T766" s="47"/>
      <c r="U766" s="47"/>
      <c r="V766" s="47"/>
      <c r="W766" s="47"/>
      <c r="X766" s="47"/>
      <c r="Y766" s="47"/>
      <c r="Z766" s="47"/>
      <c r="AA766" s="49"/>
      <c r="AB766" s="49"/>
      <c r="AC766" s="49"/>
      <c r="AD766" s="50"/>
      <c r="AE766" s="47"/>
      <c r="AF766" s="47"/>
      <c r="AG766"/>
      <c r="AH766"/>
      <c r="AI766"/>
      <c r="AJ766"/>
      <c r="AK766"/>
      <c r="AL766"/>
      <c r="AM766"/>
      <c r="AN766"/>
      <c r="AO766"/>
      <c r="AP766"/>
      <c r="AQ766" s="32" t="s">
        <v>1835</v>
      </c>
      <c r="AU766">
        <v>765</v>
      </c>
    </row>
    <row r="767" spans="1:47" x14ac:dyDescent="0.2">
      <c r="A767" s="37">
        <v>6060</v>
      </c>
      <c r="B767" s="38" t="s">
        <v>45</v>
      </c>
      <c r="C767" s="39" t="s">
        <v>425</v>
      </c>
      <c r="D767" s="29"/>
      <c r="E767" s="38" t="s">
        <v>1576</v>
      </c>
      <c r="F767" s="32" t="s">
        <v>1836</v>
      </c>
      <c r="G767" s="47" t="s">
        <v>73</v>
      </c>
      <c r="H767"/>
      <c r="I767" s="32" t="s">
        <v>1793</v>
      </c>
      <c r="J767" s="47"/>
      <c r="K767" s="47">
        <f>78*10*2.2</f>
        <v>1716.0000000000002</v>
      </c>
      <c r="L767" s="48"/>
      <c r="M767" s="47"/>
      <c r="N767" s="47"/>
      <c r="O767" s="47"/>
      <c r="P767" s="47"/>
      <c r="Q767" s="47"/>
      <c r="R767" s="47"/>
      <c r="S767" s="48">
        <v>10</v>
      </c>
      <c r="T767" s="47">
        <v>0</v>
      </c>
      <c r="U767" s="47">
        <v>0</v>
      </c>
      <c r="V767" s="47">
        <v>0</v>
      </c>
      <c r="W767" s="47"/>
      <c r="X767" s="47"/>
      <c r="Y767" s="47" t="s">
        <v>51</v>
      </c>
      <c r="Z767" s="47" t="s">
        <v>146</v>
      </c>
      <c r="AA767" s="49"/>
      <c r="AB767" s="49"/>
      <c r="AC767" s="49"/>
      <c r="AD767" s="50"/>
      <c r="AE767" s="47" t="s">
        <v>1578</v>
      </c>
      <c r="AF767" s="47">
        <v>40</v>
      </c>
      <c r="AG767"/>
      <c r="AH767"/>
      <c r="AI767"/>
      <c r="AJ767"/>
      <c r="AK767">
        <v>78</v>
      </c>
      <c r="AL767"/>
      <c r="AM767"/>
      <c r="AN767"/>
      <c r="AO767"/>
      <c r="AP767"/>
      <c r="AQ767" s="32" t="s">
        <v>1837</v>
      </c>
      <c r="AU767">
        <v>766</v>
      </c>
    </row>
    <row r="768" spans="1:47" x14ac:dyDescent="0.2">
      <c r="A768" s="37">
        <v>6060</v>
      </c>
      <c r="B768" s="38" t="s">
        <v>45</v>
      </c>
      <c r="C768" s="39" t="s">
        <v>1262</v>
      </c>
      <c r="D768" s="29"/>
      <c r="E768" s="38" t="s">
        <v>1838</v>
      </c>
      <c r="F768" s="32" t="s">
        <v>1839</v>
      </c>
      <c r="G768" s="47" t="s">
        <v>73</v>
      </c>
      <c r="H768"/>
      <c r="I768" s="96" t="s">
        <v>1840</v>
      </c>
      <c r="J768" s="97"/>
      <c r="K768" s="99">
        <f>3*7*10*2.2</f>
        <v>462.00000000000006</v>
      </c>
      <c r="L768" s="48"/>
      <c r="M768" s="47"/>
      <c r="N768" s="47"/>
      <c r="O768" s="47"/>
      <c r="P768" s="47"/>
      <c r="Q768" s="47"/>
      <c r="R768" s="47"/>
      <c r="S768" s="48">
        <v>3</v>
      </c>
      <c r="T768" s="47">
        <v>0</v>
      </c>
      <c r="U768" s="47">
        <v>0</v>
      </c>
      <c r="V768" s="47">
        <v>0</v>
      </c>
      <c r="W768" s="47"/>
      <c r="X768" s="47"/>
      <c r="Y768" s="47" t="s">
        <v>51</v>
      </c>
      <c r="Z768" s="47" t="s">
        <v>146</v>
      </c>
      <c r="AA768" s="49"/>
      <c r="AB768" s="49"/>
      <c r="AC768" s="49"/>
      <c r="AD768" s="50"/>
      <c r="AE768" s="47" t="s">
        <v>1558</v>
      </c>
      <c r="AF768" s="47">
        <v>35</v>
      </c>
      <c r="AG768"/>
      <c r="AH768"/>
      <c r="AI768"/>
      <c r="AJ768"/>
      <c r="AK768" s="136">
        <v>21</v>
      </c>
      <c r="AL768"/>
      <c r="AM768"/>
      <c r="AN768"/>
      <c r="AO768"/>
      <c r="AP768"/>
      <c r="AQ768" s="32" t="s">
        <v>1837</v>
      </c>
      <c r="AR768" s="32" t="s">
        <v>1560</v>
      </c>
      <c r="AU768">
        <v>767</v>
      </c>
    </row>
    <row r="769" spans="1:47" x14ac:dyDescent="0.2">
      <c r="A769" s="26">
        <v>6060</v>
      </c>
      <c r="B769" s="27">
        <v>0.99305555555555547</v>
      </c>
      <c r="C769" s="28"/>
      <c r="D769" s="29"/>
      <c r="E769" s="30" t="s">
        <v>1282</v>
      </c>
      <c r="H769" s="32">
        <v>0</v>
      </c>
      <c r="I769" s="32" t="s">
        <v>1841</v>
      </c>
      <c r="AG769" s="32">
        <v>0</v>
      </c>
      <c r="AH769" s="32">
        <v>0</v>
      </c>
      <c r="AI769" s="32">
        <v>0</v>
      </c>
      <c r="AK769" s="32">
        <v>0</v>
      </c>
      <c r="AL769" s="32">
        <f>65/60</f>
        <v>1.0833333333333333</v>
      </c>
      <c r="AP769" s="32">
        <f>65/60</f>
        <v>1.0833333333333333</v>
      </c>
      <c r="AQ769" s="32" t="s">
        <v>1101</v>
      </c>
      <c r="AU769">
        <v>768</v>
      </c>
    </row>
    <row r="770" spans="1:47" x14ac:dyDescent="0.2">
      <c r="A770" s="26">
        <v>6060</v>
      </c>
      <c r="B770" s="27" t="s">
        <v>45</v>
      </c>
      <c r="C770" s="28"/>
      <c r="D770" s="29"/>
      <c r="E770" s="30" t="s">
        <v>1531</v>
      </c>
      <c r="H770" s="32">
        <v>0</v>
      </c>
      <c r="I770" s="32" t="s">
        <v>1532</v>
      </c>
      <c r="AG770" s="32">
        <v>0</v>
      </c>
      <c r="AH770" s="32">
        <v>0</v>
      </c>
      <c r="AI770" s="32">
        <v>0</v>
      </c>
      <c r="AK770" s="32">
        <v>0</v>
      </c>
      <c r="AM770" s="32">
        <f>498*111</f>
        <v>55278</v>
      </c>
      <c r="AO770" s="32" t="s">
        <v>1533</v>
      </c>
      <c r="AQ770" s="32" t="s">
        <v>1101</v>
      </c>
      <c r="AU770">
        <v>769</v>
      </c>
    </row>
    <row r="771" spans="1:47" x14ac:dyDescent="0.2">
      <c r="A771" s="26">
        <v>6060</v>
      </c>
      <c r="B771" s="27" t="s">
        <v>45</v>
      </c>
      <c r="C771" s="28"/>
      <c r="D771" s="29"/>
      <c r="E771" s="30" t="s">
        <v>1823</v>
      </c>
      <c r="H771" s="32">
        <v>0</v>
      </c>
      <c r="I771" s="32" t="s">
        <v>1824</v>
      </c>
      <c r="AG771" s="32">
        <v>0</v>
      </c>
      <c r="AH771" s="32">
        <v>0</v>
      </c>
      <c r="AI771" s="32">
        <v>0</v>
      </c>
      <c r="AK771" s="32">
        <v>0</v>
      </c>
      <c r="AM771" s="32">
        <v>5000</v>
      </c>
      <c r="AO771" s="73" t="s">
        <v>75</v>
      </c>
      <c r="AQ771" s="32" t="s">
        <v>589</v>
      </c>
      <c r="AU771">
        <v>770</v>
      </c>
    </row>
    <row r="772" spans="1:47" x14ac:dyDescent="0.2">
      <c r="A772" s="26">
        <v>6061</v>
      </c>
      <c r="B772" s="27" t="s">
        <v>45</v>
      </c>
      <c r="C772" s="28"/>
      <c r="D772" s="29"/>
      <c r="E772" s="30" t="s">
        <v>1531</v>
      </c>
      <c r="H772" s="32">
        <v>0</v>
      </c>
      <c r="I772" s="32" t="s">
        <v>1532</v>
      </c>
      <c r="AG772" s="32">
        <v>0</v>
      </c>
      <c r="AH772" s="32">
        <v>0</v>
      </c>
      <c r="AI772" s="32">
        <v>0</v>
      </c>
      <c r="AK772" s="32">
        <v>0</v>
      </c>
      <c r="AM772" s="32">
        <f>498*122</f>
        <v>60756</v>
      </c>
      <c r="AO772" s="32" t="s">
        <v>1533</v>
      </c>
      <c r="AQ772" s="32" t="s">
        <v>1101</v>
      </c>
      <c r="AU772">
        <v>771</v>
      </c>
    </row>
    <row r="773" spans="1:47" x14ac:dyDescent="0.2">
      <c r="A773" s="26">
        <v>6061</v>
      </c>
      <c r="B773" s="27" t="s">
        <v>45</v>
      </c>
      <c r="C773" s="28"/>
      <c r="D773" s="29"/>
      <c r="E773" s="30" t="s">
        <v>1823</v>
      </c>
      <c r="H773" s="32">
        <v>0</v>
      </c>
      <c r="I773" s="32" t="s">
        <v>1824</v>
      </c>
      <c r="AG773" s="32">
        <v>0</v>
      </c>
      <c r="AH773" s="32">
        <v>0</v>
      </c>
      <c r="AI773" s="32">
        <v>0</v>
      </c>
      <c r="AK773" s="32">
        <v>0</v>
      </c>
      <c r="AM773" s="32">
        <v>5000</v>
      </c>
      <c r="AO773" s="73" t="s">
        <v>75</v>
      </c>
      <c r="AQ773" s="32" t="s">
        <v>589</v>
      </c>
      <c r="AU773">
        <v>772</v>
      </c>
    </row>
    <row r="774" spans="1:47" x14ac:dyDescent="0.2">
      <c r="A774" s="37">
        <v>6062</v>
      </c>
      <c r="B774" s="38" t="s">
        <v>45</v>
      </c>
      <c r="C774" s="39" t="s">
        <v>253</v>
      </c>
      <c r="D774" s="29"/>
      <c r="E774" s="38" t="s">
        <v>1842</v>
      </c>
      <c r="F774" s="32" t="s">
        <v>107</v>
      </c>
      <c r="G774" s="47"/>
      <c r="H774"/>
      <c r="I774" s="32"/>
      <c r="J774" s="47"/>
      <c r="K774" s="47"/>
      <c r="L774" s="48"/>
      <c r="M774" s="47"/>
      <c r="N774" s="47"/>
      <c r="O774" s="47"/>
      <c r="P774" s="47"/>
      <c r="Q774" s="47"/>
      <c r="R774" s="47"/>
      <c r="S774" s="48"/>
      <c r="T774" s="47"/>
      <c r="U774" s="47"/>
      <c r="V774" s="47"/>
      <c r="W774" s="47"/>
      <c r="X774" s="47"/>
      <c r="Y774" s="47"/>
      <c r="Z774" s="47"/>
      <c r="AA774" s="49"/>
      <c r="AB774" s="49"/>
      <c r="AC774" s="49"/>
      <c r="AD774" s="50"/>
      <c r="AE774" s="47"/>
      <c r="AF774" s="47"/>
      <c r="AG774"/>
      <c r="AH774"/>
      <c r="AI774"/>
      <c r="AJ774"/>
      <c r="AK774"/>
      <c r="AL774"/>
      <c r="AM774"/>
      <c r="AN774"/>
      <c r="AO774"/>
      <c r="AP774"/>
      <c r="AQ774" s="32" t="s">
        <v>1203</v>
      </c>
      <c r="AU774">
        <v>773</v>
      </c>
    </row>
    <row r="775" spans="1:47" x14ac:dyDescent="0.2">
      <c r="A775" s="37">
        <v>6062</v>
      </c>
      <c r="B775" s="38" t="s">
        <v>45</v>
      </c>
      <c r="C775" s="39" t="s">
        <v>1843</v>
      </c>
      <c r="D775" s="29"/>
      <c r="E775" s="38" t="s">
        <v>1168</v>
      </c>
      <c r="F775" s="32" t="s">
        <v>1844</v>
      </c>
      <c r="G775" s="47" t="s">
        <v>49</v>
      </c>
      <c r="H775"/>
      <c r="I775" s="32" t="s">
        <v>1845</v>
      </c>
      <c r="J775" s="47"/>
      <c r="K775" s="47">
        <f>(30+30+20)*10*2.2</f>
        <v>1760.0000000000002</v>
      </c>
      <c r="L775" s="48">
        <v>5</v>
      </c>
      <c r="M775" s="47"/>
      <c r="N775" s="47">
        <v>2</v>
      </c>
      <c r="O775" s="47"/>
      <c r="P775" s="47"/>
      <c r="Q775" s="47"/>
      <c r="R775" s="47"/>
      <c r="S775" s="48">
        <v>3</v>
      </c>
      <c r="T775" s="47">
        <v>0</v>
      </c>
      <c r="U775" s="47">
        <v>1</v>
      </c>
      <c r="V775" s="47">
        <v>1</v>
      </c>
      <c r="W775" s="47">
        <f>((2400+2600+2700)/3)*39.37/12</f>
        <v>8420.8055555555547</v>
      </c>
      <c r="X775" s="47"/>
      <c r="Y775" s="47" t="s">
        <v>51</v>
      </c>
      <c r="Z775" s="47" t="s">
        <v>1846</v>
      </c>
      <c r="AA775" s="49"/>
      <c r="AB775" s="49"/>
      <c r="AC775" s="49">
        <v>2.0833333333333332E-2</v>
      </c>
      <c r="AD775" s="50">
        <v>2.33</v>
      </c>
      <c r="AE775" s="47" t="s">
        <v>342</v>
      </c>
      <c r="AF775" s="47">
        <v>40</v>
      </c>
      <c r="AG775"/>
      <c r="AH775"/>
      <c r="AI775"/>
      <c r="AJ775"/>
      <c r="AK775">
        <f>30+30+20</f>
        <v>80</v>
      </c>
      <c r="AL775"/>
      <c r="AM775"/>
      <c r="AN775"/>
      <c r="AO775"/>
      <c r="AP775"/>
      <c r="AQ775" s="32" t="s">
        <v>1847</v>
      </c>
      <c r="AU775">
        <v>774</v>
      </c>
    </row>
    <row r="776" spans="1:47" x14ac:dyDescent="0.2">
      <c r="A776" s="37">
        <v>6062</v>
      </c>
      <c r="B776" s="38" t="s">
        <v>45</v>
      </c>
      <c r="C776" s="39" t="s">
        <v>425</v>
      </c>
      <c r="D776" s="29"/>
      <c r="E776" s="38" t="s">
        <v>1848</v>
      </c>
      <c r="F776" s="32" t="s">
        <v>1849</v>
      </c>
      <c r="G776" s="47" t="s">
        <v>49</v>
      </c>
      <c r="H776"/>
      <c r="I776" s="32" t="s">
        <v>1793</v>
      </c>
      <c r="J776" s="47"/>
      <c r="K776" s="47">
        <f>84*10*2.2</f>
        <v>1848.0000000000002</v>
      </c>
      <c r="L776" s="48"/>
      <c r="M776" s="47"/>
      <c r="N776" s="47"/>
      <c r="O776" s="47"/>
      <c r="P776" s="47"/>
      <c r="Q776" s="47"/>
      <c r="R776" s="47"/>
      <c r="S776" s="48">
        <v>11</v>
      </c>
      <c r="T776" s="47">
        <v>0</v>
      </c>
      <c r="U776" s="47">
        <v>0</v>
      </c>
      <c r="V776" s="47">
        <v>0</v>
      </c>
      <c r="W776" s="47"/>
      <c r="X776" s="47"/>
      <c r="Y776" s="47" t="s">
        <v>51</v>
      </c>
      <c r="Z776" s="47" t="s">
        <v>146</v>
      </c>
      <c r="AA776" s="49"/>
      <c r="AB776" s="49"/>
      <c r="AC776" s="49"/>
      <c r="AD776" s="50"/>
      <c r="AE776" s="47" t="s">
        <v>1578</v>
      </c>
      <c r="AF776" s="47">
        <v>65</v>
      </c>
      <c r="AG776"/>
      <c r="AH776"/>
      <c r="AI776"/>
      <c r="AJ776"/>
      <c r="AK776">
        <v>84</v>
      </c>
      <c r="AL776"/>
      <c r="AM776"/>
      <c r="AN776"/>
      <c r="AO776"/>
      <c r="AP776"/>
      <c r="AQ776" s="32" t="s">
        <v>1850</v>
      </c>
      <c r="AU776">
        <v>775</v>
      </c>
    </row>
    <row r="777" spans="1:47" x14ac:dyDescent="0.2">
      <c r="A777" s="37">
        <v>6062</v>
      </c>
      <c r="B777" s="38" t="s">
        <v>45</v>
      </c>
      <c r="C777" s="39" t="s">
        <v>1262</v>
      </c>
      <c r="D777" s="29"/>
      <c r="E777" s="38" t="s">
        <v>1851</v>
      </c>
      <c r="F777" s="31" t="s">
        <v>83</v>
      </c>
      <c r="G777" s="47" t="s">
        <v>69</v>
      </c>
      <c r="H777"/>
      <c r="I777" s="32" t="s">
        <v>1852</v>
      </c>
      <c r="J777" s="47"/>
      <c r="K777" s="47">
        <f>17*10*2.2</f>
        <v>374.00000000000006</v>
      </c>
      <c r="L777" s="48"/>
      <c r="M777" s="47"/>
      <c r="N777" s="47">
        <v>1</v>
      </c>
      <c r="O777" s="47"/>
      <c r="P777" s="47"/>
      <c r="Q777" s="47"/>
      <c r="R777" s="47"/>
      <c r="S777" s="48">
        <v>3</v>
      </c>
      <c r="T777" s="47">
        <v>0</v>
      </c>
      <c r="U777" s="47">
        <v>0</v>
      </c>
      <c r="V777" s="47">
        <v>1</v>
      </c>
      <c r="W777" s="47"/>
      <c r="X777" s="47"/>
      <c r="Y777" s="47" t="s">
        <v>51</v>
      </c>
      <c r="Z777" s="47" t="s">
        <v>146</v>
      </c>
      <c r="AA777" s="49"/>
      <c r="AB777" s="49"/>
      <c r="AC777" s="49"/>
      <c r="AD777" s="50"/>
      <c r="AE777" s="47" t="s">
        <v>1558</v>
      </c>
      <c r="AF777" s="47">
        <v>35</v>
      </c>
      <c r="AG777"/>
      <c r="AH777"/>
      <c r="AI777"/>
      <c r="AJ777"/>
      <c r="AK777">
        <v>17</v>
      </c>
      <c r="AL777"/>
      <c r="AM777"/>
      <c r="AN777"/>
      <c r="AO777"/>
      <c r="AP777"/>
      <c r="AQ777" s="32" t="s">
        <v>1850</v>
      </c>
      <c r="AR777" s="32" t="s">
        <v>1560</v>
      </c>
      <c r="AU777">
        <v>776</v>
      </c>
    </row>
    <row r="778" spans="1:47" x14ac:dyDescent="0.2">
      <c r="A778" s="26">
        <v>6062</v>
      </c>
      <c r="B778" s="27" t="s">
        <v>85</v>
      </c>
      <c r="C778" s="28"/>
      <c r="D778" s="29"/>
      <c r="E778" s="30" t="s">
        <v>1461</v>
      </c>
      <c r="H778" s="32">
        <v>1</v>
      </c>
      <c r="I778" s="32" t="s">
        <v>1853</v>
      </c>
      <c r="AG778" s="32">
        <v>0</v>
      </c>
      <c r="AH778" s="32">
        <v>0</v>
      </c>
      <c r="AI778" s="32">
        <v>0</v>
      </c>
      <c r="AK778" s="32">
        <v>16</v>
      </c>
      <c r="AO778" s="32" t="s">
        <v>1463</v>
      </c>
      <c r="AQ778" s="32">
        <v>402</v>
      </c>
      <c r="AU778">
        <v>777</v>
      </c>
    </row>
    <row r="779" spans="1:47" x14ac:dyDescent="0.2">
      <c r="A779" s="26">
        <v>6062</v>
      </c>
      <c r="B779" s="27" t="s">
        <v>85</v>
      </c>
      <c r="C779" s="28"/>
      <c r="D779" s="29"/>
      <c r="E779" s="30" t="s">
        <v>1461</v>
      </c>
      <c r="H779" s="32">
        <v>1</v>
      </c>
      <c r="I779" s="32" t="s">
        <v>1854</v>
      </c>
      <c r="AG779" s="32">
        <v>0</v>
      </c>
      <c r="AH779" s="32">
        <v>0</v>
      </c>
      <c r="AI779" s="32">
        <v>34</v>
      </c>
      <c r="AK779" s="32">
        <v>1</v>
      </c>
      <c r="AO779" s="32" t="s">
        <v>1463</v>
      </c>
      <c r="AQ779" s="32">
        <v>402</v>
      </c>
      <c r="AU779">
        <v>778</v>
      </c>
    </row>
    <row r="780" spans="1:47" x14ac:dyDescent="0.2">
      <c r="A780" s="26">
        <v>6062</v>
      </c>
      <c r="B780" s="27" t="s">
        <v>45</v>
      </c>
      <c r="C780" s="28"/>
      <c r="D780" s="29"/>
      <c r="E780" s="30" t="s">
        <v>1531</v>
      </c>
      <c r="H780" s="32">
        <v>0</v>
      </c>
      <c r="I780" s="32" t="s">
        <v>1855</v>
      </c>
      <c r="AG780" s="32">
        <v>0</v>
      </c>
      <c r="AH780" s="32">
        <v>0</v>
      </c>
      <c r="AI780" s="32">
        <v>0</v>
      </c>
      <c r="AK780" s="32">
        <v>0</v>
      </c>
      <c r="AM780" s="32">
        <f>498*210</f>
        <v>104580</v>
      </c>
      <c r="AO780" s="32" t="s">
        <v>1533</v>
      </c>
      <c r="AQ780" s="32" t="s">
        <v>1101</v>
      </c>
      <c r="AU780">
        <v>779</v>
      </c>
    </row>
    <row r="781" spans="1:47" x14ac:dyDescent="0.2">
      <c r="A781" s="26">
        <v>6062</v>
      </c>
      <c r="B781" s="27" t="s">
        <v>45</v>
      </c>
      <c r="C781" s="28"/>
      <c r="D781" s="29"/>
      <c r="E781" s="30" t="s">
        <v>1823</v>
      </c>
      <c r="H781" s="32">
        <v>0</v>
      </c>
      <c r="I781" s="32" t="s">
        <v>1824</v>
      </c>
      <c r="AG781" s="32">
        <v>0</v>
      </c>
      <c r="AH781" s="32">
        <v>0</v>
      </c>
      <c r="AI781" s="32">
        <v>0</v>
      </c>
      <c r="AK781" s="32">
        <v>0</v>
      </c>
      <c r="AM781" s="32">
        <v>7500</v>
      </c>
      <c r="AO781" s="73" t="s">
        <v>75</v>
      </c>
      <c r="AQ781" s="32" t="s">
        <v>589</v>
      </c>
      <c r="AU781">
        <v>780</v>
      </c>
    </row>
    <row r="782" spans="1:47" x14ac:dyDescent="0.2">
      <c r="A782" s="26">
        <v>6062</v>
      </c>
      <c r="B782" s="27"/>
      <c r="C782" s="28"/>
      <c r="D782" s="29"/>
      <c r="E782" s="102" t="s">
        <v>1421</v>
      </c>
      <c r="H782" s="32">
        <v>1</v>
      </c>
      <c r="I782" s="32" t="s">
        <v>1422</v>
      </c>
      <c r="AK782" s="32">
        <v>21</v>
      </c>
      <c r="AO782" s="73"/>
      <c r="AQ782" s="32" t="s">
        <v>589</v>
      </c>
      <c r="AU782">
        <v>781</v>
      </c>
    </row>
    <row r="783" spans="1:47" x14ac:dyDescent="0.2">
      <c r="A783" s="37">
        <v>6063</v>
      </c>
      <c r="B783" s="38" t="s">
        <v>85</v>
      </c>
      <c r="C783" s="39" t="s">
        <v>1655</v>
      </c>
      <c r="D783" s="29"/>
      <c r="E783" s="38" t="s">
        <v>1168</v>
      </c>
      <c r="F783" s="31" t="s">
        <v>150</v>
      </c>
      <c r="G783" s="31" t="s">
        <v>49</v>
      </c>
      <c r="H783" s="32"/>
      <c r="I783" s="32" t="s">
        <v>1856</v>
      </c>
      <c r="K783" s="31">
        <f>28*10*2.2</f>
        <v>616</v>
      </c>
      <c r="S783" s="33">
        <v>6</v>
      </c>
      <c r="T783" s="47">
        <v>0</v>
      </c>
      <c r="U783" s="47">
        <v>0</v>
      </c>
      <c r="V783" s="47">
        <v>0</v>
      </c>
      <c r="W783" s="47"/>
      <c r="X783" s="47"/>
      <c r="Y783" s="47" t="s">
        <v>51</v>
      </c>
      <c r="Z783" s="47" t="s">
        <v>1241</v>
      </c>
      <c r="AA783" s="49"/>
      <c r="AB783" s="49"/>
      <c r="AC783" s="49">
        <v>0.54166666666666663</v>
      </c>
      <c r="AD783" s="50"/>
      <c r="AE783" s="47" t="s">
        <v>342</v>
      </c>
      <c r="AF783" s="47">
        <v>40</v>
      </c>
      <c r="AK783" s="32">
        <v>28</v>
      </c>
      <c r="AO783" s="73"/>
      <c r="AQ783" s="32" t="s">
        <v>1857</v>
      </c>
      <c r="AU783">
        <v>782</v>
      </c>
    </row>
    <row r="784" spans="1:47" x14ac:dyDescent="0.2">
      <c r="A784" s="37">
        <v>6063</v>
      </c>
      <c r="B784" s="38" t="s">
        <v>45</v>
      </c>
      <c r="C784" s="39" t="s">
        <v>425</v>
      </c>
      <c r="D784" s="29"/>
      <c r="E784" s="38" t="s">
        <v>1858</v>
      </c>
      <c r="F784" s="31" t="s">
        <v>1859</v>
      </c>
      <c r="G784" s="31" t="s">
        <v>73</v>
      </c>
      <c r="H784" s="32"/>
      <c r="I784" s="32" t="s">
        <v>1793</v>
      </c>
      <c r="K784" s="31">
        <f>85*10*2.2</f>
        <v>1870.0000000000002</v>
      </c>
      <c r="S784" s="33">
        <v>11</v>
      </c>
      <c r="T784" s="47">
        <v>0</v>
      </c>
      <c r="U784" s="47">
        <v>0</v>
      </c>
      <c r="V784" s="47">
        <v>0</v>
      </c>
      <c r="W784" s="47"/>
      <c r="X784" s="47"/>
      <c r="Y784" s="47" t="s">
        <v>51</v>
      </c>
      <c r="Z784" s="47" t="s">
        <v>146</v>
      </c>
      <c r="AA784" s="49"/>
      <c r="AB784" s="49"/>
      <c r="AC784" s="49"/>
      <c r="AD784" s="50"/>
      <c r="AE784" s="47" t="s">
        <v>1578</v>
      </c>
      <c r="AF784" s="31">
        <v>75</v>
      </c>
      <c r="AK784" s="32">
        <v>85</v>
      </c>
      <c r="AO784" s="73"/>
      <c r="AQ784" s="32" t="s">
        <v>1857</v>
      </c>
      <c r="AU784">
        <v>783</v>
      </c>
    </row>
    <row r="785" spans="1:47" x14ac:dyDescent="0.2">
      <c r="A785" s="37">
        <v>6063</v>
      </c>
      <c r="B785" s="38" t="s">
        <v>45</v>
      </c>
      <c r="C785" s="39" t="s">
        <v>1843</v>
      </c>
      <c r="D785" s="29"/>
      <c r="E785" s="38" t="s">
        <v>1764</v>
      </c>
      <c r="F785" s="31" t="s">
        <v>353</v>
      </c>
      <c r="G785" s="31" t="s">
        <v>49</v>
      </c>
      <c r="H785" s="32"/>
      <c r="I785" s="32" t="s">
        <v>1860</v>
      </c>
      <c r="K785" s="31">
        <f>20*2*10*2.2</f>
        <v>880.00000000000011</v>
      </c>
      <c r="L785" s="33">
        <v>2</v>
      </c>
      <c r="S785" s="33">
        <v>2</v>
      </c>
      <c r="T785" s="47">
        <v>0</v>
      </c>
      <c r="U785" s="47">
        <v>0</v>
      </c>
      <c r="V785" s="47">
        <v>0</v>
      </c>
      <c r="W785" s="47">
        <f>2600*39.37/12</f>
        <v>8530.1666666666661</v>
      </c>
      <c r="X785" s="47"/>
      <c r="Y785" s="47" t="s">
        <v>51</v>
      </c>
      <c r="Z785" s="47" t="s">
        <v>1846</v>
      </c>
      <c r="AA785" s="49"/>
      <c r="AB785" s="49"/>
      <c r="AC785" s="49"/>
      <c r="AD785" s="50">
        <f>3+5/60</f>
        <v>3.0833333333333335</v>
      </c>
      <c r="AE785" s="47" t="s">
        <v>342</v>
      </c>
      <c r="AF785" s="31">
        <v>70</v>
      </c>
      <c r="AK785" s="32">
        <f>20+20</f>
        <v>40</v>
      </c>
      <c r="AO785" s="73"/>
      <c r="AQ785" s="32" t="s">
        <v>1861</v>
      </c>
      <c r="AU785">
        <v>784</v>
      </c>
    </row>
    <row r="786" spans="1:47" x14ac:dyDescent="0.2">
      <c r="A786" s="37">
        <v>6063</v>
      </c>
      <c r="B786" s="38" t="s">
        <v>45</v>
      </c>
      <c r="C786" s="39" t="s">
        <v>253</v>
      </c>
      <c r="D786" s="29"/>
      <c r="E786" s="38" t="s">
        <v>1862</v>
      </c>
      <c r="F786" s="32" t="s">
        <v>107</v>
      </c>
      <c r="G786" s="47"/>
      <c r="H786"/>
      <c r="I786" s="32"/>
      <c r="J786" s="47"/>
      <c r="K786" s="47"/>
      <c r="L786" s="48"/>
      <c r="M786" s="47"/>
      <c r="N786" s="47"/>
      <c r="O786" s="47"/>
      <c r="P786" s="47"/>
      <c r="Q786" s="47"/>
      <c r="R786" s="47"/>
      <c r="S786" s="48"/>
      <c r="T786" s="47"/>
      <c r="U786" s="47"/>
      <c r="V786" s="47"/>
      <c r="W786" s="47"/>
      <c r="X786" s="47"/>
      <c r="Y786" s="47"/>
      <c r="Z786" s="47"/>
      <c r="AA786" s="49"/>
      <c r="AB786" s="49"/>
      <c r="AC786" s="49"/>
      <c r="AD786" s="50"/>
      <c r="AE786" s="47"/>
      <c r="AF786" s="47"/>
      <c r="AG786"/>
      <c r="AH786"/>
      <c r="AI786"/>
      <c r="AJ786"/>
      <c r="AK786"/>
      <c r="AL786"/>
      <c r="AM786"/>
      <c r="AN786"/>
      <c r="AO786"/>
      <c r="AP786"/>
      <c r="AQ786" s="32" t="s">
        <v>1203</v>
      </c>
      <c r="AU786">
        <v>785</v>
      </c>
    </row>
    <row r="787" spans="1:47" x14ac:dyDescent="0.2">
      <c r="A787" s="26">
        <v>6063</v>
      </c>
      <c r="B787" s="27">
        <v>4.8611111111111112E-3</v>
      </c>
      <c r="C787" s="28"/>
      <c r="D787" s="29"/>
      <c r="E787" s="30" t="s">
        <v>1282</v>
      </c>
      <c r="H787" s="32">
        <v>0</v>
      </c>
      <c r="I787" s="32" t="s">
        <v>1863</v>
      </c>
      <c r="AG787" s="32">
        <v>0</v>
      </c>
      <c r="AH787" s="32">
        <v>0</v>
      </c>
      <c r="AI787" s="32">
        <v>0</v>
      </c>
      <c r="AK787" s="32">
        <v>0</v>
      </c>
      <c r="AL787" s="32">
        <f>178/60</f>
        <v>2.9666666666666668</v>
      </c>
      <c r="AP787" s="32">
        <f>177/60</f>
        <v>2.95</v>
      </c>
      <c r="AQ787" s="32" t="s">
        <v>1101</v>
      </c>
      <c r="AU787">
        <v>786</v>
      </c>
    </row>
    <row r="788" spans="1:47" x14ac:dyDescent="0.2">
      <c r="A788" s="26">
        <v>6063</v>
      </c>
      <c r="B788" s="27">
        <v>3.8194444444444441E-2</v>
      </c>
      <c r="C788" s="28"/>
      <c r="D788" s="29"/>
      <c r="E788" s="30" t="s">
        <v>1124</v>
      </c>
      <c r="H788" s="32">
        <v>1</v>
      </c>
      <c r="I788" s="32" t="s">
        <v>1864</v>
      </c>
      <c r="AG788" s="32">
        <v>0</v>
      </c>
      <c r="AH788" s="32">
        <v>0</v>
      </c>
      <c r="AK788" s="32">
        <v>5</v>
      </c>
      <c r="AL788" s="32">
        <f>3.25+1+5/6</f>
        <v>5.083333333333333</v>
      </c>
      <c r="AO788" s="18" t="s">
        <v>1126</v>
      </c>
      <c r="AP788" s="32">
        <v>3.25</v>
      </c>
      <c r="AQ788" s="32" t="s">
        <v>589</v>
      </c>
      <c r="AU788">
        <v>787</v>
      </c>
    </row>
    <row r="789" spans="1:47" x14ac:dyDescent="0.2">
      <c r="A789" s="26">
        <v>6063</v>
      </c>
      <c r="B789" s="27">
        <v>0.59375</v>
      </c>
      <c r="C789" s="28"/>
      <c r="D789" s="29"/>
      <c r="E789" s="30" t="s">
        <v>1124</v>
      </c>
      <c r="H789" s="32">
        <v>1</v>
      </c>
      <c r="I789" s="32" t="s">
        <v>1246</v>
      </c>
      <c r="AG789" s="32">
        <v>0</v>
      </c>
      <c r="AH789" s="32">
        <v>0</v>
      </c>
      <c r="AK789" s="32">
        <v>18</v>
      </c>
      <c r="AL789" s="32">
        <v>0.33300000000000002</v>
      </c>
      <c r="AO789" s="46" t="s">
        <v>1126</v>
      </c>
      <c r="AP789" s="32">
        <v>0.33300000000000002</v>
      </c>
      <c r="AQ789" s="32" t="s">
        <v>589</v>
      </c>
      <c r="AU789">
        <v>788</v>
      </c>
    </row>
    <row r="790" spans="1:47" x14ac:dyDescent="0.2">
      <c r="A790" s="26">
        <v>6063</v>
      </c>
      <c r="B790" s="27" t="s">
        <v>85</v>
      </c>
      <c r="C790" s="28"/>
      <c r="D790" s="29"/>
      <c r="E790" s="30" t="s">
        <v>1461</v>
      </c>
      <c r="H790" s="32">
        <v>1</v>
      </c>
      <c r="I790" s="32" t="s">
        <v>1865</v>
      </c>
      <c r="AG790" s="32">
        <v>0</v>
      </c>
      <c r="AH790" s="32">
        <v>0</v>
      </c>
      <c r="AI790" s="32">
        <v>118</v>
      </c>
      <c r="AK790" s="32">
        <v>4</v>
      </c>
      <c r="AO790" s="32" t="s">
        <v>1463</v>
      </c>
      <c r="AQ790" s="32">
        <v>402</v>
      </c>
      <c r="AU790">
        <v>789</v>
      </c>
    </row>
    <row r="791" spans="1:47" x14ac:dyDescent="0.2">
      <c r="A791" s="26">
        <v>6063</v>
      </c>
      <c r="B791" s="27" t="s">
        <v>45</v>
      </c>
      <c r="C791" s="28"/>
      <c r="D791" s="29"/>
      <c r="E791" s="30" t="s">
        <v>1823</v>
      </c>
      <c r="H791" s="32">
        <v>0</v>
      </c>
      <c r="I791" s="32" t="s">
        <v>1824</v>
      </c>
      <c r="AG791" s="32">
        <v>0</v>
      </c>
      <c r="AH791" s="32">
        <v>0</v>
      </c>
      <c r="AI791" s="32">
        <v>0</v>
      </c>
      <c r="AK791" s="32">
        <v>0</v>
      </c>
      <c r="AM791" s="32">
        <v>7500</v>
      </c>
      <c r="AO791" s="73" t="s">
        <v>75</v>
      </c>
      <c r="AQ791" s="32" t="s">
        <v>589</v>
      </c>
      <c r="AU791">
        <v>790</v>
      </c>
    </row>
    <row r="792" spans="1:47" x14ac:dyDescent="0.2">
      <c r="A792" s="26">
        <v>6063</v>
      </c>
      <c r="B792" s="27"/>
      <c r="C792" s="28"/>
      <c r="D792" s="29"/>
      <c r="E792" s="102" t="s">
        <v>1421</v>
      </c>
      <c r="H792" s="32">
        <v>1</v>
      </c>
      <c r="I792" s="32" t="s">
        <v>1422</v>
      </c>
      <c r="AK792" s="32">
        <v>5</v>
      </c>
      <c r="AO792" s="73"/>
      <c r="AQ792" s="32" t="s">
        <v>589</v>
      </c>
      <c r="AU792">
        <v>791</v>
      </c>
    </row>
    <row r="793" spans="1:47" x14ac:dyDescent="0.2">
      <c r="A793" s="37">
        <v>6064</v>
      </c>
      <c r="B793" s="38" t="s">
        <v>45</v>
      </c>
      <c r="C793" s="39" t="s">
        <v>425</v>
      </c>
      <c r="D793" s="29"/>
      <c r="E793" s="38" t="s">
        <v>1682</v>
      </c>
      <c r="F793" s="31" t="s">
        <v>353</v>
      </c>
      <c r="G793" s="31" t="s">
        <v>49</v>
      </c>
      <c r="H793" s="32"/>
      <c r="I793" s="32" t="s">
        <v>1866</v>
      </c>
      <c r="K793" s="31">
        <f>88*10*2.2</f>
        <v>1936.0000000000002</v>
      </c>
      <c r="S793" s="33">
        <v>11</v>
      </c>
      <c r="T793" s="47">
        <v>0</v>
      </c>
      <c r="U793" s="47">
        <v>0</v>
      </c>
      <c r="V793" s="47">
        <v>0</v>
      </c>
      <c r="W793" s="47"/>
      <c r="X793" s="47"/>
      <c r="Y793" s="47" t="s">
        <v>51</v>
      </c>
      <c r="Z793" s="47" t="s">
        <v>146</v>
      </c>
      <c r="AA793" s="49"/>
      <c r="AB793" s="49"/>
      <c r="AC793" s="49"/>
      <c r="AD793" s="50"/>
      <c r="AE793" s="47" t="s">
        <v>1578</v>
      </c>
      <c r="AF793" s="31">
        <v>75</v>
      </c>
      <c r="AK793" s="32">
        <v>88</v>
      </c>
      <c r="AO793" s="73"/>
      <c r="AQ793" s="32" t="s">
        <v>1867</v>
      </c>
      <c r="AU793">
        <v>792</v>
      </c>
    </row>
    <row r="794" spans="1:47" x14ac:dyDescent="0.2">
      <c r="A794" s="26">
        <v>6064</v>
      </c>
      <c r="B794" s="27">
        <v>2.7777777777777776E-2</v>
      </c>
      <c r="C794" s="28"/>
      <c r="D794" s="29"/>
      <c r="E794" s="30" t="s">
        <v>78</v>
      </c>
      <c r="H794" s="32">
        <v>1</v>
      </c>
      <c r="I794" s="32"/>
      <c r="AG794" s="32">
        <v>0</v>
      </c>
      <c r="AH794" s="32">
        <v>0</v>
      </c>
      <c r="AJ794" s="32">
        <v>4229</v>
      </c>
      <c r="AK794" s="32">
        <v>12</v>
      </c>
      <c r="AO794" s="32" t="s">
        <v>80</v>
      </c>
      <c r="AQ794" s="32" t="s">
        <v>1101</v>
      </c>
      <c r="AU794">
        <v>793</v>
      </c>
    </row>
    <row r="795" spans="1:47" x14ac:dyDescent="0.2">
      <c r="A795" s="26">
        <v>6064</v>
      </c>
      <c r="B795" s="27" t="s">
        <v>45</v>
      </c>
      <c r="C795" s="28"/>
      <c r="D795" s="29"/>
      <c r="E795" s="30" t="s">
        <v>1823</v>
      </c>
      <c r="H795" s="32">
        <v>0</v>
      </c>
      <c r="I795" s="32" t="s">
        <v>1824</v>
      </c>
      <c r="AG795" s="32">
        <v>0</v>
      </c>
      <c r="AH795" s="32">
        <v>0</v>
      </c>
      <c r="AI795" s="32">
        <v>0</v>
      </c>
      <c r="AK795" s="32">
        <v>0</v>
      </c>
      <c r="AM795" s="32">
        <v>5000</v>
      </c>
      <c r="AO795" s="73" t="s">
        <v>75</v>
      </c>
      <c r="AQ795" s="32" t="s">
        <v>589</v>
      </c>
      <c r="AU795">
        <v>794</v>
      </c>
    </row>
    <row r="796" spans="1:47" x14ac:dyDescent="0.2">
      <c r="A796" s="37">
        <v>6065</v>
      </c>
      <c r="B796" s="38" t="s">
        <v>45</v>
      </c>
      <c r="C796" s="39" t="s">
        <v>1262</v>
      </c>
      <c r="D796" s="29"/>
      <c r="E796" s="36" t="s">
        <v>1310</v>
      </c>
      <c r="F796" s="32" t="s">
        <v>107</v>
      </c>
      <c r="H796" s="32"/>
      <c r="I796" s="32" t="s">
        <v>1703</v>
      </c>
      <c r="K796" s="31">
        <f>7*10*2.2</f>
        <v>154</v>
      </c>
      <c r="S796" s="33">
        <v>1</v>
      </c>
      <c r="T796" s="47">
        <v>0</v>
      </c>
      <c r="U796" s="47">
        <v>0</v>
      </c>
      <c r="V796" s="47">
        <v>0</v>
      </c>
      <c r="W796" s="47"/>
      <c r="X796" s="47"/>
      <c r="Y796" s="47" t="s">
        <v>51</v>
      </c>
      <c r="Z796" s="47" t="s">
        <v>146</v>
      </c>
      <c r="AA796" s="49"/>
      <c r="AB796" s="49"/>
      <c r="AC796" s="49"/>
      <c r="AD796" s="50"/>
      <c r="AE796" s="47" t="s">
        <v>1558</v>
      </c>
      <c r="AF796" s="47">
        <v>35</v>
      </c>
      <c r="AK796" s="32">
        <v>7</v>
      </c>
      <c r="AO796" s="73"/>
      <c r="AR796" s="32" t="s">
        <v>1560</v>
      </c>
      <c r="AU796">
        <v>795</v>
      </c>
    </row>
    <row r="797" spans="1:47" x14ac:dyDescent="0.2">
      <c r="A797" s="37">
        <v>6065</v>
      </c>
      <c r="B797" s="38" t="s">
        <v>45</v>
      </c>
      <c r="C797" s="39" t="s">
        <v>1868</v>
      </c>
      <c r="D797" s="29"/>
      <c r="E797" s="38" t="s">
        <v>305</v>
      </c>
      <c r="F797" s="32" t="s">
        <v>1869</v>
      </c>
      <c r="G797" s="47" t="s">
        <v>274</v>
      </c>
      <c r="H797"/>
      <c r="I797" s="32" t="s">
        <v>1870</v>
      </c>
      <c r="J797" s="47"/>
      <c r="K797" s="47">
        <f>(6*25+3*7.25)*2.2</f>
        <v>377.85</v>
      </c>
      <c r="L797" s="48">
        <v>1</v>
      </c>
      <c r="M797" s="47"/>
      <c r="N797" s="47"/>
      <c r="O797" s="47"/>
      <c r="P797" s="47"/>
      <c r="Q797" s="47"/>
      <c r="R797" s="47"/>
      <c r="S797" s="48">
        <v>1</v>
      </c>
      <c r="T797" s="47">
        <v>0</v>
      </c>
      <c r="U797" s="47">
        <v>0</v>
      </c>
      <c r="V797" s="47">
        <v>0</v>
      </c>
      <c r="W797" s="47">
        <f>300*39.37/12</f>
        <v>984.25</v>
      </c>
      <c r="X797" s="47"/>
      <c r="Y797" s="47" t="s">
        <v>51</v>
      </c>
      <c r="Z797" s="47" t="s">
        <v>1652</v>
      </c>
      <c r="AA797" s="49">
        <v>0.84722222222222221</v>
      </c>
      <c r="AB797" s="49">
        <v>0.99305555555555547</v>
      </c>
      <c r="AC797" s="49">
        <v>0.93055555555555547</v>
      </c>
      <c r="AD797" s="50">
        <f>(AB797-AA797)*24</f>
        <v>3.4999999999999982</v>
      </c>
      <c r="AE797" s="47" t="s">
        <v>1810</v>
      </c>
      <c r="AF797" s="47">
        <v>170</v>
      </c>
      <c r="AG797"/>
      <c r="AH797"/>
      <c r="AI797"/>
      <c r="AJ797"/>
      <c r="AK797" s="32">
        <v>9</v>
      </c>
      <c r="AL797"/>
      <c r="AM797"/>
      <c r="AN797"/>
      <c r="AO797"/>
      <c r="AP797"/>
      <c r="AQ797" s="32" t="s">
        <v>1871</v>
      </c>
      <c r="AU797">
        <v>796</v>
      </c>
    </row>
    <row r="798" spans="1:47" x14ac:dyDescent="0.2">
      <c r="A798" s="37">
        <v>6065</v>
      </c>
      <c r="B798" s="38" t="s">
        <v>45</v>
      </c>
      <c r="C798" s="39" t="s">
        <v>253</v>
      </c>
      <c r="D798" s="29"/>
      <c r="E798" s="38" t="s">
        <v>1872</v>
      </c>
      <c r="F798" s="32" t="s">
        <v>107</v>
      </c>
      <c r="G798" s="47"/>
      <c r="H798"/>
      <c r="I798" s="32"/>
      <c r="J798" s="47"/>
      <c r="K798" s="47"/>
      <c r="L798" s="48"/>
      <c r="M798" s="47"/>
      <c r="N798" s="47"/>
      <c r="O798" s="47"/>
      <c r="P798" s="47"/>
      <c r="Q798" s="47"/>
      <c r="R798" s="47"/>
      <c r="S798" s="48"/>
      <c r="T798" s="47"/>
      <c r="U798" s="47"/>
      <c r="V798" s="47"/>
      <c r="W798" s="47"/>
      <c r="X798" s="47"/>
      <c r="Y798" s="47"/>
      <c r="Z798" s="47"/>
      <c r="AA798" s="49"/>
      <c r="AB798" s="49"/>
      <c r="AC798" s="49"/>
      <c r="AD798" s="50"/>
      <c r="AE798" s="47"/>
      <c r="AF798" s="47"/>
      <c r="AG798"/>
      <c r="AH798"/>
      <c r="AI798"/>
      <c r="AJ798"/>
      <c r="AK798"/>
      <c r="AL798"/>
      <c r="AM798"/>
      <c r="AN798"/>
      <c r="AO798"/>
      <c r="AP798"/>
      <c r="AQ798" s="32" t="s">
        <v>1203</v>
      </c>
      <c r="AU798">
        <v>797</v>
      </c>
    </row>
    <row r="799" spans="1:47" x14ac:dyDescent="0.2">
      <c r="A799" s="37">
        <v>6065</v>
      </c>
      <c r="B799" s="38" t="s">
        <v>45</v>
      </c>
      <c r="C799" s="39" t="s">
        <v>156</v>
      </c>
      <c r="D799" s="29"/>
      <c r="E799" s="38" t="s">
        <v>1873</v>
      </c>
      <c r="F799" s="32" t="s">
        <v>150</v>
      </c>
      <c r="G799" s="47"/>
      <c r="H799"/>
      <c r="I799" s="32" t="s">
        <v>1834</v>
      </c>
      <c r="J799" s="47"/>
      <c r="K799" s="47"/>
      <c r="L799" s="48"/>
      <c r="M799" s="47"/>
      <c r="N799" s="47"/>
      <c r="O799" s="47"/>
      <c r="P799" s="47"/>
      <c r="Q799" s="47"/>
      <c r="R799" s="47"/>
      <c r="S799" s="48"/>
      <c r="T799" s="47"/>
      <c r="U799" s="47"/>
      <c r="V799" s="47"/>
      <c r="W799" s="47"/>
      <c r="X799" s="47"/>
      <c r="Y799" s="47"/>
      <c r="Z799" s="47"/>
      <c r="AA799" s="49"/>
      <c r="AB799" s="49"/>
      <c r="AC799" s="49"/>
      <c r="AD799" s="50"/>
      <c r="AE799" s="47"/>
      <c r="AF799" s="47"/>
      <c r="AG799"/>
      <c r="AH799"/>
      <c r="AI799"/>
      <c r="AJ799"/>
      <c r="AK799"/>
      <c r="AL799"/>
      <c r="AM799"/>
      <c r="AN799"/>
      <c r="AO799"/>
      <c r="AP799"/>
      <c r="AQ799" s="32" t="s">
        <v>1611</v>
      </c>
      <c r="AU799">
        <v>798</v>
      </c>
    </row>
    <row r="800" spans="1:47" x14ac:dyDescent="0.2">
      <c r="A800" s="26">
        <v>6065</v>
      </c>
      <c r="B800" s="27" t="s">
        <v>45</v>
      </c>
      <c r="C800" s="28"/>
      <c r="D800" s="29"/>
      <c r="E800" s="30" t="s">
        <v>1531</v>
      </c>
      <c r="H800" s="32">
        <v>0</v>
      </c>
      <c r="I800" s="32" t="s">
        <v>1532</v>
      </c>
      <c r="AG800" s="32">
        <v>0</v>
      </c>
      <c r="AH800" s="32">
        <v>0</v>
      </c>
      <c r="AI800" s="32">
        <v>0</v>
      </c>
      <c r="AK800" s="32">
        <v>0</v>
      </c>
      <c r="AM800" s="32">
        <f>498*70</f>
        <v>34860</v>
      </c>
      <c r="AO800" s="32" t="s">
        <v>1533</v>
      </c>
      <c r="AQ800" s="32" t="s">
        <v>1101</v>
      </c>
      <c r="AU800">
        <v>799</v>
      </c>
    </row>
    <row r="801" spans="1:47" x14ac:dyDescent="0.2">
      <c r="A801" s="26">
        <v>6065</v>
      </c>
      <c r="B801" s="27" t="s">
        <v>45</v>
      </c>
      <c r="C801" s="28"/>
      <c r="D801" s="29"/>
      <c r="E801" s="30" t="s">
        <v>1823</v>
      </c>
      <c r="H801" s="32">
        <v>0</v>
      </c>
      <c r="I801" s="32" t="s">
        <v>1824</v>
      </c>
      <c r="AG801" s="32">
        <v>0</v>
      </c>
      <c r="AH801" s="32">
        <v>0</v>
      </c>
      <c r="AI801" s="32">
        <v>0</v>
      </c>
      <c r="AK801" s="32">
        <v>0</v>
      </c>
      <c r="AM801" s="32">
        <v>2500</v>
      </c>
      <c r="AO801" s="73" t="s">
        <v>75</v>
      </c>
      <c r="AQ801" s="32" t="s">
        <v>589</v>
      </c>
      <c r="AU801">
        <v>800</v>
      </c>
    </row>
    <row r="802" spans="1:47" x14ac:dyDescent="0.2">
      <c r="A802" s="37">
        <v>6066</v>
      </c>
      <c r="B802" s="38" t="s">
        <v>85</v>
      </c>
      <c r="C802" s="39" t="s">
        <v>253</v>
      </c>
      <c r="D802" s="29"/>
      <c r="E802" s="38" t="s">
        <v>1874</v>
      </c>
      <c r="F802" s="32" t="s">
        <v>107</v>
      </c>
      <c r="G802" s="47"/>
      <c r="H802"/>
      <c r="I802" s="32"/>
      <c r="J802" s="47"/>
      <c r="K802" s="47"/>
      <c r="L802" s="48"/>
      <c r="M802" s="47"/>
      <c r="N802" s="47"/>
      <c r="O802" s="47"/>
      <c r="P802" s="47"/>
      <c r="Q802" s="47"/>
      <c r="R802" s="47"/>
      <c r="S802" s="48"/>
      <c r="T802" s="47"/>
      <c r="U802" s="47"/>
      <c r="V802" s="47"/>
      <c r="W802" s="47"/>
      <c r="X802" s="47"/>
      <c r="Y802" s="47"/>
      <c r="Z802" s="47"/>
      <c r="AA802" s="49"/>
      <c r="AB802" s="49"/>
      <c r="AC802" s="49"/>
      <c r="AD802" s="50"/>
      <c r="AE802" s="47"/>
      <c r="AF802" s="47"/>
      <c r="AG802"/>
      <c r="AH802"/>
      <c r="AI802"/>
      <c r="AJ802"/>
      <c r="AK802"/>
      <c r="AL802"/>
      <c r="AM802"/>
      <c r="AN802"/>
      <c r="AO802"/>
      <c r="AP802"/>
      <c r="AQ802" s="32" t="s">
        <v>1375</v>
      </c>
      <c r="AU802">
        <v>801</v>
      </c>
    </row>
    <row r="803" spans="1:47" x14ac:dyDescent="0.2">
      <c r="A803" s="37">
        <v>6066</v>
      </c>
      <c r="B803" s="38" t="s">
        <v>85</v>
      </c>
      <c r="C803" s="39" t="s">
        <v>1655</v>
      </c>
      <c r="D803" s="29"/>
      <c r="E803" s="38" t="s">
        <v>1875</v>
      </c>
      <c r="F803" s="32" t="s">
        <v>340</v>
      </c>
      <c r="G803" s="47" t="s">
        <v>49</v>
      </c>
      <c r="H803"/>
      <c r="I803" s="32" t="s">
        <v>1876</v>
      </c>
      <c r="J803" s="47"/>
      <c r="K803" s="47">
        <f>28*10*2.2</f>
        <v>616</v>
      </c>
      <c r="L803" s="48"/>
      <c r="M803" s="47"/>
      <c r="N803" s="47"/>
      <c r="O803" s="47"/>
      <c r="P803" s="47"/>
      <c r="Q803" s="47"/>
      <c r="R803" s="47"/>
      <c r="S803" s="48">
        <v>6</v>
      </c>
      <c r="T803" s="47">
        <v>0</v>
      </c>
      <c r="U803" s="47">
        <v>0</v>
      </c>
      <c r="V803" s="47">
        <v>0</v>
      </c>
      <c r="W803" s="47"/>
      <c r="X803" s="47"/>
      <c r="Y803" s="47" t="s">
        <v>51</v>
      </c>
      <c r="Z803" s="47" t="s">
        <v>1241</v>
      </c>
      <c r="AA803" s="49"/>
      <c r="AB803" s="49"/>
      <c r="AC803" s="49"/>
      <c r="AD803" s="50"/>
      <c r="AE803" s="47" t="s">
        <v>342</v>
      </c>
      <c r="AF803" s="47"/>
      <c r="AG803"/>
      <c r="AH803"/>
      <c r="AI803"/>
      <c r="AJ803"/>
      <c r="AK803">
        <v>28</v>
      </c>
      <c r="AL803"/>
      <c r="AM803"/>
      <c r="AN803"/>
      <c r="AO803"/>
      <c r="AP803"/>
      <c r="AQ803" s="32" t="s">
        <v>1877</v>
      </c>
      <c r="AU803">
        <v>802</v>
      </c>
    </row>
    <row r="804" spans="1:47" x14ac:dyDescent="0.2">
      <c r="A804" s="37">
        <v>6066</v>
      </c>
      <c r="B804" s="38" t="s">
        <v>45</v>
      </c>
      <c r="C804" s="39" t="s">
        <v>1535</v>
      </c>
      <c r="D804" s="29"/>
      <c r="E804" s="38" t="s">
        <v>1878</v>
      </c>
      <c r="F804" s="32" t="s">
        <v>246</v>
      </c>
      <c r="G804" s="47" t="s">
        <v>49</v>
      </c>
      <c r="H804"/>
      <c r="I804" s="32" t="s">
        <v>1879</v>
      </c>
      <c r="J804" s="47"/>
      <c r="K804" s="47"/>
      <c r="L804" s="48"/>
      <c r="M804" s="47"/>
      <c r="N804" s="47"/>
      <c r="O804" s="47"/>
      <c r="P804" s="47"/>
      <c r="Q804" s="47"/>
      <c r="R804" s="47"/>
      <c r="S804" s="48"/>
      <c r="T804" s="47"/>
      <c r="U804" s="47"/>
      <c r="V804" s="47"/>
      <c r="W804" s="47"/>
      <c r="X804" s="47"/>
      <c r="Y804" s="47"/>
      <c r="Z804" s="31" t="s">
        <v>1080</v>
      </c>
      <c r="AA804" s="49"/>
      <c r="AB804" s="49"/>
      <c r="AC804" s="49"/>
      <c r="AD804" s="50"/>
      <c r="AE804" s="47" t="s">
        <v>1805</v>
      </c>
      <c r="AF804" s="47">
        <v>30</v>
      </c>
      <c r="AG804"/>
      <c r="AH804"/>
      <c r="AI804"/>
      <c r="AJ804"/>
      <c r="AK804"/>
      <c r="AL804"/>
      <c r="AM804"/>
      <c r="AN804"/>
      <c r="AO804"/>
      <c r="AP804"/>
      <c r="AQ804"/>
      <c r="AU804">
        <v>803</v>
      </c>
    </row>
    <row r="805" spans="1:47" x14ac:dyDescent="0.2">
      <c r="A805" s="37">
        <v>6066</v>
      </c>
      <c r="B805" s="38" t="s">
        <v>45</v>
      </c>
      <c r="C805" s="39" t="s">
        <v>253</v>
      </c>
      <c r="D805" s="29"/>
      <c r="E805" s="38" t="s">
        <v>1880</v>
      </c>
      <c r="F805" s="32" t="s">
        <v>107</v>
      </c>
      <c r="G805" s="47"/>
      <c r="H805"/>
      <c r="I805" s="32"/>
      <c r="J805" s="47"/>
      <c r="K805" s="47"/>
      <c r="L805" s="48"/>
      <c r="M805" s="47"/>
      <c r="N805" s="47"/>
      <c r="O805" s="47"/>
      <c r="P805" s="47"/>
      <c r="Q805" s="47"/>
      <c r="R805" s="47"/>
      <c r="S805" s="48"/>
      <c r="T805" s="47"/>
      <c r="U805" s="47"/>
      <c r="V805" s="47"/>
      <c r="W805" s="47"/>
      <c r="X805" s="47"/>
      <c r="Y805" s="47"/>
      <c r="Z805" s="47"/>
      <c r="AA805" s="49"/>
      <c r="AB805" s="49"/>
      <c r="AC805" s="49"/>
      <c r="AD805" s="50"/>
      <c r="AE805" s="47"/>
      <c r="AF805" s="47"/>
      <c r="AG805"/>
      <c r="AH805"/>
      <c r="AI805"/>
      <c r="AJ805"/>
      <c r="AK805"/>
      <c r="AL805"/>
      <c r="AM805"/>
      <c r="AN805"/>
      <c r="AO805"/>
      <c r="AP805"/>
      <c r="AQ805" s="32" t="s">
        <v>1203</v>
      </c>
      <c r="AU805">
        <v>804</v>
      </c>
    </row>
    <row r="806" spans="1:47" x14ac:dyDescent="0.2">
      <c r="A806" s="37">
        <v>6066</v>
      </c>
      <c r="B806" s="38" t="s">
        <v>45</v>
      </c>
      <c r="C806" s="39" t="s">
        <v>253</v>
      </c>
      <c r="D806" s="29"/>
      <c r="E806" s="38" t="s">
        <v>1881</v>
      </c>
      <c r="F806" s="32" t="s">
        <v>107</v>
      </c>
      <c r="G806" s="47"/>
      <c r="H806"/>
      <c r="I806" s="32"/>
      <c r="J806" s="47"/>
      <c r="K806" s="47"/>
      <c r="L806" s="48"/>
      <c r="M806" s="47"/>
      <c r="N806" s="47"/>
      <c r="O806" s="47"/>
      <c r="P806" s="47"/>
      <c r="Q806" s="47"/>
      <c r="R806" s="47"/>
      <c r="S806" s="48"/>
      <c r="T806" s="47"/>
      <c r="U806" s="47"/>
      <c r="V806" s="47"/>
      <c r="W806" s="47"/>
      <c r="X806" s="47"/>
      <c r="Y806" s="47"/>
      <c r="Z806" s="47"/>
      <c r="AA806" s="49"/>
      <c r="AB806" s="49"/>
      <c r="AC806" s="49"/>
      <c r="AD806" s="50"/>
      <c r="AE806" s="47"/>
      <c r="AF806" s="47"/>
      <c r="AG806"/>
      <c r="AH806"/>
      <c r="AI806"/>
      <c r="AJ806"/>
      <c r="AK806"/>
      <c r="AL806"/>
      <c r="AM806"/>
      <c r="AN806"/>
      <c r="AO806"/>
      <c r="AP806"/>
      <c r="AQ806" s="32" t="s">
        <v>1203</v>
      </c>
      <c r="AU806">
        <v>805</v>
      </c>
    </row>
    <row r="807" spans="1:47" x14ac:dyDescent="0.2">
      <c r="A807" s="26">
        <v>6066</v>
      </c>
      <c r="B807" s="27" t="s">
        <v>45</v>
      </c>
      <c r="C807" s="28"/>
      <c r="D807" s="29"/>
      <c r="E807" s="30" t="s">
        <v>1823</v>
      </c>
      <c r="H807" s="32">
        <v>0</v>
      </c>
      <c r="I807" s="32" t="s">
        <v>1824</v>
      </c>
      <c r="AG807" s="32">
        <v>0</v>
      </c>
      <c r="AH807" s="32">
        <v>0</v>
      </c>
      <c r="AI807" s="32">
        <v>0</v>
      </c>
      <c r="AK807" s="32">
        <v>0</v>
      </c>
      <c r="AM807" s="32">
        <v>2500</v>
      </c>
      <c r="AO807" s="73" t="s">
        <v>75</v>
      </c>
      <c r="AQ807" s="32" t="s">
        <v>589</v>
      </c>
      <c r="AU807">
        <v>806</v>
      </c>
    </row>
    <row r="808" spans="1:47" x14ac:dyDescent="0.2">
      <c r="A808" s="26">
        <v>6066</v>
      </c>
      <c r="B808" s="27"/>
      <c r="C808" s="28"/>
      <c r="D808" s="29"/>
      <c r="E808" s="30" t="s">
        <v>1882</v>
      </c>
      <c r="H808" s="32">
        <v>1</v>
      </c>
      <c r="I808" s="32" t="s">
        <v>1883</v>
      </c>
      <c r="AI808" s="32">
        <v>446</v>
      </c>
      <c r="AO808" s="73" t="s">
        <v>858</v>
      </c>
      <c r="AQ808" s="32">
        <v>441</v>
      </c>
      <c r="AU808">
        <v>807</v>
      </c>
    </row>
    <row r="809" spans="1:47" x14ac:dyDescent="0.2">
      <c r="A809" s="26">
        <v>6067</v>
      </c>
      <c r="B809" s="27" t="s">
        <v>45</v>
      </c>
      <c r="C809" s="28"/>
      <c r="D809" s="29"/>
      <c r="E809" s="30" t="s">
        <v>1823</v>
      </c>
      <c r="H809" s="32">
        <v>0</v>
      </c>
      <c r="I809" s="32" t="s">
        <v>1824</v>
      </c>
      <c r="AG809" s="32">
        <v>0</v>
      </c>
      <c r="AH809" s="32">
        <v>0</v>
      </c>
      <c r="AI809" s="32">
        <v>0</v>
      </c>
      <c r="AK809" s="32">
        <v>0</v>
      </c>
      <c r="AM809" s="32">
        <v>2500</v>
      </c>
      <c r="AO809" s="73" t="s">
        <v>75</v>
      </c>
      <c r="AQ809" s="32" t="s">
        <v>589</v>
      </c>
      <c r="AU809">
        <v>808</v>
      </c>
    </row>
    <row r="810" spans="1:47" x14ac:dyDescent="0.2">
      <c r="A810" s="26">
        <v>6068</v>
      </c>
      <c r="B810" s="27" t="s">
        <v>45</v>
      </c>
      <c r="C810" s="28"/>
      <c r="D810" s="29"/>
      <c r="E810" s="30" t="s">
        <v>1823</v>
      </c>
      <c r="H810" s="32">
        <v>0</v>
      </c>
      <c r="I810" s="32" t="s">
        <v>1824</v>
      </c>
      <c r="AG810" s="32">
        <v>0</v>
      </c>
      <c r="AH810" s="32">
        <v>0</v>
      </c>
      <c r="AI810" s="32">
        <v>0</v>
      </c>
      <c r="AK810" s="32">
        <v>0</v>
      </c>
      <c r="AM810" s="32">
        <v>2500</v>
      </c>
      <c r="AO810" s="73" t="s">
        <v>75</v>
      </c>
      <c r="AQ810" s="32" t="s">
        <v>589</v>
      </c>
      <c r="AU810">
        <v>809</v>
      </c>
    </row>
    <row r="811" spans="1:47" x14ac:dyDescent="0.2">
      <c r="A811" s="37">
        <v>6069</v>
      </c>
      <c r="B811" s="38" t="s">
        <v>45</v>
      </c>
      <c r="C811" s="39" t="s">
        <v>1843</v>
      </c>
      <c r="D811" s="29"/>
      <c r="E811" s="38" t="s">
        <v>1884</v>
      </c>
      <c r="F811" s="32" t="s">
        <v>1885</v>
      </c>
      <c r="G811" s="47" t="s">
        <v>49</v>
      </c>
      <c r="H811"/>
      <c r="I811" s="32" t="s">
        <v>1886</v>
      </c>
      <c r="J811" s="47"/>
      <c r="K811" s="47">
        <f>120*10*2.2</f>
        <v>2640</v>
      </c>
      <c r="L811" s="48">
        <v>4</v>
      </c>
      <c r="M811" s="47"/>
      <c r="N811" s="47"/>
      <c r="O811" s="47"/>
      <c r="P811" s="47"/>
      <c r="Q811" s="47"/>
      <c r="R811" s="47"/>
      <c r="S811" s="48">
        <v>4</v>
      </c>
      <c r="T811" s="47">
        <v>0</v>
      </c>
      <c r="U811" s="47">
        <v>0</v>
      </c>
      <c r="V811" s="47">
        <v>0</v>
      </c>
      <c r="W811" s="47">
        <f>((2400+2300+2800+2800)/4)*39.37/12</f>
        <v>8448.1458333333339</v>
      </c>
      <c r="X811" s="47"/>
      <c r="Y811" s="47" t="s">
        <v>51</v>
      </c>
      <c r="Z811" s="47" t="s">
        <v>1846</v>
      </c>
      <c r="AA811" s="49"/>
      <c r="AB811" s="49"/>
      <c r="AC811" s="49">
        <v>0.92708333333333337</v>
      </c>
      <c r="AD811" s="50">
        <v>2</v>
      </c>
      <c r="AE811" s="47" t="s">
        <v>342</v>
      </c>
      <c r="AF811" s="47">
        <v>40</v>
      </c>
      <c r="AG811"/>
      <c r="AH811"/>
      <c r="AI811"/>
      <c r="AJ811"/>
      <c r="AK811" s="32">
        <v>120</v>
      </c>
      <c r="AL811"/>
      <c r="AM811"/>
      <c r="AN811"/>
      <c r="AO811"/>
      <c r="AP811"/>
      <c r="AQ811" s="32" t="s">
        <v>1887</v>
      </c>
      <c r="AU811">
        <v>810</v>
      </c>
    </row>
    <row r="812" spans="1:47" x14ac:dyDescent="0.2">
      <c r="A812" s="26">
        <v>6069</v>
      </c>
      <c r="B812" s="27">
        <v>0.96527777777777779</v>
      </c>
      <c r="C812" s="28"/>
      <c r="D812" s="29"/>
      <c r="E812" s="30" t="s">
        <v>1124</v>
      </c>
      <c r="H812" s="32">
        <v>1</v>
      </c>
      <c r="I812" s="32" t="s">
        <v>1534</v>
      </c>
      <c r="AG812" s="32">
        <v>0</v>
      </c>
      <c r="AH812" s="32">
        <v>0</v>
      </c>
      <c r="AK812" s="32">
        <v>10</v>
      </c>
      <c r="AL812" s="32">
        <f>5/60</f>
        <v>8.3333333333333329E-2</v>
      </c>
      <c r="AO812" s="46" t="s">
        <v>1126</v>
      </c>
      <c r="AP812" s="32">
        <f>5/60</f>
        <v>8.3333333333333329E-2</v>
      </c>
      <c r="AQ812" s="32" t="s">
        <v>589</v>
      </c>
      <c r="AU812">
        <v>811</v>
      </c>
    </row>
    <row r="813" spans="1:47" x14ac:dyDescent="0.2">
      <c r="A813" s="26">
        <v>6069</v>
      </c>
      <c r="B813" s="27" t="s">
        <v>45</v>
      </c>
      <c r="C813" s="28"/>
      <c r="D813" s="29"/>
      <c r="E813" s="30" t="s">
        <v>1823</v>
      </c>
      <c r="H813" s="32">
        <v>0</v>
      </c>
      <c r="I813" s="32" t="s">
        <v>1824</v>
      </c>
      <c r="AG813" s="32">
        <v>0</v>
      </c>
      <c r="AH813" s="32">
        <v>0</v>
      </c>
      <c r="AI813" s="32">
        <v>0</v>
      </c>
      <c r="AK813" s="32">
        <v>0</v>
      </c>
      <c r="AM813" s="32">
        <v>5000</v>
      </c>
      <c r="AO813" s="73" t="s">
        <v>75</v>
      </c>
      <c r="AQ813" s="32" t="s">
        <v>589</v>
      </c>
      <c r="AU813">
        <v>812</v>
      </c>
    </row>
    <row r="814" spans="1:47" x14ac:dyDescent="0.2">
      <c r="A814" s="26">
        <v>6070</v>
      </c>
      <c r="B814" s="27" t="s">
        <v>45</v>
      </c>
      <c r="C814" s="28"/>
      <c r="D814" s="29"/>
      <c r="E814" s="30" t="s">
        <v>1823</v>
      </c>
      <c r="H814" s="32">
        <v>0</v>
      </c>
      <c r="I814" s="32" t="s">
        <v>1824</v>
      </c>
      <c r="AG814" s="32">
        <v>0</v>
      </c>
      <c r="AH814" s="32">
        <v>0</v>
      </c>
      <c r="AI814" s="32">
        <v>0</v>
      </c>
      <c r="AK814" s="32">
        <v>0</v>
      </c>
      <c r="AM814" s="32">
        <v>4000</v>
      </c>
      <c r="AO814" s="73" t="s">
        <v>75</v>
      </c>
      <c r="AQ814" s="32" t="s">
        <v>589</v>
      </c>
      <c r="AU814">
        <v>813</v>
      </c>
    </row>
    <row r="815" spans="1:47" x14ac:dyDescent="0.2">
      <c r="A815" s="26">
        <v>6071</v>
      </c>
      <c r="B815" s="27" t="s">
        <v>45</v>
      </c>
      <c r="C815" s="28"/>
      <c r="D815" s="29"/>
      <c r="E815" s="30" t="s">
        <v>1531</v>
      </c>
      <c r="H815" s="32">
        <v>0</v>
      </c>
      <c r="I815" s="32" t="s">
        <v>1532</v>
      </c>
      <c r="AG815" s="32">
        <v>0</v>
      </c>
      <c r="AH815" s="32">
        <v>0</v>
      </c>
      <c r="AI815" s="32">
        <v>0</v>
      </c>
      <c r="AK815" s="32">
        <v>0</v>
      </c>
      <c r="AM815" s="32">
        <f>498*14</f>
        <v>6972</v>
      </c>
      <c r="AO815" s="32" t="s">
        <v>1533</v>
      </c>
      <c r="AQ815" s="32" t="s">
        <v>1101</v>
      </c>
      <c r="AU815">
        <v>814</v>
      </c>
    </row>
    <row r="816" spans="1:47" x14ac:dyDescent="0.2">
      <c r="A816" s="26">
        <v>6071</v>
      </c>
      <c r="B816" s="27" t="s">
        <v>45</v>
      </c>
      <c r="C816" s="28"/>
      <c r="D816" s="29"/>
      <c r="E816" s="30" t="s">
        <v>1823</v>
      </c>
      <c r="H816" s="32">
        <v>0</v>
      </c>
      <c r="I816" s="32" t="s">
        <v>1824</v>
      </c>
      <c r="AG816" s="32">
        <v>0</v>
      </c>
      <c r="AH816" s="32">
        <v>0</v>
      </c>
      <c r="AI816" s="32">
        <v>0</v>
      </c>
      <c r="AK816" s="32">
        <v>0</v>
      </c>
      <c r="AM816" s="32">
        <v>2500</v>
      </c>
      <c r="AO816" s="73" t="s">
        <v>75</v>
      </c>
      <c r="AQ816" s="32" t="s">
        <v>589</v>
      </c>
      <c r="AU816">
        <v>815</v>
      </c>
    </row>
    <row r="817" spans="1:47" x14ac:dyDescent="0.2">
      <c r="A817" s="37">
        <v>6075</v>
      </c>
      <c r="B817" s="38" t="s">
        <v>45</v>
      </c>
      <c r="C817" s="38" t="s">
        <v>1888</v>
      </c>
      <c r="D817" s="29"/>
      <c r="E817" s="38" t="s">
        <v>1873</v>
      </c>
      <c r="F817" s="31" t="s">
        <v>150</v>
      </c>
      <c r="G817" s="31" t="s">
        <v>49</v>
      </c>
      <c r="H817" s="32"/>
      <c r="AO817" s="73"/>
      <c r="AQ817" s="32" t="s">
        <v>1611</v>
      </c>
      <c r="AU817">
        <v>816</v>
      </c>
    </row>
    <row r="818" spans="1:47" x14ac:dyDescent="0.2">
      <c r="A818" s="37">
        <v>6079</v>
      </c>
      <c r="B818" s="38" t="s">
        <v>45</v>
      </c>
      <c r="C818" s="39" t="s">
        <v>425</v>
      </c>
      <c r="D818" s="29"/>
      <c r="E818" s="38" t="s">
        <v>1889</v>
      </c>
      <c r="F818" s="32" t="s">
        <v>1890</v>
      </c>
      <c r="G818" s="47" t="s">
        <v>49</v>
      </c>
      <c r="H818"/>
      <c r="I818" s="32" t="s">
        <v>1891</v>
      </c>
      <c r="J818" s="47"/>
      <c r="K818" s="47">
        <f>79*10*2.2</f>
        <v>1738.0000000000002</v>
      </c>
      <c r="L818" s="48"/>
      <c r="M818" s="47"/>
      <c r="N818" s="47"/>
      <c r="O818" s="47"/>
      <c r="P818" s="47"/>
      <c r="Q818" s="47"/>
      <c r="R818" s="47"/>
      <c r="S818" s="48">
        <v>10</v>
      </c>
      <c r="T818" s="47">
        <v>0</v>
      </c>
      <c r="U818" s="47">
        <v>0</v>
      </c>
      <c r="V818" s="47">
        <v>0</v>
      </c>
      <c r="W818" s="47"/>
      <c r="X818" s="47"/>
      <c r="Y818" s="47" t="s">
        <v>51</v>
      </c>
      <c r="Z818" s="47" t="s">
        <v>146</v>
      </c>
      <c r="AA818" s="49"/>
      <c r="AB818" s="49"/>
      <c r="AC818" s="49"/>
      <c r="AD818" s="50"/>
      <c r="AE818" s="47" t="s">
        <v>1578</v>
      </c>
      <c r="AF818" s="47">
        <v>65</v>
      </c>
      <c r="AG818"/>
      <c r="AH818"/>
      <c r="AI818"/>
      <c r="AJ818"/>
      <c r="AK818" s="32">
        <v>79</v>
      </c>
      <c r="AL818"/>
      <c r="AM818"/>
      <c r="AN818"/>
      <c r="AO818"/>
      <c r="AP818"/>
      <c r="AQ818" s="32" t="s">
        <v>1892</v>
      </c>
      <c r="AU818">
        <v>817</v>
      </c>
    </row>
    <row r="819" spans="1:47" x14ac:dyDescent="0.2">
      <c r="A819" s="37">
        <v>6081</v>
      </c>
      <c r="B819" s="38" t="s">
        <v>85</v>
      </c>
      <c r="C819" s="39" t="s">
        <v>1655</v>
      </c>
      <c r="D819" s="29"/>
      <c r="E819" s="38" t="s">
        <v>107</v>
      </c>
      <c r="F819" s="32" t="s">
        <v>107</v>
      </c>
      <c r="G819" s="47"/>
      <c r="H819"/>
      <c r="I819" s="32" t="s">
        <v>1893</v>
      </c>
      <c r="J819" s="47"/>
      <c r="K819" s="47"/>
      <c r="L819" s="48"/>
      <c r="M819" s="47"/>
      <c r="N819" s="47"/>
      <c r="O819" s="47"/>
      <c r="P819" s="47"/>
      <c r="Q819" s="47"/>
      <c r="R819" s="47"/>
      <c r="S819" s="48">
        <v>9</v>
      </c>
      <c r="T819" s="47">
        <v>0</v>
      </c>
      <c r="U819" s="47">
        <v>0</v>
      </c>
      <c r="V819" s="47">
        <v>0</v>
      </c>
      <c r="W819" s="47"/>
      <c r="X819" s="47"/>
      <c r="Y819" s="47" t="s">
        <v>51</v>
      </c>
      <c r="Z819" s="47" t="s">
        <v>1241</v>
      </c>
      <c r="AA819" s="49">
        <v>0.70833333333333337</v>
      </c>
      <c r="AB819" s="49"/>
      <c r="AC819" s="49"/>
      <c r="AD819" s="50"/>
      <c r="AE819" s="47" t="s">
        <v>342</v>
      </c>
      <c r="AF819" s="47"/>
      <c r="AG819"/>
      <c r="AH819"/>
      <c r="AI819"/>
      <c r="AJ819"/>
      <c r="AK819" s="32">
        <v>18</v>
      </c>
      <c r="AL819"/>
      <c r="AM819"/>
      <c r="AN819"/>
      <c r="AO819"/>
      <c r="AP819"/>
      <c r="AQ819" s="32" t="s">
        <v>1894</v>
      </c>
      <c r="AU819">
        <v>818</v>
      </c>
    </row>
    <row r="820" spans="1:47" x14ac:dyDescent="0.2">
      <c r="A820" s="37">
        <v>6081</v>
      </c>
      <c r="B820" s="38" t="s">
        <v>45</v>
      </c>
      <c r="C820" s="39" t="s">
        <v>425</v>
      </c>
      <c r="D820" s="29"/>
      <c r="E820" s="38" t="s">
        <v>1895</v>
      </c>
      <c r="F820" s="137" t="s">
        <v>150</v>
      </c>
      <c r="G820" s="47" t="s">
        <v>49</v>
      </c>
      <c r="H820"/>
      <c r="I820" s="32" t="s">
        <v>1896</v>
      </c>
      <c r="J820" s="47"/>
      <c r="K820" s="47">
        <f>98*10*2.2</f>
        <v>2156</v>
      </c>
      <c r="L820" s="48">
        <v>14</v>
      </c>
      <c r="M820" s="47"/>
      <c r="N820" s="47"/>
      <c r="O820" s="47"/>
      <c r="P820" s="47"/>
      <c r="Q820" s="47"/>
      <c r="R820" s="47"/>
      <c r="S820" s="48">
        <v>13</v>
      </c>
      <c r="T820" s="47">
        <v>0</v>
      </c>
      <c r="U820" s="47">
        <v>0</v>
      </c>
      <c r="V820" s="47">
        <v>0</v>
      </c>
      <c r="W820" s="47"/>
      <c r="X820" s="47"/>
      <c r="Y820" s="47" t="s">
        <v>51</v>
      </c>
      <c r="Z820" s="47" t="s">
        <v>146</v>
      </c>
      <c r="AA820" s="49">
        <v>0.83333333333333337</v>
      </c>
      <c r="AB820" s="49"/>
      <c r="AC820" s="49"/>
      <c r="AD820" s="50"/>
      <c r="AE820" s="47" t="s">
        <v>1578</v>
      </c>
      <c r="AF820" s="47">
        <v>50</v>
      </c>
      <c r="AG820"/>
      <c r="AH820"/>
      <c r="AI820"/>
      <c r="AJ820"/>
      <c r="AK820" s="32">
        <v>98</v>
      </c>
      <c r="AL820"/>
      <c r="AM820"/>
      <c r="AN820"/>
      <c r="AO820"/>
      <c r="AP820"/>
      <c r="AQ820" s="32" t="s">
        <v>1894</v>
      </c>
      <c r="AU820">
        <v>819</v>
      </c>
    </row>
    <row r="821" spans="1:47" x14ac:dyDescent="0.2">
      <c r="A821" s="26">
        <v>6081</v>
      </c>
      <c r="B821" s="27">
        <v>0.45833333333333331</v>
      </c>
      <c r="C821" s="28"/>
      <c r="D821" s="29"/>
      <c r="E821" s="102" t="s">
        <v>1102</v>
      </c>
      <c r="H821" s="32">
        <v>0</v>
      </c>
      <c r="I821" s="32" t="s">
        <v>1103</v>
      </c>
      <c r="AG821" s="32">
        <v>0</v>
      </c>
      <c r="AH821" s="32">
        <v>0</v>
      </c>
      <c r="AI821" s="32">
        <v>0</v>
      </c>
      <c r="AK821" s="32">
        <v>0</v>
      </c>
      <c r="AL821" s="32">
        <v>0.75</v>
      </c>
      <c r="AO821" s="73" t="s">
        <v>1006</v>
      </c>
      <c r="AP821" s="32">
        <v>0.75</v>
      </c>
      <c r="AQ821" s="32" t="s">
        <v>589</v>
      </c>
      <c r="AU821">
        <v>820</v>
      </c>
    </row>
    <row r="822" spans="1:47" x14ac:dyDescent="0.2">
      <c r="A822" s="26">
        <v>6081</v>
      </c>
      <c r="B822" s="27">
        <v>0.82638888888888884</v>
      </c>
      <c r="C822" s="28"/>
      <c r="D822" s="29"/>
      <c r="E822" s="30" t="s">
        <v>464</v>
      </c>
      <c r="H822" s="32">
        <v>1</v>
      </c>
      <c r="I822" s="32" t="s">
        <v>1897</v>
      </c>
      <c r="AG822" s="32">
        <v>0</v>
      </c>
      <c r="AH822" s="32">
        <v>0</v>
      </c>
      <c r="AK822" s="32">
        <v>3</v>
      </c>
      <c r="AL822" s="32">
        <v>0</v>
      </c>
      <c r="AO822" s="32" t="s">
        <v>1898</v>
      </c>
      <c r="AQ822" s="32" t="s">
        <v>1522</v>
      </c>
      <c r="AU822">
        <v>821</v>
      </c>
    </row>
    <row r="823" spans="1:47" x14ac:dyDescent="0.2">
      <c r="A823" s="37">
        <v>6082</v>
      </c>
      <c r="B823" s="38" t="s">
        <v>85</v>
      </c>
      <c r="C823" s="39" t="s">
        <v>1655</v>
      </c>
      <c r="D823" s="29"/>
      <c r="E823" s="38" t="s">
        <v>1899</v>
      </c>
      <c r="F823" s="131" t="s">
        <v>1900</v>
      </c>
      <c r="G823" s="31" t="s">
        <v>69</v>
      </c>
      <c r="H823" s="32"/>
      <c r="I823" s="32" t="s">
        <v>1901</v>
      </c>
      <c r="L823" s="33">
        <v>4</v>
      </c>
      <c r="S823" s="33">
        <v>4</v>
      </c>
      <c r="T823" s="47">
        <v>0</v>
      </c>
      <c r="U823" s="47">
        <v>0</v>
      </c>
      <c r="V823" s="47">
        <v>0</v>
      </c>
      <c r="Y823" s="31" t="s">
        <v>120</v>
      </c>
      <c r="Z823" s="47" t="s">
        <v>1241</v>
      </c>
      <c r="AA823" s="34">
        <v>0.63888888888888895</v>
      </c>
      <c r="AE823" s="47" t="s">
        <v>342</v>
      </c>
      <c r="AF823" s="31">
        <v>45</v>
      </c>
      <c r="AK823" s="32">
        <v>12</v>
      </c>
      <c r="AQ823" s="32" t="s">
        <v>1902</v>
      </c>
      <c r="AU823">
        <v>822</v>
      </c>
    </row>
    <row r="824" spans="1:47" x14ac:dyDescent="0.2">
      <c r="A824" s="37">
        <v>6084</v>
      </c>
      <c r="B824" s="38" t="s">
        <v>45</v>
      </c>
      <c r="C824" s="38" t="s">
        <v>1888</v>
      </c>
      <c r="D824" s="29"/>
      <c r="E824" s="38" t="s">
        <v>1903</v>
      </c>
      <c r="F824" s="31" t="s">
        <v>150</v>
      </c>
      <c r="G824" s="31" t="s">
        <v>49</v>
      </c>
      <c r="H824" s="32"/>
      <c r="I824" s="32" t="s">
        <v>1888</v>
      </c>
      <c r="AQ824" s="32" t="s">
        <v>1611</v>
      </c>
      <c r="AU824">
        <v>823</v>
      </c>
    </row>
    <row r="825" spans="1:47" x14ac:dyDescent="0.2">
      <c r="A825" s="37">
        <v>6086</v>
      </c>
      <c r="B825" s="38" t="s">
        <v>85</v>
      </c>
      <c r="C825" s="39" t="s">
        <v>1655</v>
      </c>
      <c r="D825" s="29"/>
      <c r="E825" s="38" t="s">
        <v>1899</v>
      </c>
      <c r="F825" s="31" t="s">
        <v>1900</v>
      </c>
      <c r="G825" s="31" t="s">
        <v>69</v>
      </c>
      <c r="H825" s="32"/>
      <c r="I825" s="32" t="s">
        <v>1904</v>
      </c>
      <c r="L825" s="33">
        <v>8</v>
      </c>
      <c r="S825" s="33">
        <v>8</v>
      </c>
      <c r="T825" s="47">
        <v>0</v>
      </c>
      <c r="U825" s="47">
        <v>0</v>
      </c>
      <c r="V825" s="47">
        <v>0</v>
      </c>
      <c r="W825" s="47"/>
      <c r="X825" s="47"/>
      <c r="Y825" s="47" t="s">
        <v>51</v>
      </c>
      <c r="Z825" s="47" t="s">
        <v>1241</v>
      </c>
      <c r="AA825" s="49">
        <v>0.49305555555555558</v>
      </c>
      <c r="AB825" s="49"/>
      <c r="AC825" s="49"/>
      <c r="AD825" s="50"/>
      <c r="AE825" s="47" t="s">
        <v>342</v>
      </c>
      <c r="AF825" s="31">
        <v>45</v>
      </c>
      <c r="AK825" s="32">
        <v>31</v>
      </c>
      <c r="AQ825" s="32" t="s">
        <v>1902</v>
      </c>
      <c r="AU825">
        <v>824</v>
      </c>
    </row>
    <row r="826" spans="1:47" x14ac:dyDescent="0.2">
      <c r="A826" s="37">
        <v>6088</v>
      </c>
      <c r="B826" s="38" t="s">
        <v>85</v>
      </c>
      <c r="C826" s="39" t="s">
        <v>1655</v>
      </c>
      <c r="D826" s="29"/>
      <c r="E826" s="38" t="s">
        <v>512</v>
      </c>
      <c r="F826" s="31" t="s">
        <v>1905</v>
      </c>
      <c r="G826" s="31" t="s">
        <v>49</v>
      </c>
      <c r="H826" s="32"/>
      <c r="I826" s="32" t="s">
        <v>1906</v>
      </c>
      <c r="K826" s="31">
        <f>3*10*2.2</f>
        <v>66</v>
      </c>
      <c r="T826" s="47">
        <v>0</v>
      </c>
      <c r="U826" s="47">
        <v>0</v>
      </c>
      <c r="V826" s="47">
        <v>0</v>
      </c>
      <c r="W826" s="47"/>
      <c r="X826" s="47"/>
      <c r="Y826" s="47" t="s">
        <v>51</v>
      </c>
      <c r="Z826" s="47" t="s">
        <v>1241</v>
      </c>
      <c r="AA826" s="49"/>
      <c r="AB826" s="49"/>
      <c r="AC826" s="49"/>
      <c r="AD826" s="50"/>
      <c r="AE826" s="47" t="s">
        <v>342</v>
      </c>
      <c r="AF826" s="47">
        <v>35</v>
      </c>
      <c r="AK826" s="32">
        <v>3</v>
      </c>
      <c r="AQ826" s="32" t="s">
        <v>1902</v>
      </c>
      <c r="AU826">
        <v>825</v>
      </c>
    </row>
    <row r="827" spans="1:47" x14ac:dyDescent="0.2">
      <c r="A827" s="37">
        <v>6089</v>
      </c>
      <c r="B827" s="38" t="s">
        <v>85</v>
      </c>
      <c r="C827" s="39" t="s">
        <v>1655</v>
      </c>
      <c r="D827" s="29"/>
      <c r="E827" s="38" t="s">
        <v>857</v>
      </c>
      <c r="F827" s="31" t="s">
        <v>150</v>
      </c>
      <c r="G827" s="31" t="s">
        <v>49</v>
      </c>
      <c r="H827" s="32"/>
      <c r="I827" s="32" t="s">
        <v>1907</v>
      </c>
      <c r="K827" s="31">
        <f>1*50*2.2</f>
        <v>110.00000000000001</v>
      </c>
      <c r="S827" s="33">
        <v>1</v>
      </c>
      <c r="T827" s="47">
        <v>0</v>
      </c>
      <c r="U827" s="47">
        <v>0</v>
      </c>
      <c r="V827" s="47">
        <v>0</v>
      </c>
      <c r="W827" s="47"/>
      <c r="X827" s="47"/>
      <c r="Y827" s="47" t="s">
        <v>51</v>
      </c>
      <c r="Z827" s="47" t="s">
        <v>1241</v>
      </c>
      <c r="AA827" s="49"/>
      <c r="AB827" s="49"/>
      <c r="AC827" s="49"/>
      <c r="AD827" s="50"/>
      <c r="AE827" s="47" t="s">
        <v>342</v>
      </c>
      <c r="AF827" s="47">
        <v>20</v>
      </c>
      <c r="AK827" s="32">
        <v>1</v>
      </c>
      <c r="AQ827" s="32" t="s">
        <v>1902</v>
      </c>
      <c r="AU827">
        <v>826</v>
      </c>
    </row>
    <row r="828" spans="1:47" x14ac:dyDescent="0.2">
      <c r="A828" s="37">
        <v>6089</v>
      </c>
      <c r="B828" s="38" t="s">
        <v>45</v>
      </c>
      <c r="C828" s="39" t="s">
        <v>1843</v>
      </c>
      <c r="D828" s="29" t="s">
        <v>296</v>
      </c>
      <c r="E828" s="38" t="s">
        <v>881</v>
      </c>
      <c r="H828" s="32"/>
      <c r="I828" s="32"/>
      <c r="L828" s="33">
        <v>5</v>
      </c>
      <c r="M828" s="31">
        <v>4</v>
      </c>
      <c r="N828" s="31">
        <v>1</v>
      </c>
      <c r="S828" s="33">
        <v>0</v>
      </c>
      <c r="T828" s="47">
        <v>0</v>
      </c>
      <c r="U828" s="47">
        <v>0</v>
      </c>
      <c r="V828" s="47">
        <v>0</v>
      </c>
      <c r="W828" s="47"/>
      <c r="X828" s="47"/>
      <c r="Y828" s="47" t="s">
        <v>51</v>
      </c>
      <c r="Z828" s="47" t="s">
        <v>1846</v>
      </c>
      <c r="AA828" s="49"/>
      <c r="AB828" s="49"/>
      <c r="AC828" s="49"/>
      <c r="AD828" s="50"/>
      <c r="AE828" s="47"/>
      <c r="AQ828" s="32" t="s">
        <v>1908</v>
      </c>
      <c r="AU828">
        <v>827</v>
      </c>
    </row>
    <row r="829" spans="1:47" x14ac:dyDescent="0.2">
      <c r="A829" s="37">
        <v>6090</v>
      </c>
      <c r="B829" s="38" t="s">
        <v>85</v>
      </c>
      <c r="C829" s="39" t="s">
        <v>1655</v>
      </c>
      <c r="D829" s="29"/>
      <c r="E829" s="38" t="s">
        <v>1168</v>
      </c>
      <c r="G829" s="31" t="s">
        <v>49</v>
      </c>
      <c r="H829" s="32"/>
      <c r="I829" s="32" t="s">
        <v>1909</v>
      </c>
      <c r="K829" s="31">
        <f>(10*10+1*50)*2.2</f>
        <v>330</v>
      </c>
      <c r="S829" s="33">
        <v>3</v>
      </c>
      <c r="T829" s="47">
        <v>0</v>
      </c>
      <c r="U829" s="47">
        <v>0</v>
      </c>
      <c r="V829" s="47">
        <v>0</v>
      </c>
      <c r="W829" s="47"/>
      <c r="X829" s="47"/>
      <c r="Y829" s="47" t="s">
        <v>51</v>
      </c>
      <c r="Z829" s="47" t="s">
        <v>1241</v>
      </c>
      <c r="AA829" s="49"/>
      <c r="AB829" s="49"/>
      <c r="AC829" s="49">
        <v>0.60416666666666663</v>
      </c>
      <c r="AD829" s="50"/>
      <c r="AE829" s="47" t="s">
        <v>342</v>
      </c>
      <c r="AF829" s="47">
        <v>40</v>
      </c>
      <c r="AK829" s="32">
        <v>11</v>
      </c>
      <c r="AQ829" s="32" t="s">
        <v>1910</v>
      </c>
      <c r="AU829">
        <v>828</v>
      </c>
    </row>
    <row r="830" spans="1:47" x14ac:dyDescent="0.2">
      <c r="A830" s="37">
        <v>6090</v>
      </c>
      <c r="B830" s="38" t="s">
        <v>45</v>
      </c>
      <c r="C830" s="85" t="s">
        <v>1868</v>
      </c>
      <c r="D830" s="29"/>
      <c r="E830" s="123" t="s">
        <v>1911</v>
      </c>
      <c r="F830" s="32" t="s">
        <v>220</v>
      </c>
      <c r="G830" s="47" t="s">
        <v>49</v>
      </c>
      <c r="H830"/>
      <c r="I830" s="32" t="s">
        <v>1912</v>
      </c>
      <c r="J830" s="47"/>
      <c r="K830" s="47">
        <f>6*25*2.2</f>
        <v>330</v>
      </c>
      <c r="L830" s="48">
        <v>1</v>
      </c>
      <c r="M830" s="47"/>
      <c r="N830" s="47"/>
      <c r="O830" s="47"/>
      <c r="P830" s="47"/>
      <c r="Q830" s="47"/>
      <c r="R830" s="47">
        <v>1</v>
      </c>
      <c r="S830" s="48">
        <v>1</v>
      </c>
      <c r="T830" s="47">
        <v>0</v>
      </c>
      <c r="U830" s="47">
        <v>0</v>
      </c>
      <c r="V830" s="47">
        <v>0</v>
      </c>
      <c r="W830" s="47"/>
      <c r="X830" s="47"/>
      <c r="Y830" s="47" t="s">
        <v>51</v>
      </c>
      <c r="Z830" s="47" t="s">
        <v>1652</v>
      </c>
      <c r="AA830" s="49">
        <v>0.82986111111111116</v>
      </c>
      <c r="AB830" s="49">
        <v>1</v>
      </c>
      <c r="AC830" s="49">
        <f>AVERAGE(AA830:AB830)</f>
        <v>0.91493055555555558</v>
      </c>
      <c r="AD830" s="50">
        <f>(AB830-AA830)*24</f>
        <v>4.0833333333333321</v>
      </c>
      <c r="AE830" s="47" t="s">
        <v>1810</v>
      </c>
      <c r="AF830" s="47"/>
      <c r="AG830"/>
      <c r="AH830"/>
      <c r="AI830"/>
      <c r="AJ830"/>
      <c r="AK830">
        <v>6</v>
      </c>
      <c r="AL830"/>
      <c r="AM830"/>
      <c r="AN830"/>
      <c r="AO830"/>
      <c r="AP830"/>
      <c r="AQ830" s="32" t="s">
        <v>1913</v>
      </c>
      <c r="AU830">
        <v>829</v>
      </c>
    </row>
    <row r="831" spans="1:47" x14ac:dyDescent="0.2">
      <c r="A831" s="37">
        <v>6090</v>
      </c>
      <c r="B831" s="38" t="s">
        <v>45</v>
      </c>
      <c r="C831" s="39" t="s">
        <v>1843</v>
      </c>
      <c r="D831" s="29"/>
      <c r="E831" s="38" t="s">
        <v>1914</v>
      </c>
      <c r="F831" s="32" t="s">
        <v>1915</v>
      </c>
      <c r="G831" s="47" t="s">
        <v>49</v>
      </c>
      <c r="H831"/>
      <c r="I831" s="32" t="b">
        <v>1</v>
      </c>
      <c r="J831" s="32" t="b">
        <v>1</v>
      </c>
      <c r="K831" s="47">
        <v>2486</v>
      </c>
      <c r="L831" s="48">
        <v>4</v>
      </c>
      <c r="M831" s="47"/>
      <c r="N831" s="47"/>
      <c r="O831" s="47"/>
      <c r="P831" s="47"/>
      <c r="Q831" s="47">
        <v>1</v>
      </c>
      <c r="R831" s="47"/>
      <c r="S831" s="48">
        <v>4</v>
      </c>
      <c r="T831" s="47">
        <v>0</v>
      </c>
      <c r="U831" s="47">
        <v>0</v>
      </c>
      <c r="V831" s="47">
        <v>0</v>
      </c>
      <c r="W831" s="47">
        <f>((2600+2200+2800+2700)/4)*39.37/12</f>
        <v>8448.1458333333339</v>
      </c>
      <c r="X831" s="47"/>
      <c r="Y831" s="47" t="s">
        <v>51</v>
      </c>
      <c r="Z831" s="47" t="s">
        <v>1846</v>
      </c>
      <c r="AA831" s="49">
        <v>0.89583333333333337</v>
      </c>
      <c r="AB831" s="49"/>
      <c r="AC831" s="49">
        <v>0.94097222222222221</v>
      </c>
      <c r="AD831" s="50">
        <f>2+5/60</f>
        <v>2.0833333333333335</v>
      </c>
      <c r="AE831" s="47" t="s">
        <v>342</v>
      </c>
      <c r="AF831" s="47">
        <v>40</v>
      </c>
      <c r="AG831"/>
      <c r="AH831"/>
      <c r="AI831"/>
      <c r="AJ831"/>
      <c r="AK831">
        <f>83+30</f>
        <v>113</v>
      </c>
      <c r="AL831"/>
      <c r="AM831"/>
      <c r="AN831"/>
      <c r="AO831"/>
      <c r="AP831"/>
      <c r="AQ831" s="32" t="s">
        <v>1916</v>
      </c>
      <c r="AR831" s="32" t="s">
        <v>1917</v>
      </c>
      <c r="AU831">
        <v>830</v>
      </c>
    </row>
    <row r="832" spans="1:47" x14ac:dyDescent="0.2">
      <c r="A832" s="37">
        <v>6090</v>
      </c>
      <c r="B832" s="38" t="s">
        <v>45</v>
      </c>
      <c r="C832" s="39" t="s">
        <v>1843</v>
      </c>
      <c r="D832" s="29"/>
      <c r="E832" s="38" t="s">
        <v>1168</v>
      </c>
      <c r="F832" s="32" t="s">
        <v>220</v>
      </c>
      <c r="G832" s="47" t="s">
        <v>49</v>
      </c>
      <c r="H832"/>
      <c r="I832" s="32" t="b">
        <v>0</v>
      </c>
      <c r="J832" s="32" t="b">
        <v>0</v>
      </c>
      <c r="K832" s="47">
        <f>83*10*2.2</f>
        <v>1826.0000000000002</v>
      </c>
      <c r="L832" s="48"/>
      <c r="M832" s="47"/>
      <c r="N832" s="47"/>
      <c r="O832" s="47"/>
      <c r="P832" s="47"/>
      <c r="Q832" s="47"/>
      <c r="R832" s="47"/>
      <c r="S832" s="48">
        <v>3</v>
      </c>
      <c r="T832" s="47"/>
      <c r="U832" s="47"/>
      <c r="V832" s="47"/>
      <c r="W832" s="47">
        <f>((2600+2200+2700)/3)*39.37/12</f>
        <v>8202.0833333333339</v>
      </c>
      <c r="X832" s="47"/>
      <c r="Y832" s="47" t="s">
        <v>51</v>
      </c>
      <c r="Z832" s="47" t="s">
        <v>1846</v>
      </c>
      <c r="AA832" s="49"/>
      <c r="AB832" s="49"/>
      <c r="AC832" s="49">
        <v>0.94097222222222221</v>
      </c>
      <c r="AD832" s="50">
        <f>2+5/60</f>
        <v>2.0833333333333335</v>
      </c>
      <c r="AE832" s="47" t="s">
        <v>342</v>
      </c>
      <c r="AF832" s="47">
        <v>40</v>
      </c>
      <c r="AG832"/>
      <c r="AH832"/>
      <c r="AI832"/>
      <c r="AJ832"/>
      <c r="AK832">
        <v>83</v>
      </c>
      <c r="AL832"/>
      <c r="AM832"/>
      <c r="AN832"/>
      <c r="AO832"/>
      <c r="AP832"/>
      <c r="AQ832" s="32" t="s">
        <v>1916</v>
      </c>
      <c r="AR832" s="32" t="s">
        <v>1918</v>
      </c>
      <c r="AU832">
        <v>831</v>
      </c>
    </row>
    <row r="833" spans="1:47" x14ac:dyDescent="0.2">
      <c r="A833" s="37">
        <v>6090</v>
      </c>
      <c r="B833" s="38" t="s">
        <v>45</v>
      </c>
      <c r="C833" s="39" t="s">
        <v>1843</v>
      </c>
      <c r="D833" s="29"/>
      <c r="E833" s="38" t="s">
        <v>1919</v>
      </c>
      <c r="F833" s="32" t="s">
        <v>1900</v>
      </c>
      <c r="G833" s="47" t="s">
        <v>69</v>
      </c>
      <c r="H833"/>
      <c r="I833" s="32" t="b">
        <v>0</v>
      </c>
      <c r="J833" s="32" t="b">
        <v>0</v>
      </c>
      <c r="K833" s="47">
        <f>30*10*2.2</f>
        <v>660</v>
      </c>
      <c r="L833" s="48"/>
      <c r="M833" s="47"/>
      <c r="N833" s="47"/>
      <c r="O833" s="47"/>
      <c r="P833" s="47"/>
      <c r="Q833" s="47"/>
      <c r="R833" s="47"/>
      <c r="S833" s="48">
        <v>1</v>
      </c>
      <c r="T833" s="47"/>
      <c r="U833" s="47"/>
      <c r="V833" s="47"/>
      <c r="W833" s="47">
        <f>2800*39.37/12</f>
        <v>9186.3333333333339</v>
      </c>
      <c r="X833" s="47"/>
      <c r="Y833" s="47" t="s">
        <v>51</v>
      </c>
      <c r="Z833" s="47" t="s">
        <v>1846</v>
      </c>
      <c r="AA833" s="49"/>
      <c r="AB833" s="49"/>
      <c r="AC833" s="49">
        <v>0.93402777777777779</v>
      </c>
      <c r="AD833" s="50">
        <f>1+5/6</f>
        <v>1.8333333333333335</v>
      </c>
      <c r="AE833" s="47" t="s">
        <v>342</v>
      </c>
      <c r="AF833" s="47">
        <v>45</v>
      </c>
      <c r="AG833"/>
      <c r="AH833"/>
      <c r="AI833"/>
      <c r="AJ833"/>
      <c r="AK833">
        <v>30</v>
      </c>
      <c r="AL833"/>
      <c r="AM833"/>
      <c r="AN833"/>
      <c r="AO833"/>
      <c r="AP833"/>
      <c r="AQ833" s="32" t="s">
        <v>1916</v>
      </c>
      <c r="AR833" s="32" t="s">
        <v>1920</v>
      </c>
      <c r="AU833">
        <v>832</v>
      </c>
    </row>
    <row r="834" spans="1:47" x14ac:dyDescent="0.2">
      <c r="A834" s="37">
        <v>6090</v>
      </c>
      <c r="B834" s="38" t="s">
        <v>45</v>
      </c>
      <c r="C834" s="39" t="s">
        <v>1561</v>
      </c>
      <c r="D834" s="29"/>
      <c r="E834" s="38" t="s">
        <v>1921</v>
      </c>
      <c r="F834" s="32" t="s">
        <v>1922</v>
      </c>
      <c r="G834" s="47" t="s">
        <v>49</v>
      </c>
      <c r="H834"/>
      <c r="I834" s="32" t="b">
        <v>1</v>
      </c>
      <c r="J834" s="32" t="b">
        <v>1</v>
      </c>
      <c r="K834" s="47">
        <f>(10+6+6)*10*2.2</f>
        <v>484.00000000000006</v>
      </c>
      <c r="L834" s="48">
        <v>3</v>
      </c>
      <c r="M834" s="47"/>
      <c r="N834" s="47"/>
      <c r="O834" s="47"/>
      <c r="P834" s="47"/>
      <c r="Q834" s="47"/>
      <c r="R834" s="47"/>
      <c r="S834" s="48">
        <v>3</v>
      </c>
      <c r="T834" s="47">
        <v>0</v>
      </c>
      <c r="U834" s="47">
        <v>0</v>
      </c>
      <c r="V834" s="47">
        <v>0</v>
      </c>
      <c r="W834" s="47"/>
      <c r="X834" s="47"/>
      <c r="Y834" s="47" t="s">
        <v>51</v>
      </c>
      <c r="Z834" s="47" t="s">
        <v>1565</v>
      </c>
      <c r="AA834" s="49">
        <v>6.9444444444444441E-3</v>
      </c>
      <c r="AB834" s="49"/>
      <c r="AC834" s="49"/>
      <c r="AD834" s="50"/>
      <c r="AE834" s="31" t="s">
        <v>342</v>
      </c>
      <c r="AF834" s="31">
        <v>55</v>
      </c>
      <c r="AG834"/>
      <c r="AH834"/>
      <c r="AI834"/>
      <c r="AJ834"/>
      <c r="AK834">
        <f>10+6+6</f>
        <v>22</v>
      </c>
      <c r="AL834"/>
      <c r="AM834"/>
      <c r="AN834"/>
      <c r="AO834"/>
      <c r="AP834"/>
      <c r="AQ834" s="32" t="s">
        <v>1910</v>
      </c>
      <c r="AR834" s="32" t="s">
        <v>1923</v>
      </c>
      <c r="AU834">
        <v>833</v>
      </c>
    </row>
    <row r="835" spans="1:47" x14ac:dyDescent="0.2">
      <c r="A835" s="37">
        <v>6090</v>
      </c>
      <c r="B835" s="38" t="s">
        <v>45</v>
      </c>
      <c r="C835" s="39" t="s">
        <v>1561</v>
      </c>
      <c r="D835" s="29"/>
      <c r="E835" s="38" t="s">
        <v>1924</v>
      </c>
      <c r="F835" s="32" t="s">
        <v>150</v>
      </c>
      <c r="G835" s="47" t="s">
        <v>49</v>
      </c>
      <c r="H835"/>
      <c r="I835" s="32" t="b">
        <v>0</v>
      </c>
      <c r="J835" s="32" t="b">
        <v>0</v>
      </c>
      <c r="K835" s="47">
        <f>10*10*2.2</f>
        <v>220.00000000000003</v>
      </c>
      <c r="L835" s="48"/>
      <c r="M835" s="47"/>
      <c r="N835" s="47"/>
      <c r="O835" s="47"/>
      <c r="P835" s="47"/>
      <c r="Q835" s="47"/>
      <c r="R835" s="47"/>
      <c r="S835" s="48"/>
      <c r="T835" s="47"/>
      <c r="U835" s="47"/>
      <c r="V835" s="47"/>
      <c r="W835" s="47"/>
      <c r="X835" s="47"/>
      <c r="Y835" s="47"/>
      <c r="Z835" s="47" t="s">
        <v>1565</v>
      </c>
      <c r="AA835" s="49">
        <v>6.9444444444444441E-3</v>
      </c>
      <c r="AB835" s="49"/>
      <c r="AC835" s="49">
        <v>6.25E-2</v>
      </c>
      <c r="AD835" s="50"/>
      <c r="AE835" s="31" t="s">
        <v>342</v>
      </c>
      <c r="AF835" s="31">
        <v>55</v>
      </c>
      <c r="AG835"/>
      <c r="AH835"/>
      <c r="AI835"/>
      <c r="AJ835"/>
      <c r="AK835">
        <v>10</v>
      </c>
      <c r="AL835"/>
      <c r="AM835"/>
      <c r="AN835"/>
      <c r="AO835"/>
      <c r="AP835"/>
      <c r="AQ835" s="32" t="s">
        <v>1910</v>
      </c>
      <c r="AR835" s="32" t="s">
        <v>1925</v>
      </c>
      <c r="AU835">
        <v>834</v>
      </c>
    </row>
    <row r="836" spans="1:47" x14ac:dyDescent="0.2">
      <c r="A836" s="37">
        <v>6090</v>
      </c>
      <c r="B836" s="38" t="s">
        <v>45</v>
      </c>
      <c r="C836" s="39" t="s">
        <v>1561</v>
      </c>
      <c r="D836" s="29"/>
      <c r="E836" s="38" t="s">
        <v>1168</v>
      </c>
      <c r="F836" s="32" t="s">
        <v>150</v>
      </c>
      <c r="G836" s="47" t="s">
        <v>49</v>
      </c>
      <c r="H836"/>
      <c r="I836" s="32" t="b">
        <v>0</v>
      </c>
      <c r="J836" s="32" t="b">
        <v>0</v>
      </c>
      <c r="K836" s="47">
        <f>6*10*2.2</f>
        <v>132</v>
      </c>
      <c r="L836" s="48"/>
      <c r="M836" s="47"/>
      <c r="N836" s="47"/>
      <c r="O836" s="47"/>
      <c r="P836" s="47"/>
      <c r="Q836" s="47"/>
      <c r="R836" s="47"/>
      <c r="S836" s="48"/>
      <c r="T836" s="47"/>
      <c r="U836" s="47"/>
      <c r="V836" s="47"/>
      <c r="W836" s="47"/>
      <c r="X836" s="47"/>
      <c r="Y836" s="47"/>
      <c r="Z836" s="47" t="s">
        <v>1565</v>
      </c>
      <c r="AA836" s="49">
        <v>6.9444444444444441E-3</v>
      </c>
      <c r="AB836" s="49"/>
      <c r="AC836" s="49">
        <v>6.25E-2</v>
      </c>
      <c r="AD836" s="50"/>
      <c r="AE836" s="31" t="s">
        <v>342</v>
      </c>
      <c r="AF836" s="47">
        <v>40</v>
      </c>
      <c r="AG836"/>
      <c r="AH836"/>
      <c r="AI836"/>
      <c r="AJ836"/>
      <c r="AK836">
        <v>6</v>
      </c>
      <c r="AL836"/>
      <c r="AM836"/>
      <c r="AN836"/>
      <c r="AO836"/>
      <c r="AP836"/>
      <c r="AQ836" s="32" t="s">
        <v>1910</v>
      </c>
      <c r="AR836" s="32" t="s">
        <v>1925</v>
      </c>
      <c r="AU836">
        <v>835</v>
      </c>
    </row>
    <row r="837" spans="1:47" x14ac:dyDescent="0.2">
      <c r="A837" s="37">
        <v>6090</v>
      </c>
      <c r="B837" s="38" t="s">
        <v>45</v>
      </c>
      <c r="C837" s="39" t="s">
        <v>1561</v>
      </c>
      <c r="D837" s="29"/>
      <c r="E837" s="38" t="s">
        <v>788</v>
      </c>
      <c r="F837" s="32" t="s">
        <v>1926</v>
      </c>
      <c r="G837" s="47" t="s">
        <v>69</v>
      </c>
      <c r="H837"/>
      <c r="I837" s="32" t="b">
        <v>0</v>
      </c>
      <c r="J837" s="32" t="b">
        <v>0</v>
      </c>
      <c r="K837" s="47">
        <f>6*10*2.2</f>
        <v>132</v>
      </c>
      <c r="L837" s="48"/>
      <c r="M837" s="47"/>
      <c r="N837" s="47"/>
      <c r="O837" s="47"/>
      <c r="P837" s="47"/>
      <c r="Q837" s="47"/>
      <c r="R837" s="47"/>
      <c r="S837" s="48"/>
      <c r="T837" s="47"/>
      <c r="U837" s="47"/>
      <c r="V837" s="47"/>
      <c r="W837" s="47"/>
      <c r="X837" s="47"/>
      <c r="Y837" s="47"/>
      <c r="Z837" s="47" t="s">
        <v>1565</v>
      </c>
      <c r="AA837" s="49">
        <v>6.9444444444444441E-3</v>
      </c>
      <c r="AB837" s="49"/>
      <c r="AC837" s="49">
        <v>9.0277777777777776E-2</v>
      </c>
      <c r="AD837" s="50"/>
      <c r="AE837" s="31" t="s">
        <v>342</v>
      </c>
      <c r="AF837" s="47">
        <v>55</v>
      </c>
      <c r="AG837"/>
      <c r="AH837"/>
      <c r="AI837"/>
      <c r="AJ837"/>
      <c r="AK837">
        <v>6</v>
      </c>
      <c r="AL837"/>
      <c r="AM837"/>
      <c r="AN837"/>
      <c r="AO837"/>
      <c r="AP837"/>
      <c r="AQ837" s="32" t="s">
        <v>1910</v>
      </c>
      <c r="AR837" s="32" t="s">
        <v>1927</v>
      </c>
      <c r="AU837">
        <v>836</v>
      </c>
    </row>
    <row r="838" spans="1:47" x14ac:dyDescent="0.2">
      <c r="A838" s="37">
        <v>6090</v>
      </c>
      <c r="B838" s="38" t="s">
        <v>45</v>
      </c>
      <c r="C838" s="39" t="s">
        <v>253</v>
      </c>
      <c r="D838" s="29"/>
      <c r="E838" s="38" t="s">
        <v>1928</v>
      </c>
      <c r="F838" s="32" t="s">
        <v>107</v>
      </c>
      <c r="G838" s="47"/>
      <c r="H838"/>
      <c r="I838" s="32"/>
      <c r="J838" s="47"/>
      <c r="K838" s="47"/>
      <c r="L838" s="48"/>
      <c r="M838" s="47"/>
      <c r="N838" s="47"/>
      <c r="O838" s="47"/>
      <c r="P838" s="47"/>
      <c r="Q838" s="47"/>
      <c r="R838" s="47"/>
      <c r="S838" s="48"/>
      <c r="T838" s="47"/>
      <c r="U838" s="47"/>
      <c r="V838" s="47"/>
      <c r="W838" s="47"/>
      <c r="X838" s="47"/>
      <c r="Y838" s="47"/>
      <c r="Z838" s="47"/>
      <c r="AA838" s="49"/>
      <c r="AB838" s="49"/>
      <c r="AC838" s="49"/>
      <c r="AD838" s="50"/>
      <c r="AE838" s="47"/>
      <c r="AF838" s="47"/>
      <c r="AG838"/>
      <c r="AH838"/>
      <c r="AI838"/>
      <c r="AJ838"/>
      <c r="AK838"/>
      <c r="AL838"/>
      <c r="AM838"/>
      <c r="AN838"/>
      <c r="AO838"/>
      <c r="AP838"/>
      <c r="AQ838" s="32" t="s">
        <v>1203</v>
      </c>
      <c r="AU838">
        <v>837</v>
      </c>
    </row>
    <row r="839" spans="1:47" x14ac:dyDescent="0.2">
      <c r="A839" s="37">
        <v>6090</v>
      </c>
      <c r="B839" s="38" t="s">
        <v>45</v>
      </c>
      <c r="C839" s="39" t="s">
        <v>425</v>
      </c>
      <c r="D839" s="29"/>
      <c r="E839" s="38" t="s">
        <v>1895</v>
      </c>
      <c r="F839" s="32" t="s">
        <v>1929</v>
      </c>
      <c r="G839" s="47" t="s">
        <v>49</v>
      </c>
      <c r="H839"/>
      <c r="I839" s="32" t="s">
        <v>1930</v>
      </c>
      <c r="J839" s="47"/>
      <c r="K839" s="47">
        <f>85*10*2.2</f>
        <v>1870.0000000000002</v>
      </c>
      <c r="L839" s="48"/>
      <c r="M839" s="47"/>
      <c r="N839" s="47"/>
      <c r="O839" s="47"/>
      <c r="P839" s="47"/>
      <c r="Q839" s="47"/>
      <c r="R839" s="47"/>
      <c r="S839" s="48">
        <v>11</v>
      </c>
      <c r="T839" s="47">
        <v>0</v>
      </c>
      <c r="U839" s="47">
        <v>0</v>
      </c>
      <c r="V839" s="47">
        <v>0</v>
      </c>
      <c r="W839" s="47"/>
      <c r="X839" s="47"/>
      <c r="Y839" s="47" t="s">
        <v>51</v>
      </c>
      <c r="Z839" s="47" t="s">
        <v>146</v>
      </c>
      <c r="AA839" s="49"/>
      <c r="AB839" s="49"/>
      <c r="AC839" s="49"/>
      <c r="AD839" s="50"/>
      <c r="AE839" s="47" t="s">
        <v>1578</v>
      </c>
      <c r="AF839" s="47">
        <v>50</v>
      </c>
      <c r="AG839"/>
      <c r="AH839"/>
      <c r="AI839"/>
      <c r="AJ839"/>
      <c r="AK839">
        <v>85</v>
      </c>
      <c r="AL839"/>
      <c r="AM839"/>
      <c r="AN839"/>
      <c r="AO839"/>
      <c r="AP839"/>
      <c r="AQ839" s="32" t="s">
        <v>1931</v>
      </c>
      <c r="AU839">
        <v>838</v>
      </c>
    </row>
    <row r="840" spans="1:47" x14ac:dyDescent="0.2">
      <c r="A840" s="26">
        <v>6090</v>
      </c>
      <c r="B840" s="27">
        <v>0.64583333333333337</v>
      </c>
      <c r="C840" s="28"/>
      <c r="D840" s="29"/>
      <c r="E840" s="30" t="s">
        <v>1124</v>
      </c>
      <c r="H840" s="32">
        <v>1</v>
      </c>
      <c r="I840" s="32"/>
      <c r="AG840" s="32">
        <v>0</v>
      </c>
      <c r="AH840" s="32">
        <v>0</v>
      </c>
      <c r="AK840" s="32">
        <v>1</v>
      </c>
      <c r="AL840" s="32">
        <v>0.33300000000000002</v>
      </c>
      <c r="AO840" s="46" t="s">
        <v>1126</v>
      </c>
      <c r="AP840" s="32">
        <v>0.33300000000000002</v>
      </c>
      <c r="AQ840" s="32" t="s">
        <v>589</v>
      </c>
      <c r="AU840">
        <v>839</v>
      </c>
    </row>
    <row r="841" spans="1:47" x14ac:dyDescent="0.2">
      <c r="A841" s="26">
        <v>6090</v>
      </c>
      <c r="B841" s="27" t="s">
        <v>45</v>
      </c>
      <c r="C841" s="28"/>
      <c r="D841" s="29"/>
      <c r="E841" s="30" t="s">
        <v>1531</v>
      </c>
      <c r="H841" s="32">
        <v>0</v>
      </c>
      <c r="I841" s="32" t="s">
        <v>1532</v>
      </c>
      <c r="AG841" s="32">
        <v>0</v>
      </c>
      <c r="AH841" s="32">
        <v>0</v>
      </c>
      <c r="AI841" s="32">
        <v>0</v>
      </c>
      <c r="AK841" s="32">
        <v>0</v>
      </c>
      <c r="AM841" s="32">
        <f>498*64</f>
        <v>31872</v>
      </c>
      <c r="AO841" s="32" t="s">
        <v>1533</v>
      </c>
      <c r="AQ841" s="32" t="s">
        <v>1101</v>
      </c>
      <c r="AU841">
        <v>840</v>
      </c>
    </row>
    <row r="842" spans="1:47" x14ac:dyDescent="0.2">
      <c r="A842" s="26">
        <v>6090</v>
      </c>
      <c r="B842" s="27" t="s">
        <v>45</v>
      </c>
      <c r="C842" s="28"/>
      <c r="D842" s="29"/>
      <c r="E842" s="30" t="s">
        <v>1823</v>
      </c>
      <c r="H842" s="32">
        <v>0</v>
      </c>
      <c r="I842" s="32" t="s">
        <v>1824</v>
      </c>
      <c r="AG842" s="32">
        <v>0</v>
      </c>
      <c r="AH842" s="32">
        <v>0</v>
      </c>
      <c r="AI842" s="32">
        <v>0</v>
      </c>
      <c r="AK842" s="32">
        <v>0</v>
      </c>
      <c r="AM842" s="32">
        <v>2000</v>
      </c>
      <c r="AO842" s="73" t="s">
        <v>75</v>
      </c>
      <c r="AQ842" s="32" t="s">
        <v>589</v>
      </c>
      <c r="AU842">
        <v>841</v>
      </c>
    </row>
    <row r="843" spans="1:47" x14ac:dyDescent="0.2">
      <c r="A843" s="37">
        <v>6091</v>
      </c>
      <c r="B843" s="38" t="s">
        <v>85</v>
      </c>
      <c r="C843" s="39" t="s">
        <v>1655</v>
      </c>
      <c r="D843" s="29"/>
      <c r="E843" s="38" t="s">
        <v>153</v>
      </c>
      <c r="F843" s="31" t="s">
        <v>468</v>
      </c>
      <c r="G843" s="31" t="s">
        <v>205</v>
      </c>
      <c r="H843" s="32"/>
      <c r="I843" s="32" t="s">
        <v>1932</v>
      </c>
      <c r="K843" s="31">
        <f>(40*10+1*50)*2.2</f>
        <v>990.00000000000011</v>
      </c>
      <c r="S843" s="33">
        <v>9</v>
      </c>
      <c r="T843" s="47">
        <v>0</v>
      </c>
      <c r="U843" s="47">
        <v>0</v>
      </c>
      <c r="V843" s="47">
        <v>0</v>
      </c>
      <c r="W843" s="47"/>
      <c r="X843" s="47"/>
      <c r="Y843" s="47" t="s">
        <v>51</v>
      </c>
      <c r="Z843" s="47" t="s">
        <v>1241</v>
      </c>
      <c r="AA843" s="49"/>
      <c r="AB843" s="49"/>
      <c r="AC843" s="49">
        <v>0.59027777777777779</v>
      </c>
      <c r="AD843" s="50"/>
      <c r="AE843" s="47" t="s">
        <v>342</v>
      </c>
      <c r="AF843" s="47">
        <v>40</v>
      </c>
      <c r="AK843" s="32">
        <v>41</v>
      </c>
      <c r="AO843" s="73"/>
      <c r="AQ843" s="32" t="s">
        <v>1933</v>
      </c>
      <c r="AU843">
        <v>842</v>
      </c>
    </row>
    <row r="844" spans="1:47" x14ac:dyDescent="0.2">
      <c r="A844" s="37">
        <v>6091</v>
      </c>
      <c r="B844" s="38" t="s">
        <v>85</v>
      </c>
      <c r="C844" s="39" t="s">
        <v>1655</v>
      </c>
      <c r="D844" s="29"/>
      <c r="E844" s="38" t="s">
        <v>1934</v>
      </c>
      <c r="F844" s="31" t="s">
        <v>144</v>
      </c>
      <c r="G844" s="31" t="s">
        <v>69</v>
      </c>
      <c r="H844" s="32"/>
      <c r="I844" s="32" t="s">
        <v>1935</v>
      </c>
      <c r="K844" s="31">
        <f>1*50*2.2</f>
        <v>110.00000000000001</v>
      </c>
      <c r="S844" s="33">
        <v>1</v>
      </c>
      <c r="T844" s="47">
        <v>0</v>
      </c>
      <c r="U844" s="47">
        <v>0</v>
      </c>
      <c r="V844" s="47">
        <v>0</v>
      </c>
      <c r="W844" s="47"/>
      <c r="X844" s="47"/>
      <c r="Y844" s="47" t="s">
        <v>51</v>
      </c>
      <c r="Z844" s="47" t="s">
        <v>1241</v>
      </c>
      <c r="AA844" s="49"/>
      <c r="AB844" s="49"/>
      <c r="AC844" s="49"/>
      <c r="AD844" s="50"/>
      <c r="AE844" s="47" t="s">
        <v>342</v>
      </c>
      <c r="AF844" s="31">
        <v>40</v>
      </c>
      <c r="AK844" s="32">
        <v>1</v>
      </c>
      <c r="AO844" s="73"/>
      <c r="AQ844" s="32" t="s">
        <v>1910</v>
      </c>
      <c r="AU844">
        <v>843</v>
      </c>
    </row>
    <row r="845" spans="1:47" x14ac:dyDescent="0.2">
      <c r="A845" s="26">
        <v>6091</v>
      </c>
      <c r="B845" s="27">
        <v>0.99652777777777779</v>
      </c>
      <c r="C845" s="28"/>
      <c r="D845" s="29"/>
      <c r="E845" s="30" t="s">
        <v>1282</v>
      </c>
      <c r="H845" s="32">
        <v>0</v>
      </c>
      <c r="I845" s="32" t="s">
        <v>1841</v>
      </c>
      <c r="AG845" s="32">
        <v>0</v>
      </c>
      <c r="AH845" s="32">
        <v>0</v>
      </c>
      <c r="AI845" s="32">
        <v>0</v>
      </c>
      <c r="AK845" s="32">
        <v>0</v>
      </c>
      <c r="AL845" s="32">
        <v>0.25</v>
      </c>
      <c r="AP845" s="32">
        <v>0.25</v>
      </c>
      <c r="AQ845" s="32" t="s">
        <v>1101</v>
      </c>
      <c r="AU845">
        <v>844</v>
      </c>
    </row>
    <row r="846" spans="1:47" x14ac:dyDescent="0.2">
      <c r="A846" s="26">
        <v>6091</v>
      </c>
      <c r="B846" s="27" t="s">
        <v>45</v>
      </c>
      <c r="C846" s="28"/>
      <c r="D846" s="29"/>
      <c r="E846" s="30" t="s">
        <v>1823</v>
      </c>
      <c r="H846" s="32">
        <v>0</v>
      </c>
      <c r="I846" s="32" t="s">
        <v>1824</v>
      </c>
      <c r="AG846" s="32">
        <v>0</v>
      </c>
      <c r="AH846" s="32">
        <v>0</v>
      </c>
      <c r="AI846" s="32">
        <v>0</v>
      </c>
      <c r="AK846" s="32">
        <v>0</v>
      </c>
      <c r="AM846" s="32">
        <v>4000</v>
      </c>
      <c r="AO846" s="73" t="s">
        <v>75</v>
      </c>
      <c r="AQ846" s="32" t="s">
        <v>589</v>
      </c>
      <c r="AU846">
        <v>845</v>
      </c>
    </row>
    <row r="847" spans="1:47" x14ac:dyDescent="0.2">
      <c r="A847" s="26">
        <v>6091</v>
      </c>
      <c r="B847" s="27"/>
      <c r="C847" s="28"/>
      <c r="D847" s="29"/>
      <c r="E847" s="30" t="s">
        <v>153</v>
      </c>
      <c r="H847" s="32">
        <v>1</v>
      </c>
      <c r="I847" s="32" t="s">
        <v>1936</v>
      </c>
      <c r="AG847" s="32">
        <v>0</v>
      </c>
      <c r="AH847" s="32">
        <v>0</v>
      </c>
      <c r="AJ847" s="32">
        <v>1600</v>
      </c>
      <c r="AK847" s="32">
        <v>3</v>
      </c>
      <c r="AO847" s="46" t="s">
        <v>155</v>
      </c>
      <c r="AP847" s="46"/>
      <c r="AQ847" s="32">
        <v>448</v>
      </c>
      <c r="AU847">
        <v>846</v>
      </c>
    </row>
    <row r="848" spans="1:47" x14ac:dyDescent="0.2">
      <c r="A848" s="37">
        <v>6094</v>
      </c>
      <c r="B848" s="38" t="s">
        <v>45</v>
      </c>
      <c r="C848" s="39" t="s">
        <v>253</v>
      </c>
      <c r="D848" s="29"/>
      <c r="E848" s="38" t="s">
        <v>1937</v>
      </c>
      <c r="F848" s="32" t="s">
        <v>107</v>
      </c>
      <c r="G848" s="47"/>
      <c r="H848"/>
      <c r="I848" s="32"/>
      <c r="J848" s="47"/>
      <c r="K848" s="47"/>
      <c r="L848" s="48"/>
      <c r="M848" s="47"/>
      <c r="N848" s="47"/>
      <c r="O848" s="47"/>
      <c r="P848" s="47"/>
      <c r="Q848" s="47"/>
      <c r="R848" s="47"/>
      <c r="S848" s="48"/>
      <c r="T848" s="47"/>
      <c r="U848" s="47"/>
      <c r="V848" s="47"/>
      <c r="W848" s="47"/>
      <c r="X848" s="47"/>
      <c r="Y848" s="47"/>
      <c r="Z848" s="47"/>
      <c r="AA848" s="49"/>
      <c r="AB848" s="49"/>
      <c r="AC848" s="49"/>
      <c r="AD848" s="50"/>
      <c r="AE848" s="47"/>
      <c r="AF848" s="47"/>
      <c r="AG848"/>
      <c r="AH848"/>
      <c r="AI848"/>
      <c r="AJ848"/>
      <c r="AK848"/>
      <c r="AL848"/>
      <c r="AM848"/>
      <c r="AN848"/>
      <c r="AO848"/>
      <c r="AP848"/>
      <c r="AQ848" s="32" t="s">
        <v>1203</v>
      </c>
      <c r="AU848">
        <v>847</v>
      </c>
    </row>
    <row r="849" spans="1:47" x14ac:dyDescent="0.2">
      <c r="A849" s="26">
        <v>6096</v>
      </c>
      <c r="B849" s="27" t="s">
        <v>45</v>
      </c>
      <c r="C849" s="28"/>
      <c r="D849" s="29"/>
      <c r="E849" s="30" t="s">
        <v>1531</v>
      </c>
      <c r="H849" s="32">
        <v>0</v>
      </c>
      <c r="I849" s="32" t="s">
        <v>1532</v>
      </c>
      <c r="AG849" s="32">
        <v>0</v>
      </c>
      <c r="AH849" s="32">
        <v>0</v>
      </c>
      <c r="AI849" s="32">
        <v>0</v>
      </c>
      <c r="AK849" s="32">
        <v>0</v>
      </c>
      <c r="AM849" s="32">
        <f>498*67</f>
        <v>33366</v>
      </c>
      <c r="AO849" s="32" t="s">
        <v>1533</v>
      </c>
      <c r="AQ849" s="32" t="s">
        <v>1101</v>
      </c>
      <c r="AU849">
        <v>848</v>
      </c>
    </row>
    <row r="850" spans="1:47" x14ac:dyDescent="0.2">
      <c r="A850" s="26">
        <v>6096</v>
      </c>
      <c r="B850" s="27" t="s">
        <v>45</v>
      </c>
      <c r="C850" s="28"/>
      <c r="D850" s="29"/>
      <c r="E850" s="30" t="s">
        <v>1823</v>
      </c>
      <c r="H850" s="32">
        <v>0</v>
      </c>
      <c r="I850" s="32" t="s">
        <v>1824</v>
      </c>
      <c r="AG850" s="32">
        <v>0</v>
      </c>
      <c r="AH850" s="32">
        <v>0</v>
      </c>
      <c r="AI850" s="32">
        <v>0</v>
      </c>
      <c r="AK850" s="32">
        <v>0</v>
      </c>
      <c r="AM850" s="32">
        <v>3000</v>
      </c>
      <c r="AO850" s="73" t="s">
        <v>75</v>
      </c>
      <c r="AQ850" s="32" t="s">
        <v>589</v>
      </c>
      <c r="AU850">
        <v>849</v>
      </c>
    </row>
    <row r="851" spans="1:47" x14ac:dyDescent="0.2">
      <c r="A851" s="37">
        <v>6097</v>
      </c>
      <c r="B851" s="38" t="s">
        <v>45</v>
      </c>
      <c r="C851" s="39" t="s">
        <v>253</v>
      </c>
      <c r="D851" s="29"/>
      <c r="E851" s="38" t="s">
        <v>1938</v>
      </c>
      <c r="F851" s="32" t="s">
        <v>107</v>
      </c>
      <c r="G851" s="47"/>
      <c r="H851"/>
      <c r="I851" s="32"/>
      <c r="J851" s="47"/>
      <c r="K851" s="47"/>
      <c r="L851" s="48"/>
      <c r="M851" s="47"/>
      <c r="N851" s="47"/>
      <c r="O851" s="47"/>
      <c r="P851" s="47"/>
      <c r="Q851" s="47"/>
      <c r="R851" s="47"/>
      <c r="S851" s="48"/>
      <c r="T851" s="47"/>
      <c r="U851" s="47"/>
      <c r="V851" s="47"/>
      <c r="W851" s="47"/>
      <c r="X851" s="47"/>
      <c r="Y851" s="47"/>
      <c r="Z851" s="47"/>
      <c r="AA851" s="49"/>
      <c r="AB851" s="49"/>
      <c r="AC851" s="49"/>
      <c r="AD851" s="50"/>
      <c r="AE851" s="47"/>
      <c r="AF851" s="47"/>
      <c r="AG851"/>
      <c r="AH851"/>
      <c r="AI851"/>
      <c r="AJ851"/>
      <c r="AK851"/>
      <c r="AL851"/>
      <c r="AM851"/>
      <c r="AN851"/>
      <c r="AO851"/>
      <c r="AP851"/>
      <c r="AQ851" s="32" t="s">
        <v>1939</v>
      </c>
      <c r="AU851">
        <v>850</v>
      </c>
    </row>
    <row r="852" spans="1:47" x14ac:dyDescent="0.2">
      <c r="A852" s="37">
        <v>6097</v>
      </c>
      <c r="B852" s="38" t="s">
        <v>45</v>
      </c>
      <c r="C852" s="38" t="s">
        <v>1940</v>
      </c>
      <c r="D852" s="29"/>
      <c r="E852" s="38" t="s">
        <v>305</v>
      </c>
      <c r="F852" s="32" t="s">
        <v>454</v>
      </c>
      <c r="G852" s="47"/>
      <c r="H852"/>
      <c r="I852" s="32" t="s">
        <v>1941</v>
      </c>
      <c r="J852" s="47"/>
      <c r="K852" s="47">
        <f>6*25*2.2</f>
        <v>330</v>
      </c>
      <c r="L852" s="48">
        <v>1</v>
      </c>
      <c r="M852" s="47"/>
      <c r="N852" s="47"/>
      <c r="O852" s="47"/>
      <c r="P852" s="47"/>
      <c r="Q852" s="47"/>
      <c r="R852" s="47"/>
      <c r="S852" s="48">
        <v>1</v>
      </c>
      <c r="T852" s="47">
        <v>0</v>
      </c>
      <c r="U852" s="47">
        <v>0</v>
      </c>
      <c r="V852" s="47">
        <v>0</v>
      </c>
      <c r="W852" s="47">
        <f>1400*39.37/12</f>
        <v>4593.166666666667</v>
      </c>
      <c r="X852" s="47"/>
      <c r="Y852" s="47" t="s">
        <v>51</v>
      </c>
      <c r="Z852" s="47" t="s">
        <v>1652</v>
      </c>
      <c r="AA852" s="49">
        <v>0.86805555555555547</v>
      </c>
      <c r="AB852" s="49">
        <v>1.0347222222222221</v>
      </c>
      <c r="AC852" s="49">
        <v>0.95138888888888884</v>
      </c>
      <c r="AD852" s="50">
        <v>4</v>
      </c>
      <c r="AE852" s="47" t="s">
        <v>1810</v>
      </c>
      <c r="AF852" s="47">
        <v>170</v>
      </c>
      <c r="AG852"/>
      <c r="AH852"/>
      <c r="AI852"/>
      <c r="AJ852"/>
      <c r="AK852">
        <v>6</v>
      </c>
      <c r="AL852"/>
      <c r="AM852"/>
      <c r="AN852"/>
      <c r="AO852"/>
      <c r="AP852"/>
      <c r="AQ852" s="32" t="s">
        <v>1942</v>
      </c>
      <c r="AU852">
        <v>851</v>
      </c>
    </row>
    <row r="853" spans="1:47" x14ac:dyDescent="0.2">
      <c r="A853" s="37">
        <v>6097</v>
      </c>
      <c r="B853" s="38" t="s">
        <v>45</v>
      </c>
      <c r="C853" s="39" t="s">
        <v>253</v>
      </c>
      <c r="D853" s="29"/>
      <c r="E853" s="38" t="s">
        <v>1943</v>
      </c>
      <c r="F853" s="32" t="s">
        <v>107</v>
      </c>
      <c r="G853" s="47"/>
      <c r="H853"/>
      <c r="I853" s="32" t="s">
        <v>1944</v>
      </c>
      <c r="J853" s="47"/>
      <c r="K853" s="47"/>
      <c r="L853" s="48"/>
      <c r="M853" s="47"/>
      <c r="N853" s="47"/>
      <c r="O853" s="47"/>
      <c r="P853" s="47"/>
      <c r="Q853" s="47"/>
      <c r="R853" s="47"/>
      <c r="S853" s="48"/>
      <c r="T853" s="47"/>
      <c r="U853" s="47"/>
      <c r="V853" s="47"/>
      <c r="W853" s="47"/>
      <c r="X853" s="47"/>
      <c r="Y853" s="47"/>
      <c r="Z853" s="47"/>
      <c r="AA853" s="49"/>
      <c r="AB853" s="49"/>
      <c r="AC853" s="49"/>
      <c r="AD853" s="50"/>
      <c r="AE853" s="47"/>
      <c r="AF853" s="47"/>
      <c r="AG853"/>
      <c r="AH853"/>
      <c r="AI853"/>
      <c r="AJ853"/>
      <c r="AK853"/>
      <c r="AL853"/>
      <c r="AM853"/>
      <c r="AN853"/>
      <c r="AO853"/>
      <c r="AP853"/>
      <c r="AQ853" s="32" t="s">
        <v>1945</v>
      </c>
      <c r="AU853">
        <v>852</v>
      </c>
    </row>
    <row r="854" spans="1:47" x14ac:dyDescent="0.2">
      <c r="A854" s="37">
        <v>6098</v>
      </c>
      <c r="B854" s="38" t="s">
        <v>85</v>
      </c>
      <c r="C854" s="39" t="s">
        <v>1655</v>
      </c>
      <c r="D854" s="29"/>
      <c r="E854" s="38" t="s">
        <v>141</v>
      </c>
      <c r="F854" s="32" t="s">
        <v>1946</v>
      </c>
      <c r="G854" s="47" t="s">
        <v>73</v>
      </c>
      <c r="H854"/>
      <c r="I854" s="32" t="s">
        <v>1947</v>
      </c>
      <c r="J854" s="47"/>
      <c r="K854" s="47">
        <f>20*10*2.2</f>
        <v>440.00000000000006</v>
      </c>
      <c r="L854" s="48"/>
      <c r="M854" s="47"/>
      <c r="N854" s="47"/>
      <c r="O854" s="47"/>
      <c r="P854" s="47"/>
      <c r="Q854" s="47"/>
      <c r="R854" s="47"/>
      <c r="S854" s="48">
        <v>4</v>
      </c>
      <c r="T854" s="47">
        <v>0</v>
      </c>
      <c r="U854" s="47">
        <v>0</v>
      </c>
      <c r="V854" s="47">
        <v>0</v>
      </c>
      <c r="W854" s="47"/>
      <c r="X854" s="47"/>
      <c r="Y854" s="47" t="s">
        <v>51</v>
      </c>
      <c r="Z854" s="47" t="s">
        <v>1241</v>
      </c>
      <c r="AA854" s="49"/>
      <c r="AB854" s="49"/>
      <c r="AC854" s="49">
        <v>0.58333333333333337</v>
      </c>
      <c r="AD854" s="50"/>
      <c r="AE854" s="47" t="s">
        <v>342</v>
      </c>
      <c r="AF854" s="47">
        <v>65</v>
      </c>
      <c r="AG854"/>
      <c r="AH854"/>
      <c r="AI854"/>
      <c r="AJ854"/>
      <c r="AK854">
        <v>20</v>
      </c>
      <c r="AL854"/>
      <c r="AM854"/>
      <c r="AN854"/>
      <c r="AO854"/>
      <c r="AP854"/>
      <c r="AQ854" s="32" t="s">
        <v>1910</v>
      </c>
      <c r="AU854">
        <v>853</v>
      </c>
    </row>
    <row r="855" spans="1:47" x14ac:dyDescent="0.2">
      <c r="A855" s="37">
        <v>6098</v>
      </c>
      <c r="B855" s="38" t="s">
        <v>45</v>
      </c>
      <c r="C855" s="39" t="s">
        <v>1843</v>
      </c>
      <c r="D855" s="29"/>
      <c r="E855" s="38" t="s">
        <v>1948</v>
      </c>
      <c r="F855" s="32" t="s">
        <v>1949</v>
      </c>
      <c r="G855" s="47" t="s">
        <v>73</v>
      </c>
      <c r="H855"/>
      <c r="I855" s="32" t="b">
        <v>1</v>
      </c>
      <c r="J855" s="32" t="b">
        <v>1</v>
      </c>
      <c r="K855" s="47">
        <f>660+660+660+1320</f>
        <v>3300</v>
      </c>
      <c r="L855" s="48">
        <v>9</v>
      </c>
      <c r="M855" s="47">
        <v>4</v>
      </c>
      <c r="N855" s="47"/>
      <c r="O855" s="47"/>
      <c r="P855" s="47">
        <v>3</v>
      </c>
      <c r="Q855" s="47"/>
      <c r="R855" s="47"/>
      <c r="S855" s="48">
        <v>5</v>
      </c>
      <c r="T855" s="47">
        <v>0</v>
      </c>
      <c r="U855" s="47">
        <v>0</v>
      </c>
      <c r="V855" s="47">
        <v>1</v>
      </c>
      <c r="W855" s="47">
        <f>((2000+2000+1700+2700+1800)/5)*39.37/12</f>
        <v>6692.8999999999987</v>
      </c>
      <c r="X855" s="47"/>
      <c r="Y855" s="47" t="s">
        <v>51</v>
      </c>
      <c r="Z855" s="47" t="s">
        <v>1846</v>
      </c>
      <c r="AA855" s="49">
        <v>0.97569444444444453</v>
      </c>
      <c r="AB855" s="49"/>
      <c r="AC855" s="49"/>
      <c r="AD855" s="50">
        <f>3+35/60</f>
        <v>3.5833333333333335</v>
      </c>
      <c r="AE855" s="47" t="s">
        <v>342</v>
      </c>
      <c r="AF855" s="47">
        <v>80</v>
      </c>
      <c r="AG855"/>
      <c r="AH855"/>
      <c r="AI855"/>
      <c r="AJ855"/>
      <c r="AK855">
        <f>5+30+30+60</f>
        <v>125</v>
      </c>
      <c r="AL855"/>
      <c r="AM855"/>
      <c r="AN855"/>
      <c r="AO855"/>
      <c r="AP855"/>
      <c r="AQ855" s="32" t="s">
        <v>1950</v>
      </c>
      <c r="AR855" s="32" t="s">
        <v>1951</v>
      </c>
      <c r="AU855">
        <v>854</v>
      </c>
    </row>
    <row r="856" spans="1:47" x14ac:dyDescent="0.2">
      <c r="A856" s="37">
        <v>6098</v>
      </c>
      <c r="B856" s="38" t="s">
        <v>45</v>
      </c>
      <c r="C856" s="39" t="s">
        <v>1843</v>
      </c>
      <c r="D856" s="29"/>
      <c r="E856" s="38" t="s">
        <v>1952</v>
      </c>
      <c r="F856" s="32" t="s">
        <v>173</v>
      </c>
      <c r="G856" s="47" t="s">
        <v>69</v>
      </c>
      <c r="H856"/>
      <c r="I856" s="32" t="b">
        <v>0</v>
      </c>
      <c r="J856" s="32" t="b">
        <v>0</v>
      </c>
      <c r="K856" s="47">
        <f>6*50*2.2</f>
        <v>660</v>
      </c>
      <c r="L856" s="48"/>
      <c r="M856" s="47"/>
      <c r="N856" s="47"/>
      <c r="O856" s="47"/>
      <c r="P856" s="47"/>
      <c r="Q856" s="47"/>
      <c r="R856" s="47"/>
      <c r="S856" s="48">
        <v>1</v>
      </c>
      <c r="T856" s="47"/>
      <c r="U856" s="47"/>
      <c r="V856" s="47"/>
      <c r="W856" s="47">
        <f>2000*39.37/12</f>
        <v>6561.666666666667</v>
      </c>
      <c r="X856" s="47"/>
      <c r="Y856" s="47" t="s">
        <v>51</v>
      </c>
      <c r="Z856" s="47" t="s">
        <v>1846</v>
      </c>
      <c r="AA856" s="49"/>
      <c r="AB856" s="49"/>
      <c r="AC856" s="49">
        <v>1.3888888888888888E-2</v>
      </c>
      <c r="AD856" s="50">
        <v>1.25</v>
      </c>
      <c r="AE856" s="47" t="s">
        <v>342</v>
      </c>
      <c r="AF856" s="47">
        <v>25</v>
      </c>
      <c r="AG856"/>
      <c r="AH856"/>
      <c r="AI856"/>
      <c r="AJ856"/>
      <c r="AK856">
        <v>5</v>
      </c>
      <c r="AL856"/>
      <c r="AM856"/>
      <c r="AN856"/>
      <c r="AO856"/>
      <c r="AP856"/>
      <c r="AQ856" s="32" t="s">
        <v>1950</v>
      </c>
      <c r="AR856" s="32" t="s">
        <v>1953</v>
      </c>
      <c r="AU856">
        <v>855</v>
      </c>
    </row>
    <row r="857" spans="1:47" x14ac:dyDescent="0.2">
      <c r="A857" s="37">
        <v>6098</v>
      </c>
      <c r="B857" s="38" t="s">
        <v>45</v>
      </c>
      <c r="C857" s="85" t="s">
        <v>1843</v>
      </c>
      <c r="D857" s="29"/>
      <c r="E857" s="38" t="s">
        <v>1954</v>
      </c>
      <c r="F857" s="32" t="s">
        <v>1955</v>
      </c>
      <c r="G857" s="47" t="s">
        <v>49</v>
      </c>
      <c r="H857"/>
      <c r="I857" s="32" t="b">
        <v>0</v>
      </c>
      <c r="J857" s="32" t="b">
        <v>0</v>
      </c>
      <c r="K857" s="47">
        <f>30*10*2.2</f>
        <v>660</v>
      </c>
      <c r="L857" s="48"/>
      <c r="M857" s="47"/>
      <c r="N857" s="47"/>
      <c r="O857" s="47"/>
      <c r="P857" s="47"/>
      <c r="Q857" s="47"/>
      <c r="R857" s="47"/>
      <c r="S857" s="48">
        <v>1</v>
      </c>
      <c r="T857" s="47"/>
      <c r="U857" s="47"/>
      <c r="V857" s="47"/>
      <c r="W857" s="47">
        <f>2000*39.37/12</f>
        <v>6561.666666666667</v>
      </c>
      <c r="X857" s="47"/>
      <c r="Y857" s="47" t="s">
        <v>51</v>
      </c>
      <c r="Z857" s="47" t="s">
        <v>1846</v>
      </c>
      <c r="AA857" s="49"/>
      <c r="AB857" s="49"/>
      <c r="AC857" s="49">
        <v>2.0833333333333332E-2</v>
      </c>
      <c r="AD857" s="50">
        <f>1+20/60</f>
        <v>1.3333333333333333</v>
      </c>
      <c r="AE857" s="47" t="s">
        <v>342</v>
      </c>
      <c r="AF857" s="47"/>
      <c r="AG857"/>
      <c r="AH857"/>
      <c r="AI857"/>
      <c r="AJ857"/>
      <c r="AK857">
        <v>30</v>
      </c>
      <c r="AL857"/>
      <c r="AM857"/>
      <c r="AN857"/>
      <c r="AO857"/>
      <c r="AP857"/>
      <c r="AQ857" s="32" t="s">
        <v>1950</v>
      </c>
      <c r="AR857" s="32" t="s">
        <v>1956</v>
      </c>
      <c r="AU857">
        <v>856</v>
      </c>
    </row>
    <row r="858" spans="1:47" x14ac:dyDescent="0.2">
      <c r="A858" s="37">
        <v>6098</v>
      </c>
      <c r="B858" s="38" t="s">
        <v>45</v>
      </c>
      <c r="C858" s="39" t="s">
        <v>1843</v>
      </c>
      <c r="D858" s="29"/>
      <c r="E858" s="38" t="s">
        <v>1816</v>
      </c>
      <c r="F858" s="32" t="s">
        <v>1957</v>
      </c>
      <c r="G858" s="47" t="s">
        <v>49</v>
      </c>
      <c r="H858"/>
      <c r="I858" s="32" t="b">
        <v>0</v>
      </c>
      <c r="J858" s="32" t="b">
        <v>0</v>
      </c>
      <c r="K858" s="47">
        <f>30*10*2.2</f>
        <v>660</v>
      </c>
      <c r="L858" s="48"/>
      <c r="M858" s="47"/>
      <c r="N858" s="47"/>
      <c r="O858" s="47"/>
      <c r="P858" s="47"/>
      <c r="Q858" s="47"/>
      <c r="R858" s="47"/>
      <c r="S858" s="48">
        <v>1</v>
      </c>
      <c r="T858" s="47"/>
      <c r="U858" s="47"/>
      <c r="V858" s="47"/>
      <c r="W858" s="47">
        <f>1700*39.37/12</f>
        <v>5577.416666666667</v>
      </c>
      <c r="X858" s="47"/>
      <c r="Y858" s="47" t="s">
        <v>51</v>
      </c>
      <c r="Z858" s="47" t="s">
        <v>1846</v>
      </c>
      <c r="AA858" s="49"/>
      <c r="AB858" s="49"/>
      <c r="AC858" s="49">
        <v>6.5972222222222224E-2</v>
      </c>
      <c r="AD858" s="50">
        <f>1+23/60</f>
        <v>1.3833333333333333</v>
      </c>
      <c r="AE858" s="47" t="s">
        <v>342</v>
      </c>
      <c r="AF858" s="47">
        <v>45</v>
      </c>
      <c r="AG858"/>
      <c r="AH858"/>
      <c r="AI858"/>
      <c r="AJ858"/>
      <c r="AK858">
        <v>30</v>
      </c>
      <c r="AL858"/>
      <c r="AM858"/>
      <c r="AN858"/>
      <c r="AO858"/>
      <c r="AP858"/>
      <c r="AQ858" s="32" t="s">
        <v>1950</v>
      </c>
      <c r="AR858" s="32" t="s">
        <v>1958</v>
      </c>
      <c r="AU858">
        <v>857</v>
      </c>
    </row>
    <row r="859" spans="1:47" x14ac:dyDescent="0.2">
      <c r="A859" s="37">
        <v>6098</v>
      </c>
      <c r="B859" s="38" t="s">
        <v>45</v>
      </c>
      <c r="C859" s="39" t="s">
        <v>1843</v>
      </c>
      <c r="D859" s="29"/>
      <c r="E859" s="38" t="s">
        <v>911</v>
      </c>
      <c r="F859" s="32" t="s">
        <v>480</v>
      </c>
      <c r="G859" s="47" t="s">
        <v>481</v>
      </c>
      <c r="H859"/>
      <c r="I859" s="32" t="b">
        <v>0</v>
      </c>
      <c r="J859" s="32" t="b">
        <v>0</v>
      </c>
      <c r="K859" s="47">
        <f>60*10*2.2</f>
        <v>1320</v>
      </c>
      <c r="L859" s="48"/>
      <c r="M859" s="47"/>
      <c r="N859" s="47"/>
      <c r="O859" s="47"/>
      <c r="P859" s="47"/>
      <c r="Q859" s="47"/>
      <c r="R859" s="47"/>
      <c r="S859" s="48">
        <v>2</v>
      </c>
      <c r="T859" s="47"/>
      <c r="U859" s="47"/>
      <c r="V859" s="47"/>
      <c r="W859" s="47">
        <f>((2700+1800)/2)*39.37/12</f>
        <v>7381.875</v>
      </c>
      <c r="X859" s="47"/>
      <c r="Y859" s="47" t="s">
        <v>51</v>
      </c>
      <c r="Z859" s="47" t="s">
        <v>1846</v>
      </c>
      <c r="AA859" s="49"/>
      <c r="AB859" s="49"/>
      <c r="AC859" s="49">
        <v>9.375E-2</v>
      </c>
      <c r="AD859" s="50">
        <f>3+35/60</f>
        <v>3.5833333333333335</v>
      </c>
      <c r="AE859" s="47" t="s">
        <v>342</v>
      </c>
      <c r="AF859" s="47">
        <v>80</v>
      </c>
      <c r="AG859"/>
      <c r="AH859"/>
      <c r="AI859"/>
      <c r="AJ859"/>
      <c r="AK859">
        <v>60</v>
      </c>
      <c r="AL859"/>
      <c r="AM859"/>
      <c r="AN859"/>
      <c r="AO859" t="s">
        <v>1959</v>
      </c>
      <c r="AP859"/>
      <c r="AQ859" s="32" t="s">
        <v>1950</v>
      </c>
      <c r="AR859" s="32" t="s">
        <v>1960</v>
      </c>
      <c r="AU859">
        <v>858</v>
      </c>
    </row>
    <row r="860" spans="1:47" x14ac:dyDescent="0.2">
      <c r="A860" s="37">
        <v>6098</v>
      </c>
      <c r="B860" s="38" t="s">
        <v>45</v>
      </c>
      <c r="C860" s="39" t="s">
        <v>253</v>
      </c>
      <c r="D860" s="29"/>
      <c r="E860" s="38" t="s">
        <v>1961</v>
      </c>
      <c r="F860" s="32" t="s">
        <v>107</v>
      </c>
      <c r="G860" s="47"/>
      <c r="H860"/>
      <c r="I860" s="32"/>
      <c r="J860" s="47"/>
      <c r="K860" s="47"/>
      <c r="L860" s="48"/>
      <c r="M860" s="47"/>
      <c r="N860" s="47"/>
      <c r="O860" s="47"/>
      <c r="P860" s="47"/>
      <c r="Q860" s="47"/>
      <c r="R860" s="47"/>
      <c r="S860" s="48"/>
      <c r="T860" s="47"/>
      <c r="U860" s="47"/>
      <c r="V860" s="47"/>
      <c r="W860" s="47"/>
      <c r="X860" s="47"/>
      <c r="Y860" s="47"/>
      <c r="Z860" s="47"/>
      <c r="AA860" s="49"/>
      <c r="AB860" s="49"/>
      <c r="AC860" s="49"/>
      <c r="AD860" s="50"/>
      <c r="AE860" s="47"/>
      <c r="AF860" s="47"/>
      <c r="AG860"/>
      <c r="AH860"/>
      <c r="AI860"/>
      <c r="AJ860"/>
      <c r="AK860"/>
      <c r="AL860"/>
      <c r="AM860"/>
      <c r="AN860"/>
      <c r="AO860"/>
      <c r="AP860"/>
      <c r="AQ860" s="32" t="s">
        <v>1939</v>
      </c>
      <c r="AU860">
        <v>859</v>
      </c>
    </row>
    <row r="861" spans="1:47" x14ac:dyDescent="0.2">
      <c r="A861" s="37">
        <v>6098</v>
      </c>
      <c r="B861" s="38" t="s">
        <v>45</v>
      </c>
      <c r="C861" s="39" t="s">
        <v>1561</v>
      </c>
      <c r="D861" s="29"/>
      <c r="E861" s="38" t="s">
        <v>1962</v>
      </c>
      <c r="F861" s="32" t="s">
        <v>1963</v>
      </c>
      <c r="G861" s="47" t="s">
        <v>49</v>
      </c>
      <c r="H861"/>
      <c r="I861" s="32" t="s">
        <v>1964</v>
      </c>
      <c r="J861" s="47"/>
      <c r="K861" s="47">
        <f>10*10*2.2</f>
        <v>220.00000000000003</v>
      </c>
      <c r="L861" s="48"/>
      <c r="M861" s="47"/>
      <c r="N861" s="47"/>
      <c r="O861" s="47"/>
      <c r="P861" s="47"/>
      <c r="Q861" s="47"/>
      <c r="R861" s="47"/>
      <c r="S861" s="48">
        <v>2</v>
      </c>
      <c r="T861" s="47">
        <v>0</v>
      </c>
      <c r="U861" s="47">
        <v>0</v>
      </c>
      <c r="V861" s="47">
        <v>0</v>
      </c>
      <c r="W861" s="47"/>
      <c r="X861" s="47"/>
      <c r="Y861" s="47" t="s">
        <v>51</v>
      </c>
      <c r="Z861" s="47" t="s">
        <v>1565</v>
      </c>
      <c r="AA861" s="49">
        <v>6.9444444444444441E-3</v>
      </c>
      <c r="AB861" s="49"/>
      <c r="AC861" s="49"/>
      <c r="AD861" s="50"/>
      <c r="AE861" s="31" t="s">
        <v>342</v>
      </c>
      <c r="AF861" s="31">
        <v>35</v>
      </c>
      <c r="AG861"/>
      <c r="AH861"/>
      <c r="AI861"/>
      <c r="AJ861"/>
      <c r="AK861">
        <v>10</v>
      </c>
      <c r="AL861"/>
      <c r="AM861"/>
      <c r="AN861"/>
      <c r="AO861"/>
      <c r="AP861"/>
      <c r="AQ861" s="32" t="s">
        <v>1965</v>
      </c>
      <c r="AU861">
        <v>860</v>
      </c>
    </row>
    <row r="862" spans="1:47" x14ac:dyDescent="0.2">
      <c r="A862" s="26">
        <v>6098</v>
      </c>
      <c r="B862" s="27">
        <v>6.9444444444444441E-3</v>
      </c>
      <c r="C862" s="28"/>
      <c r="D862" s="29"/>
      <c r="E862" s="30" t="s">
        <v>1282</v>
      </c>
      <c r="H862" s="32">
        <v>0</v>
      </c>
      <c r="I862" s="32" t="s">
        <v>1841</v>
      </c>
      <c r="AG862" s="32">
        <v>0</v>
      </c>
      <c r="AH862" s="32">
        <v>0</v>
      </c>
      <c r="AI862" s="32">
        <v>0</v>
      </c>
      <c r="AK862" s="32">
        <v>0</v>
      </c>
      <c r="AL862" s="32">
        <f>40/60</f>
        <v>0.66666666666666663</v>
      </c>
      <c r="AP862" s="32">
        <f>40/60</f>
        <v>0.66666666666666663</v>
      </c>
      <c r="AQ862" s="32" t="s">
        <v>1101</v>
      </c>
      <c r="AU862">
        <v>861</v>
      </c>
    </row>
    <row r="863" spans="1:47" x14ac:dyDescent="0.2">
      <c r="A863" s="26">
        <v>6098</v>
      </c>
      <c r="B863" s="27">
        <v>0.58333333333333337</v>
      </c>
      <c r="C863" s="28"/>
      <c r="D863" s="29"/>
      <c r="E863" s="30" t="s">
        <v>140</v>
      </c>
      <c r="H863" s="32">
        <v>1</v>
      </c>
      <c r="I863" s="32"/>
      <c r="AI863" s="32">
        <v>0</v>
      </c>
      <c r="AK863" s="32">
        <v>15</v>
      </c>
      <c r="AL863" s="32">
        <v>0</v>
      </c>
      <c r="AQ863" s="32">
        <v>449</v>
      </c>
      <c r="AU863">
        <v>862</v>
      </c>
    </row>
    <row r="864" spans="1:47" x14ac:dyDescent="0.2">
      <c r="A864" s="26">
        <v>6098</v>
      </c>
      <c r="B864" s="27" t="s">
        <v>45</v>
      </c>
      <c r="C864" s="28"/>
      <c r="D864" s="29"/>
      <c r="E864" s="30" t="s">
        <v>464</v>
      </c>
      <c r="H864" s="32">
        <v>1</v>
      </c>
      <c r="I864" s="18" t="s">
        <v>1966</v>
      </c>
      <c r="AG864" s="32">
        <v>0</v>
      </c>
      <c r="AH864" s="32">
        <v>1</v>
      </c>
      <c r="AK864" s="32">
        <v>28</v>
      </c>
      <c r="AO864" s="32" t="s">
        <v>487</v>
      </c>
      <c r="AQ864" s="32">
        <v>386</v>
      </c>
      <c r="AU864">
        <v>863</v>
      </c>
    </row>
    <row r="865" spans="1:47" x14ac:dyDescent="0.2">
      <c r="A865" s="26">
        <v>6098</v>
      </c>
      <c r="B865" s="27" t="s">
        <v>45</v>
      </c>
      <c r="C865" s="28"/>
      <c r="D865" s="29"/>
      <c r="E865" s="30" t="s">
        <v>1823</v>
      </c>
      <c r="H865" s="32">
        <v>0</v>
      </c>
      <c r="I865" s="32" t="s">
        <v>1824</v>
      </c>
      <c r="AG865" s="32">
        <v>0</v>
      </c>
      <c r="AH865" s="32">
        <v>0</v>
      </c>
      <c r="AI865" s="32">
        <v>0</v>
      </c>
      <c r="AK865" s="32">
        <v>0</v>
      </c>
      <c r="AM865" s="32">
        <v>5000</v>
      </c>
      <c r="AO865" s="73" t="s">
        <v>75</v>
      </c>
      <c r="AQ865" s="32" t="s">
        <v>589</v>
      </c>
      <c r="AU865">
        <v>864</v>
      </c>
    </row>
    <row r="866" spans="1:47" x14ac:dyDescent="0.2">
      <c r="A866" s="37">
        <v>6099</v>
      </c>
      <c r="B866" s="38" t="s">
        <v>45</v>
      </c>
      <c r="C866" s="39" t="s">
        <v>253</v>
      </c>
      <c r="D866" s="29"/>
      <c r="E866" s="38" t="s">
        <v>1967</v>
      </c>
      <c r="F866" s="32" t="s">
        <v>107</v>
      </c>
      <c r="G866" s="47"/>
      <c r="H866"/>
      <c r="I866" s="32"/>
      <c r="J866" s="47"/>
      <c r="K866" s="47"/>
      <c r="L866" s="48"/>
      <c r="M866" s="47"/>
      <c r="N866" s="47"/>
      <c r="O866" s="47"/>
      <c r="P866" s="47"/>
      <c r="Q866" s="47"/>
      <c r="R866" s="47"/>
      <c r="S866" s="48"/>
      <c r="T866" s="47"/>
      <c r="U866" s="47"/>
      <c r="V866" s="47"/>
      <c r="W866" s="47"/>
      <c r="X866" s="47"/>
      <c r="Y866" s="47"/>
      <c r="Z866" s="47"/>
      <c r="AA866" s="49"/>
      <c r="AB866" s="49"/>
      <c r="AC866" s="49"/>
      <c r="AD866" s="50"/>
      <c r="AE866" s="47"/>
      <c r="AF866" s="47"/>
      <c r="AG866"/>
      <c r="AH866"/>
      <c r="AI866"/>
      <c r="AJ866"/>
      <c r="AK866"/>
      <c r="AL866"/>
      <c r="AM866"/>
      <c r="AN866"/>
      <c r="AO866"/>
      <c r="AP866"/>
      <c r="AQ866" s="32" t="s">
        <v>1939</v>
      </c>
      <c r="AU866">
        <v>865</v>
      </c>
    </row>
    <row r="867" spans="1:47" x14ac:dyDescent="0.2">
      <c r="A867" s="26">
        <v>6099</v>
      </c>
      <c r="B867" s="27" t="s">
        <v>45</v>
      </c>
      <c r="C867" s="28"/>
      <c r="D867" s="29"/>
      <c r="E867" s="30" t="s">
        <v>1823</v>
      </c>
      <c r="H867" s="32">
        <v>0</v>
      </c>
      <c r="I867" s="32" t="s">
        <v>1824</v>
      </c>
      <c r="AG867" s="32">
        <v>0</v>
      </c>
      <c r="AH867" s="32">
        <v>0</v>
      </c>
      <c r="AI867" s="32">
        <v>0</v>
      </c>
      <c r="AK867" s="32">
        <v>0</v>
      </c>
      <c r="AM867" s="32">
        <v>6000</v>
      </c>
      <c r="AO867" s="73" t="s">
        <v>75</v>
      </c>
      <c r="AQ867" s="32" t="s">
        <v>589</v>
      </c>
      <c r="AU867">
        <v>866</v>
      </c>
    </row>
    <row r="868" spans="1:47" x14ac:dyDescent="0.2">
      <c r="A868" s="37">
        <v>6100</v>
      </c>
      <c r="B868" s="38" t="s">
        <v>45</v>
      </c>
      <c r="C868" s="38" t="s">
        <v>156</v>
      </c>
      <c r="D868" s="29"/>
      <c r="E868" s="38" t="s">
        <v>1968</v>
      </c>
      <c r="F868" s="31" t="s">
        <v>1969</v>
      </c>
      <c r="G868" s="31" t="s">
        <v>205</v>
      </c>
      <c r="H868" s="32"/>
      <c r="AO868" s="73"/>
      <c r="AU868">
        <v>867</v>
      </c>
    </row>
    <row r="869" spans="1:47" x14ac:dyDescent="0.2">
      <c r="A869" s="37">
        <v>6100</v>
      </c>
      <c r="B869" s="38" t="s">
        <v>45</v>
      </c>
      <c r="C869" s="39" t="s">
        <v>253</v>
      </c>
      <c r="D869" s="29"/>
      <c r="E869" s="38" t="s">
        <v>1970</v>
      </c>
      <c r="F869" s="32" t="s">
        <v>107</v>
      </c>
      <c r="G869" s="47"/>
      <c r="H869"/>
      <c r="I869" s="32" t="s">
        <v>1971</v>
      </c>
      <c r="J869" s="47"/>
      <c r="K869" s="47"/>
      <c r="L869" s="48"/>
      <c r="M869" s="47"/>
      <c r="N869" s="47"/>
      <c r="O869" s="47"/>
      <c r="P869" s="47"/>
      <c r="Q869" s="47"/>
      <c r="R869" s="47"/>
      <c r="S869" s="48"/>
      <c r="T869" s="47"/>
      <c r="U869" s="47"/>
      <c r="V869" s="47"/>
      <c r="W869" s="47"/>
      <c r="X869" s="47"/>
      <c r="Y869" s="47"/>
      <c r="Z869" s="47"/>
      <c r="AA869" s="49"/>
      <c r="AB869" s="49"/>
      <c r="AC869" s="49"/>
      <c r="AD869" s="50"/>
      <c r="AE869" s="47"/>
      <c r="AF869" s="47"/>
      <c r="AG869"/>
      <c r="AH869"/>
      <c r="AI869"/>
      <c r="AJ869"/>
      <c r="AK869"/>
      <c r="AL869"/>
      <c r="AM869"/>
      <c r="AN869"/>
      <c r="AO869"/>
      <c r="AP869"/>
      <c r="AQ869" s="32" t="s">
        <v>1939</v>
      </c>
      <c r="AU869">
        <v>868</v>
      </c>
    </row>
    <row r="870" spans="1:47" x14ac:dyDescent="0.2">
      <c r="A870" s="37">
        <v>6100</v>
      </c>
      <c r="B870" s="38" t="s">
        <v>45</v>
      </c>
      <c r="C870" s="39" t="s">
        <v>1561</v>
      </c>
      <c r="D870" s="29"/>
      <c r="E870" s="38" t="s">
        <v>1455</v>
      </c>
      <c r="F870" s="32" t="s">
        <v>1972</v>
      </c>
      <c r="G870" s="47" t="s">
        <v>481</v>
      </c>
      <c r="H870"/>
      <c r="I870" s="32" t="s">
        <v>1973</v>
      </c>
      <c r="J870" s="47"/>
      <c r="K870" s="47">
        <f>6*10*2.2</f>
        <v>132</v>
      </c>
      <c r="L870" s="48">
        <v>1</v>
      </c>
      <c r="M870" s="47"/>
      <c r="N870" s="47"/>
      <c r="O870" s="47"/>
      <c r="P870" s="47"/>
      <c r="Q870" s="47"/>
      <c r="R870" s="47"/>
      <c r="S870" s="48">
        <v>1</v>
      </c>
      <c r="T870" s="47">
        <v>0</v>
      </c>
      <c r="U870" s="47">
        <v>0</v>
      </c>
      <c r="V870" s="47">
        <v>0</v>
      </c>
      <c r="W870" s="47"/>
      <c r="X870" s="47"/>
      <c r="Y870" s="47" t="s">
        <v>51</v>
      </c>
      <c r="Z870" s="47" t="s">
        <v>1565</v>
      </c>
      <c r="AA870" s="49">
        <v>0.95833333333333337</v>
      </c>
      <c r="AB870" s="49"/>
      <c r="AC870" s="49"/>
      <c r="AD870" s="50"/>
      <c r="AE870" s="31" t="s">
        <v>342</v>
      </c>
      <c r="AF870" s="47">
        <v>60</v>
      </c>
      <c r="AG870"/>
      <c r="AH870"/>
      <c r="AI870"/>
      <c r="AJ870"/>
      <c r="AK870">
        <v>6</v>
      </c>
      <c r="AL870"/>
      <c r="AM870"/>
      <c r="AN870"/>
      <c r="AO870"/>
      <c r="AP870"/>
      <c r="AQ870" s="32" t="s">
        <v>1974</v>
      </c>
      <c r="AU870">
        <v>869</v>
      </c>
    </row>
    <row r="871" spans="1:47" x14ac:dyDescent="0.2">
      <c r="A871" s="37">
        <v>6100</v>
      </c>
      <c r="B871" s="38" t="s">
        <v>45</v>
      </c>
      <c r="C871" s="39" t="s">
        <v>1561</v>
      </c>
      <c r="D871" s="29"/>
      <c r="E871" s="38" t="s">
        <v>1975</v>
      </c>
      <c r="F871" s="32" t="s">
        <v>1976</v>
      </c>
      <c r="G871" s="47" t="s">
        <v>49</v>
      </c>
      <c r="H871"/>
      <c r="I871" s="32" t="s">
        <v>1977</v>
      </c>
      <c r="J871" s="47"/>
      <c r="K871" s="47">
        <f>6*10*2.2</f>
        <v>132</v>
      </c>
      <c r="L871" s="48">
        <v>1</v>
      </c>
      <c r="M871" s="47"/>
      <c r="N871" s="47"/>
      <c r="O871" s="47"/>
      <c r="P871" s="47"/>
      <c r="Q871" s="47"/>
      <c r="R871" s="47"/>
      <c r="S871" s="48">
        <v>1</v>
      </c>
      <c r="T871" s="47">
        <v>0</v>
      </c>
      <c r="U871" s="47">
        <v>0</v>
      </c>
      <c r="V871" s="47">
        <v>0</v>
      </c>
      <c r="W871" s="47"/>
      <c r="X871" s="47"/>
      <c r="Y871" s="47" t="s">
        <v>51</v>
      </c>
      <c r="Z871" s="47" t="s">
        <v>1565</v>
      </c>
      <c r="AA871" s="49">
        <v>0.95833333333333337</v>
      </c>
      <c r="AB871" s="49"/>
      <c r="AC871" s="49"/>
      <c r="AD871" s="50"/>
      <c r="AE871" s="31" t="s">
        <v>342</v>
      </c>
      <c r="AF871" s="47">
        <v>40</v>
      </c>
      <c r="AG871"/>
      <c r="AH871"/>
      <c r="AI871"/>
      <c r="AJ871"/>
      <c r="AK871">
        <v>6</v>
      </c>
      <c r="AL871"/>
      <c r="AM871"/>
      <c r="AN871"/>
      <c r="AO871"/>
      <c r="AP871"/>
      <c r="AQ871" s="32" t="s">
        <v>1974</v>
      </c>
      <c r="AU871">
        <v>870</v>
      </c>
    </row>
    <row r="872" spans="1:47" x14ac:dyDescent="0.2">
      <c r="A872" s="37">
        <v>6100</v>
      </c>
      <c r="B872" s="38" t="s">
        <v>45</v>
      </c>
      <c r="C872" s="39" t="s">
        <v>1843</v>
      </c>
      <c r="D872" s="29"/>
      <c r="E872" s="38" t="s">
        <v>1978</v>
      </c>
      <c r="F872" s="32" t="s">
        <v>1979</v>
      </c>
      <c r="G872" s="47" t="s">
        <v>49</v>
      </c>
      <c r="H872"/>
      <c r="I872" s="32" t="b">
        <v>1</v>
      </c>
      <c r="J872" s="32" t="b">
        <v>1</v>
      </c>
      <c r="K872" s="54">
        <f>1980+660+660</f>
        <v>3300</v>
      </c>
      <c r="L872" s="48">
        <v>8</v>
      </c>
      <c r="M872" s="47">
        <v>3</v>
      </c>
      <c r="N872" s="47"/>
      <c r="O872" s="47"/>
      <c r="P872" s="47"/>
      <c r="Q872" s="47">
        <v>1</v>
      </c>
      <c r="R872" s="47"/>
      <c r="S872" s="48">
        <v>5</v>
      </c>
      <c r="T872" s="47">
        <v>0</v>
      </c>
      <c r="U872" s="47">
        <v>1</v>
      </c>
      <c r="V872" s="47">
        <v>1</v>
      </c>
      <c r="W872" s="47">
        <f>((2800+2800+2600+2300+2400)/5)*39.37/12</f>
        <v>8464.5499999999993</v>
      </c>
      <c r="X872" s="47"/>
      <c r="Y872" s="47" t="s">
        <v>51</v>
      </c>
      <c r="Z872" s="47" t="s">
        <v>1846</v>
      </c>
      <c r="AA872" s="49">
        <v>0.83472222222222225</v>
      </c>
      <c r="AB872" s="49"/>
      <c r="AC872" s="49"/>
      <c r="AD872" s="50">
        <f>3+37/60</f>
        <v>3.6166666666666667</v>
      </c>
      <c r="AE872" s="47" t="s">
        <v>342</v>
      </c>
      <c r="AF872" s="47">
        <v>70</v>
      </c>
      <c r="AG872"/>
      <c r="AH872"/>
      <c r="AI872"/>
      <c r="AJ872"/>
      <c r="AK872" s="90">
        <f>90+6+6</f>
        <v>102</v>
      </c>
      <c r="AL872"/>
      <c r="AM872"/>
      <c r="AN872"/>
      <c r="AO872"/>
      <c r="AP872"/>
      <c r="AQ872" s="32" t="s">
        <v>1980</v>
      </c>
      <c r="AR872" s="32" t="s">
        <v>1981</v>
      </c>
      <c r="AU872">
        <v>871</v>
      </c>
    </row>
    <row r="873" spans="1:47" x14ac:dyDescent="0.2">
      <c r="A873" s="37">
        <v>6100</v>
      </c>
      <c r="B873" s="38" t="s">
        <v>45</v>
      </c>
      <c r="C873" s="85" t="s">
        <v>1843</v>
      </c>
      <c r="D873" s="29"/>
      <c r="E873" s="38" t="s">
        <v>1764</v>
      </c>
      <c r="F873" s="32" t="s">
        <v>220</v>
      </c>
      <c r="G873" s="47" t="s">
        <v>49</v>
      </c>
      <c r="H873"/>
      <c r="I873" s="32" t="b">
        <v>0</v>
      </c>
      <c r="J873" s="32" t="b">
        <v>0</v>
      </c>
      <c r="K873" s="54">
        <f>90*10*2.2</f>
        <v>1980.0000000000002</v>
      </c>
      <c r="L873" s="48"/>
      <c r="M873" s="47"/>
      <c r="N873" s="47"/>
      <c r="O873" s="47"/>
      <c r="P873" s="47"/>
      <c r="Q873" s="47"/>
      <c r="R873" s="47"/>
      <c r="S873" s="48">
        <v>3</v>
      </c>
      <c r="T873" s="47"/>
      <c r="U873" s="47">
        <v>1</v>
      </c>
      <c r="V873" s="47"/>
      <c r="W873" s="47">
        <f>((2800+2800+2400)/3)*39.37/12</f>
        <v>8748.8888888888887</v>
      </c>
      <c r="X873" s="47"/>
      <c r="Y873" s="47" t="s">
        <v>51</v>
      </c>
      <c r="Z873" s="47" t="s">
        <v>1846</v>
      </c>
      <c r="AA873" s="49"/>
      <c r="AB873" s="49"/>
      <c r="AC873" s="49"/>
      <c r="AD873" s="50">
        <f>3+37/60</f>
        <v>3.6166666666666667</v>
      </c>
      <c r="AE873" s="47" t="s">
        <v>342</v>
      </c>
      <c r="AF873" s="47">
        <v>70</v>
      </c>
      <c r="AG873"/>
      <c r="AH873"/>
      <c r="AI873"/>
      <c r="AJ873"/>
      <c r="AK873" s="90">
        <v>90</v>
      </c>
      <c r="AL873"/>
      <c r="AM873"/>
      <c r="AN873"/>
      <c r="AO873"/>
      <c r="AP873"/>
      <c r="AQ873" s="32" t="s">
        <v>1980</v>
      </c>
      <c r="AR873" s="32" t="s">
        <v>1982</v>
      </c>
      <c r="AU873">
        <v>872</v>
      </c>
    </row>
    <row r="874" spans="1:47" x14ac:dyDescent="0.2">
      <c r="A874" s="37">
        <v>6100</v>
      </c>
      <c r="B874" s="38" t="s">
        <v>45</v>
      </c>
      <c r="C874" s="39" t="s">
        <v>1843</v>
      </c>
      <c r="D874" s="29"/>
      <c r="E874" s="38" t="s">
        <v>1983</v>
      </c>
      <c r="F874" s="32" t="s">
        <v>1972</v>
      </c>
      <c r="G874" s="47" t="s">
        <v>481</v>
      </c>
      <c r="H874"/>
      <c r="I874" s="32" t="b">
        <v>0</v>
      </c>
      <c r="J874" s="32" t="b">
        <v>0</v>
      </c>
      <c r="K874" s="47">
        <f>6*50*2.2</f>
        <v>660</v>
      </c>
      <c r="L874" s="48"/>
      <c r="M874" s="47"/>
      <c r="N874" s="47"/>
      <c r="O874" s="47"/>
      <c r="P874" s="47"/>
      <c r="Q874" s="47"/>
      <c r="R874" s="47"/>
      <c r="S874" s="48">
        <v>1</v>
      </c>
      <c r="T874" s="47"/>
      <c r="U874" s="47"/>
      <c r="V874" s="47">
        <v>1</v>
      </c>
      <c r="W874" s="47">
        <f>2600*39.37/12</f>
        <v>8530.1666666666661</v>
      </c>
      <c r="X874" s="47"/>
      <c r="Y874" s="47" t="s">
        <v>51</v>
      </c>
      <c r="Z874" s="47" t="s">
        <v>1846</v>
      </c>
      <c r="AA874" s="49"/>
      <c r="AB874" s="49"/>
      <c r="AC874" s="49"/>
      <c r="AD874" s="50">
        <f>2+10/60</f>
        <v>2.1666666666666665</v>
      </c>
      <c r="AE874" s="47" t="s">
        <v>342</v>
      </c>
      <c r="AF874" s="47">
        <v>65</v>
      </c>
      <c r="AG874"/>
      <c r="AH874"/>
      <c r="AI874"/>
      <c r="AJ874"/>
      <c r="AK874">
        <v>6</v>
      </c>
      <c r="AL874"/>
      <c r="AM874"/>
      <c r="AN874"/>
      <c r="AO874"/>
      <c r="AP874"/>
      <c r="AQ874" s="32" t="s">
        <v>1980</v>
      </c>
      <c r="AR874" s="32" t="s">
        <v>1984</v>
      </c>
      <c r="AU874">
        <v>873</v>
      </c>
    </row>
    <row r="875" spans="1:47" x14ac:dyDescent="0.2">
      <c r="A875" s="37">
        <v>6100</v>
      </c>
      <c r="B875" s="38" t="s">
        <v>45</v>
      </c>
      <c r="C875" s="39" t="s">
        <v>1843</v>
      </c>
      <c r="D875" s="29"/>
      <c r="E875" s="38" t="s">
        <v>653</v>
      </c>
      <c r="F875" s="32" t="s">
        <v>107</v>
      </c>
      <c r="G875" s="47"/>
      <c r="H875"/>
      <c r="I875" s="32" t="b">
        <v>0</v>
      </c>
      <c r="J875" s="32" t="b">
        <v>0</v>
      </c>
      <c r="K875" s="47">
        <f>6*50*2.2</f>
        <v>660</v>
      </c>
      <c r="L875" s="48"/>
      <c r="M875" s="47"/>
      <c r="N875" s="47"/>
      <c r="O875" s="47"/>
      <c r="P875" s="47"/>
      <c r="Q875" s="47">
        <v>1</v>
      </c>
      <c r="R875" s="47"/>
      <c r="S875" s="48">
        <v>1</v>
      </c>
      <c r="T875" s="47"/>
      <c r="U875" s="47"/>
      <c r="V875" s="47"/>
      <c r="W875" s="47">
        <f>2300*39.37/12</f>
        <v>7545.916666666667</v>
      </c>
      <c r="X875" s="47"/>
      <c r="Y875" s="47" t="s">
        <v>51</v>
      </c>
      <c r="Z875" s="47" t="s">
        <v>1846</v>
      </c>
      <c r="AA875" s="49"/>
      <c r="AB875" s="49"/>
      <c r="AC875" s="49"/>
      <c r="AD875" s="50">
        <v>1.75</v>
      </c>
      <c r="AE875" s="47" t="s">
        <v>342</v>
      </c>
      <c r="AF875" s="47">
        <v>47</v>
      </c>
      <c r="AG875"/>
      <c r="AH875"/>
      <c r="AI875"/>
      <c r="AJ875"/>
      <c r="AK875">
        <v>6</v>
      </c>
      <c r="AL875"/>
      <c r="AM875"/>
      <c r="AN875"/>
      <c r="AO875"/>
      <c r="AP875"/>
      <c r="AQ875" s="32" t="s">
        <v>1980</v>
      </c>
      <c r="AR875" s="32" t="s">
        <v>1985</v>
      </c>
      <c r="AU875">
        <v>874</v>
      </c>
    </row>
    <row r="876" spans="1:47" x14ac:dyDescent="0.2">
      <c r="A876" s="37">
        <v>6100</v>
      </c>
      <c r="B876" s="38" t="s">
        <v>45</v>
      </c>
      <c r="C876" s="39" t="s">
        <v>425</v>
      </c>
      <c r="D876" s="29"/>
      <c r="E876" s="38" t="s">
        <v>1895</v>
      </c>
      <c r="F876" s="32" t="s">
        <v>1986</v>
      </c>
      <c r="G876" s="47" t="s">
        <v>49</v>
      </c>
      <c r="H876"/>
      <c r="I876" s="32" t="s">
        <v>1987</v>
      </c>
      <c r="J876" s="32"/>
      <c r="K876" s="47">
        <f>87*10*2.2</f>
        <v>1914.0000000000002</v>
      </c>
      <c r="L876" s="48"/>
      <c r="M876" s="47"/>
      <c r="N876" s="47"/>
      <c r="O876" s="47"/>
      <c r="P876" s="47"/>
      <c r="Q876" s="47"/>
      <c r="R876" s="47"/>
      <c r="S876" s="48">
        <v>11</v>
      </c>
      <c r="T876" s="47">
        <v>0</v>
      </c>
      <c r="U876" s="47">
        <v>0</v>
      </c>
      <c r="V876" s="47">
        <v>0</v>
      </c>
      <c r="W876" s="47"/>
      <c r="X876" s="47"/>
      <c r="Y876" s="47" t="s">
        <v>51</v>
      </c>
      <c r="Z876" s="47" t="s">
        <v>146</v>
      </c>
      <c r="AA876" s="49"/>
      <c r="AB876" s="49"/>
      <c r="AC876" s="49"/>
      <c r="AD876" s="50"/>
      <c r="AE876" s="47" t="s">
        <v>1578</v>
      </c>
      <c r="AF876" s="47">
        <v>50</v>
      </c>
      <c r="AG876"/>
      <c r="AH876"/>
      <c r="AI876"/>
      <c r="AJ876"/>
      <c r="AK876">
        <v>87</v>
      </c>
      <c r="AL876"/>
      <c r="AM876"/>
      <c r="AN876"/>
      <c r="AO876"/>
      <c r="AP876"/>
      <c r="AQ876" s="32" t="s">
        <v>1974</v>
      </c>
      <c r="AU876">
        <v>875</v>
      </c>
    </row>
    <row r="877" spans="1:47" x14ac:dyDescent="0.2">
      <c r="A877" s="26">
        <v>6100</v>
      </c>
      <c r="B877" s="27" t="s">
        <v>45</v>
      </c>
      <c r="C877" s="28"/>
      <c r="D877" s="29"/>
      <c r="E877" s="30" t="s">
        <v>1531</v>
      </c>
      <c r="H877" s="32">
        <v>0</v>
      </c>
      <c r="I877" s="32" t="s">
        <v>1706</v>
      </c>
      <c r="AG877" s="32">
        <v>0</v>
      </c>
      <c r="AH877" s="32">
        <v>0</v>
      </c>
      <c r="AI877" s="32">
        <v>0</v>
      </c>
      <c r="AK877" s="32">
        <v>0</v>
      </c>
      <c r="AM877" s="32">
        <f>498*117</f>
        <v>58266</v>
      </c>
      <c r="AO877" s="32" t="s">
        <v>1533</v>
      </c>
      <c r="AQ877" s="32" t="s">
        <v>1101</v>
      </c>
      <c r="AU877">
        <v>876</v>
      </c>
    </row>
    <row r="878" spans="1:47" x14ac:dyDescent="0.2">
      <c r="A878" s="26">
        <v>6100</v>
      </c>
      <c r="B878" s="27" t="s">
        <v>45</v>
      </c>
      <c r="C878" s="28"/>
      <c r="D878" s="29"/>
      <c r="E878" s="30" t="s">
        <v>1823</v>
      </c>
      <c r="H878" s="32">
        <v>0</v>
      </c>
      <c r="I878" s="32" t="s">
        <v>1824</v>
      </c>
      <c r="AG878" s="32">
        <v>0</v>
      </c>
      <c r="AH878" s="32">
        <v>0</v>
      </c>
      <c r="AI878" s="32">
        <v>0</v>
      </c>
      <c r="AK878" s="32">
        <v>0</v>
      </c>
      <c r="AM878" s="32">
        <v>6000</v>
      </c>
      <c r="AO878" s="73" t="s">
        <v>75</v>
      </c>
      <c r="AQ878" s="32" t="s">
        <v>589</v>
      </c>
      <c r="AU878">
        <v>877</v>
      </c>
    </row>
    <row r="879" spans="1:47" x14ac:dyDescent="0.2">
      <c r="A879" s="26">
        <v>6100</v>
      </c>
      <c r="B879" s="27"/>
      <c r="C879" s="28"/>
      <c r="D879" s="29"/>
      <c r="E879" s="30" t="s">
        <v>1988</v>
      </c>
      <c r="H879" s="32">
        <v>1</v>
      </c>
      <c r="I879" s="32" t="s">
        <v>1989</v>
      </c>
      <c r="AK879" s="32">
        <v>16</v>
      </c>
      <c r="AQ879" s="32" t="s">
        <v>1522</v>
      </c>
      <c r="AU879">
        <v>878</v>
      </c>
    </row>
    <row r="880" spans="1:47" x14ac:dyDescent="0.2">
      <c r="A880" s="37">
        <v>6102</v>
      </c>
      <c r="B880" s="38" t="s">
        <v>45</v>
      </c>
      <c r="C880" s="39" t="s">
        <v>253</v>
      </c>
      <c r="D880" s="29"/>
      <c r="E880" s="38" t="s">
        <v>1990</v>
      </c>
      <c r="F880" s="32" t="s">
        <v>107</v>
      </c>
      <c r="G880" s="47"/>
      <c r="H880"/>
      <c r="I880" s="47" t="s">
        <v>1991</v>
      </c>
      <c r="J880" s="47"/>
      <c r="K880" s="47"/>
      <c r="L880" s="48"/>
      <c r="M880" s="47"/>
      <c r="N880" s="47"/>
      <c r="O880" s="47"/>
      <c r="P880" s="47"/>
      <c r="Q880" s="47"/>
      <c r="R880" s="47"/>
      <c r="S880" s="48"/>
      <c r="T880" s="47"/>
      <c r="U880" s="47"/>
      <c r="V880" s="47"/>
      <c r="W880" s="47"/>
      <c r="X880" s="47"/>
      <c r="Y880" s="47"/>
      <c r="Z880" s="47"/>
      <c r="AA880" s="49"/>
      <c r="AB880" s="49"/>
      <c r="AC880" s="49"/>
      <c r="AD880" s="50"/>
      <c r="AE880" s="47"/>
      <c r="AF880" s="47"/>
      <c r="AG880"/>
      <c r="AH880"/>
      <c r="AI880"/>
      <c r="AJ880"/>
      <c r="AK880"/>
      <c r="AL880"/>
      <c r="AM880"/>
      <c r="AN880"/>
      <c r="AO880"/>
      <c r="AP880"/>
      <c r="AQ880" s="32" t="s">
        <v>1939</v>
      </c>
      <c r="AU880">
        <v>879</v>
      </c>
    </row>
    <row r="881" spans="1:47" x14ac:dyDescent="0.2">
      <c r="A881" s="59">
        <v>6102</v>
      </c>
      <c r="B881" s="60" t="s">
        <v>45</v>
      </c>
      <c r="C881" s="61" t="s">
        <v>1992</v>
      </c>
      <c r="D881" s="62"/>
      <c r="E881" s="60" t="s">
        <v>908</v>
      </c>
      <c r="F881" s="64" t="s">
        <v>246</v>
      </c>
      <c r="G881" s="66"/>
      <c r="H881" s="67"/>
      <c r="I881" s="138" t="s">
        <v>1993</v>
      </c>
      <c r="J881" s="47"/>
      <c r="K881" s="47"/>
      <c r="L881" s="48"/>
      <c r="M881" s="47"/>
      <c r="N881" s="47"/>
      <c r="O881" s="47"/>
      <c r="P881" s="47"/>
      <c r="Q881" s="47"/>
      <c r="R881" s="47"/>
      <c r="S881" s="48"/>
      <c r="T881" s="47"/>
      <c r="U881" s="47"/>
      <c r="V881" s="47"/>
      <c r="W881" s="47"/>
      <c r="X881" s="47"/>
      <c r="Y881" s="47"/>
      <c r="Z881" s="47"/>
      <c r="AA881" s="49"/>
      <c r="AB881" s="49"/>
      <c r="AC881" s="49"/>
      <c r="AD881" s="50"/>
      <c r="AE881" s="47"/>
      <c r="AF881" s="47"/>
      <c r="AG881"/>
      <c r="AH881"/>
      <c r="AI881"/>
      <c r="AJ881"/>
      <c r="AK881"/>
      <c r="AL881"/>
      <c r="AM881"/>
      <c r="AN881"/>
      <c r="AO881"/>
      <c r="AP881"/>
      <c r="AQ881" s="32" t="s">
        <v>1994</v>
      </c>
      <c r="AU881">
        <v>880</v>
      </c>
    </row>
    <row r="882" spans="1:47" x14ac:dyDescent="0.2">
      <c r="A882" s="37">
        <v>6102</v>
      </c>
      <c r="B882" s="38" t="s">
        <v>45</v>
      </c>
      <c r="C882" s="39" t="s">
        <v>1843</v>
      </c>
      <c r="D882" s="29"/>
      <c r="E882" s="38" t="s">
        <v>1995</v>
      </c>
      <c r="F882" s="32" t="s">
        <v>1996</v>
      </c>
      <c r="G882" s="47" t="s">
        <v>49</v>
      </c>
      <c r="H882"/>
      <c r="I882" s="122" t="s">
        <v>1997</v>
      </c>
      <c r="J882" s="47"/>
      <c r="K882" s="47">
        <f>(174+30)*10*2.2</f>
        <v>4488</v>
      </c>
      <c r="L882" s="48">
        <v>8</v>
      </c>
      <c r="M882" s="47"/>
      <c r="N882" s="47">
        <v>1</v>
      </c>
      <c r="O882" s="47"/>
      <c r="P882" s="47"/>
      <c r="Q882" s="47"/>
      <c r="R882" s="47"/>
      <c r="S882" s="48">
        <v>7</v>
      </c>
      <c r="T882" s="47">
        <v>0</v>
      </c>
      <c r="U882" s="47">
        <v>0</v>
      </c>
      <c r="V882" s="47">
        <v>0</v>
      </c>
      <c r="W882" s="47">
        <f>((2200+2800+2900+3000+2400+2400+3100)/7)*39.37/12</f>
        <v>8811.3809523809523</v>
      </c>
      <c r="X882" s="47"/>
      <c r="Y882" s="47" t="s">
        <v>51</v>
      </c>
      <c r="Z882" s="47" t="s">
        <v>1846</v>
      </c>
      <c r="AA882" s="49">
        <v>0.91666666666666663</v>
      </c>
      <c r="AB882" s="49"/>
      <c r="AC882" s="49">
        <v>0.98263888888888884</v>
      </c>
      <c r="AD882" s="50">
        <f>2+50/60</f>
        <v>2.8333333333333335</v>
      </c>
      <c r="AE882" s="47" t="s">
        <v>342</v>
      </c>
      <c r="AF882" s="47">
        <v>55</v>
      </c>
      <c r="AG882"/>
      <c r="AH882"/>
      <c r="AI882"/>
      <c r="AJ882"/>
      <c r="AK882">
        <f>174+30</f>
        <v>204</v>
      </c>
      <c r="AL882"/>
      <c r="AM882"/>
      <c r="AN882"/>
      <c r="AO882"/>
      <c r="AP882"/>
      <c r="AQ882" s="32" t="s">
        <v>1998</v>
      </c>
      <c r="AU882">
        <v>881</v>
      </c>
    </row>
    <row r="883" spans="1:47" x14ac:dyDescent="0.2">
      <c r="A883" s="37">
        <v>6102</v>
      </c>
      <c r="B883" s="38" t="s">
        <v>45</v>
      </c>
      <c r="C883" s="39" t="s">
        <v>1561</v>
      </c>
      <c r="D883" s="29"/>
      <c r="E883" s="38" t="s">
        <v>1999</v>
      </c>
      <c r="F883" s="32" t="s">
        <v>2000</v>
      </c>
      <c r="G883" s="47" t="s">
        <v>49</v>
      </c>
      <c r="H883"/>
      <c r="I883" s="122" t="s">
        <v>2001</v>
      </c>
      <c r="J883" s="47"/>
      <c r="K883" s="47">
        <f>9*10*2.2</f>
        <v>198.00000000000003</v>
      </c>
      <c r="L883" s="48"/>
      <c r="M883" s="47"/>
      <c r="N883" s="47"/>
      <c r="O883" s="47"/>
      <c r="P883" s="47"/>
      <c r="Q883" s="47"/>
      <c r="R883" s="47"/>
      <c r="S883" s="48">
        <v>1</v>
      </c>
      <c r="T883" s="47">
        <v>0</v>
      </c>
      <c r="U883" s="47">
        <v>0</v>
      </c>
      <c r="V883" s="47">
        <v>0</v>
      </c>
      <c r="W883" s="47"/>
      <c r="X883" s="47"/>
      <c r="Y883" s="47" t="s">
        <v>51</v>
      </c>
      <c r="Z883" s="47" t="s">
        <v>1565</v>
      </c>
      <c r="AA883" s="49">
        <v>0.95833333333333337</v>
      </c>
      <c r="AB883" s="49"/>
      <c r="AC883" s="49"/>
      <c r="AD883" s="50"/>
      <c r="AE883" s="31" t="s">
        <v>342</v>
      </c>
      <c r="AF883" s="47">
        <v>65</v>
      </c>
      <c r="AG883"/>
      <c r="AH883"/>
      <c r="AI883"/>
      <c r="AJ883"/>
      <c r="AK883">
        <v>9</v>
      </c>
      <c r="AL883"/>
      <c r="AM883"/>
      <c r="AN883"/>
      <c r="AO883"/>
      <c r="AP883"/>
      <c r="AQ883" s="32" t="s">
        <v>1974</v>
      </c>
      <c r="AU883">
        <v>882</v>
      </c>
    </row>
    <row r="884" spans="1:47" x14ac:dyDescent="0.2">
      <c r="A884" s="37">
        <v>6102</v>
      </c>
      <c r="B884" s="38" t="s">
        <v>45</v>
      </c>
      <c r="C884" s="39" t="s">
        <v>1561</v>
      </c>
      <c r="D884" s="29"/>
      <c r="E884" s="38" t="s">
        <v>472</v>
      </c>
      <c r="F884" s="32" t="s">
        <v>1972</v>
      </c>
      <c r="G884" s="47" t="s">
        <v>481</v>
      </c>
      <c r="H884"/>
      <c r="I884" s="122" t="s">
        <v>2001</v>
      </c>
      <c r="J884" s="47"/>
      <c r="K884" s="47">
        <f>10*10*2.2</f>
        <v>220.00000000000003</v>
      </c>
      <c r="L884" s="48"/>
      <c r="M884" s="47"/>
      <c r="N884" s="47"/>
      <c r="O884" s="47"/>
      <c r="P884" s="47"/>
      <c r="Q884" s="47"/>
      <c r="R884" s="47"/>
      <c r="S884" s="48">
        <v>2</v>
      </c>
      <c r="T884" s="47">
        <v>0</v>
      </c>
      <c r="U884" s="47">
        <v>0</v>
      </c>
      <c r="V884" s="47">
        <v>0</v>
      </c>
      <c r="W884" s="47"/>
      <c r="X884" s="47"/>
      <c r="Y884" s="47" t="s">
        <v>51</v>
      </c>
      <c r="Z884" s="47" t="s">
        <v>1565</v>
      </c>
      <c r="AA884" s="49">
        <v>0.95833333333333337</v>
      </c>
      <c r="AB884" s="49"/>
      <c r="AC884" s="49"/>
      <c r="AD884" s="50"/>
      <c r="AE884" s="31" t="s">
        <v>342</v>
      </c>
      <c r="AF884" s="47">
        <v>60</v>
      </c>
      <c r="AG884"/>
      <c r="AH884"/>
      <c r="AI884"/>
      <c r="AJ884"/>
      <c r="AK884">
        <v>10</v>
      </c>
      <c r="AL884"/>
      <c r="AM884"/>
      <c r="AN884"/>
      <c r="AO884"/>
      <c r="AP884"/>
      <c r="AQ884" s="32" t="s">
        <v>1974</v>
      </c>
      <c r="AU884">
        <v>883</v>
      </c>
    </row>
    <row r="885" spans="1:47" x14ac:dyDescent="0.2">
      <c r="A885" s="37">
        <v>6102</v>
      </c>
      <c r="B885" s="38" t="s">
        <v>45</v>
      </c>
      <c r="C885" s="39" t="s">
        <v>1561</v>
      </c>
      <c r="D885" s="29"/>
      <c r="E885" s="38" t="s">
        <v>2002</v>
      </c>
      <c r="F885" s="32" t="s">
        <v>2003</v>
      </c>
      <c r="G885" s="47" t="s">
        <v>49</v>
      </c>
      <c r="H885"/>
      <c r="I885" s="122" t="s">
        <v>2001</v>
      </c>
      <c r="J885" s="47"/>
      <c r="K885" s="47">
        <f>4*10*2.2</f>
        <v>88</v>
      </c>
      <c r="L885" s="48"/>
      <c r="M885" s="47"/>
      <c r="N885" s="47"/>
      <c r="O885" s="47"/>
      <c r="P885" s="47"/>
      <c r="Q885" s="47"/>
      <c r="R885" s="47"/>
      <c r="S885" s="48">
        <v>1</v>
      </c>
      <c r="T885" s="47">
        <v>0</v>
      </c>
      <c r="U885" s="47">
        <v>0</v>
      </c>
      <c r="V885" s="47">
        <v>0</v>
      </c>
      <c r="W885" s="47"/>
      <c r="X885" s="47"/>
      <c r="Y885" s="47" t="s">
        <v>51</v>
      </c>
      <c r="Z885" s="47" t="s">
        <v>1565</v>
      </c>
      <c r="AA885" s="49">
        <v>0.95833333333333337</v>
      </c>
      <c r="AB885" s="49"/>
      <c r="AC885" s="49"/>
      <c r="AD885" s="50"/>
      <c r="AE885" s="31" t="s">
        <v>342</v>
      </c>
      <c r="AF885" s="47">
        <v>40</v>
      </c>
      <c r="AG885"/>
      <c r="AH885"/>
      <c r="AI885"/>
      <c r="AJ885"/>
      <c r="AK885">
        <v>4</v>
      </c>
      <c r="AL885"/>
      <c r="AM885"/>
      <c r="AN885"/>
      <c r="AO885"/>
      <c r="AP885"/>
      <c r="AQ885" s="32" t="s">
        <v>1974</v>
      </c>
      <c r="AU885">
        <v>884</v>
      </c>
    </row>
    <row r="886" spans="1:47" x14ac:dyDescent="0.2">
      <c r="A886" s="37">
        <v>6102</v>
      </c>
      <c r="B886" s="38" t="s">
        <v>45</v>
      </c>
      <c r="C886" s="38" t="s">
        <v>156</v>
      </c>
      <c r="D886" s="29"/>
      <c r="E886" s="38" t="s">
        <v>673</v>
      </c>
      <c r="F886" s="74" t="s">
        <v>1900</v>
      </c>
      <c r="G886" s="47"/>
      <c r="H886"/>
      <c r="I886" s="122" t="s">
        <v>2004</v>
      </c>
      <c r="J886" s="47"/>
      <c r="K886" s="47"/>
      <c r="L886" s="48"/>
      <c r="M886" s="47"/>
      <c r="N886" s="47"/>
      <c r="O886" s="47"/>
      <c r="P886" s="47"/>
      <c r="Q886" s="47"/>
      <c r="R886" s="47"/>
      <c r="S886" s="48"/>
      <c r="T886" s="47"/>
      <c r="U886" s="47"/>
      <c r="V886" s="47"/>
      <c r="W886" s="47"/>
      <c r="X886" s="47"/>
      <c r="Y886" s="47"/>
      <c r="Z886" s="47"/>
      <c r="AA886" s="49"/>
      <c r="AB886" s="49"/>
      <c r="AC886" s="49"/>
      <c r="AD886" s="50"/>
      <c r="AE886" s="47"/>
      <c r="AF886" s="47"/>
      <c r="AG886"/>
      <c r="AH886"/>
      <c r="AI886"/>
      <c r="AJ886"/>
      <c r="AK886"/>
      <c r="AL886"/>
      <c r="AM886"/>
      <c r="AN886"/>
      <c r="AO886"/>
      <c r="AP886"/>
      <c r="AQ886" t="s">
        <v>2005</v>
      </c>
      <c r="AU886">
        <v>885</v>
      </c>
    </row>
    <row r="887" spans="1:47" x14ac:dyDescent="0.2">
      <c r="A887" s="26">
        <v>6102</v>
      </c>
      <c r="B887" s="27" t="s">
        <v>45</v>
      </c>
      <c r="C887" s="28"/>
      <c r="D887" s="29"/>
      <c r="E887" s="30" t="s">
        <v>586</v>
      </c>
      <c r="H887" s="32">
        <v>1</v>
      </c>
      <c r="I887" s="32" t="s">
        <v>2006</v>
      </c>
      <c r="AI887" s="32">
        <v>17774</v>
      </c>
      <c r="AO887" s="46" t="s">
        <v>588</v>
      </c>
      <c r="AQ887" s="32" t="s">
        <v>589</v>
      </c>
      <c r="AU887">
        <v>886</v>
      </c>
    </row>
    <row r="888" spans="1:47" x14ac:dyDescent="0.2">
      <c r="A888" s="26">
        <v>6102</v>
      </c>
      <c r="B888" s="27" t="s">
        <v>45</v>
      </c>
      <c r="C888" s="28"/>
      <c r="D888" s="29"/>
      <c r="E888" s="30" t="s">
        <v>1531</v>
      </c>
      <c r="H888" s="32">
        <v>0</v>
      </c>
      <c r="I888" s="32" t="s">
        <v>1706</v>
      </c>
      <c r="AG888" s="32">
        <v>0</v>
      </c>
      <c r="AH888" s="32">
        <v>0</v>
      </c>
      <c r="AI888" s="32">
        <v>0</v>
      </c>
      <c r="AK888" s="32">
        <v>0</v>
      </c>
      <c r="AM888" s="32">
        <f>498*123</f>
        <v>61254</v>
      </c>
      <c r="AO888" s="32" t="s">
        <v>1533</v>
      </c>
      <c r="AQ888" s="32" t="s">
        <v>1101</v>
      </c>
      <c r="AU888">
        <v>887</v>
      </c>
    </row>
    <row r="889" spans="1:47" x14ac:dyDescent="0.2">
      <c r="A889" s="37">
        <v>6103</v>
      </c>
      <c r="B889" s="38" t="s">
        <v>45</v>
      </c>
      <c r="C889" s="39" t="s">
        <v>253</v>
      </c>
      <c r="D889" s="29"/>
      <c r="E889" s="38" t="s">
        <v>2007</v>
      </c>
      <c r="F889" s="32" t="s">
        <v>107</v>
      </c>
      <c r="G889" s="47"/>
      <c r="H889"/>
      <c r="I889" s="32"/>
      <c r="J889" s="47"/>
      <c r="K889" s="47"/>
      <c r="L889" s="48"/>
      <c r="M889" s="47"/>
      <c r="N889" s="47"/>
      <c r="O889" s="47"/>
      <c r="P889" s="47"/>
      <c r="Q889" s="47"/>
      <c r="R889" s="47"/>
      <c r="S889" s="48"/>
      <c r="T889" s="47"/>
      <c r="U889" s="47"/>
      <c r="V889" s="47"/>
      <c r="W889" s="47"/>
      <c r="X889" s="47"/>
      <c r="Y889" s="47"/>
      <c r="Z889" s="47"/>
      <c r="AA889" s="49"/>
      <c r="AB889" s="49"/>
      <c r="AC889" s="49"/>
      <c r="AD889" s="50"/>
      <c r="AE889" s="47"/>
      <c r="AF889" s="47"/>
      <c r="AG889"/>
      <c r="AH889"/>
      <c r="AI889"/>
      <c r="AJ889"/>
      <c r="AK889"/>
      <c r="AL889"/>
      <c r="AM889"/>
      <c r="AN889"/>
      <c r="AO889"/>
      <c r="AP889"/>
      <c r="AQ889" s="32" t="s">
        <v>1939</v>
      </c>
      <c r="AU889">
        <v>888</v>
      </c>
    </row>
    <row r="890" spans="1:47" x14ac:dyDescent="0.2">
      <c r="A890" s="37">
        <v>6103</v>
      </c>
      <c r="B890" s="38" t="s">
        <v>45</v>
      </c>
      <c r="C890" s="39" t="s">
        <v>1843</v>
      </c>
      <c r="D890" s="29"/>
      <c r="E890" s="38" t="s">
        <v>2008</v>
      </c>
      <c r="F890" s="32" t="s">
        <v>1972</v>
      </c>
      <c r="G890" s="47" t="s">
        <v>481</v>
      </c>
      <c r="H890"/>
      <c r="I890" s="32" t="b">
        <v>1</v>
      </c>
      <c r="J890" s="32" t="b">
        <v>1</v>
      </c>
      <c r="K890" s="47">
        <f>1980+660+660</f>
        <v>3300</v>
      </c>
      <c r="L890" s="48">
        <v>7</v>
      </c>
      <c r="M890" s="47"/>
      <c r="N890" s="47">
        <v>2</v>
      </c>
      <c r="O890" s="47"/>
      <c r="P890" s="47"/>
      <c r="Q890" s="47"/>
      <c r="R890" s="47"/>
      <c r="S890" s="48">
        <v>5</v>
      </c>
      <c r="T890" s="47">
        <v>0</v>
      </c>
      <c r="U890" s="47">
        <v>0</v>
      </c>
      <c r="V890" s="47">
        <v>0</v>
      </c>
      <c r="W890" s="47">
        <f>((2500+2950+2800+2800+2600)/5)*39.37/12</f>
        <v>8956.6749999999993</v>
      </c>
      <c r="X890" s="47"/>
      <c r="Y890" s="47" t="s">
        <v>51</v>
      </c>
      <c r="Z890" s="47" t="s">
        <v>1846</v>
      </c>
      <c r="AA890" s="49">
        <v>0.90277777777777779</v>
      </c>
      <c r="AB890" s="49"/>
      <c r="AC890" s="49"/>
      <c r="AD890" s="50">
        <f>2+2/3</f>
        <v>2.6666666666666665</v>
      </c>
      <c r="AE890" s="47" t="s">
        <v>342</v>
      </c>
      <c r="AF890" s="47">
        <v>65</v>
      </c>
      <c r="AG890"/>
      <c r="AH890"/>
      <c r="AI890"/>
      <c r="AJ890"/>
      <c r="AK890">
        <f>66+30+30</f>
        <v>126</v>
      </c>
      <c r="AL890"/>
      <c r="AM890"/>
      <c r="AN890"/>
      <c r="AO890"/>
      <c r="AP890"/>
      <c r="AQ890" s="32" t="s">
        <v>2009</v>
      </c>
      <c r="AR890" s="32" t="s">
        <v>2010</v>
      </c>
      <c r="AU890">
        <v>889</v>
      </c>
    </row>
    <row r="891" spans="1:47" x14ac:dyDescent="0.2">
      <c r="A891" s="37">
        <v>6103</v>
      </c>
      <c r="B891" s="38" t="s">
        <v>45</v>
      </c>
      <c r="C891" s="39" t="s">
        <v>1843</v>
      </c>
      <c r="D891" s="29"/>
      <c r="E891" s="38" t="s">
        <v>1983</v>
      </c>
      <c r="F891" s="75" t="s">
        <v>1972</v>
      </c>
      <c r="G891" s="47" t="s">
        <v>481</v>
      </c>
      <c r="H891"/>
      <c r="I891" s="32" t="b">
        <v>0</v>
      </c>
      <c r="J891" s="32" t="b">
        <v>0</v>
      </c>
      <c r="K891" s="47">
        <f>(60*10+6*50)*2.2</f>
        <v>1980.0000000000002</v>
      </c>
      <c r="L891" s="48"/>
      <c r="M891" s="47"/>
      <c r="N891" s="47"/>
      <c r="O891" s="47"/>
      <c r="P891" s="47"/>
      <c r="Q891" s="47"/>
      <c r="R891" s="47"/>
      <c r="S891" s="48">
        <v>3</v>
      </c>
      <c r="T891" s="47">
        <v>0</v>
      </c>
      <c r="U891" s="47">
        <v>0</v>
      </c>
      <c r="V891" s="47">
        <v>0</v>
      </c>
      <c r="W891" s="47">
        <f>((2950+2800+2800+2600)/4)*39.37/12</f>
        <v>9145.3229166666661</v>
      </c>
      <c r="X891" s="47"/>
      <c r="Y891" s="47" t="s">
        <v>51</v>
      </c>
      <c r="Z891" s="47" t="s">
        <v>1846</v>
      </c>
      <c r="AA891" s="49">
        <v>0.90277777777777779</v>
      </c>
      <c r="AB891" s="49"/>
      <c r="AC891" s="49"/>
      <c r="AD891" s="50">
        <f>2+2/3</f>
        <v>2.6666666666666665</v>
      </c>
      <c r="AE891" s="47" t="s">
        <v>342</v>
      </c>
      <c r="AF891" s="47">
        <v>65</v>
      </c>
      <c r="AG891"/>
      <c r="AH891"/>
      <c r="AI891"/>
      <c r="AJ891"/>
      <c r="AK891">
        <v>66</v>
      </c>
      <c r="AL891"/>
      <c r="AM891"/>
      <c r="AN891"/>
      <c r="AO891"/>
      <c r="AP891"/>
      <c r="AQ891" s="32" t="s">
        <v>2009</v>
      </c>
      <c r="AR891" s="32" t="s">
        <v>2011</v>
      </c>
      <c r="AU891">
        <v>890</v>
      </c>
    </row>
    <row r="892" spans="1:47" x14ac:dyDescent="0.2">
      <c r="A892" s="37">
        <v>6103</v>
      </c>
      <c r="B892" s="38" t="s">
        <v>45</v>
      </c>
      <c r="C892" s="39" t="s">
        <v>1843</v>
      </c>
      <c r="D892" s="29"/>
      <c r="E892" s="38" t="s">
        <v>472</v>
      </c>
      <c r="F892" s="32" t="s">
        <v>1972</v>
      </c>
      <c r="G892" s="47" t="s">
        <v>481</v>
      </c>
      <c r="H892"/>
      <c r="I892" s="32" t="b">
        <v>0</v>
      </c>
      <c r="J892" s="32" t="b">
        <v>0</v>
      </c>
      <c r="K892" s="47">
        <f>30*10*2.2</f>
        <v>660</v>
      </c>
      <c r="L892" s="48"/>
      <c r="M892" s="47"/>
      <c r="N892" s="47"/>
      <c r="O892" s="47"/>
      <c r="P892" s="47"/>
      <c r="Q892" s="47"/>
      <c r="R892" s="47"/>
      <c r="S892" s="48">
        <v>1</v>
      </c>
      <c r="T892" s="47">
        <v>0</v>
      </c>
      <c r="U892" s="47">
        <v>0</v>
      </c>
      <c r="V892" s="47">
        <v>0</v>
      </c>
      <c r="W892" s="47">
        <f>2500*39.37/12</f>
        <v>8202.0833333333339</v>
      </c>
      <c r="X892" s="47"/>
      <c r="Y892" s="47" t="s">
        <v>51</v>
      </c>
      <c r="Z892" s="47" t="s">
        <v>1846</v>
      </c>
      <c r="AA892" s="49">
        <v>0.90277777777777779</v>
      </c>
      <c r="AB892" s="49"/>
      <c r="AC892" s="49"/>
      <c r="AD892" s="50">
        <f>2+1/3</f>
        <v>2.3333333333333335</v>
      </c>
      <c r="AE892" s="47" t="s">
        <v>342</v>
      </c>
      <c r="AF892" s="47">
        <v>60</v>
      </c>
      <c r="AG892"/>
      <c r="AH892"/>
      <c r="AI892"/>
      <c r="AJ892"/>
      <c r="AK892">
        <v>30</v>
      </c>
      <c r="AL892"/>
      <c r="AM892"/>
      <c r="AN892"/>
      <c r="AO892"/>
      <c r="AP892"/>
      <c r="AQ892" s="32" t="s">
        <v>2009</v>
      </c>
      <c r="AR892" s="32" t="s">
        <v>2012</v>
      </c>
      <c r="AU892">
        <v>891</v>
      </c>
    </row>
    <row r="893" spans="1:47" x14ac:dyDescent="0.2">
      <c r="A893" s="37">
        <v>6103</v>
      </c>
      <c r="B893" s="38" t="s">
        <v>45</v>
      </c>
      <c r="C893" s="39" t="s">
        <v>1843</v>
      </c>
      <c r="D893" s="29"/>
      <c r="E893" s="38" t="s">
        <v>2013</v>
      </c>
      <c r="F893" s="32" t="s">
        <v>1972</v>
      </c>
      <c r="G893" s="47" t="s">
        <v>481</v>
      </c>
      <c r="H893"/>
      <c r="I893" s="32" t="b">
        <v>0</v>
      </c>
      <c r="J893" s="32" t="b">
        <v>0</v>
      </c>
      <c r="K893" s="47">
        <f>30*10*2.2</f>
        <v>660</v>
      </c>
      <c r="L893" s="48"/>
      <c r="M893" s="47"/>
      <c r="N893" s="47"/>
      <c r="O893" s="47"/>
      <c r="P893" s="47"/>
      <c r="Q893" s="47"/>
      <c r="R893" s="47"/>
      <c r="S893" s="48">
        <v>1</v>
      </c>
      <c r="T893" s="47">
        <v>0</v>
      </c>
      <c r="U893" s="47">
        <v>0</v>
      </c>
      <c r="V893" s="47">
        <v>0</v>
      </c>
      <c r="W893" s="47">
        <f>((2950+2800+2800+2600)/4)*39.37/12</f>
        <v>9145.3229166666661</v>
      </c>
      <c r="X893" s="47"/>
      <c r="Y893" s="47" t="s">
        <v>51</v>
      </c>
      <c r="Z893" s="47" t="s">
        <v>1846</v>
      </c>
      <c r="AA893" s="49">
        <v>0.90277777777777779</v>
      </c>
      <c r="AB893" s="49"/>
      <c r="AC893" s="49"/>
      <c r="AD893" s="50">
        <f>2+2/3</f>
        <v>2.6666666666666665</v>
      </c>
      <c r="AE893" s="47" t="s">
        <v>342</v>
      </c>
      <c r="AF893" s="47">
        <v>60</v>
      </c>
      <c r="AG893"/>
      <c r="AH893"/>
      <c r="AI893"/>
      <c r="AJ893"/>
      <c r="AK893">
        <v>30</v>
      </c>
      <c r="AL893"/>
      <c r="AM893"/>
      <c r="AN893"/>
      <c r="AO893"/>
      <c r="AP893"/>
      <c r="AQ893" s="32" t="s">
        <v>2009</v>
      </c>
      <c r="AR893" s="32" t="s">
        <v>2014</v>
      </c>
      <c r="AU893">
        <v>892</v>
      </c>
    </row>
    <row r="894" spans="1:47" x14ac:dyDescent="0.2">
      <c r="A894" s="37">
        <v>6103</v>
      </c>
      <c r="B894" s="38" t="s">
        <v>45</v>
      </c>
      <c r="C894" s="39" t="s">
        <v>1561</v>
      </c>
      <c r="D894" s="29"/>
      <c r="E894" s="38" t="s">
        <v>2015</v>
      </c>
      <c r="F894" s="32" t="s">
        <v>2016</v>
      </c>
      <c r="G894" s="47" t="s">
        <v>49</v>
      </c>
      <c r="H894"/>
      <c r="I894" s="32" t="s">
        <v>2017</v>
      </c>
      <c r="J894" s="32"/>
      <c r="K894" s="47">
        <f>14*10*2.2</f>
        <v>308</v>
      </c>
      <c r="L894" s="48"/>
      <c r="M894" s="47"/>
      <c r="N894" s="47"/>
      <c r="O894" s="47"/>
      <c r="P894" s="47"/>
      <c r="Q894" s="47"/>
      <c r="R894" s="47"/>
      <c r="S894" s="48">
        <v>2</v>
      </c>
      <c r="T894" s="47">
        <v>0</v>
      </c>
      <c r="U894" s="47">
        <v>0</v>
      </c>
      <c r="V894" s="47">
        <v>0</v>
      </c>
      <c r="W894" s="47"/>
      <c r="X894" s="47"/>
      <c r="Y894" s="47" t="s">
        <v>51</v>
      </c>
      <c r="Z894" s="47" t="s">
        <v>1565</v>
      </c>
      <c r="AA894" s="49"/>
      <c r="AB894" s="49"/>
      <c r="AC894" s="49">
        <v>1.0416666666666666E-2</v>
      </c>
      <c r="AD894" s="50"/>
      <c r="AE894" s="31" t="s">
        <v>342</v>
      </c>
      <c r="AF894" s="47">
        <v>45</v>
      </c>
      <c r="AG894"/>
      <c r="AH894"/>
      <c r="AI894"/>
      <c r="AJ894"/>
      <c r="AK894">
        <v>14</v>
      </c>
      <c r="AL894"/>
      <c r="AM894"/>
      <c r="AN894"/>
      <c r="AO894"/>
      <c r="AP894"/>
      <c r="AQ894" s="32" t="s">
        <v>2018</v>
      </c>
      <c r="AU894">
        <v>893</v>
      </c>
    </row>
    <row r="895" spans="1:47" x14ac:dyDescent="0.2">
      <c r="A895" s="37">
        <v>6103</v>
      </c>
      <c r="B895" s="38" t="s">
        <v>45</v>
      </c>
      <c r="C895" s="39" t="s">
        <v>425</v>
      </c>
      <c r="D895" s="29"/>
      <c r="E895" s="38" t="s">
        <v>2019</v>
      </c>
      <c r="F895" s="32" t="s">
        <v>2020</v>
      </c>
      <c r="G895" s="47" t="s">
        <v>49</v>
      </c>
      <c r="H895"/>
      <c r="I895" s="32" t="s">
        <v>2021</v>
      </c>
      <c r="J895" s="32"/>
      <c r="K895" s="47">
        <f>77*10*2.2</f>
        <v>1694.0000000000002</v>
      </c>
      <c r="L895" s="48"/>
      <c r="M895" s="47"/>
      <c r="N895" s="47"/>
      <c r="O895" s="47"/>
      <c r="P895" s="47"/>
      <c r="Q895" s="47"/>
      <c r="R895" s="47"/>
      <c r="S895" s="48">
        <v>10</v>
      </c>
      <c r="T895" s="47">
        <v>0</v>
      </c>
      <c r="U895" s="47">
        <v>0</v>
      </c>
      <c r="V895" s="47">
        <v>0</v>
      </c>
      <c r="W895" s="47"/>
      <c r="X895" s="47"/>
      <c r="Y895" s="47" t="s">
        <v>51</v>
      </c>
      <c r="Z895" s="47" t="s">
        <v>146</v>
      </c>
      <c r="AA895" s="49"/>
      <c r="AB895" s="49"/>
      <c r="AC895" s="49"/>
      <c r="AD895" s="50"/>
      <c r="AE895" s="47" t="s">
        <v>1578</v>
      </c>
      <c r="AF895" s="47">
        <v>65</v>
      </c>
      <c r="AG895"/>
      <c r="AH895"/>
      <c r="AI895"/>
      <c r="AJ895"/>
      <c r="AK895">
        <f>77+8</f>
        <v>85</v>
      </c>
      <c r="AL895"/>
      <c r="AM895"/>
      <c r="AN895"/>
      <c r="AO895"/>
      <c r="AP895"/>
      <c r="AQ895" s="32" t="s">
        <v>2018</v>
      </c>
      <c r="AU895">
        <v>894</v>
      </c>
    </row>
    <row r="896" spans="1:47" x14ac:dyDescent="0.2">
      <c r="A896" s="37">
        <v>6103</v>
      </c>
      <c r="B896" s="38" t="s">
        <v>45</v>
      </c>
      <c r="C896" s="39" t="s">
        <v>253</v>
      </c>
      <c r="D896" s="29"/>
      <c r="E896" s="38" t="s">
        <v>2022</v>
      </c>
      <c r="F896" s="32" t="s">
        <v>107</v>
      </c>
      <c r="G896" s="47"/>
      <c r="H896"/>
      <c r="I896" s="32"/>
      <c r="J896" s="47"/>
      <c r="K896" s="47"/>
      <c r="L896" s="48"/>
      <c r="M896" s="47"/>
      <c r="N896" s="47"/>
      <c r="O896" s="47"/>
      <c r="P896" s="47"/>
      <c r="Q896" s="47"/>
      <c r="R896" s="47"/>
      <c r="S896" s="48"/>
      <c r="T896" s="47"/>
      <c r="U896" s="47"/>
      <c r="V896" s="47"/>
      <c r="W896" s="47"/>
      <c r="X896" s="47"/>
      <c r="Y896" s="47"/>
      <c r="Z896" s="47"/>
      <c r="AA896" s="49"/>
      <c r="AB896" s="49"/>
      <c r="AC896" s="49"/>
      <c r="AD896" s="50"/>
      <c r="AE896" s="47"/>
      <c r="AF896" s="47"/>
      <c r="AG896"/>
      <c r="AH896"/>
      <c r="AI896"/>
      <c r="AJ896"/>
      <c r="AK896"/>
      <c r="AL896"/>
      <c r="AM896"/>
      <c r="AN896"/>
      <c r="AO896"/>
      <c r="AP896"/>
      <c r="AQ896" s="32" t="s">
        <v>1939</v>
      </c>
      <c r="AU896">
        <v>895</v>
      </c>
    </row>
    <row r="897" spans="1:47" x14ac:dyDescent="0.2">
      <c r="A897" s="26">
        <v>6103</v>
      </c>
      <c r="B897" s="27">
        <v>4.1666666666666664E-2</v>
      </c>
      <c r="C897" s="28"/>
      <c r="D897" s="29"/>
      <c r="E897" s="30" t="s">
        <v>2023</v>
      </c>
      <c r="H897" s="32">
        <v>1</v>
      </c>
      <c r="I897" s="32" t="s">
        <v>2024</v>
      </c>
      <c r="AI897" s="32">
        <v>0</v>
      </c>
      <c r="AK897" s="32">
        <v>4</v>
      </c>
      <c r="AM897" s="32">
        <f>20*500</f>
        <v>10000</v>
      </c>
      <c r="AO897" s="32" t="s">
        <v>2025</v>
      </c>
      <c r="AQ897" s="32" t="s">
        <v>2026</v>
      </c>
      <c r="AU897">
        <v>896</v>
      </c>
    </row>
    <row r="898" spans="1:47" x14ac:dyDescent="0.2">
      <c r="A898" s="26">
        <v>6103</v>
      </c>
      <c r="B898" s="27">
        <v>5.9027777777777783E-2</v>
      </c>
      <c r="C898" s="28"/>
      <c r="D898" s="29"/>
      <c r="E898" s="30" t="s">
        <v>1124</v>
      </c>
      <c r="H898" s="32">
        <v>1</v>
      </c>
      <c r="I898" s="32"/>
      <c r="AG898" s="32">
        <v>0</v>
      </c>
      <c r="AH898" s="32">
        <v>1</v>
      </c>
      <c r="AK898" s="32">
        <v>5</v>
      </c>
      <c r="AL898" s="32">
        <f>35/60</f>
        <v>0.58333333333333337</v>
      </c>
      <c r="AO898" s="46" t="s">
        <v>1126</v>
      </c>
      <c r="AP898" s="32">
        <f>35/60</f>
        <v>0.58333333333333337</v>
      </c>
      <c r="AQ898" s="32" t="s">
        <v>589</v>
      </c>
      <c r="AU898">
        <v>897</v>
      </c>
    </row>
    <row r="899" spans="1:47" x14ac:dyDescent="0.2">
      <c r="A899" s="26">
        <v>6103</v>
      </c>
      <c r="B899" s="27" t="s">
        <v>85</v>
      </c>
      <c r="C899" s="28"/>
      <c r="D899" s="29"/>
      <c r="E899" s="72" t="s">
        <v>872</v>
      </c>
      <c r="H899" s="32">
        <v>1</v>
      </c>
      <c r="I899" s="32" t="s">
        <v>2027</v>
      </c>
      <c r="AI899" s="32">
        <v>5800</v>
      </c>
      <c r="AK899" s="32">
        <v>8</v>
      </c>
      <c r="AO899" s="73" t="s">
        <v>858</v>
      </c>
      <c r="AQ899" s="32">
        <v>439</v>
      </c>
      <c r="AU899">
        <v>898</v>
      </c>
    </row>
    <row r="900" spans="1:47" x14ac:dyDescent="0.2">
      <c r="A900" s="26">
        <v>6103</v>
      </c>
      <c r="B900" s="27" t="s">
        <v>45</v>
      </c>
      <c r="C900" s="28"/>
      <c r="D900" s="29"/>
      <c r="E900" s="30" t="s">
        <v>1531</v>
      </c>
      <c r="H900" s="32">
        <v>0</v>
      </c>
      <c r="I900" s="32" t="s">
        <v>1532</v>
      </c>
      <c r="AG900" s="32">
        <v>0</v>
      </c>
      <c r="AH900" s="32">
        <v>0</v>
      </c>
      <c r="AI900" s="32">
        <v>0</v>
      </c>
      <c r="AK900" s="32">
        <v>0</v>
      </c>
      <c r="AM900" s="32">
        <f>498*60</f>
        <v>29880</v>
      </c>
      <c r="AO900" s="32" t="s">
        <v>1533</v>
      </c>
      <c r="AQ900" s="32" t="s">
        <v>1101</v>
      </c>
      <c r="AU900">
        <v>899</v>
      </c>
    </row>
    <row r="901" spans="1:47" x14ac:dyDescent="0.2">
      <c r="A901" s="26">
        <v>6103</v>
      </c>
      <c r="B901" s="27" t="s">
        <v>45</v>
      </c>
      <c r="C901" s="28"/>
      <c r="D901" s="29"/>
      <c r="E901" s="30" t="s">
        <v>1823</v>
      </c>
      <c r="H901" s="32">
        <v>0</v>
      </c>
      <c r="I901" s="32" t="s">
        <v>1824</v>
      </c>
      <c r="AG901" s="32">
        <v>0</v>
      </c>
      <c r="AH901" s="32">
        <v>0</v>
      </c>
      <c r="AI901" s="32">
        <v>0</v>
      </c>
      <c r="AK901" s="32">
        <v>0</v>
      </c>
      <c r="AM901" s="32">
        <v>2500</v>
      </c>
      <c r="AO901" s="73" t="s">
        <v>75</v>
      </c>
      <c r="AQ901" s="32" t="s">
        <v>589</v>
      </c>
      <c r="AU901">
        <v>900</v>
      </c>
    </row>
    <row r="902" spans="1:47" x14ac:dyDescent="0.2">
      <c r="A902" s="37">
        <v>6104</v>
      </c>
      <c r="B902" s="38" t="s">
        <v>45</v>
      </c>
      <c r="C902" s="39" t="s">
        <v>425</v>
      </c>
      <c r="D902" s="29"/>
      <c r="E902" s="38" t="s">
        <v>2028</v>
      </c>
      <c r="F902" s="31" t="s">
        <v>2029</v>
      </c>
      <c r="H902" s="32"/>
      <c r="I902" s="32"/>
      <c r="K902" s="31">
        <f>54*10*2.2</f>
        <v>1188</v>
      </c>
      <c r="S902" s="33">
        <v>8</v>
      </c>
      <c r="T902" s="47">
        <v>0</v>
      </c>
      <c r="U902" s="47">
        <v>0</v>
      </c>
      <c r="V902" s="47">
        <v>0</v>
      </c>
      <c r="W902" s="47"/>
      <c r="X902" s="47"/>
      <c r="Y902" s="47" t="s">
        <v>51</v>
      </c>
      <c r="Z902" s="47" t="s">
        <v>146</v>
      </c>
      <c r="AA902" s="49"/>
      <c r="AB902" s="49"/>
      <c r="AC902" s="49"/>
      <c r="AD902" s="50"/>
      <c r="AE902" s="47" t="s">
        <v>1578</v>
      </c>
      <c r="AK902" s="32">
        <v>54</v>
      </c>
      <c r="AO902" s="73"/>
      <c r="AQ902" s="32" t="s">
        <v>2018</v>
      </c>
      <c r="AU902">
        <v>901</v>
      </c>
    </row>
    <row r="903" spans="1:47" x14ac:dyDescent="0.2">
      <c r="A903" s="26">
        <v>6104</v>
      </c>
      <c r="B903" s="27">
        <v>1.0416666666666666E-2</v>
      </c>
      <c r="C903" s="28"/>
      <c r="D903" s="29"/>
      <c r="E903" s="30" t="s">
        <v>1282</v>
      </c>
      <c r="H903" s="32">
        <v>0</v>
      </c>
      <c r="I903" s="32" t="s">
        <v>1841</v>
      </c>
      <c r="AG903" s="32">
        <v>0</v>
      </c>
      <c r="AH903" s="32">
        <v>0</v>
      </c>
      <c r="AI903" s="32">
        <v>0</v>
      </c>
      <c r="AK903" s="32">
        <v>0</v>
      </c>
      <c r="AL903" s="32">
        <f>105/60</f>
        <v>1.75</v>
      </c>
      <c r="AP903" s="32">
        <f>105/60</f>
        <v>1.75</v>
      </c>
      <c r="AQ903" s="32" t="s">
        <v>1101</v>
      </c>
      <c r="AU903">
        <v>902</v>
      </c>
    </row>
    <row r="904" spans="1:47" x14ac:dyDescent="0.2">
      <c r="A904" s="26">
        <v>6104</v>
      </c>
      <c r="B904" s="27" t="s">
        <v>85</v>
      </c>
      <c r="C904" s="28"/>
      <c r="D904" s="29"/>
      <c r="E904" s="30" t="s">
        <v>858</v>
      </c>
      <c r="H904" s="32">
        <v>1</v>
      </c>
      <c r="I904" s="32" t="s">
        <v>2030</v>
      </c>
      <c r="AG904" s="32">
        <v>0</v>
      </c>
      <c r="AH904" s="32">
        <v>8</v>
      </c>
      <c r="AI904" s="32">
        <v>0</v>
      </c>
      <c r="AQ904" s="32">
        <v>438</v>
      </c>
      <c r="AU904">
        <v>903</v>
      </c>
    </row>
    <row r="905" spans="1:47" x14ac:dyDescent="0.2">
      <c r="A905" s="26">
        <v>6104</v>
      </c>
      <c r="B905" s="27" t="s">
        <v>85</v>
      </c>
      <c r="C905" s="28"/>
      <c r="D905" s="29"/>
      <c r="E905" s="30" t="s">
        <v>1285</v>
      </c>
      <c r="H905" s="32">
        <v>1</v>
      </c>
      <c r="I905" s="32" t="s">
        <v>2031</v>
      </c>
      <c r="AI905" s="32">
        <v>15</v>
      </c>
      <c r="AO905" s="32" t="s">
        <v>472</v>
      </c>
      <c r="AQ905" s="32" t="s">
        <v>589</v>
      </c>
      <c r="AU905">
        <v>904</v>
      </c>
    </row>
    <row r="906" spans="1:47" x14ac:dyDescent="0.2">
      <c r="A906" s="37">
        <v>6105</v>
      </c>
      <c r="B906" s="38" t="s">
        <v>45</v>
      </c>
      <c r="C906" s="39" t="s">
        <v>253</v>
      </c>
      <c r="D906" s="29"/>
      <c r="E906" s="38" t="s">
        <v>2032</v>
      </c>
      <c r="F906" s="32" t="s">
        <v>107</v>
      </c>
      <c r="G906" s="47"/>
      <c r="H906"/>
      <c r="I906" s="32"/>
      <c r="J906" s="47"/>
      <c r="K906" s="47"/>
      <c r="L906" s="48"/>
      <c r="M906" s="47"/>
      <c r="N906" s="47"/>
      <c r="O906" s="47"/>
      <c r="P906" s="47"/>
      <c r="Q906" s="47"/>
      <c r="R906" s="47"/>
      <c r="S906" s="48"/>
      <c r="T906" s="47"/>
      <c r="U906" s="47"/>
      <c r="V906" s="47"/>
      <c r="W906" s="47"/>
      <c r="X906" s="47"/>
      <c r="Y906" s="47"/>
      <c r="Z906" s="47"/>
      <c r="AA906" s="49"/>
      <c r="AB906" s="49"/>
      <c r="AC906" s="49"/>
      <c r="AD906" s="50"/>
      <c r="AE906" s="47"/>
      <c r="AF906" s="47"/>
      <c r="AG906"/>
      <c r="AH906"/>
      <c r="AI906"/>
      <c r="AJ906"/>
      <c r="AK906"/>
      <c r="AL906"/>
      <c r="AM906"/>
      <c r="AN906"/>
      <c r="AO906"/>
      <c r="AP906"/>
      <c r="AQ906" s="32" t="s">
        <v>1939</v>
      </c>
      <c r="AU906">
        <v>905</v>
      </c>
    </row>
    <row r="907" spans="1:47" x14ac:dyDescent="0.2">
      <c r="A907" s="37">
        <v>6106</v>
      </c>
      <c r="B907" s="38" t="s">
        <v>85</v>
      </c>
      <c r="C907" s="39" t="s">
        <v>253</v>
      </c>
      <c r="D907" s="29"/>
      <c r="E907" s="38" t="s">
        <v>2033</v>
      </c>
      <c r="F907" s="32" t="s">
        <v>107</v>
      </c>
      <c r="G907" s="47"/>
      <c r="H907"/>
      <c r="I907" s="32"/>
      <c r="J907" s="47"/>
      <c r="K907" s="47"/>
      <c r="L907" s="48"/>
      <c r="M907" s="47"/>
      <c r="N907" s="47"/>
      <c r="O907" s="47"/>
      <c r="P907" s="47"/>
      <c r="Q907" s="47"/>
      <c r="R907" s="47"/>
      <c r="S907" s="48"/>
      <c r="T907" s="47"/>
      <c r="U907" s="47"/>
      <c r="V907" s="47"/>
      <c r="W907" s="47"/>
      <c r="X907" s="47"/>
      <c r="Y907" s="47"/>
      <c r="Z907" s="47"/>
      <c r="AA907" s="49"/>
      <c r="AB907" s="49"/>
      <c r="AC907" s="49"/>
      <c r="AD907" s="50"/>
      <c r="AE907" s="47"/>
      <c r="AF907" s="47"/>
      <c r="AG907"/>
      <c r="AH907"/>
      <c r="AI907"/>
      <c r="AJ907"/>
      <c r="AK907"/>
      <c r="AL907"/>
      <c r="AM907"/>
      <c r="AN907"/>
      <c r="AO907"/>
      <c r="AP907"/>
      <c r="AQ907" s="32" t="s">
        <v>1375</v>
      </c>
      <c r="AU907">
        <v>906</v>
      </c>
    </row>
    <row r="908" spans="1:47" x14ac:dyDescent="0.2">
      <c r="A908" s="37">
        <v>6109</v>
      </c>
      <c r="B908" s="38" t="s">
        <v>85</v>
      </c>
      <c r="C908" s="39" t="s">
        <v>253</v>
      </c>
      <c r="D908" s="29"/>
      <c r="E908" s="38" t="s">
        <v>528</v>
      </c>
      <c r="F908" s="32" t="s">
        <v>150</v>
      </c>
      <c r="G908" s="47"/>
      <c r="H908"/>
      <c r="I908" s="32" t="s">
        <v>2034</v>
      </c>
      <c r="J908" s="47"/>
      <c r="K908" s="47"/>
      <c r="L908" s="48"/>
      <c r="M908" s="47"/>
      <c r="N908" s="47"/>
      <c r="O908" s="47"/>
      <c r="P908" s="47"/>
      <c r="Q908" s="47"/>
      <c r="R908" s="47"/>
      <c r="S908" s="48"/>
      <c r="T908" s="47"/>
      <c r="U908" s="47"/>
      <c r="V908" s="47"/>
      <c r="W908" s="47"/>
      <c r="X908" s="47"/>
      <c r="Y908" s="47"/>
      <c r="Z908" s="47"/>
      <c r="AA908" s="49"/>
      <c r="AB908" s="49"/>
      <c r="AC908" s="49"/>
      <c r="AD908" s="50"/>
      <c r="AE908" s="47"/>
      <c r="AF908" s="47"/>
      <c r="AG908"/>
      <c r="AH908"/>
      <c r="AI908"/>
      <c r="AJ908"/>
      <c r="AK908"/>
      <c r="AL908"/>
      <c r="AM908"/>
      <c r="AN908"/>
      <c r="AO908"/>
      <c r="AP908"/>
      <c r="AQ908" s="32" t="s">
        <v>1375</v>
      </c>
      <c r="AU908">
        <v>907</v>
      </c>
    </row>
    <row r="909" spans="1:47" x14ac:dyDescent="0.2">
      <c r="A909" s="37">
        <v>6110</v>
      </c>
      <c r="B909" s="38" t="s">
        <v>45</v>
      </c>
      <c r="C909" s="38" t="s">
        <v>1940</v>
      </c>
      <c r="D909" s="29"/>
      <c r="E909" s="38" t="s">
        <v>2035</v>
      </c>
      <c r="F909" s="74" t="s">
        <v>2036</v>
      </c>
      <c r="G909" s="47" t="s">
        <v>627</v>
      </c>
      <c r="H909"/>
      <c r="I909" s="31" t="s">
        <v>2037</v>
      </c>
      <c r="J909" s="47"/>
      <c r="K909" s="47">
        <f>6*25*2.2</f>
        <v>330</v>
      </c>
      <c r="L909" s="48">
        <v>1</v>
      </c>
      <c r="M909" s="47"/>
      <c r="N909" s="47"/>
      <c r="O909" s="47"/>
      <c r="P909" s="47"/>
      <c r="Q909" s="47"/>
      <c r="R909" s="47"/>
      <c r="S909" s="48">
        <v>1</v>
      </c>
      <c r="T909" s="47">
        <v>0</v>
      </c>
      <c r="U909" s="47">
        <v>0</v>
      </c>
      <c r="V909" s="47">
        <v>1</v>
      </c>
      <c r="W909" s="47">
        <f>450*39.37/12</f>
        <v>1476.375</v>
      </c>
      <c r="X909" s="47"/>
      <c r="Y909" s="47" t="s">
        <v>51</v>
      </c>
      <c r="Z909" s="47" t="s">
        <v>1652</v>
      </c>
      <c r="AA909" s="49">
        <v>0.80208333333333337</v>
      </c>
      <c r="AB909" s="49">
        <v>3.4722222222222224E-2</v>
      </c>
      <c r="AC909" s="49">
        <v>0.89583333333333337</v>
      </c>
      <c r="AD909" s="50">
        <f>5+35/60</f>
        <v>5.583333333333333</v>
      </c>
      <c r="AE909" s="47" t="s">
        <v>1810</v>
      </c>
      <c r="AF909" s="47">
        <v>240</v>
      </c>
      <c r="AG909"/>
      <c r="AH909"/>
      <c r="AI909"/>
      <c r="AJ909"/>
      <c r="AK909">
        <v>6</v>
      </c>
      <c r="AL909"/>
      <c r="AM909"/>
      <c r="AN909"/>
      <c r="AO909"/>
      <c r="AP909"/>
      <c r="AQ909" s="32" t="s">
        <v>2038</v>
      </c>
      <c r="AU909">
        <v>908</v>
      </c>
    </row>
    <row r="910" spans="1:47" x14ac:dyDescent="0.2">
      <c r="A910" s="37">
        <v>6110</v>
      </c>
      <c r="B910" s="38" t="s">
        <v>45</v>
      </c>
      <c r="C910" s="39" t="s">
        <v>2039</v>
      </c>
      <c r="D910" s="29"/>
      <c r="E910" s="38" t="s">
        <v>2040</v>
      </c>
      <c r="F910" s="32" t="s">
        <v>1453</v>
      </c>
      <c r="G910" s="47" t="s">
        <v>49</v>
      </c>
      <c r="H910"/>
      <c r="I910" s="32" t="s">
        <v>2041</v>
      </c>
      <c r="J910" s="47"/>
      <c r="K910" s="47">
        <f>1000*2.2</f>
        <v>2200</v>
      </c>
      <c r="L910" s="48">
        <v>1</v>
      </c>
      <c r="M910" s="47"/>
      <c r="N910" s="47"/>
      <c r="O910" s="47"/>
      <c r="P910" s="47"/>
      <c r="Q910" s="47"/>
      <c r="R910" s="47"/>
      <c r="S910" s="48">
        <v>1</v>
      </c>
      <c r="T910" s="47"/>
      <c r="U910" s="47"/>
      <c r="V910" s="47"/>
      <c r="W910" s="47"/>
      <c r="X910" s="47"/>
      <c r="Y910" s="47" t="s">
        <v>51</v>
      </c>
      <c r="Z910" s="20" t="s">
        <v>52</v>
      </c>
      <c r="AA910" s="49"/>
      <c r="AB910" s="49"/>
      <c r="AC910" s="49"/>
      <c r="AD910" s="50"/>
      <c r="AE910" s="47"/>
      <c r="AF910" s="47">
        <v>200</v>
      </c>
      <c r="AG910"/>
      <c r="AH910"/>
      <c r="AI910"/>
      <c r="AJ910"/>
      <c r="AK910"/>
      <c r="AL910"/>
      <c r="AM910"/>
      <c r="AN910"/>
      <c r="AO910"/>
      <c r="AP910"/>
      <c r="AQ910" s="32" t="s">
        <v>566</v>
      </c>
      <c r="AU910">
        <v>909</v>
      </c>
    </row>
    <row r="911" spans="1:47" x14ac:dyDescent="0.2">
      <c r="A911" s="37">
        <v>6110</v>
      </c>
      <c r="B911" s="38" t="s">
        <v>45</v>
      </c>
      <c r="C911" s="39" t="s">
        <v>253</v>
      </c>
      <c r="D911" s="29"/>
      <c r="E911" s="38" t="s">
        <v>2042</v>
      </c>
      <c r="F911" s="32" t="s">
        <v>107</v>
      </c>
      <c r="G911" s="47"/>
      <c r="H911"/>
      <c r="I911" s="32"/>
      <c r="J911" s="47"/>
      <c r="K911" s="47"/>
      <c r="L911" s="48"/>
      <c r="M911" s="47"/>
      <c r="N911" s="47"/>
      <c r="O911" s="47"/>
      <c r="P911" s="47"/>
      <c r="Q911" s="47"/>
      <c r="R911" s="47"/>
      <c r="S911" s="48"/>
      <c r="T911" s="47"/>
      <c r="U911" s="47"/>
      <c r="V911" s="47"/>
      <c r="W911" s="47"/>
      <c r="X911" s="47"/>
      <c r="Y911" s="47"/>
      <c r="Z911" s="47"/>
      <c r="AA911" s="49"/>
      <c r="AB911" s="49"/>
      <c r="AC911" s="49"/>
      <c r="AD911" s="50"/>
      <c r="AE911" s="47"/>
      <c r="AF911" s="47"/>
      <c r="AG911"/>
      <c r="AH911"/>
      <c r="AI911"/>
      <c r="AJ911"/>
      <c r="AK911"/>
      <c r="AL911"/>
      <c r="AM911"/>
      <c r="AN911"/>
      <c r="AO911"/>
      <c r="AP911"/>
      <c r="AQ911" s="32" t="s">
        <v>1939</v>
      </c>
      <c r="AU911">
        <v>910</v>
      </c>
    </row>
    <row r="912" spans="1:47" x14ac:dyDescent="0.2">
      <c r="A912" s="37">
        <v>6110</v>
      </c>
      <c r="B912" s="38" t="s">
        <v>45</v>
      </c>
      <c r="C912" s="39" t="s">
        <v>59</v>
      </c>
      <c r="D912" s="29"/>
      <c r="E912" s="38" t="s">
        <v>2043</v>
      </c>
      <c r="F912" s="32"/>
      <c r="G912" s="47"/>
      <c r="H912"/>
      <c r="I912" s="32" t="s">
        <v>2044</v>
      </c>
      <c r="J912" s="47"/>
      <c r="K912" s="47"/>
      <c r="L912" s="48"/>
      <c r="M912" s="47"/>
      <c r="N912" s="47"/>
      <c r="O912" s="47"/>
      <c r="P912" s="47"/>
      <c r="Q912" s="47"/>
      <c r="R912" s="47"/>
      <c r="S912" s="48"/>
      <c r="T912" s="47"/>
      <c r="U912" s="47"/>
      <c r="V912" s="47"/>
      <c r="W912" s="47"/>
      <c r="X912" s="47"/>
      <c r="Y912" s="47"/>
      <c r="Z912" s="47" t="s">
        <v>1652</v>
      </c>
      <c r="AA912" s="49"/>
      <c r="AB912" s="49"/>
      <c r="AC912" s="49"/>
      <c r="AD912" s="50"/>
      <c r="AE912" s="47" t="s">
        <v>2045</v>
      </c>
      <c r="AF912" s="47"/>
      <c r="AG912"/>
      <c r="AH912"/>
      <c r="AI912"/>
      <c r="AJ912"/>
      <c r="AK912"/>
      <c r="AL912"/>
      <c r="AM912"/>
      <c r="AN912"/>
      <c r="AO912"/>
      <c r="AP912"/>
      <c r="AQ912" s="32" t="s">
        <v>2046</v>
      </c>
      <c r="AU912">
        <v>911</v>
      </c>
    </row>
    <row r="913" spans="1:47" x14ac:dyDescent="0.2">
      <c r="A913" s="26">
        <v>6110</v>
      </c>
      <c r="B913" s="27">
        <v>0</v>
      </c>
      <c r="C913" s="28"/>
      <c r="D913" s="29"/>
      <c r="E913" s="30" t="s">
        <v>631</v>
      </c>
      <c r="H913" s="32">
        <v>1</v>
      </c>
      <c r="I913" s="32" t="s">
        <v>2047</v>
      </c>
      <c r="AG913" s="32">
        <v>0</v>
      </c>
      <c r="AH913" s="32">
        <v>0</v>
      </c>
      <c r="AI913" s="32">
        <v>0</v>
      </c>
      <c r="AK913" s="32">
        <v>0</v>
      </c>
      <c r="AL913" s="32">
        <v>0.67</v>
      </c>
      <c r="AO913" s="32" t="s">
        <v>633</v>
      </c>
      <c r="AP913" s="32">
        <v>0.67</v>
      </c>
      <c r="AQ913" s="32">
        <v>463</v>
      </c>
      <c r="AU913">
        <v>912</v>
      </c>
    </row>
    <row r="914" spans="1:47" x14ac:dyDescent="0.2">
      <c r="A914" s="37">
        <v>6111</v>
      </c>
      <c r="B914" s="38" t="s">
        <v>85</v>
      </c>
      <c r="C914" s="85" t="s">
        <v>1655</v>
      </c>
      <c r="D914" s="29"/>
      <c r="E914" s="38" t="s">
        <v>975</v>
      </c>
      <c r="F914" s="139" t="s">
        <v>107</v>
      </c>
      <c r="G914" s="47"/>
      <c r="H914"/>
      <c r="I914" s="32" t="s">
        <v>2048</v>
      </c>
      <c r="K914" s="31">
        <f>10*10*2.2</f>
        <v>220.00000000000003</v>
      </c>
      <c r="S914" s="33">
        <v>2</v>
      </c>
      <c r="T914" s="31">
        <v>0</v>
      </c>
      <c r="Y914" s="31" t="s">
        <v>120</v>
      </c>
      <c r="Z914" s="47" t="s">
        <v>1241</v>
      </c>
      <c r="AE914" s="47" t="s">
        <v>342</v>
      </c>
      <c r="AF914" s="47">
        <v>25</v>
      </c>
      <c r="AK914" s="32">
        <v>10</v>
      </c>
      <c r="AQ914" s="32" t="s">
        <v>2049</v>
      </c>
      <c r="AU914">
        <v>913</v>
      </c>
    </row>
    <row r="915" spans="1:47" x14ac:dyDescent="0.2">
      <c r="A915" s="37">
        <v>6111</v>
      </c>
      <c r="B915" s="38" t="s">
        <v>85</v>
      </c>
      <c r="C915" s="39" t="s">
        <v>2050</v>
      </c>
      <c r="D915" s="29"/>
      <c r="E915" s="38" t="s">
        <v>2051</v>
      </c>
      <c r="F915" s="122" t="s">
        <v>2052</v>
      </c>
      <c r="G915" s="47" t="s">
        <v>69</v>
      </c>
      <c r="H915"/>
      <c r="I915" s="32" t="s">
        <v>2053</v>
      </c>
      <c r="K915" s="31">
        <f>5*10*2.2</f>
        <v>110.00000000000001</v>
      </c>
      <c r="L915" s="33">
        <v>1</v>
      </c>
      <c r="S915" s="33">
        <v>1</v>
      </c>
      <c r="T915" s="31">
        <v>0</v>
      </c>
      <c r="U915" s="31">
        <v>0</v>
      </c>
      <c r="V915" s="31">
        <v>0</v>
      </c>
      <c r="Y915" s="31" t="s">
        <v>51</v>
      </c>
      <c r="Z915" s="31" t="s">
        <v>1809</v>
      </c>
      <c r="AE915" s="31" t="s">
        <v>2054</v>
      </c>
      <c r="AF915" s="31">
        <v>40</v>
      </c>
      <c r="AK915" s="32">
        <v>5</v>
      </c>
      <c r="AQ915" s="32" t="s">
        <v>2055</v>
      </c>
      <c r="AU915">
        <v>914</v>
      </c>
    </row>
    <row r="916" spans="1:47" x14ac:dyDescent="0.2">
      <c r="A916" s="37">
        <v>6111</v>
      </c>
      <c r="B916" s="38" t="s">
        <v>45</v>
      </c>
      <c r="C916" s="39" t="s">
        <v>253</v>
      </c>
      <c r="D916" s="29"/>
      <c r="E916" s="38" t="s">
        <v>2056</v>
      </c>
      <c r="F916" s="32" t="s">
        <v>107</v>
      </c>
      <c r="G916" s="47"/>
      <c r="H916"/>
      <c r="I916" s="32"/>
      <c r="J916" s="47"/>
      <c r="K916" s="47"/>
      <c r="L916" s="48"/>
      <c r="M916" s="47"/>
      <c r="N916" s="47"/>
      <c r="O916" s="47"/>
      <c r="P916" s="47"/>
      <c r="Q916" s="47"/>
      <c r="R916" s="47"/>
      <c r="S916" s="48"/>
      <c r="T916" s="47"/>
      <c r="U916" s="47"/>
      <c r="V916" s="47"/>
      <c r="W916" s="47"/>
      <c r="X916" s="47"/>
      <c r="Y916" s="47"/>
      <c r="Z916" s="47"/>
      <c r="AA916" s="49"/>
      <c r="AB916" s="49"/>
      <c r="AC916" s="49"/>
      <c r="AD916" s="50"/>
      <c r="AE916" s="47"/>
      <c r="AF916" s="47"/>
      <c r="AG916"/>
      <c r="AH916"/>
      <c r="AI916"/>
      <c r="AJ916"/>
      <c r="AK916"/>
      <c r="AL916"/>
      <c r="AM916"/>
      <c r="AN916"/>
      <c r="AO916"/>
      <c r="AP916"/>
      <c r="AQ916" s="32" t="s">
        <v>1939</v>
      </c>
      <c r="AU916">
        <v>915</v>
      </c>
    </row>
    <row r="917" spans="1:47" x14ac:dyDescent="0.2">
      <c r="A917" s="37">
        <v>6111</v>
      </c>
      <c r="B917" s="38" t="s">
        <v>45</v>
      </c>
      <c r="C917" s="39" t="s">
        <v>156</v>
      </c>
      <c r="D917" s="29"/>
      <c r="E917" s="38" t="s">
        <v>2057</v>
      </c>
      <c r="F917" s="32" t="s">
        <v>1663</v>
      </c>
      <c r="G917" s="47" t="s">
        <v>481</v>
      </c>
      <c r="H917"/>
      <c r="I917" s="32" t="s">
        <v>2058</v>
      </c>
      <c r="J917" s="47"/>
      <c r="K917" s="47"/>
      <c r="L917" s="48"/>
      <c r="M917" s="47"/>
      <c r="N917" s="47"/>
      <c r="O917" s="47"/>
      <c r="P917" s="47"/>
      <c r="Q917" s="47"/>
      <c r="R917" s="47"/>
      <c r="S917" s="48"/>
      <c r="T917" s="47"/>
      <c r="U917" s="47"/>
      <c r="V917" s="47"/>
      <c r="W917" s="47"/>
      <c r="X917" s="47"/>
      <c r="Y917" s="47"/>
      <c r="Z917" s="47"/>
      <c r="AA917" s="49"/>
      <c r="AB917" s="49"/>
      <c r="AC917" s="49"/>
      <c r="AD917" s="50"/>
      <c r="AE917" s="47"/>
      <c r="AF917" s="47"/>
      <c r="AG917"/>
      <c r="AH917"/>
      <c r="AI917"/>
      <c r="AJ917"/>
      <c r="AK917"/>
      <c r="AL917"/>
      <c r="AM917"/>
      <c r="AN917"/>
      <c r="AO917"/>
      <c r="AP917"/>
      <c r="AQ917" t="s">
        <v>2059</v>
      </c>
      <c r="AU917">
        <v>916</v>
      </c>
    </row>
    <row r="918" spans="1:47" x14ac:dyDescent="0.2">
      <c r="A918" s="37">
        <v>6111</v>
      </c>
      <c r="B918" s="38" t="s">
        <v>45</v>
      </c>
      <c r="C918" s="39" t="s">
        <v>253</v>
      </c>
      <c r="D918" s="29"/>
      <c r="E918" s="38" t="s">
        <v>2060</v>
      </c>
      <c r="F918" s="32" t="s">
        <v>107</v>
      </c>
      <c r="G918" s="47"/>
      <c r="H918"/>
      <c r="I918" s="32"/>
      <c r="J918" s="47"/>
      <c r="K918" s="47"/>
      <c r="L918" s="48"/>
      <c r="M918" s="47"/>
      <c r="N918" s="47"/>
      <c r="O918" s="47"/>
      <c r="P918" s="47"/>
      <c r="Q918" s="47"/>
      <c r="R918" s="47"/>
      <c r="S918" s="48"/>
      <c r="T918" s="47"/>
      <c r="U918" s="47"/>
      <c r="V918" s="47"/>
      <c r="W918" s="47"/>
      <c r="X918" s="47"/>
      <c r="Y918" s="47"/>
      <c r="Z918" s="47"/>
      <c r="AA918" s="49"/>
      <c r="AB918" s="49"/>
      <c r="AC918" s="49"/>
      <c r="AD918" s="50"/>
      <c r="AE918" s="47"/>
      <c r="AF918" s="47"/>
      <c r="AG918"/>
      <c r="AH918"/>
      <c r="AI918"/>
      <c r="AJ918"/>
      <c r="AK918"/>
      <c r="AL918"/>
      <c r="AM918"/>
      <c r="AN918"/>
      <c r="AO918"/>
      <c r="AP918"/>
      <c r="AQ918" s="32" t="s">
        <v>1939</v>
      </c>
      <c r="AU918">
        <v>917</v>
      </c>
    </row>
    <row r="919" spans="1:47" x14ac:dyDescent="0.2">
      <c r="A919" s="26">
        <v>6111</v>
      </c>
      <c r="B919" s="27">
        <v>0.99513888888888891</v>
      </c>
      <c r="C919" s="28"/>
      <c r="D919" s="29"/>
      <c r="E919" s="30" t="s">
        <v>1282</v>
      </c>
      <c r="H919" s="32">
        <v>0</v>
      </c>
      <c r="I919" s="32" t="s">
        <v>1841</v>
      </c>
      <c r="AG919" s="32">
        <v>0</v>
      </c>
      <c r="AH919" s="32">
        <v>0</v>
      </c>
      <c r="AI919" s="32">
        <v>0</v>
      </c>
      <c r="AK919" s="32">
        <v>0</v>
      </c>
      <c r="AL919" s="32">
        <f>72/60</f>
        <v>1.2</v>
      </c>
      <c r="AP919" s="32">
        <f>72/60</f>
        <v>1.2</v>
      </c>
      <c r="AQ919" s="32" t="s">
        <v>1101</v>
      </c>
      <c r="AU919">
        <v>918</v>
      </c>
    </row>
    <row r="920" spans="1:47" x14ac:dyDescent="0.2">
      <c r="A920" s="26">
        <v>6111</v>
      </c>
      <c r="B920" s="27" t="s">
        <v>45</v>
      </c>
      <c r="C920" s="28"/>
      <c r="D920" s="29"/>
      <c r="E920" s="30" t="s">
        <v>1531</v>
      </c>
      <c r="H920" s="32">
        <v>1</v>
      </c>
      <c r="I920" s="32" t="s">
        <v>2061</v>
      </c>
      <c r="AM920" s="32">
        <f>498*67</f>
        <v>33366</v>
      </c>
      <c r="AO920" s="32" t="s">
        <v>1533</v>
      </c>
      <c r="AQ920" s="32" t="s">
        <v>1101</v>
      </c>
      <c r="AU920">
        <v>919</v>
      </c>
    </row>
    <row r="921" spans="1:47" x14ac:dyDescent="0.2">
      <c r="A921" s="26">
        <v>6111</v>
      </c>
      <c r="B921" s="27" t="s">
        <v>45</v>
      </c>
      <c r="C921" s="28"/>
      <c r="D921" s="29"/>
      <c r="E921" s="30" t="s">
        <v>1823</v>
      </c>
      <c r="H921" s="32">
        <v>0</v>
      </c>
      <c r="I921" s="32" t="s">
        <v>1824</v>
      </c>
      <c r="AG921" s="32">
        <v>0</v>
      </c>
      <c r="AH921" s="32">
        <v>0</v>
      </c>
      <c r="AI921" s="32">
        <v>0</v>
      </c>
      <c r="AK921" s="32">
        <v>0</v>
      </c>
      <c r="AM921" s="32">
        <v>2500</v>
      </c>
      <c r="AO921" s="73" t="s">
        <v>75</v>
      </c>
      <c r="AQ921" s="32" t="s">
        <v>589</v>
      </c>
      <c r="AU921">
        <v>920</v>
      </c>
    </row>
    <row r="922" spans="1:47" x14ac:dyDescent="0.2">
      <c r="A922" s="37">
        <v>6112</v>
      </c>
      <c r="B922" s="51">
        <v>0.58333333333333337</v>
      </c>
      <c r="C922" s="39" t="s">
        <v>2050</v>
      </c>
      <c r="D922" s="29"/>
      <c r="E922" s="38" t="s">
        <v>2062</v>
      </c>
      <c r="F922" s="31" t="s">
        <v>1663</v>
      </c>
      <c r="G922" s="31" t="s">
        <v>274</v>
      </c>
      <c r="H922" s="32"/>
      <c r="I922" s="32" t="s">
        <v>2063</v>
      </c>
      <c r="K922" s="31">
        <f>2*6*10*2.2</f>
        <v>264</v>
      </c>
      <c r="L922" s="33">
        <v>2</v>
      </c>
      <c r="S922" s="33">
        <v>2</v>
      </c>
      <c r="T922" s="31">
        <v>0</v>
      </c>
      <c r="U922" s="31">
        <v>0</v>
      </c>
      <c r="V922" s="31">
        <v>0</v>
      </c>
      <c r="Y922" s="31" t="s">
        <v>51</v>
      </c>
      <c r="Z922" s="31" t="s">
        <v>1809</v>
      </c>
      <c r="AA922" s="34">
        <v>0.45833333333333331</v>
      </c>
      <c r="AB922" s="34">
        <v>0.70833333333333337</v>
      </c>
      <c r="AC922" s="49">
        <f>AVERAGE(AA922:AB922)</f>
        <v>0.58333333333333337</v>
      </c>
      <c r="AD922" s="50">
        <f>(AB922-AA922)*24</f>
        <v>6.0000000000000018</v>
      </c>
      <c r="AE922" s="31" t="s">
        <v>2054</v>
      </c>
      <c r="AF922" s="31">
        <v>315</v>
      </c>
      <c r="AK922" s="32">
        <f>6+6</f>
        <v>12</v>
      </c>
      <c r="AQ922" s="32" t="s">
        <v>2064</v>
      </c>
      <c r="AU922">
        <v>921</v>
      </c>
    </row>
    <row r="923" spans="1:47" x14ac:dyDescent="0.2">
      <c r="A923" s="37">
        <v>6112</v>
      </c>
      <c r="B923" s="38" t="s">
        <v>45</v>
      </c>
      <c r="C923" s="39" t="s">
        <v>425</v>
      </c>
      <c r="D923" s="29"/>
      <c r="E923" s="38" t="s">
        <v>1895</v>
      </c>
      <c r="F923" s="32" t="s">
        <v>2065</v>
      </c>
      <c r="G923" s="47" t="s">
        <v>73</v>
      </c>
      <c r="H923"/>
      <c r="I923" s="32" t="s">
        <v>2066</v>
      </c>
      <c r="J923" s="47"/>
      <c r="K923" s="47">
        <f>98*10*2.2</f>
        <v>2156</v>
      </c>
      <c r="L923" s="48"/>
      <c r="M923" s="47"/>
      <c r="N923" s="47"/>
      <c r="O923" s="47"/>
      <c r="P923" s="47"/>
      <c r="Q923" s="47"/>
      <c r="R923" s="47"/>
      <c r="S923" s="48">
        <v>12</v>
      </c>
      <c r="T923" s="47">
        <v>0</v>
      </c>
      <c r="U923" s="47">
        <v>0</v>
      </c>
      <c r="V923" s="47">
        <v>0</v>
      </c>
      <c r="W923" s="47"/>
      <c r="X923" s="47"/>
      <c r="Y923" s="47" t="s">
        <v>51</v>
      </c>
      <c r="Z923" s="47" t="s">
        <v>146</v>
      </c>
      <c r="AA923" s="49"/>
      <c r="AB923" s="49"/>
      <c r="AC923" s="49"/>
      <c r="AD923" s="50"/>
      <c r="AE923" s="47" t="s">
        <v>1578</v>
      </c>
      <c r="AF923" s="47">
        <v>50</v>
      </c>
      <c r="AG923"/>
      <c r="AH923"/>
      <c r="AI923"/>
      <c r="AJ923"/>
      <c r="AK923">
        <v>98</v>
      </c>
      <c r="AL923"/>
      <c r="AM923"/>
      <c r="AN923"/>
      <c r="AO923"/>
      <c r="AP923"/>
      <c r="AQ923" s="32" t="s">
        <v>2067</v>
      </c>
      <c r="AU923">
        <v>922</v>
      </c>
    </row>
    <row r="924" spans="1:47" x14ac:dyDescent="0.2">
      <c r="A924" s="37">
        <v>6112</v>
      </c>
      <c r="B924" s="38" t="s">
        <v>45</v>
      </c>
      <c r="C924" s="39" t="s">
        <v>1843</v>
      </c>
      <c r="D924" s="29"/>
      <c r="E924" s="38" t="s">
        <v>2068</v>
      </c>
      <c r="F924" s="32" t="s">
        <v>2069</v>
      </c>
      <c r="G924" s="47" t="s">
        <v>481</v>
      </c>
      <c r="H924"/>
      <c r="I924" s="32" t="b">
        <v>1</v>
      </c>
      <c r="J924" s="32" t="b">
        <v>1</v>
      </c>
      <c r="K924" s="47">
        <f>(30*8)*10*2.2</f>
        <v>5280</v>
      </c>
      <c r="L924" s="48">
        <v>10</v>
      </c>
      <c r="M924" s="47"/>
      <c r="N924" s="47">
        <v>1</v>
      </c>
      <c r="O924" s="47">
        <v>1</v>
      </c>
      <c r="P924" s="47"/>
      <c r="Q924" s="47"/>
      <c r="R924" s="47"/>
      <c r="S924" s="48">
        <v>8</v>
      </c>
      <c r="T924" s="47">
        <v>1</v>
      </c>
      <c r="U924" s="47">
        <v>0</v>
      </c>
      <c r="V924" s="47">
        <v>0</v>
      </c>
      <c r="W924" s="47">
        <f>((2700+3100+2500+2700+2800+2600+2600+2600)/8)*39.37/12</f>
        <v>8858.25</v>
      </c>
      <c r="X924" s="47"/>
      <c r="Y924" s="47" t="s">
        <v>51</v>
      </c>
      <c r="Z924" s="47" t="s">
        <v>1846</v>
      </c>
      <c r="AA924" s="49">
        <v>0.88541666666666663</v>
      </c>
      <c r="AB924" s="49"/>
      <c r="AC924" s="49"/>
      <c r="AD924" s="50">
        <f>2+2/3</f>
        <v>2.6666666666666665</v>
      </c>
      <c r="AE924" s="47" t="s">
        <v>342</v>
      </c>
      <c r="AF924" s="47">
        <v>80</v>
      </c>
      <c r="AG924"/>
      <c r="AH924"/>
      <c r="AI924"/>
      <c r="AJ924"/>
      <c r="AK924">
        <f>120+60+30+30</f>
        <v>240</v>
      </c>
      <c r="AL924"/>
      <c r="AM924"/>
      <c r="AN924"/>
      <c r="AO924"/>
      <c r="AP924"/>
      <c r="AQ924" s="32" t="s">
        <v>2070</v>
      </c>
      <c r="AR924" s="32" t="s">
        <v>2071</v>
      </c>
      <c r="AU924">
        <v>923</v>
      </c>
    </row>
    <row r="925" spans="1:47" x14ac:dyDescent="0.2">
      <c r="A925" s="37">
        <v>6112</v>
      </c>
      <c r="B925" s="38" t="s">
        <v>45</v>
      </c>
      <c r="C925" s="39" t="s">
        <v>1843</v>
      </c>
      <c r="D925" s="29"/>
      <c r="E925" s="38" t="s">
        <v>911</v>
      </c>
      <c r="F925" s="31" t="s">
        <v>1972</v>
      </c>
      <c r="G925" s="47" t="s">
        <v>481</v>
      </c>
      <c r="H925"/>
      <c r="I925" s="32" t="b">
        <v>0</v>
      </c>
      <c r="J925" s="32" t="b">
        <v>0</v>
      </c>
      <c r="K925" s="47">
        <f>120*10*2.2</f>
        <v>2640</v>
      </c>
      <c r="L925" s="48"/>
      <c r="M925" s="47"/>
      <c r="N925" s="47"/>
      <c r="O925" s="47"/>
      <c r="P925" s="47"/>
      <c r="Q925" s="47"/>
      <c r="R925" s="47"/>
      <c r="S925" s="48">
        <v>4</v>
      </c>
      <c r="T925" s="47"/>
      <c r="U925" s="47"/>
      <c r="V925" s="47"/>
      <c r="W925" s="47">
        <f>((2700+3100+2500+2700)/4)*39.37/12</f>
        <v>9022.2916666666661</v>
      </c>
      <c r="X925" s="47"/>
      <c r="Y925" s="47" t="s">
        <v>51</v>
      </c>
      <c r="Z925" s="47" t="s">
        <v>1846</v>
      </c>
      <c r="AA925" s="49">
        <v>0.88541666666666663</v>
      </c>
      <c r="AB925" s="49"/>
      <c r="AC925" s="49"/>
      <c r="AD925" s="50">
        <f>2+2/3</f>
        <v>2.6666666666666665</v>
      </c>
      <c r="AE925" s="47" t="s">
        <v>342</v>
      </c>
      <c r="AF925" s="47">
        <v>80</v>
      </c>
      <c r="AG925"/>
      <c r="AH925"/>
      <c r="AI925"/>
      <c r="AJ925"/>
      <c r="AK925">
        <v>120</v>
      </c>
      <c r="AL925"/>
      <c r="AM925"/>
      <c r="AN925"/>
      <c r="AO925"/>
      <c r="AP925"/>
      <c r="AQ925" s="32" t="s">
        <v>2070</v>
      </c>
      <c r="AR925" s="32" t="s">
        <v>2072</v>
      </c>
      <c r="AU925">
        <v>924</v>
      </c>
    </row>
    <row r="926" spans="1:47" x14ac:dyDescent="0.2">
      <c r="A926" s="37">
        <v>6112</v>
      </c>
      <c r="B926" s="38" t="s">
        <v>45</v>
      </c>
      <c r="C926" s="39" t="s">
        <v>1843</v>
      </c>
      <c r="D926" s="29"/>
      <c r="E926" s="38" t="s">
        <v>2073</v>
      </c>
      <c r="F926" s="31" t="s">
        <v>1663</v>
      </c>
      <c r="G926" s="47" t="s">
        <v>459</v>
      </c>
      <c r="H926"/>
      <c r="I926" s="32" t="b">
        <v>0</v>
      </c>
      <c r="J926" s="32" t="b">
        <v>0</v>
      </c>
      <c r="K926" s="47">
        <f>60*10*2.2</f>
        <v>1320</v>
      </c>
      <c r="L926" s="48"/>
      <c r="M926" s="47"/>
      <c r="N926" s="47"/>
      <c r="O926" s="47"/>
      <c r="P926" s="47"/>
      <c r="Q926" s="47"/>
      <c r="R926" s="47"/>
      <c r="S926" s="48">
        <v>2</v>
      </c>
      <c r="T926" s="47"/>
      <c r="U926" s="47"/>
      <c r="V926" s="47"/>
      <c r="W926" s="47">
        <f>((2800+2600)/2)*39.37/12</f>
        <v>8858.25</v>
      </c>
      <c r="X926" s="47"/>
      <c r="Y926" s="47" t="s">
        <v>51</v>
      </c>
      <c r="Z926" s="47" t="s">
        <v>1846</v>
      </c>
      <c r="AA926" s="49">
        <v>0.88541666666666663</v>
      </c>
      <c r="AB926" s="49"/>
      <c r="AC926" s="49"/>
      <c r="AD926" s="50">
        <f>2+2/3</f>
        <v>2.6666666666666665</v>
      </c>
      <c r="AE926" s="47" t="s">
        <v>342</v>
      </c>
      <c r="AF926" s="47">
        <v>80</v>
      </c>
      <c r="AG926"/>
      <c r="AH926"/>
      <c r="AI926"/>
      <c r="AJ926"/>
      <c r="AK926">
        <v>60</v>
      </c>
      <c r="AL926"/>
      <c r="AM926"/>
      <c r="AN926"/>
      <c r="AO926"/>
      <c r="AP926"/>
      <c r="AQ926" s="32" t="s">
        <v>2070</v>
      </c>
      <c r="AR926" s="32" t="s">
        <v>2074</v>
      </c>
      <c r="AU926">
        <v>925</v>
      </c>
    </row>
    <row r="927" spans="1:47" x14ac:dyDescent="0.2">
      <c r="A927" s="37">
        <v>6112</v>
      </c>
      <c r="B927" s="38" t="s">
        <v>45</v>
      </c>
      <c r="C927" s="39" t="s">
        <v>1843</v>
      </c>
      <c r="D927" s="29"/>
      <c r="E927" s="38" t="s">
        <v>2075</v>
      </c>
      <c r="F927" s="31" t="s">
        <v>1972</v>
      </c>
      <c r="G927" s="47" t="s">
        <v>481</v>
      </c>
      <c r="H927"/>
      <c r="I927" s="32" t="b">
        <v>0</v>
      </c>
      <c r="J927" s="32" t="b">
        <v>0</v>
      </c>
      <c r="K927" s="47">
        <f>30*10*2.2</f>
        <v>660</v>
      </c>
      <c r="L927" s="48"/>
      <c r="M927" s="47"/>
      <c r="N927" s="47"/>
      <c r="O927" s="47"/>
      <c r="P927" s="47"/>
      <c r="Q927" s="47"/>
      <c r="R927" s="47"/>
      <c r="S927" s="48">
        <v>1</v>
      </c>
      <c r="T927" s="47"/>
      <c r="U927" s="47"/>
      <c r="V927" s="47"/>
      <c r="W927" s="47">
        <f>(2600)*39.37/12</f>
        <v>8530.1666666666661</v>
      </c>
      <c r="X927" s="47"/>
      <c r="Y927" s="47" t="s">
        <v>51</v>
      </c>
      <c r="Z927" s="47" t="s">
        <v>1846</v>
      </c>
      <c r="AA927" s="49">
        <v>0.88541666666666663</v>
      </c>
      <c r="AB927" s="49"/>
      <c r="AC927" s="49"/>
      <c r="AD927" s="50">
        <f>2+25/60</f>
        <v>2.4166666666666665</v>
      </c>
      <c r="AE927" s="47" t="s">
        <v>342</v>
      </c>
      <c r="AF927" s="47">
        <v>75</v>
      </c>
      <c r="AG927"/>
      <c r="AH927"/>
      <c r="AI927"/>
      <c r="AJ927"/>
      <c r="AK927">
        <v>30</v>
      </c>
      <c r="AL927"/>
      <c r="AM927"/>
      <c r="AN927"/>
      <c r="AO927"/>
      <c r="AP927"/>
      <c r="AQ927" s="32" t="s">
        <v>2070</v>
      </c>
      <c r="AR927" s="32" t="s">
        <v>2076</v>
      </c>
      <c r="AU927">
        <v>926</v>
      </c>
    </row>
    <row r="928" spans="1:47" x14ac:dyDescent="0.2">
      <c r="A928" s="37">
        <v>6112</v>
      </c>
      <c r="B928" s="38" t="s">
        <v>45</v>
      </c>
      <c r="C928" s="39" t="s">
        <v>1843</v>
      </c>
      <c r="D928" s="29"/>
      <c r="E928" s="38" t="s">
        <v>1168</v>
      </c>
      <c r="F928" s="31" t="s">
        <v>150</v>
      </c>
      <c r="G928" s="47" t="s">
        <v>49</v>
      </c>
      <c r="H928"/>
      <c r="I928" s="32" t="b">
        <v>0</v>
      </c>
      <c r="J928" s="32" t="b">
        <v>0</v>
      </c>
      <c r="K928" s="47">
        <f>30*10*2.2</f>
        <v>660</v>
      </c>
      <c r="L928" s="48"/>
      <c r="M928" s="47"/>
      <c r="N928" s="47"/>
      <c r="O928" s="47"/>
      <c r="P928" s="47"/>
      <c r="Q928" s="47"/>
      <c r="R928" s="47"/>
      <c r="S928" s="48">
        <v>1</v>
      </c>
      <c r="T928" s="47"/>
      <c r="U928" s="47"/>
      <c r="V928" s="47"/>
      <c r="W928" s="47">
        <f>(2600)*39.37/12</f>
        <v>8530.1666666666661</v>
      </c>
      <c r="X928" s="47"/>
      <c r="Y928" s="47" t="s">
        <v>51</v>
      </c>
      <c r="Z928" s="47" t="s">
        <v>1846</v>
      </c>
      <c r="AA928" s="49">
        <v>0.88541666666666663</v>
      </c>
      <c r="AB928" s="49"/>
      <c r="AC928" s="49"/>
      <c r="AD928" s="50">
        <f>2+20/60</f>
        <v>2.3333333333333335</v>
      </c>
      <c r="AE928" s="47" t="s">
        <v>342</v>
      </c>
      <c r="AF928" s="47">
        <v>40</v>
      </c>
      <c r="AG928"/>
      <c r="AH928"/>
      <c r="AI928"/>
      <c r="AJ928"/>
      <c r="AK928">
        <v>30</v>
      </c>
      <c r="AL928"/>
      <c r="AM928"/>
      <c r="AN928"/>
      <c r="AO928"/>
      <c r="AP928"/>
      <c r="AQ928" s="32" t="s">
        <v>2070</v>
      </c>
      <c r="AR928" s="32" t="s">
        <v>2077</v>
      </c>
      <c r="AU928">
        <v>927</v>
      </c>
    </row>
    <row r="929" spans="1:47" x14ac:dyDescent="0.2">
      <c r="A929" s="37">
        <v>6112</v>
      </c>
      <c r="B929" s="38" t="s">
        <v>45</v>
      </c>
      <c r="C929" s="39" t="s">
        <v>156</v>
      </c>
      <c r="D929" s="29"/>
      <c r="E929" s="38" t="s">
        <v>2057</v>
      </c>
      <c r="F929" s="32" t="s">
        <v>1663</v>
      </c>
      <c r="G929" s="47" t="s">
        <v>481</v>
      </c>
      <c r="H929"/>
      <c r="I929" s="32" t="s">
        <v>2078</v>
      </c>
      <c r="J929" s="47"/>
      <c r="K929" s="47"/>
      <c r="L929" s="48"/>
      <c r="M929" s="47"/>
      <c r="N929" s="47"/>
      <c r="O929" s="47"/>
      <c r="P929" s="47"/>
      <c r="Q929" s="47"/>
      <c r="R929" s="47"/>
      <c r="S929" s="48"/>
      <c r="T929" s="47"/>
      <c r="U929" s="47"/>
      <c r="V929" s="47"/>
      <c r="W929" s="47"/>
      <c r="X929" s="47"/>
      <c r="Y929" s="47"/>
      <c r="Z929" s="47"/>
      <c r="AA929" s="49"/>
      <c r="AB929" s="49"/>
      <c r="AC929" s="49"/>
      <c r="AD929" s="50"/>
      <c r="AE929" s="47"/>
      <c r="AF929" s="47"/>
      <c r="AG929"/>
      <c r="AH929"/>
      <c r="AI929"/>
      <c r="AJ929"/>
      <c r="AK929"/>
      <c r="AL929"/>
      <c r="AM929"/>
      <c r="AN929"/>
      <c r="AO929"/>
      <c r="AP929"/>
      <c r="AQ929" t="s">
        <v>2079</v>
      </c>
      <c r="AU929">
        <v>928</v>
      </c>
    </row>
    <row r="930" spans="1:47" x14ac:dyDescent="0.2">
      <c r="A930" s="37">
        <v>6112</v>
      </c>
      <c r="B930" s="38" t="s">
        <v>45</v>
      </c>
      <c r="C930" s="39" t="s">
        <v>1561</v>
      </c>
      <c r="D930" s="29"/>
      <c r="E930" s="38" t="s">
        <v>1983</v>
      </c>
      <c r="F930" s="31" t="s">
        <v>1972</v>
      </c>
      <c r="G930" s="47" t="s">
        <v>481</v>
      </c>
      <c r="H930"/>
      <c r="I930" s="32" t="s">
        <v>2080</v>
      </c>
      <c r="J930" s="47"/>
      <c r="K930" s="47">
        <f>10*10*2.2</f>
        <v>220.00000000000003</v>
      </c>
      <c r="L930" s="48"/>
      <c r="M930" s="47"/>
      <c r="N930" s="47"/>
      <c r="O930" s="47"/>
      <c r="P930" s="47"/>
      <c r="Q930" s="47"/>
      <c r="R930" s="47"/>
      <c r="S930" s="48">
        <v>1</v>
      </c>
      <c r="T930" s="47">
        <v>0</v>
      </c>
      <c r="U930" s="47">
        <v>0</v>
      </c>
      <c r="V930" s="47">
        <v>0</v>
      </c>
      <c r="W930" s="47"/>
      <c r="X930" s="47"/>
      <c r="Y930" s="47" t="s">
        <v>51</v>
      </c>
      <c r="Z930" s="47" t="s">
        <v>1565</v>
      </c>
      <c r="AA930" s="49"/>
      <c r="AB930" s="49"/>
      <c r="AC930" s="49">
        <v>6.9444444444444441E-3</v>
      </c>
      <c r="AD930" s="50"/>
      <c r="AE930" s="31" t="s">
        <v>342</v>
      </c>
      <c r="AF930" s="47">
        <v>65</v>
      </c>
      <c r="AG930"/>
      <c r="AH930"/>
      <c r="AI930"/>
      <c r="AJ930"/>
      <c r="AK930">
        <v>10</v>
      </c>
      <c r="AL930"/>
      <c r="AM930"/>
      <c r="AN930"/>
      <c r="AO930"/>
      <c r="AP930"/>
      <c r="AQ930" s="32" t="s">
        <v>2081</v>
      </c>
      <c r="AU930">
        <v>929</v>
      </c>
    </row>
    <row r="931" spans="1:47" x14ac:dyDescent="0.2">
      <c r="A931" s="37">
        <v>6112</v>
      </c>
      <c r="B931" s="38" t="s">
        <v>45</v>
      </c>
      <c r="C931" s="39" t="s">
        <v>1561</v>
      </c>
      <c r="D931" s="29"/>
      <c r="E931" s="38" t="s">
        <v>2082</v>
      </c>
      <c r="F931" s="31" t="s">
        <v>1976</v>
      </c>
      <c r="G931" s="47" t="s">
        <v>49</v>
      </c>
      <c r="H931"/>
      <c r="I931" s="32" t="s">
        <v>2080</v>
      </c>
      <c r="J931" s="47"/>
      <c r="K931" s="47">
        <f>6*10*2.2</f>
        <v>132</v>
      </c>
      <c r="L931" s="48"/>
      <c r="M931" s="47"/>
      <c r="N931" s="47"/>
      <c r="O931" s="47"/>
      <c r="P931" s="47"/>
      <c r="Q931" s="47"/>
      <c r="R931" s="47"/>
      <c r="S931" s="48">
        <v>1</v>
      </c>
      <c r="T931" s="47">
        <v>0</v>
      </c>
      <c r="U931" s="47">
        <v>0</v>
      </c>
      <c r="V931" s="47">
        <v>0</v>
      </c>
      <c r="W931" s="47"/>
      <c r="X931" s="47"/>
      <c r="Y931" s="47" t="s">
        <v>51</v>
      </c>
      <c r="Z931" s="47" t="s">
        <v>1565</v>
      </c>
      <c r="AA931" s="49"/>
      <c r="AB931" s="49"/>
      <c r="AC931" s="49">
        <v>6.9444444444444441E-3</v>
      </c>
      <c r="AD931" s="50"/>
      <c r="AE931" s="31" t="s">
        <v>342</v>
      </c>
      <c r="AF931" s="47">
        <v>45</v>
      </c>
      <c r="AG931"/>
      <c r="AH931"/>
      <c r="AI931"/>
      <c r="AJ931"/>
      <c r="AK931">
        <v>6</v>
      </c>
      <c r="AL931"/>
      <c r="AM931"/>
      <c r="AN931"/>
      <c r="AO931"/>
      <c r="AP931"/>
      <c r="AQ931" s="32" t="s">
        <v>2081</v>
      </c>
      <c r="AU931">
        <v>930</v>
      </c>
    </row>
    <row r="932" spans="1:47" x14ac:dyDescent="0.2">
      <c r="A932" s="37">
        <v>6112</v>
      </c>
      <c r="B932" s="38" t="s">
        <v>45</v>
      </c>
      <c r="C932" s="39" t="s">
        <v>1561</v>
      </c>
      <c r="D932" s="29"/>
      <c r="E932" s="38" t="s">
        <v>1455</v>
      </c>
      <c r="F932" s="31" t="s">
        <v>1972</v>
      </c>
      <c r="G932" s="47" t="s">
        <v>481</v>
      </c>
      <c r="H932"/>
      <c r="I932" s="32" t="s">
        <v>2080</v>
      </c>
      <c r="J932" s="47"/>
      <c r="K932" s="47">
        <f>6*10*2.2</f>
        <v>132</v>
      </c>
      <c r="L932" s="48"/>
      <c r="M932" s="47"/>
      <c r="N932" s="47"/>
      <c r="O932" s="47"/>
      <c r="P932" s="47"/>
      <c r="Q932" s="47"/>
      <c r="R932" s="47"/>
      <c r="S932" s="48">
        <v>1</v>
      </c>
      <c r="T932" s="47">
        <v>0</v>
      </c>
      <c r="U932" s="47">
        <v>0</v>
      </c>
      <c r="V932" s="47">
        <v>0</v>
      </c>
      <c r="W932" s="47"/>
      <c r="X932" s="47"/>
      <c r="Y932" s="47" t="s">
        <v>51</v>
      </c>
      <c r="Z932" s="47" t="s">
        <v>1565</v>
      </c>
      <c r="AA932" s="49"/>
      <c r="AB932" s="49"/>
      <c r="AC932" s="49">
        <v>6.9444444444444441E-3</v>
      </c>
      <c r="AD932" s="50"/>
      <c r="AE932" s="31" t="s">
        <v>342</v>
      </c>
      <c r="AF932" s="47">
        <v>60</v>
      </c>
      <c r="AG932"/>
      <c r="AH932"/>
      <c r="AI932"/>
      <c r="AJ932"/>
      <c r="AK932">
        <v>6</v>
      </c>
      <c r="AL932"/>
      <c r="AM932"/>
      <c r="AN932"/>
      <c r="AO932"/>
      <c r="AP932"/>
      <c r="AQ932" s="32" t="s">
        <v>2081</v>
      </c>
      <c r="AU932">
        <v>931</v>
      </c>
    </row>
    <row r="933" spans="1:47" x14ac:dyDescent="0.2">
      <c r="A933" s="26">
        <v>6112</v>
      </c>
      <c r="B933" s="27" t="s">
        <v>45</v>
      </c>
      <c r="C933" s="28"/>
      <c r="D933" s="29"/>
      <c r="E933" s="30" t="s">
        <v>1823</v>
      </c>
      <c r="H933" s="32">
        <v>0</v>
      </c>
      <c r="I933" s="32" t="s">
        <v>1824</v>
      </c>
      <c r="AG933" s="32">
        <v>0</v>
      </c>
      <c r="AH933" s="32">
        <v>0</v>
      </c>
      <c r="AI933" s="32">
        <v>0</v>
      </c>
      <c r="AK933" s="32">
        <v>0</v>
      </c>
      <c r="AM933" s="32">
        <v>10000</v>
      </c>
      <c r="AO933" s="73" t="s">
        <v>75</v>
      </c>
      <c r="AQ933" s="32" t="s">
        <v>589</v>
      </c>
      <c r="AU933">
        <v>932</v>
      </c>
    </row>
    <row r="934" spans="1:47" x14ac:dyDescent="0.2">
      <c r="A934" s="37">
        <v>6113</v>
      </c>
      <c r="B934" s="38" t="s">
        <v>85</v>
      </c>
      <c r="C934" s="39" t="s">
        <v>253</v>
      </c>
      <c r="D934" s="29"/>
      <c r="E934" s="38" t="s">
        <v>2083</v>
      </c>
      <c r="F934" s="32" t="s">
        <v>107</v>
      </c>
      <c r="G934" s="47"/>
      <c r="H934"/>
      <c r="I934" s="32"/>
      <c r="J934" s="47"/>
      <c r="K934" s="47"/>
      <c r="L934" s="48"/>
      <c r="M934" s="47"/>
      <c r="N934" s="47"/>
      <c r="O934" s="47"/>
      <c r="P934" s="47"/>
      <c r="Q934" s="47"/>
      <c r="R934" s="47"/>
      <c r="S934" s="48"/>
      <c r="T934" s="47"/>
      <c r="U934" s="47"/>
      <c r="V934" s="47"/>
      <c r="W934" s="47"/>
      <c r="X934" s="47"/>
      <c r="Y934" s="47"/>
      <c r="Z934" s="47"/>
      <c r="AA934" s="49"/>
      <c r="AB934" s="49"/>
      <c r="AC934" s="49"/>
      <c r="AD934" s="50"/>
      <c r="AE934" s="47"/>
      <c r="AF934" s="47"/>
      <c r="AG934"/>
      <c r="AH934"/>
      <c r="AI934"/>
      <c r="AJ934"/>
      <c r="AK934"/>
      <c r="AL934"/>
      <c r="AM934"/>
      <c r="AN934"/>
      <c r="AO934"/>
      <c r="AP934"/>
      <c r="AQ934" s="32" t="s">
        <v>1375</v>
      </c>
      <c r="AU934">
        <v>933</v>
      </c>
    </row>
    <row r="935" spans="1:47" x14ac:dyDescent="0.2">
      <c r="A935" s="37">
        <v>6113</v>
      </c>
      <c r="B935" s="38" t="s">
        <v>45</v>
      </c>
      <c r="C935" s="39" t="s">
        <v>253</v>
      </c>
      <c r="D935" s="29"/>
      <c r="E935" s="38" t="s">
        <v>1397</v>
      </c>
      <c r="F935" s="32" t="s">
        <v>150</v>
      </c>
      <c r="G935" s="47"/>
      <c r="H935"/>
      <c r="I935" s="32"/>
      <c r="J935" s="47"/>
      <c r="K935" s="47"/>
      <c r="L935" s="48"/>
      <c r="M935" s="47"/>
      <c r="N935" s="47"/>
      <c r="O935" s="47"/>
      <c r="P935" s="47"/>
      <c r="Q935" s="47"/>
      <c r="R935" s="47"/>
      <c r="S935" s="48"/>
      <c r="T935" s="47"/>
      <c r="U935" s="47"/>
      <c r="V935" s="47"/>
      <c r="W935" s="47"/>
      <c r="X935" s="47"/>
      <c r="Y935" s="47"/>
      <c r="Z935" s="47"/>
      <c r="AA935" s="49"/>
      <c r="AB935" s="49"/>
      <c r="AC935" s="49"/>
      <c r="AD935" s="50"/>
      <c r="AE935" s="47"/>
      <c r="AF935" s="47"/>
      <c r="AG935"/>
      <c r="AH935"/>
      <c r="AI935"/>
      <c r="AJ935"/>
      <c r="AK935"/>
      <c r="AL935"/>
      <c r="AM935"/>
      <c r="AN935"/>
      <c r="AO935"/>
      <c r="AP935"/>
      <c r="AQ935" s="32" t="s">
        <v>1939</v>
      </c>
      <c r="AU935">
        <v>934</v>
      </c>
    </row>
    <row r="936" spans="1:47" x14ac:dyDescent="0.2">
      <c r="A936" s="37">
        <v>6113</v>
      </c>
      <c r="B936" s="38" t="s">
        <v>45</v>
      </c>
      <c r="C936" s="39" t="s">
        <v>425</v>
      </c>
      <c r="D936" s="29"/>
      <c r="E936" s="38" t="s">
        <v>2084</v>
      </c>
      <c r="F936" s="31" t="s">
        <v>2085</v>
      </c>
      <c r="G936" s="47" t="s">
        <v>73</v>
      </c>
      <c r="H936"/>
      <c r="I936" s="32" t="s">
        <v>1793</v>
      </c>
      <c r="J936" s="47"/>
      <c r="K936" s="47">
        <f>102*10*2.2</f>
        <v>2244</v>
      </c>
      <c r="L936" s="48"/>
      <c r="M936" s="47"/>
      <c r="N936" s="47"/>
      <c r="O936" s="47"/>
      <c r="P936" s="47"/>
      <c r="Q936" s="47"/>
      <c r="R936" s="47"/>
      <c r="S936" s="48">
        <v>13</v>
      </c>
      <c r="T936" s="47">
        <v>0</v>
      </c>
      <c r="U936" s="47">
        <v>0</v>
      </c>
      <c r="V936" s="47">
        <v>0</v>
      </c>
      <c r="W936" s="47"/>
      <c r="X936" s="47"/>
      <c r="Y936" s="47" t="s">
        <v>51</v>
      </c>
      <c r="Z936" s="47" t="s">
        <v>146</v>
      </c>
      <c r="AA936" s="49"/>
      <c r="AB936" s="49"/>
      <c r="AC936" s="49"/>
      <c r="AD936" s="50"/>
      <c r="AE936" s="47" t="s">
        <v>1578</v>
      </c>
      <c r="AF936" s="47">
        <v>50</v>
      </c>
      <c r="AG936"/>
      <c r="AH936"/>
      <c r="AI936"/>
      <c r="AJ936"/>
      <c r="AK936">
        <v>102</v>
      </c>
      <c r="AL936"/>
      <c r="AM936"/>
      <c r="AN936"/>
      <c r="AO936"/>
      <c r="AP936"/>
      <c r="AQ936" s="32" t="s">
        <v>2086</v>
      </c>
      <c r="AU936">
        <v>935</v>
      </c>
    </row>
    <row r="937" spans="1:47" x14ac:dyDescent="0.2">
      <c r="A937" s="26">
        <v>6113</v>
      </c>
      <c r="B937" s="27">
        <v>0.95833333333333337</v>
      </c>
      <c r="C937" s="28"/>
      <c r="D937" s="29"/>
      <c r="E937" s="30" t="s">
        <v>2023</v>
      </c>
      <c r="H937" s="32">
        <v>1</v>
      </c>
      <c r="I937" s="32" t="s">
        <v>2024</v>
      </c>
      <c r="AI937" s="32">
        <v>980</v>
      </c>
      <c r="AK937" s="32">
        <v>4</v>
      </c>
      <c r="AM937" s="32">
        <f>8*500</f>
        <v>4000</v>
      </c>
      <c r="AO937" s="32" t="s">
        <v>2025</v>
      </c>
      <c r="AQ937" s="32">
        <v>416</v>
      </c>
      <c r="AU937">
        <v>936</v>
      </c>
    </row>
    <row r="938" spans="1:47" x14ac:dyDescent="0.2">
      <c r="A938" s="26">
        <v>6113</v>
      </c>
      <c r="B938" s="27" t="s">
        <v>45</v>
      </c>
      <c r="C938" s="28"/>
      <c r="D938" s="29"/>
      <c r="E938" s="30" t="s">
        <v>2087</v>
      </c>
      <c r="H938" s="32">
        <v>1</v>
      </c>
      <c r="I938" s="32" t="s">
        <v>2088</v>
      </c>
      <c r="AG938" s="32">
        <v>0</v>
      </c>
      <c r="AH938" s="32">
        <v>0</v>
      </c>
      <c r="AK938" s="32">
        <v>6</v>
      </c>
      <c r="AL938" s="32">
        <v>0</v>
      </c>
      <c r="AP938" s="32">
        <v>0.5</v>
      </c>
      <c r="AQ938" s="32">
        <v>418</v>
      </c>
      <c r="AU938">
        <v>937</v>
      </c>
    </row>
    <row r="939" spans="1:47" x14ac:dyDescent="0.2">
      <c r="A939" s="26">
        <v>6113</v>
      </c>
      <c r="B939" s="27" t="s">
        <v>45</v>
      </c>
      <c r="C939" s="28"/>
      <c r="D939" s="29"/>
      <c r="E939" s="30" t="s">
        <v>1531</v>
      </c>
      <c r="H939" s="32">
        <v>1</v>
      </c>
      <c r="I939" s="32" t="s">
        <v>2089</v>
      </c>
      <c r="AM939" s="32">
        <f>498*43</f>
        <v>21414</v>
      </c>
      <c r="AO939" s="32" t="s">
        <v>1533</v>
      </c>
      <c r="AQ939" s="32" t="s">
        <v>1101</v>
      </c>
      <c r="AU939">
        <v>938</v>
      </c>
    </row>
    <row r="940" spans="1:47" x14ac:dyDescent="0.2">
      <c r="A940" s="37">
        <v>6114</v>
      </c>
      <c r="B940" s="38" t="s">
        <v>45</v>
      </c>
      <c r="C940" s="39" t="s">
        <v>425</v>
      </c>
      <c r="D940" s="29"/>
      <c r="E940" s="38" t="s">
        <v>1693</v>
      </c>
      <c r="F940" s="32" t="s">
        <v>1986</v>
      </c>
      <c r="G940" s="47" t="s">
        <v>49</v>
      </c>
      <c r="H940"/>
      <c r="I940" s="32" t="s">
        <v>2090</v>
      </c>
      <c r="J940" s="47"/>
      <c r="K940" s="47">
        <f>112*10*2.2</f>
        <v>2464</v>
      </c>
      <c r="L940" s="48"/>
      <c r="M940" s="47"/>
      <c r="N940" s="47"/>
      <c r="O940" s="47"/>
      <c r="P940" s="47"/>
      <c r="Q940" s="47"/>
      <c r="R940" s="47"/>
      <c r="S940" s="48">
        <v>14</v>
      </c>
      <c r="T940" s="47">
        <v>0</v>
      </c>
      <c r="U940" s="47">
        <v>0</v>
      </c>
      <c r="V940" s="47">
        <v>0</v>
      </c>
      <c r="W940" s="47"/>
      <c r="X940" s="47"/>
      <c r="Y940" s="47" t="s">
        <v>51</v>
      </c>
      <c r="Z940" s="47" t="s">
        <v>146</v>
      </c>
      <c r="AA940" s="49"/>
      <c r="AB940" s="49"/>
      <c r="AC940" s="49"/>
      <c r="AD940" s="50"/>
      <c r="AE940" s="47" t="s">
        <v>1578</v>
      </c>
      <c r="AF940" s="47">
        <v>50</v>
      </c>
      <c r="AG940"/>
      <c r="AH940"/>
      <c r="AI940"/>
      <c r="AJ940"/>
      <c r="AK940" s="32">
        <v>112</v>
      </c>
      <c r="AL940"/>
      <c r="AM940"/>
      <c r="AN940"/>
      <c r="AO940"/>
      <c r="AP940"/>
      <c r="AQ940" s="32" t="s">
        <v>2067</v>
      </c>
      <c r="AU940">
        <v>939</v>
      </c>
    </row>
    <row r="941" spans="1:47" x14ac:dyDescent="0.2">
      <c r="A941" s="26">
        <v>6114</v>
      </c>
      <c r="B941" s="27" t="s">
        <v>45</v>
      </c>
      <c r="C941" s="28"/>
      <c r="D941" s="29"/>
      <c r="E941" s="30" t="s">
        <v>1531</v>
      </c>
      <c r="H941" s="32">
        <v>0</v>
      </c>
      <c r="I941" s="32" t="s">
        <v>1532</v>
      </c>
      <c r="AG941" s="32">
        <v>0</v>
      </c>
      <c r="AH941" s="32">
        <v>0</v>
      </c>
      <c r="AI941" s="32">
        <v>0</v>
      </c>
      <c r="AK941" s="32">
        <v>0</v>
      </c>
      <c r="AM941" s="32">
        <f>498*63</f>
        <v>31374</v>
      </c>
      <c r="AO941" s="32" t="s">
        <v>1533</v>
      </c>
      <c r="AQ941" s="32" t="s">
        <v>1101</v>
      </c>
      <c r="AU941">
        <v>940</v>
      </c>
    </row>
    <row r="942" spans="1:47" x14ac:dyDescent="0.2">
      <c r="A942" s="26">
        <v>6114</v>
      </c>
      <c r="B942" s="27" t="s">
        <v>45</v>
      </c>
      <c r="C942" s="28"/>
      <c r="D942" s="29"/>
      <c r="E942" s="30" t="s">
        <v>1823</v>
      </c>
      <c r="H942" s="32">
        <v>0</v>
      </c>
      <c r="I942" s="32" t="s">
        <v>1824</v>
      </c>
      <c r="AG942" s="32">
        <v>0</v>
      </c>
      <c r="AH942" s="32">
        <v>0</v>
      </c>
      <c r="AI942" s="32">
        <v>0</v>
      </c>
      <c r="AK942" s="32">
        <v>0</v>
      </c>
      <c r="AM942" s="32">
        <v>2500</v>
      </c>
      <c r="AO942" s="73" t="s">
        <v>75</v>
      </c>
      <c r="AQ942" s="32" t="s">
        <v>589</v>
      </c>
      <c r="AU942">
        <v>941</v>
      </c>
    </row>
    <row r="943" spans="1:47" x14ac:dyDescent="0.2">
      <c r="A943" s="26">
        <v>6115</v>
      </c>
      <c r="B943" s="27" t="s">
        <v>45</v>
      </c>
      <c r="C943" s="28"/>
      <c r="D943" s="29"/>
      <c r="E943" s="30" t="s">
        <v>1531</v>
      </c>
      <c r="H943" s="32">
        <v>0</v>
      </c>
      <c r="I943" s="32" t="s">
        <v>1532</v>
      </c>
      <c r="AG943" s="32">
        <v>0</v>
      </c>
      <c r="AH943" s="32">
        <v>0</v>
      </c>
      <c r="AI943" s="32">
        <v>0</v>
      </c>
      <c r="AK943" s="32">
        <v>0</v>
      </c>
      <c r="AM943" s="32">
        <f>498*50</f>
        <v>24900</v>
      </c>
      <c r="AO943" s="32" t="s">
        <v>1533</v>
      </c>
      <c r="AQ943" s="32" t="s">
        <v>1101</v>
      </c>
      <c r="AU943">
        <v>942</v>
      </c>
    </row>
    <row r="944" spans="1:47" x14ac:dyDescent="0.2">
      <c r="A944" s="26">
        <v>6115</v>
      </c>
      <c r="B944" s="27" t="s">
        <v>45</v>
      </c>
      <c r="C944" s="28"/>
      <c r="D944" s="29"/>
      <c r="E944" s="30" t="s">
        <v>1823</v>
      </c>
      <c r="H944" s="32">
        <v>0</v>
      </c>
      <c r="I944" s="32" t="s">
        <v>1824</v>
      </c>
      <c r="AG944" s="32">
        <v>0</v>
      </c>
      <c r="AH944" s="32">
        <v>0</v>
      </c>
      <c r="AI944" s="32">
        <v>0</v>
      </c>
      <c r="AK944" s="32">
        <v>0</v>
      </c>
      <c r="AM944" s="32">
        <v>2500</v>
      </c>
      <c r="AO944" s="73" t="s">
        <v>75</v>
      </c>
      <c r="AQ944" s="32" t="s">
        <v>589</v>
      </c>
      <c r="AU944">
        <v>943</v>
      </c>
    </row>
    <row r="945" spans="1:47" x14ac:dyDescent="0.2">
      <c r="A945" s="26">
        <v>6118</v>
      </c>
      <c r="B945" s="27" t="s">
        <v>45</v>
      </c>
      <c r="C945" s="28"/>
      <c r="D945" s="29"/>
      <c r="E945" s="30" t="s">
        <v>1531</v>
      </c>
      <c r="H945" s="32">
        <v>0</v>
      </c>
      <c r="I945" s="32" t="s">
        <v>1532</v>
      </c>
      <c r="AG945" s="32">
        <v>0</v>
      </c>
      <c r="AH945" s="32">
        <v>0</v>
      </c>
      <c r="AI945" s="32">
        <v>0</v>
      </c>
      <c r="AK945" s="32">
        <v>0</v>
      </c>
      <c r="AM945" s="32">
        <f>498*37</f>
        <v>18426</v>
      </c>
      <c r="AO945" s="32" t="s">
        <v>1533</v>
      </c>
      <c r="AQ945" s="32" t="s">
        <v>1101</v>
      </c>
      <c r="AU945">
        <v>944</v>
      </c>
    </row>
    <row r="946" spans="1:47" x14ac:dyDescent="0.2">
      <c r="A946" s="26">
        <v>6118</v>
      </c>
      <c r="B946" s="27" t="s">
        <v>45</v>
      </c>
      <c r="C946" s="28"/>
      <c r="D946" s="29"/>
      <c r="E946" s="30" t="s">
        <v>1823</v>
      </c>
      <c r="H946" s="32">
        <v>0</v>
      </c>
      <c r="I946" s="32" t="s">
        <v>1824</v>
      </c>
      <c r="AG946" s="32">
        <v>0</v>
      </c>
      <c r="AH946" s="32">
        <v>0</v>
      </c>
      <c r="AI946" s="32">
        <v>0</v>
      </c>
      <c r="AK946" s="32">
        <v>0</v>
      </c>
      <c r="AM946" s="32">
        <v>1500</v>
      </c>
      <c r="AO946" s="73" t="s">
        <v>75</v>
      </c>
      <c r="AQ946" s="32" t="s">
        <v>589</v>
      </c>
      <c r="AU946">
        <v>945</v>
      </c>
    </row>
    <row r="947" spans="1:47" x14ac:dyDescent="0.2">
      <c r="A947" s="37">
        <v>6122</v>
      </c>
      <c r="B947" s="38" t="s">
        <v>45</v>
      </c>
      <c r="C947" s="39" t="s">
        <v>253</v>
      </c>
      <c r="D947" s="29"/>
      <c r="E947" s="38" t="s">
        <v>782</v>
      </c>
      <c r="F947" s="32" t="s">
        <v>529</v>
      </c>
      <c r="G947" s="47"/>
      <c r="H947"/>
      <c r="I947" s="32"/>
      <c r="J947" s="47"/>
      <c r="K947" s="47"/>
      <c r="L947" s="48"/>
      <c r="M947" s="47"/>
      <c r="N947" s="47"/>
      <c r="O947" s="47"/>
      <c r="P947" s="47"/>
      <c r="Q947" s="47"/>
      <c r="R947" s="47"/>
      <c r="S947" s="48"/>
      <c r="T947" s="47"/>
      <c r="U947" s="47"/>
      <c r="V947" s="47"/>
      <c r="W947" s="47"/>
      <c r="X947" s="47"/>
      <c r="Y947" s="47"/>
      <c r="Z947" s="47"/>
      <c r="AA947" s="49"/>
      <c r="AB947" s="49"/>
      <c r="AC947" s="49"/>
      <c r="AD947" s="50"/>
      <c r="AE947" s="47"/>
      <c r="AF947" s="47"/>
      <c r="AG947"/>
      <c r="AH947"/>
      <c r="AI947"/>
      <c r="AJ947"/>
      <c r="AK947"/>
      <c r="AL947"/>
      <c r="AM947"/>
      <c r="AN947"/>
      <c r="AO947"/>
      <c r="AP947"/>
      <c r="AQ947" t="s">
        <v>2091</v>
      </c>
      <c r="AU947">
        <v>946</v>
      </c>
    </row>
    <row r="948" spans="1:47" x14ac:dyDescent="0.2">
      <c r="A948" s="37">
        <v>6124</v>
      </c>
      <c r="B948" s="38" t="s">
        <v>85</v>
      </c>
      <c r="C948" s="39" t="s">
        <v>2092</v>
      </c>
      <c r="D948" s="29"/>
      <c r="E948" s="38" t="s">
        <v>2093</v>
      </c>
      <c r="F948" s="32" t="s">
        <v>150</v>
      </c>
      <c r="G948" s="47"/>
      <c r="H948"/>
      <c r="I948" s="32" t="s">
        <v>2094</v>
      </c>
      <c r="J948" s="47"/>
      <c r="K948" s="47"/>
      <c r="L948" s="48"/>
      <c r="M948" s="47"/>
      <c r="N948" s="47"/>
      <c r="O948" s="47"/>
      <c r="P948" s="47"/>
      <c r="Q948" s="47"/>
      <c r="R948" s="47"/>
      <c r="S948" s="48"/>
      <c r="T948" s="47"/>
      <c r="U948" s="47"/>
      <c r="V948" s="47"/>
      <c r="W948" s="47"/>
      <c r="X948" s="47"/>
      <c r="Y948" s="47"/>
      <c r="Z948" s="47"/>
      <c r="AA948" s="49"/>
      <c r="AB948" s="49"/>
      <c r="AC948" s="49"/>
      <c r="AD948" s="50"/>
      <c r="AE948" s="47"/>
      <c r="AF948" s="47"/>
      <c r="AG948"/>
      <c r="AH948"/>
      <c r="AI948"/>
      <c r="AJ948"/>
      <c r="AK948"/>
      <c r="AL948"/>
      <c r="AM948"/>
      <c r="AN948"/>
      <c r="AO948"/>
      <c r="AP948"/>
      <c r="AQ948" t="s">
        <v>2095</v>
      </c>
      <c r="AU948">
        <v>947</v>
      </c>
    </row>
    <row r="949" spans="1:47" x14ac:dyDescent="0.2">
      <c r="A949" s="26">
        <v>6124</v>
      </c>
      <c r="B949" s="27" t="s">
        <v>45</v>
      </c>
      <c r="C949" s="28"/>
      <c r="D949" s="29"/>
      <c r="E949" s="30" t="s">
        <v>1531</v>
      </c>
      <c r="H949" s="32">
        <v>0</v>
      </c>
      <c r="I949" s="32" t="s">
        <v>1532</v>
      </c>
      <c r="AG949" s="32">
        <v>0</v>
      </c>
      <c r="AH949" s="32">
        <v>0</v>
      </c>
      <c r="AI949" s="32">
        <v>0</v>
      </c>
      <c r="AK949" s="32">
        <v>0</v>
      </c>
      <c r="AM949" s="32">
        <f>498*67</f>
        <v>33366</v>
      </c>
      <c r="AO949" s="32" t="s">
        <v>1533</v>
      </c>
      <c r="AQ949" s="32" t="s">
        <v>1101</v>
      </c>
      <c r="AU949">
        <v>948</v>
      </c>
    </row>
    <row r="950" spans="1:47" x14ac:dyDescent="0.2">
      <c r="A950" s="26">
        <v>6124</v>
      </c>
      <c r="B950" s="27" t="s">
        <v>45</v>
      </c>
      <c r="C950" s="28"/>
      <c r="D950" s="29"/>
      <c r="E950" s="30" t="s">
        <v>1823</v>
      </c>
      <c r="H950" s="32">
        <v>0</v>
      </c>
      <c r="I950" s="32" t="s">
        <v>1824</v>
      </c>
      <c r="AG950" s="32">
        <v>0</v>
      </c>
      <c r="AH950" s="32">
        <v>0</v>
      </c>
      <c r="AI950" s="32">
        <v>0</v>
      </c>
      <c r="AK950" s="32">
        <v>0</v>
      </c>
      <c r="AM950" s="32">
        <v>2500</v>
      </c>
      <c r="AO950" s="73" t="s">
        <v>75</v>
      </c>
      <c r="AQ950" s="32" t="s">
        <v>589</v>
      </c>
      <c r="AU950">
        <v>949</v>
      </c>
    </row>
    <row r="951" spans="1:47" x14ac:dyDescent="0.2">
      <c r="A951" s="26">
        <v>6125</v>
      </c>
      <c r="B951" s="27" t="s">
        <v>45</v>
      </c>
      <c r="C951" s="28"/>
      <c r="D951" s="29"/>
      <c r="E951" s="30" t="s">
        <v>1531</v>
      </c>
      <c r="H951" s="32">
        <v>0</v>
      </c>
      <c r="I951" s="32" t="s">
        <v>1532</v>
      </c>
      <c r="AG951" s="32">
        <v>0</v>
      </c>
      <c r="AH951" s="32">
        <v>0</v>
      </c>
      <c r="AI951" s="32">
        <v>0</v>
      </c>
      <c r="AK951" s="32">
        <v>0</v>
      </c>
      <c r="AM951" s="32">
        <f>498*35</f>
        <v>17430</v>
      </c>
      <c r="AO951" s="32" t="s">
        <v>1533</v>
      </c>
      <c r="AQ951" s="32" t="s">
        <v>1101</v>
      </c>
      <c r="AU951">
        <v>950</v>
      </c>
    </row>
    <row r="952" spans="1:47" x14ac:dyDescent="0.2">
      <c r="A952" s="37">
        <v>6127</v>
      </c>
      <c r="B952" s="38" t="s">
        <v>45</v>
      </c>
      <c r="C952" s="39" t="s">
        <v>1940</v>
      </c>
      <c r="D952" s="29"/>
      <c r="E952" s="38" t="s">
        <v>1040</v>
      </c>
      <c r="F952" s="32" t="s">
        <v>2096</v>
      </c>
      <c r="G952" s="47" t="s">
        <v>459</v>
      </c>
      <c r="H952"/>
      <c r="I952" s="32" t="s">
        <v>2097</v>
      </c>
      <c r="J952" s="47"/>
      <c r="K952" s="47">
        <f>6*25*2.2</f>
        <v>330</v>
      </c>
      <c r="L952" s="48">
        <v>1</v>
      </c>
      <c r="M952" s="47"/>
      <c r="N952" s="47"/>
      <c r="O952" s="47"/>
      <c r="P952" s="47"/>
      <c r="Q952" s="47"/>
      <c r="R952" s="47"/>
      <c r="S952" s="48">
        <v>1</v>
      </c>
      <c r="T952" s="47">
        <v>0</v>
      </c>
      <c r="U952" s="47">
        <v>0</v>
      </c>
      <c r="V952" s="47">
        <v>0</v>
      </c>
      <c r="W952" s="47">
        <f>1500*39.37/12</f>
        <v>4921.2499999999991</v>
      </c>
      <c r="X952" s="47"/>
      <c r="Y952" s="47" t="s">
        <v>51</v>
      </c>
      <c r="Z952" s="47" t="s">
        <v>1652</v>
      </c>
      <c r="AA952" s="49">
        <v>0.72916666666666663</v>
      </c>
      <c r="AB952" s="49">
        <v>0.99305555555555547</v>
      </c>
      <c r="AC952" s="49">
        <v>0.82638888888888884</v>
      </c>
      <c r="AD952" s="50">
        <f>(AB952-AA952)*24</f>
        <v>6.3333333333333321</v>
      </c>
      <c r="AE952" s="47" t="s">
        <v>1810</v>
      </c>
      <c r="AF952" s="47">
        <v>215</v>
      </c>
      <c r="AG952"/>
      <c r="AH952"/>
      <c r="AI952"/>
      <c r="AJ952"/>
      <c r="AK952" s="32">
        <v>6</v>
      </c>
      <c r="AL952"/>
      <c r="AM952"/>
      <c r="AN952"/>
      <c r="AO952"/>
      <c r="AP952"/>
      <c r="AQ952" s="32" t="s">
        <v>2098</v>
      </c>
      <c r="AU952">
        <v>951</v>
      </c>
    </row>
    <row r="953" spans="1:47" x14ac:dyDescent="0.2">
      <c r="A953" s="26">
        <v>6127</v>
      </c>
      <c r="B953" s="27" t="s">
        <v>45</v>
      </c>
      <c r="C953" s="28"/>
      <c r="D953" s="29"/>
      <c r="E953" s="30" t="s">
        <v>1531</v>
      </c>
      <c r="H953" s="32">
        <v>0</v>
      </c>
      <c r="I953" s="32" t="s">
        <v>1532</v>
      </c>
      <c r="AG953" s="32">
        <v>0</v>
      </c>
      <c r="AH953" s="32">
        <v>0</v>
      </c>
      <c r="AI953" s="32">
        <v>0</v>
      </c>
      <c r="AK953" s="32">
        <v>0</v>
      </c>
      <c r="AM953" s="32">
        <f>498*60</f>
        <v>29880</v>
      </c>
      <c r="AO953" s="32" t="s">
        <v>1533</v>
      </c>
      <c r="AQ953" s="32" t="s">
        <v>1101</v>
      </c>
      <c r="AU953">
        <v>952</v>
      </c>
    </row>
    <row r="954" spans="1:47" x14ac:dyDescent="0.2">
      <c r="A954" s="26">
        <v>6127</v>
      </c>
      <c r="B954" s="27" t="s">
        <v>45</v>
      </c>
      <c r="C954" s="28"/>
      <c r="D954" s="29"/>
      <c r="E954" s="30" t="s">
        <v>1823</v>
      </c>
      <c r="H954" s="32">
        <v>0</v>
      </c>
      <c r="I954" s="32" t="s">
        <v>1824</v>
      </c>
      <c r="AG954" s="32">
        <v>0</v>
      </c>
      <c r="AH954" s="32">
        <v>0</v>
      </c>
      <c r="AI954" s="32">
        <v>0</v>
      </c>
      <c r="AK954" s="32">
        <v>0</v>
      </c>
      <c r="AM954" s="32">
        <v>2500</v>
      </c>
      <c r="AO954" s="73" t="s">
        <v>75</v>
      </c>
      <c r="AQ954" s="32" t="s">
        <v>589</v>
      </c>
      <c r="AU954">
        <v>953</v>
      </c>
    </row>
    <row r="955" spans="1:47" x14ac:dyDescent="0.2">
      <c r="A955" s="37">
        <v>6128</v>
      </c>
      <c r="B955" s="38" t="s">
        <v>85</v>
      </c>
      <c r="C955" s="39" t="s">
        <v>253</v>
      </c>
      <c r="D955" s="29"/>
      <c r="E955" s="38" t="s">
        <v>977</v>
      </c>
      <c r="F955" s="32" t="s">
        <v>83</v>
      </c>
      <c r="G955" s="47"/>
      <c r="H955"/>
      <c r="I955" s="32"/>
      <c r="J955" s="47"/>
      <c r="K955" s="47"/>
      <c r="L955" s="48"/>
      <c r="M955" s="47"/>
      <c r="N955" s="47"/>
      <c r="O955" s="47"/>
      <c r="P955" s="47"/>
      <c r="Q955" s="47"/>
      <c r="R955" s="47"/>
      <c r="S955" s="48"/>
      <c r="T955" s="47"/>
      <c r="U955" s="47"/>
      <c r="V955" s="47"/>
      <c r="W955" s="47"/>
      <c r="X955" s="47"/>
      <c r="Y955" s="47"/>
      <c r="Z955" s="47"/>
      <c r="AA955" s="49"/>
      <c r="AB955" s="49"/>
      <c r="AC955" s="49"/>
      <c r="AD955" s="50"/>
      <c r="AE955" s="47"/>
      <c r="AF955" s="47"/>
      <c r="AG955"/>
      <c r="AH955"/>
      <c r="AI955"/>
      <c r="AJ955"/>
      <c r="AK955"/>
      <c r="AL955"/>
      <c r="AM955"/>
      <c r="AN955"/>
      <c r="AO955"/>
      <c r="AP955"/>
      <c r="AQ955" s="32" t="s">
        <v>1375</v>
      </c>
      <c r="AU955">
        <v>954</v>
      </c>
    </row>
    <row r="956" spans="1:47" x14ac:dyDescent="0.2">
      <c r="A956" s="37">
        <v>6128</v>
      </c>
      <c r="B956" s="38" t="s">
        <v>45</v>
      </c>
      <c r="C956" s="39" t="s">
        <v>425</v>
      </c>
      <c r="D956" s="29"/>
      <c r="E956" s="38" t="s">
        <v>2099</v>
      </c>
      <c r="F956" s="32" t="s">
        <v>2100</v>
      </c>
      <c r="G956" s="47" t="s">
        <v>73</v>
      </c>
      <c r="H956"/>
      <c r="I956" s="32" t="s">
        <v>2101</v>
      </c>
      <c r="J956" s="47"/>
      <c r="K956" s="47">
        <f>88*10*2.2</f>
        <v>1936.0000000000002</v>
      </c>
      <c r="L956" s="48"/>
      <c r="M956" s="47"/>
      <c r="N956" s="47"/>
      <c r="O956" s="47"/>
      <c r="P956" s="47"/>
      <c r="Q956" s="47"/>
      <c r="R956" s="47"/>
      <c r="S956" s="48">
        <v>11</v>
      </c>
      <c r="T956" s="47">
        <v>0</v>
      </c>
      <c r="U956" s="47">
        <v>0</v>
      </c>
      <c r="V956" s="47">
        <v>0</v>
      </c>
      <c r="W956" s="47"/>
      <c r="X956" s="47"/>
      <c r="Y956" s="47" t="s">
        <v>51</v>
      </c>
      <c r="Z956" s="47" t="s">
        <v>146</v>
      </c>
      <c r="AA956" s="49"/>
      <c r="AB956" s="49"/>
      <c r="AC956" s="49"/>
      <c r="AD956" s="50"/>
      <c r="AE956" s="47" t="s">
        <v>1578</v>
      </c>
      <c r="AF956" s="47">
        <v>75</v>
      </c>
      <c r="AG956"/>
      <c r="AH956"/>
      <c r="AI956"/>
      <c r="AJ956"/>
      <c r="AK956">
        <f>88+4</f>
        <v>92</v>
      </c>
      <c r="AL956"/>
      <c r="AM956"/>
      <c r="AN956"/>
      <c r="AO956"/>
      <c r="AP956"/>
      <c r="AQ956" s="32" t="s">
        <v>2102</v>
      </c>
      <c r="AU956">
        <v>955</v>
      </c>
    </row>
    <row r="957" spans="1:47" x14ac:dyDescent="0.2">
      <c r="A957" s="37">
        <v>6128</v>
      </c>
      <c r="B957" s="38" t="s">
        <v>45</v>
      </c>
      <c r="C957" s="39" t="s">
        <v>253</v>
      </c>
      <c r="D957" s="29"/>
      <c r="E957" s="38" t="s">
        <v>782</v>
      </c>
      <c r="F957" s="32" t="s">
        <v>529</v>
      </c>
      <c r="G957" s="47"/>
      <c r="H957"/>
      <c r="I957" s="32"/>
      <c r="J957" s="47"/>
      <c r="K957" s="47"/>
      <c r="L957" s="48"/>
      <c r="M957" s="47"/>
      <c r="N957" s="47"/>
      <c r="O957" s="47"/>
      <c r="P957" s="47"/>
      <c r="Q957" s="47"/>
      <c r="R957" s="47"/>
      <c r="S957" s="48"/>
      <c r="T957" s="47"/>
      <c r="U957" s="47"/>
      <c r="V957" s="47"/>
      <c r="W957" s="47"/>
      <c r="X957" s="47"/>
      <c r="Y957" s="47"/>
      <c r="Z957" s="47"/>
      <c r="AA957" s="49"/>
      <c r="AB957" s="49"/>
      <c r="AC957" s="49"/>
      <c r="AD957" s="50"/>
      <c r="AE957" s="47"/>
      <c r="AF957" s="47"/>
      <c r="AG957"/>
      <c r="AH957"/>
      <c r="AI957"/>
      <c r="AJ957"/>
      <c r="AK957"/>
      <c r="AL957"/>
      <c r="AM957"/>
      <c r="AN957"/>
      <c r="AO957"/>
      <c r="AP957"/>
      <c r="AQ957" s="32" t="s">
        <v>1939</v>
      </c>
      <c r="AU957">
        <v>956</v>
      </c>
    </row>
    <row r="958" spans="1:47" x14ac:dyDescent="0.2">
      <c r="A958" s="59">
        <v>6129</v>
      </c>
      <c r="B958" s="60" t="s">
        <v>85</v>
      </c>
      <c r="C958" s="61" t="s">
        <v>1940</v>
      </c>
      <c r="D958" s="62"/>
      <c r="E958" s="60" t="s">
        <v>894</v>
      </c>
      <c r="F958" s="64" t="s">
        <v>150</v>
      </c>
      <c r="G958" s="66" t="s">
        <v>49</v>
      </c>
      <c r="H958" s="67"/>
      <c r="I958" s="64" t="s">
        <v>2103</v>
      </c>
      <c r="J958" s="47"/>
      <c r="K958" s="47">
        <f>10*25*2.2</f>
        <v>550</v>
      </c>
      <c r="L958" s="48">
        <v>1</v>
      </c>
      <c r="M958" s="47"/>
      <c r="N958" s="47"/>
      <c r="O958" s="47"/>
      <c r="P958" s="47"/>
      <c r="Q958" s="47"/>
      <c r="R958" s="47"/>
      <c r="S958" s="48">
        <v>1</v>
      </c>
      <c r="T958" s="47"/>
      <c r="U958" s="47"/>
      <c r="V958" s="47"/>
      <c r="W958" s="47"/>
      <c r="X958" s="47"/>
      <c r="Y958" s="47"/>
      <c r="Z958" s="47" t="s">
        <v>1652</v>
      </c>
      <c r="AA958" s="49"/>
      <c r="AB958" s="49"/>
      <c r="AC958" s="49"/>
      <c r="AD958" s="50"/>
      <c r="AE958" s="47" t="s">
        <v>1810</v>
      </c>
      <c r="AF958" s="47">
        <v>90</v>
      </c>
      <c r="AG958"/>
      <c r="AH958"/>
      <c r="AI958"/>
      <c r="AJ958"/>
      <c r="AK958">
        <v>10</v>
      </c>
      <c r="AL958"/>
      <c r="AM958"/>
      <c r="AN958"/>
      <c r="AO958"/>
      <c r="AP958"/>
      <c r="AQ958" t="s">
        <v>2104</v>
      </c>
      <c r="AU958">
        <v>957</v>
      </c>
    </row>
    <row r="959" spans="1:47" x14ac:dyDescent="0.2">
      <c r="A959" s="37">
        <v>6129</v>
      </c>
      <c r="B959" s="38" t="s">
        <v>45</v>
      </c>
      <c r="C959" s="39" t="s">
        <v>253</v>
      </c>
      <c r="D959" s="29"/>
      <c r="E959" s="38" t="s">
        <v>432</v>
      </c>
      <c r="F959" s="32" t="s">
        <v>150</v>
      </c>
      <c r="G959" s="47"/>
      <c r="H959"/>
      <c r="I959" s="32"/>
      <c r="J959" s="47"/>
      <c r="K959" s="47"/>
      <c r="L959" s="48"/>
      <c r="M959" s="47"/>
      <c r="N959" s="47"/>
      <c r="O959" s="47"/>
      <c r="P959" s="47"/>
      <c r="Q959" s="47"/>
      <c r="R959" s="47"/>
      <c r="S959" s="48"/>
      <c r="T959" s="47"/>
      <c r="U959" s="47"/>
      <c r="V959" s="47"/>
      <c r="W959" s="47"/>
      <c r="X959" s="47"/>
      <c r="Y959" s="47"/>
      <c r="Z959" s="47"/>
      <c r="AA959" s="49"/>
      <c r="AB959" s="49"/>
      <c r="AC959" s="49"/>
      <c r="AD959" s="50"/>
      <c r="AE959" s="47"/>
      <c r="AF959" s="47"/>
      <c r="AG959"/>
      <c r="AH959"/>
      <c r="AI959"/>
      <c r="AJ959"/>
      <c r="AK959"/>
      <c r="AL959"/>
      <c r="AM959"/>
      <c r="AN959"/>
      <c r="AO959"/>
      <c r="AP959"/>
      <c r="AQ959" s="32" t="s">
        <v>1939</v>
      </c>
      <c r="AU959">
        <v>958</v>
      </c>
    </row>
    <row r="960" spans="1:47" x14ac:dyDescent="0.2">
      <c r="A960" s="26">
        <v>6129</v>
      </c>
      <c r="B960" s="27" t="s">
        <v>85</v>
      </c>
      <c r="C960" s="28"/>
      <c r="D960" s="29"/>
      <c r="E960" s="30" t="s">
        <v>1461</v>
      </c>
      <c r="H960" s="32">
        <v>1</v>
      </c>
      <c r="I960" s="32" t="s">
        <v>2105</v>
      </c>
      <c r="AG960" s="32">
        <v>0</v>
      </c>
      <c r="AH960" s="32">
        <v>0</v>
      </c>
      <c r="AI960" s="32">
        <v>488</v>
      </c>
      <c r="AK960" s="32">
        <v>12</v>
      </c>
      <c r="AO960" s="32" t="s">
        <v>1463</v>
      </c>
      <c r="AQ960" s="32">
        <v>402</v>
      </c>
      <c r="AU960">
        <v>959</v>
      </c>
    </row>
    <row r="961" spans="1:47" x14ac:dyDescent="0.2">
      <c r="A961" s="133">
        <v>6130</v>
      </c>
      <c r="B961" s="39" t="s">
        <v>85</v>
      </c>
      <c r="C961" s="39" t="s">
        <v>2106</v>
      </c>
      <c r="D961" s="29" t="b">
        <v>0</v>
      </c>
      <c r="E961" s="39" t="s">
        <v>2107</v>
      </c>
      <c r="H961" s="32"/>
      <c r="I961" s="134" t="s">
        <v>2108</v>
      </c>
      <c r="J961" s="47" t="b">
        <v>1</v>
      </c>
      <c r="L961" s="33">
        <v>39</v>
      </c>
      <c r="N961" s="31">
        <v>9</v>
      </c>
      <c r="S961" s="33">
        <v>24</v>
      </c>
      <c r="T961" s="31">
        <v>10</v>
      </c>
      <c r="AQ961" s="32" t="s">
        <v>2109</v>
      </c>
      <c r="AU961">
        <v>960</v>
      </c>
    </row>
    <row r="962" spans="1:47" x14ac:dyDescent="0.2">
      <c r="A962" s="133">
        <v>6130</v>
      </c>
      <c r="B962" s="39" t="s">
        <v>85</v>
      </c>
      <c r="C962" s="39" t="s">
        <v>1806</v>
      </c>
      <c r="D962" s="29" t="b">
        <v>0</v>
      </c>
      <c r="E962" s="39" t="s">
        <v>2110</v>
      </c>
      <c r="F962" s="47" t="s">
        <v>2111</v>
      </c>
      <c r="G962" s="47" t="s">
        <v>274</v>
      </c>
      <c r="H962"/>
      <c r="I962" s="134" t="s">
        <v>2112</v>
      </c>
      <c r="J962" s="47" t="b">
        <v>1</v>
      </c>
      <c r="K962" s="47">
        <v>3867</v>
      </c>
      <c r="L962" s="48">
        <v>19</v>
      </c>
      <c r="M962" s="47"/>
      <c r="N962" s="47">
        <v>4</v>
      </c>
      <c r="O962" s="47"/>
      <c r="P962" s="47"/>
      <c r="Q962" s="47"/>
      <c r="R962" s="47"/>
      <c r="S962" s="48">
        <v>15</v>
      </c>
      <c r="T962" s="47">
        <v>3</v>
      </c>
      <c r="U962" s="47"/>
      <c r="V962" s="47"/>
      <c r="W962" s="47">
        <v>6000</v>
      </c>
      <c r="X962" s="47"/>
      <c r="Y962" s="47" t="s">
        <v>120</v>
      </c>
      <c r="Z962" s="47" t="s">
        <v>2113</v>
      </c>
      <c r="AA962" s="49">
        <v>0.5625</v>
      </c>
      <c r="AB962" s="49"/>
      <c r="AC962" s="49">
        <v>0.64583333333333337</v>
      </c>
      <c r="AD962" s="50"/>
      <c r="AE962" s="114" t="s">
        <v>1810</v>
      </c>
      <c r="AF962" s="114">
        <f>111.5/0.62</f>
        <v>179.83870967741936</v>
      </c>
      <c r="AG962" s="114"/>
      <c r="AH962" s="115"/>
      <c r="AI962" s="115"/>
      <c r="AJ962" s="115"/>
      <c r="AK962" s="115"/>
      <c r="AL962" s="115"/>
      <c r="AM962"/>
      <c r="AN962"/>
      <c r="AO962"/>
      <c r="AP962"/>
      <c r="AQ962" s="32" t="s">
        <v>2109</v>
      </c>
      <c r="AU962">
        <v>961</v>
      </c>
    </row>
    <row r="963" spans="1:47" x14ac:dyDescent="0.2">
      <c r="A963" s="37">
        <v>6130</v>
      </c>
      <c r="B963" s="38" t="s">
        <v>85</v>
      </c>
      <c r="C963" s="39" t="s">
        <v>2114</v>
      </c>
      <c r="D963" s="29"/>
      <c r="E963" s="38" t="s">
        <v>2107</v>
      </c>
      <c r="F963" s="32" t="s">
        <v>2115</v>
      </c>
      <c r="G963" s="47" t="s">
        <v>274</v>
      </c>
      <c r="H963"/>
      <c r="I963" s="113" t="s">
        <v>2116</v>
      </c>
      <c r="J963" s="114"/>
      <c r="K963" s="116">
        <f>(9/17)*(480+580+1790)*2.2</f>
        <v>3319.4117647058824</v>
      </c>
      <c r="L963" s="48">
        <v>20</v>
      </c>
      <c r="M963" s="47"/>
      <c r="N963" s="47">
        <v>5</v>
      </c>
      <c r="O963" s="47"/>
      <c r="P963" s="47"/>
      <c r="Q963" s="47"/>
      <c r="R963" s="47"/>
      <c r="S963" s="48">
        <v>9</v>
      </c>
      <c r="T963" s="47">
        <v>7</v>
      </c>
      <c r="U963" s="47">
        <v>0</v>
      </c>
      <c r="V963" s="47">
        <v>1</v>
      </c>
      <c r="W963" s="47"/>
      <c r="X963" s="47"/>
      <c r="Y963" s="47" t="s">
        <v>120</v>
      </c>
      <c r="Z963" s="47"/>
      <c r="AA963" s="49">
        <v>0.55208333333333337</v>
      </c>
      <c r="AB963" s="49">
        <v>0.74305555555555547</v>
      </c>
      <c r="AC963" s="49">
        <f>AVERAGE(AA963:AB963)</f>
        <v>0.64756944444444442</v>
      </c>
      <c r="AD963" s="50">
        <f>(AB963-AA963)*24</f>
        <v>4.5833333333333304</v>
      </c>
      <c r="AE963" s="114" t="s">
        <v>1810</v>
      </c>
      <c r="AF963" s="114">
        <f>111.5/0.62</f>
        <v>179.83870967741936</v>
      </c>
      <c r="AG963" s="114"/>
      <c r="AH963" s="115"/>
      <c r="AI963" s="115"/>
      <c r="AJ963" s="115"/>
      <c r="AK963" s="115"/>
      <c r="AL963" s="115"/>
      <c r="AM963"/>
      <c r="AN963"/>
      <c r="AO963"/>
      <c r="AP963"/>
      <c r="AQ963" s="32" t="s">
        <v>2117</v>
      </c>
      <c r="AU963">
        <v>962</v>
      </c>
    </row>
    <row r="964" spans="1:47" x14ac:dyDescent="0.2">
      <c r="A964" s="37">
        <v>6130</v>
      </c>
      <c r="B964" s="38" t="s">
        <v>85</v>
      </c>
      <c r="C964" s="39" t="s">
        <v>2118</v>
      </c>
      <c r="D964" s="29"/>
      <c r="E964" s="38" t="s">
        <v>904</v>
      </c>
      <c r="F964" s="32"/>
      <c r="G964" s="47"/>
      <c r="H964"/>
      <c r="I964" s="32" t="s">
        <v>2119</v>
      </c>
      <c r="J964" s="47"/>
      <c r="K964" s="47"/>
      <c r="L964" s="48"/>
      <c r="M964" s="47"/>
      <c r="N964" s="47"/>
      <c r="O964" s="47"/>
      <c r="P964" s="47"/>
      <c r="Q964" s="47"/>
      <c r="R964" s="47"/>
      <c r="S964" s="48"/>
      <c r="T964" s="47"/>
      <c r="U964" s="47"/>
      <c r="V964" s="47"/>
      <c r="W964" s="47"/>
      <c r="X964" s="47"/>
      <c r="Y964" s="47"/>
      <c r="Z964" s="47"/>
      <c r="AA964" s="49"/>
      <c r="AB964" s="49"/>
      <c r="AC964" s="49"/>
      <c r="AD964" s="50"/>
      <c r="AE964" s="114"/>
      <c r="AF964" s="114"/>
      <c r="AG964" s="115">
        <v>5</v>
      </c>
      <c r="AH964" s="115"/>
      <c r="AI964" s="115"/>
      <c r="AJ964" s="115"/>
      <c r="AK964" s="115">
        <v>153</v>
      </c>
      <c r="AL964" s="115">
        <v>48</v>
      </c>
      <c r="AM964"/>
      <c r="AN964"/>
      <c r="AO964"/>
      <c r="AP964"/>
      <c r="AQ964" t="s">
        <v>2120</v>
      </c>
      <c r="AU964">
        <v>963</v>
      </c>
    </row>
    <row r="965" spans="1:47" x14ac:dyDescent="0.2">
      <c r="A965" s="140">
        <v>6130</v>
      </c>
      <c r="B965" s="141" t="s">
        <v>85</v>
      </c>
      <c r="C965" s="141"/>
      <c r="D965" s="142" t="b">
        <v>0</v>
      </c>
      <c r="E965" s="141" t="s">
        <v>2107</v>
      </c>
      <c r="F965" s="47" t="s">
        <v>2111</v>
      </c>
      <c r="G965" s="47"/>
      <c r="H965">
        <v>1</v>
      </c>
      <c r="I965" s="32" t="s">
        <v>2121</v>
      </c>
      <c r="J965" s="47"/>
      <c r="K965" s="47"/>
      <c r="L965" s="48"/>
      <c r="M965" s="47"/>
      <c r="N965" s="47"/>
      <c r="O965" s="47"/>
      <c r="P965" s="47"/>
      <c r="Q965" s="47"/>
      <c r="R965" s="47"/>
      <c r="S965" s="48"/>
      <c r="T965" s="47"/>
      <c r="U965" s="47"/>
      <c r="V965" s="47"/>
      <c r="W965" s="47"/>
      <c r="X965" s="47"/>
      <c r="Y965" s="47"/>
      <c r="Z965" s="47"/>
      <c r="AA965" s="49"/>
      <c r="AB965" s="49"/>
      <c r="AC965" s="49"/>
      <c r="AD965" s="50"/>
      <c r="AE965" s="47"/>
      <c r="AF965" s="47"/>
      <c r="AG965">
        <v>5</v>
      </c>
      <c r="AH965"/>
      <c r="AI965"/>
      <c r="AJ965"/>
      <c r="AK965"/>
      <c r="AL965">
        <v>48</v>
      </c>
      <c r="AM965"/>
      <c r="AN965"/>
      <c r="AO965"/>
      <c r="AP965"/>
      <c r="AQ965" t="s">
        <v>2122</v>
      </c>
      <c r="AU965">
        <v>964</v>
      </c>
    </row>
    <row r="966" spans="1:47" x14ac:dyDescent="0.2">
      <c r="A966" s="37">
        <v>6131</v>
      </c>
      <c r="B966" s="38" t="s">
        <v>85</v>
      </c>
      <c r="C966" s="39" t="s">
        <v>2123</v>
      </c>
      <c r="D966" s="29"/>
      <c r="E966" s="38" t="s">
        <v>2124</v>
      </c>
      <c r="F966" s="32" t="s">
        <v>2125</v>
      </c>
      <c r="G966" s="47"/>
      <c r="H966"/>
      <c r="I966" s="32" t="s">
        <v>2126</v>
      </c>
      <c r="J966" s="47"/>
      <c r="K966" s="47"/>
      <c r="L966" s="48"/>
      <c r="M966" s="47"/>
      <c r="N966" s="47"/>
      <c r="O966" s="47"/>
      <c r="P966" s="47"/>
      <c r="Q966" s="47"/>
      <c r="R966" s="47"/>
      <c r="S966" s="48">
        <v>3</v>
      </c>
      <c r="T966" s="47"/>
      <c r="U966" s="47"/>
      <c r="V966" s="47"/>
      <c r="W966" s="47"/>
      <c r="X966" s="47"/>
      <c r="Y966" s="47"/>
      <c r="Z966" s="47"/>
      <c r="AA966" s="49"/>
      <c r="AB966" s="49"/>
      <c r="AC966" s="49"/>
      <c r="AD966" s="50"/>
      <c r="AE966" s="47"/>
      <c r="AF966" s="47"/>
      <c r="AG966" s="47"/>
      <c r="AH966"/>
      <c r="AI966"/>
      <c r="AJ966"/>
      <c r="AK966"/>
      <c r="AL966"/>
      <c r="AM966"/>
      <c r="AN966"/>
      <c r="AO966"/>
      <c r="AP966"/>
      <c r="AQ966" t="s">
        <v>2079</v>
      </c>
      <c r="AU966">
        <v>965</v>
      </c>
    </row>
    <row r="967" spans="1:47" x14ac:dyDescent="0.2">
      <c r="A967" s="26">
        <v>6135</v>
      </c>
      <c r="B967" s="27" t="s">
        <v>45</v>
      </c>
      <c r="C967" s="28"/>
      <c r="D967" s="29"/>
      <c r="E967" s="30" t="s">
        <v>1531</v>
      </c>
      <c r="H967" s="32">
        <v>0</v>
      </c>
      <c r="I967" s="32" t="s">
        <v>1532</v>
      </c>
      <c r="AG967" s="32">
        <v>0</v>
      </c>
      <c r="AH967" s="32">
        <v>0</v>
      </c>
      <c r="AI967" s="32">
        <v>0</v>
      </c>
      <c r="AK967" s="32">
        <v>0</v>
      </c>
      <c r="AM967" s="32">
        <f>498*41</f>
        <v>20418</v>
      </c>
      <c r="AO967" s="32" t="s">
        <v>1533</v>
      </c>
      <c r="AQ967" s="32" t="s">
        <v>1101</v>
      </c>
      <c r="AU967">
        <v>966</v>
      </c>
    </row>
    <row r="968" spans="1:47" x14ac:dyDescent="0.2">
      <c r="A968" s="26">
        <v>6135</v>
      </c>
      <c r="B968" s="27" t="s">
        <v>45</v>
      </c>
      <c r="C968" s="28"/>
      <c r="D968" s="29"/>
      <c r="E968" s="30" t="s">
        <v>1823</v>
      </c>
      <c r="H968" s="32">
        <v>0</v>
      </c>
      <c r="I968" s="32" t="s">
        <v>1824</v>
      </c>
      <c r="AG968" s="32">
        <v>0</v>
      </c>
      <c r="AH968" s="32">
        <v>0</v>
      </c>
      <c r="AI968" s="32">
        <v>0</v>
      </c>
      <c r="AK968" s="32">
        <v>0</v>
      </c>
      <c r="AM968" s="32">
        <v>2500</v>
      </c>
      <c r="AO968" s="73" t="s">
        <v>75</v>
      </c>
      <c r="AQ968" s="32" t="s">
        <v>589</v>
      </c>
      <c r="AU968">
        <v>967</v>
      </c>
    </row>
    <row r="969" spans="1:47" x14ac:dyDescent="0.2">
      <c r="A969" s="37">
        <v>6138</v>
      </c>
      <c r="B969" s="38" t="s">
        <v>45</v>
      </c>
      <c r="C969" s="39" t="s">
        <v>253</v>
      </c>
      <c r="D969" s="29"/>
      <c r="E969" s="38" t="s">
        <v>2127</v>
      </c>
      <c r="F969" s="32" t="s">
        <v>83</v>
      </c>
      <c r="G969" s="47"/>
      <c r="H969"/>
      <c r="I969" s="32"/>
      <c r="J969" s="47"/>
      <c r="K969" s="47"/>
      <c r="L969" s="48"/>
      <c r="M969" s="47"/>
      <c r="N969" s="47"/>
      <c r="O969" s="47"/>
      <c r="P969" s="47"/>
      <c r="Q969" s="47"/>
      <c r="R969" s="47"/>
      <c r="S969" s="48"/>
      <c r="T969" s="47"/>
      <c r="U969" s="47"/>
      <c r="V969" s="47"/>
      <c r="W969" s="47"/>
      <c r="X969" s="47"/>
      <c r="Y969" s="47"/>
      <c r="Z969" s="47"/>
      <c r="AA969" s="49"/>
      <c r="AB969" s="49"/>
      <c r="AC969" s="49"/>
      <c r="AD969" s="50"/>
      <c r="AE969" s="47"/>
      <c r="AF969" s="47"/>
      <c r="AG969"/>
      <c r="AH969"/>
      <c r="AI969"/>
      <c r="AJ969"/>
      <c r="AK969"/>
      <c r="AL969"/>
      <c r="AM969"/>
      <c r="AN969"/>
      <c r="AO969"/>
      <c r="AP969"/>
      <c r="AQ969" s="32" t="s">
        <v>1939</v>
      </c>
      <c r="AU969">
        <v>968</v>
      </c>
    </row>
    <row r="970" spans="1:47" x14ac:dyDescent="0.2">
      <c r="A970" s="37">
        <v>6138</v>
      </c>
      <c r="B970" s="38" t="s">
        <v>45</v>
      </c>
      <c r="C970" s="39" t="s">
        <v>253</v>
      </c>
      <c r="D970" s="29"/>
      <c r="E970" s="38" t="s">
        <v>2128</v>
      </c>
      <c r="F970" s="32" t="s">
        <v>529</v>
      </c>
      <c r="G970" s="47"/>
      <c r="H970"/>
      <c r="I970" s="32"/>
      <c r="J970" s="47"/>
      <c r="K970" s="47"/>
      <c r="L970" s="48"/>
      <c r="M970" s="47"/>
      <c r="N970" s="47"/>
      <c r="O970" s="47"/>
      <c r="P970" s="47"/>
      <c r="Q970" s="47"/>
      <c r="R970" s="47"/>
      <c r="S970" s="48"/>
      <c r="T970" s="47"/>
      <c r="U970" s="47"/>
      <c r="V970" s="47"/>
      <c r="W970" s="47"/>
      <c r="X970" s="47"/>
      <c r="Y970" s="47"/>
      <c r="Z970" s="47"/>
      <c r="AA970" s="49"/>
      <c r="AB970" s="49"/>
      <c r="AC970" s="49"/>
      <c r="AD970" s="50"/>
      <c r="AE970" s="47"/>
      <c r="AF970" s="47"/>
      <c r="AG970"/>
      <c r="AH970"/>
      <c r="AI970"/>
      <c r="AJ970"/>
      <c r="AK970"/>
      <c r="AL970"/>
      <c r="AM970"/>
      <c r="AN970"/>
      <c r="AO970"/>
      <c r="AP970"/>
      <c r="AQ970" s="32" t="s">
        <v>1939</v>
      </c>
      <c r="AU970">
        <v>969</v>
      </c>
    </row>
    <row r="971" spans="1:47" x14ac:dyDescent="0.2">
      <c r="A971" s="37">
        <v>6138</v>
      </c>
      <c r="B971" s="38" t="s">
        <v>45</v>
      </c>
      <c r="C971" s="39" t="s">
        <v>425</v>
      </c>
      <c r="D971" s="29"/>
      <c r="E971" s="38" t="s">
        <v>2129</v>
      </c>
      <c r="F971" s="32" t="s">
        <v>2130</v>
      </c>
      <c r="G971" s="47" t="s">
        <v>49</v>
      </c>
      <c r="H971"/>
      <c r="I971" s="32" t="s">
        <v>1793</v>
      </c>
      <c r="J971" s="47"/>
      <c r="K971" s="47">
        <f>41*10*2.2</f>
        <v>902.00000000000011</v>
      </c>
      <c r="L971" s="48"/>
      <c r="M971" s="47"/>
      <c r="N971" s="47"/>
      <c r="O971" s="47"/>
      <c r="P971" s="47"/>
      <c r="Q971" s="47"/>
      <c r="R971" s="47"/>
      <c r="S971" s="48">
        <v>6</v>
      </c>
      <c r="T971" s="47">
        <v>0</v>
      </c>
      <c r="U971" s="47">
        <v>0</v>
      </c>
      <c r="V971" s="47">
        <v>0</v>
      </c>
      <c r="W971" s="47"/>
      <c r="X971" s="47"/>
      <c r="Y971" s="47" t="s">
        <v>51</v>
      </c>
      <c r="Z971" s="47" t="s">
        <v>146</v>
      </c>
      <c r="AA971" s="49"/>
      <c r="AB971" s="49"/>
      <c r="AC971" s="49"/>
      <c r="AD971" s="50"/>
      <c r="AE971" s="47" t="s">
        <v>1578</v>
      </c>
      <c r="AF971" s="47">
        <v>60</v>
      </c>
      <c r="AG971"/>
      <c r="AH971"/>
      <c r="AI971"/>
      <c r="AJ971"/>
      <c r="AK971">
        <v>41</v>
      </c>
      <c r="AL971"/>
      <c r="AM971"/>
      <c r="AN971"/>
      <c r="AO971"/>
      <c r="AP971"/>
      <c r="AQ971" s="32" t="s">
        <v>2131</v>
      </c>
      <c r="AU971">
        <v>970</v>
      </c>
    </row>
    <row r="972" spans="1:47" x14ac:dyDescent="0.2">
      <c r="A972" s="37">
        <v>6139</v>
      </c>
      <c r="B972" s="38" t="s">
        <v>45</v>
      </c>
      <c r="C972" s="39" t="s">
        <v>253</v>
      </c>
      <c r="D972" s="29"/>
      <c r="E972" s="38" t="s">
        <v>1404</v>
      </c>
      <c r="F972" s="32" t="s">
        <v>83</v>
      </c>
      <c r="G972" s="47"/>
      <c r="H972"/>
      <c r="I972" s="32" t="s">
        <v>2132</v>
      </c>
      <c r="J972" s="47"/>
      <c r="K972" s="47"/>
      <c r="L972" s="48"/>
      <c r="M972" s="47"/>
      <c r="N972" s="47"/>
      <c r="O972" s="47"/>
      <c r="P972" s="47"/>
      <c r="Q972" s="47"/>
      <c r="R972" s="47"/>
      <c r="S972" s="48"/>
      <c r="T972" s="47"/>
      <c r="U972" s="47"/>
      <c r="V972" s="47"/>
      <c r="W972" s="47"/>
      <c r="X972" s="47"/>
      <c r="Y972" s="47"/>
      <c r="Z972" s="47"/>
      <c r="AA972" s="49"/>
      <c r="AB972" s="49"/>
      <c r="AC972" s="49"/>
      <c r="AD972" s="50"/>
      <c r="AE972" s="47"/>
      <c r="AF972" s="47"/>
      <c r="AG972"/>
      <c r="AH972"/>
      <c r="AI972"/>
      <c r="AJ972"/>
      <c r="AK972"/>
      <c r="AL972"/>
      <c r="AM972"/>
      <c r="AN972"/>
      <c r="AO972"/>
      <c r="AP972"/>
      <c r="AQ972" s="32" t="s">
        <v>1939</v>
      </c>
      <c r="AU972">
        <v>971</v>
      </c>
    </row>
    <row r="973" spans="1:47" x14ac:dyDescent="0.2">
      <c r="A973" s="37">
        <v>6139</v>
      </c>
      <c r="B973" s="38" t="s">
        <v>45</v>
      </c>
      <c r="C973" s="39" t="s">
        <v>425</v>
      </c>
      <c r="D973" s="29"/>
      <c r="E973" s="38" t="s">
        <v>2133</v>
      </c>
      <c r="F973" s="32" t="s">
        <v>2134</v>
      </c>
      <c r="G973" s="47" t="s">
        <v>49</v>
      </c>
      <c r="H973"/>
      <c r="I973" s="32" t="s">
        <v>1793</v>
      </c>
      <c r="J973" s="47"/>
      <c r="K973" s="47">
        <f>50*10*2.2</f>
        <v>1100</v>
      </c>
      <c r="L973" s="48"/>
      <c r="M973" s="47"/>
      <c r="N973" s="47"/>
      <c r="O973" s="47"/>
      <c r="P973" s="47"/>
      <c r="Q973" s="47"/>
      <c r="R973" s="47"/>
      <c r="S973" s="48">
        <v>5</v>
      </c>
      <c r="T973" s="47">
        <v>0</v>
      </c>
      <c r="U973" s="47">
        <v>0</v>
      </c>
      <c r="V973" s="47">
        <v>0</v>
      </c>
      <c r="W973" s="47"/>
      <c r="X973" s="47"/>
      <c r="Y973" s="47" t="s">
        <v>51</v>
      </c>
      <c r="Z973" s="47" t="s">
        <v>146</v>
      </c>
      <c r="AA973" s="49"/>
      <c r="AB973" s="49"/>
      <c r="AC973" s="49"/>
      <c r="AD973" s="50"/>
      <c r="AE973" s="47" t="s">
        <v>1578</v>
      </c>
      <c r="AF973" s="47">
        <v>75</v>
      </c>
      <c r="AG973"/>
      <c r="AH973"/>
      <c r="AI973"/>
      <c r="AJ973"/>
      <c r="AK973">
        <v>50</v>
      </c>
      <c r="AL973"/>
      <c r="AM973"/>
      <c r="AN973"/>
      <c r="AO973"/>
      <c r="AP973"/>
      <c r="AQ973" s="32" t="s">
        <v>2131</v>
      </c>
      <c r="AU973">
        <v>972</v>
      </c>
    </row>
    <row r="974" spans="1:47" x14ac:dyDescent="0.2">
      <c r="A974" s="37">
        <v>6139</v>
      </c>
      <c r="B974" s="38" t="s">
        <v>45</v>
      </c>
      <c r="C974" s="39" t="s">
        <v>1843</v>
      </c>
      <c r="D974" s="29"/>
      <c r="E974" s="38" t="s">
        <v>405</v>
      </c>
      <c r="F974" s="32" t="s">
        <v>150</v>
      </c>
      <c r="G974" s="47" t="s">
        <v>49</v>
      </c>
      <c r="H974"/>
      <c r="I974" s="32" t="s">
        <v>2135</v>
      </c>
      <c r="J974" s="47"/>
      <c r="K974" s="47">
        <f>6*30*10*2.2</f>
        <v>3960.0000000000005</v>
      </c>
      <c r="L974" s="48">
        <v>8</v>
      </c>
      <c r="M974" s="47"/>
      <c r="N974" s="47">
        <v>2</v>
      </c>
      <c r="O974" s="47"/>
      <c r="P974" s="47"/>
      <c r="Q974" s="47"/>
      <c r="R974" s="47"/>
      <c r="S974" s="48">
        <v>6</v>
      </c>
      <c r="T974" s="47">
        <v>0</v>
      </c>
      <c r="U974" s="47">
        <v>0</v>
      </c>
      <c r="V974" s="47">
        <v>0</v>
      </c>
      <c r="W974" s="47">
        <f>((2400+2400+2200+2800+2700+2400)/6)*39.37/12</f>
        <v>8147.4027777777774</v>
      </c>
      <c r="X974" s="47"/>
      <c r="Y974" s="47" t="s">
        <v>51</v>
      </c>
      <c r="Z974" s="47" t="s">
        <v>1846</v>
      </c>
      <c r="AA974" s="49">
        <v>0.85416666666666663</v>
      </c>
      <c r="AB974" s="49"/>
      <c r="AC974" s="49">
        <v>0.91319444444444453</v>
      </c>
      <c r="AD974" s="50">
        <f>2+1/3</f>
        <v>2.3333333333333335</v>
      </c>
      <c r="AE974" s="47" t="s">
        <v>342</v>
      </c>
      <c r="AF974" s="47">
        <v>40</v>
      </c>
      <c r="AG974"/>
      <c r="AH974"/>
      <c r="AI974"/>
      <c r="AJ974"/>
      <c r="AK974">
        <v>180</v>
      </c>
      <c r="AL974"/>
      <c r="AM974"/>
      <c r="AN974"/>
      <c r="AO974"/>
      <c r="AP974"/>
      <c r="AQ974" s="32" t="s">
        <v>2136</v>
      </c>
      <c r="AU974">
        <v>973</v>
      </c>
    </row>
    <row r="975" spans="1:47" ht="15.75" customHeight="1" x14ac:dyDescent="0.25">
      <c r="A975" s="37">
        <v>6139</v>
      </c>
      <c r="B975" s="38" t="s">
        <v>45</v>
      </c>
      <c r="C975" s="39" t="s">
        <v>2137</v>
      </c>
      <c r="D975" s="29"/>
      <c r="E975" s="143" t="s">
        <v>2138</v>
      </c>
      <c r="F975" s="32" t="s">
        <v>2139</v>
      </c>
      <c r="G975" s="47"/>
      <c r="H975"/>
      <c r="I975" s="32" t="s">
        <v>2140</v>
      </c>
      <c r="J975" s="47"/>
      <c r="K975" s="47"/>
      <c r="L975" s="48"/>
      <c r="M975" s="47"/>
      <c r="N975" s="47"/>
      <c r="O975" s="47"/>
      <c r="P975" s="47"/>
      <c r="Q975" s="47"/>
      <c r="R975" s="47"/>
      <c r="S975" s="48"/>
      <c r="T975" s="47"/>
      <c r="U975" s="47"/>
      <c r="V975" s="47"/>
      <c r="W975" s="47"/>
      <c r="X975" s="47"/>
      <c r="Y975" s="47"/>
      <c r="Z975" s="47"/>
      <c r="AA975" s="49"/>
      <c r="AB975" s="49"/>
      <c r="AC975" s="49"/>
      <c r="AD975" s="50"/>
      <c r="AE975" s="47"/>
      <c r="AF975" s="47"/>
      <c r="AG975"/>
      <c r="AH975"/>
      <c r="AI975"/>
      <c r="AJ975"/>
      <c r="AK975"/>
      <c r="AL975"/>
      <c r="AM975"/>
      <c r="AN975"/>
      <c r="AO975"/>
      <c r="AP975"/>
      <c r="AQ975" t="s">
        <v>1994</v>
      </c>
      <c r="AU975">
        <v>974</v>
      </c>
    </row>
    <row r="976" spans="1:47" x14ac:dyDescent="0.2">
      <c r="A976" s="26">
        <v>6139</v>
      </c>
      <c r="B976" s="27" t="s">
        <v>45</v>
      </c>
      <c r="C976" s="28"/>
      <c r="D976" s="29"/>
      <c r="E976" s="30" t="s">
        <v>586</v>
      </c>
      <c r="H976" s="32">
        <v>1</v>
      </c>
      <c r="I976" s="32" t="s">
        <v>2141</v>
      </c>
      <c r="AI976" s="32">
        <v>11282</v>
      </c>
      <c r="AO976" s="46" t="s">
        <v>588</v>
      </c>
      <c r="AQ976" s="32" t="s">
        <v>589</v>
      </c>
      <c r="AU976">
        <v>975</v>
      </c>
    </row>
    <row r="977" spans="1:47" x14ac:dyDescent="0.2">
      <c r="A977" s="37">
        <v>6140</v>
      </c>
      <c r="B977" s="38" t="s">
        <v>85</v>
      </c>
      <c r="C977" s="39" t="s">
        <v>253</v>
      </c>
      <c r="D977" s="29"/>
      <c r="E977" s="38" t="s">
        <v>2142</v>
      </c>
      <c r="F977" s="32" t="s">
        <v>107</v>
      </c>
      <c r="G977" s="47"/>
      <c r="H977"/>
      <c r="I977" s="32"/>
      <c r="J977" s="47"/>
      <c r="K977" s="47"/>
      <c r="L977" s="48"/>
      <c r="M977" s="47"/>
      <c r="N977" s="47"/>
      <c r="O977" s="47"/>
      <c r="P977" s="47"/>
      <c r="Q977" s="47"/>
      <c r="R977" s="47"/>
      <c r="S977" s="48"/>
      <c r="T977" s="47"/>
      <c r="U977" s="47"/>
      <c r="V977" s="47"/>
      <c r="W977" s="47"/>
      <c r="X977" s="47"/>
      <c r="Y977" s="47"/>
      <c r="Z977" s="47"/>
      <c r="AA977" s="49"/>
      <c r="AB977" s="49"/>
      <c r="AC977" s="49"/>
      <c r="AD977" s="50"/>
      <c r="AE977" s="47"/>
      <c r="AF977" s="47"/>
      <c r="AG977"/>
      <c r="AH977"/>
      <c r="AI977"/>
      <c r="AJ977"/>
      <c r="AK977"/>
      <c r="AL977"/>
      <c r="AM977"/>
      <c r="AN977"/>
      <c r="AO977"/>
      <c r="AP977"/>
      <c r="AQ977" s="32" t="s">
        <v>1375</v>
      </c>
      <c r="AU977">
        <v>976</v>
      </c>
    </row>
    <row r="978" spans="1:47" x14ac:dyDescent="0.2">
      <c r="A978" s="37">
        <v>6140</v>
      </c>
      <c r="B978" s="38" t="s">
        <v>45</v>
      </c>
      <c r="C978" s="57" t="s">
        <v>2143</v>
      </c>
      <c r="D978" s="29"/>
      <c r="E978" s="57" t="s">
        <v>464</v>
      </c>
      <c r="F978" s="31" t="s">
        <v>2144</v>
      </c>
      <c r="G978" s="31" t="s">
        <v>481</v>
      </c>
      <c r="I978" s="31" t="s">
        <v>2145</v>
      </c>
      <c r="K978" s="31">
        <f>16*10*2.2</f>
        <v>352</v>
      </c>
      <c r="S978" s="33">
        <v>2</v>
      </c>
      <c r="T978" s="47">
        <v>0</v>
      </c>
      <c r="U978" s="47">
        <v>0</v>
      </c>
      <c r="V978" s="47">
        <v>0</v>
      </c>
      <c r="W978" s="47"/>
      <c r="X978" s="47"/>
      <c r="Y978" s="47" t="s">
        <v>51</v>
      </c>
      <c r="Z978" s="47" t="s">
        <v>146</v>
      </c>
      <c r="AA978" s="49"/>
      <c r="AB978" s="49"/>
      <c r="AC978" s="49"/>
      <c r="AD978" s="50"/>
      <c r="AE978" s="47" t="s">
        <v>342</v>
      </c>
      <c r="AF978" s="31">
        <v>60</v>
      </c>
      <c r="AK978" s="32">
        <v>16</v>
      </c>
      <c r="AQ978" s="32" t="s">
        <v>2146</v>
      </c>
      <c r="AU978">
        <v>977</v>
      </c>
    </row>
    <row r="979" spans="1:47" x14ac:dyDescent="0.2">
      <c r="A979" s="37">
        <v>6140</v>
      </c>
      <c r="B979" s="38" t="s">
        <v>45</v>
      </c>
      <c r="C979" s="39" t="s">
        <v>1649</v>
      </c>
      <c r="D979" s="29"/>
      <c r="E979" s="57" t="s">
        <v>464</v>
      </c>
      <c r="F979" s="31" t="s">
        <v>2144</v>
      </c>
      <c r="G979" s="31" t="s">
        <v>481</v>
      </c>
      <c r="I979" s="31" t="s">
        <v>2147</v>
      </c>
      <c r="K979" s="31">
        <f>520*2.2</f>
        <v>1144</v>
      </c>
      <c r="L979" s="33">
        <v>3</v>
      </c>
      <c r="Z979" s="47" t="s">
        <v>1652</v>
      </c>
      <c r="AE979" s="47" t="s">
        <v>1653</v>
      </c>
      <c r="AF979" s="31">
        <v>80</v>
      </c>
      <c r="AQ979" t="s">
        <v>2148</v>
      </c>
      <c r="AU979">
        <v>978</v>
      </c>
    </row>
    <row r="980" spans="1:47" x14ac:dyDescent="0.2">
      <c r="A980" s="37">
        <v>6140</v>
      </c>
      <c r="B980" s="38" t="s">
        <v>45</v>
      </c>
      <c r="C980" s="39" t="s">
        <v>1940</v>
      </c>
      <c r="D980" s="29"/>
      <c r="E980" s="57" t="s">
        <v>464</v>
      </c>
      <c r="F980" s="31" t="s">
        <v>2144</v>
      </c>
      <c r="G980" s="31" t="s">
        <v>481</v>
      </c>
      <c r="I980" s="31" t="s">
        <v>2147</v>
      </c>
      <c r="K980" s="31">
        <f>220*2.2</f>
        <v>484.00000000000006</v>
      </c>
      <c r="L980" s="33">
        <v>5</v>
      </c>
      <c r="Z980" s="47" t="s">
        <v>1652</v>
      </c>
      <c r="AE980" s="47" t="s">
        <v>1810</v>
      </c>
      <c r="AF980" s="31">
        <v>80</v>
      </c>
      <c r="AQ980" t="s">
        <v>2148</v>
      </c>
      <c r="AU980">
        <v>979</v>
      </c>
    </row>
    <row r="981" spans="1:47" ht="13.5" customHeight="1" x14ac:dyDescent="0.2">
      <c r="A981" s="37">
        <v>6140</v>
      </c>
      <c r="B981" s="38" t="s">
        <v>45</v>
      </c>
      <c r="C981" s="39" t="s">
        <v>2149</v>
      </c>
      <c r="D981" s="29"/>
      <c r="E981" s="57" t="s">
        <v>464</v>
      </c>
      <c r="F981" s="31" t="s">
        <v>2144</v>
      </c>
      <c r="G981" s="31" t="s">
        <v>481</v>
      </c>
      <c r="I981" s="31" t="s">
        <v>2147</v>
      </c>
      <c r="K981" s="31">
        <f>1248*2.2</f>
        <v>2745.6000000000004</v>
      </c>
      <c r="L981" s="33">
        <v>4</v>
      </c>
      <c r="Z981" s="31" t="s">
        <v>1080</v>
      </c>
      <c r="AQ981" t="s">
        <v>2148</v>
      </c>
      <c r="AU981">
        <v>980</v>
      </c>
    </row>
    <row r="982" spans="1:47" x14ac:dyDescent="0.2">
      <c r="A982" s="37">
        <v>6140</v>
      </c>
      <c r="B982" s="38" t="s">
        <v>45</v>
      </c>
      <c r="C982" s="39" t="s">
        <v>1843</v>
      </c>
      <c r="D982" s="29"/>
      <c r="E982" s="57" t="s">
        <v>2150</v>
      </c>
      <c r="F982" s="31" t="s">
        <v>2151</v>
      </c>
      <c r="G982" s="31" t="s">
        <v>481</v>
      </c>
      <c r="I982" s="32" t="b">
        <v>1</v>
      </c>
      <c r="J982" s="32" t="b">
        <v>1</v>
      </c>
      <c r="K982" s="31">
        <f>7*30*10*2.2</f>
        <v>4620</v>
      </c>
      <c r="L982" s="33">
        <v>7</v>
      </c>
      <c r="R982" s="31">
        <v>1</v>
      </c>
      <c r="S982" s="33">
        <v>7</v>
      </c>
      <c r="T982" s="47">
        <v>0</v>
      </c>
      <c r="U982" s="47">
        <v>0</v>
      </c>
      <c r="V982" s="47">
        <v>0</v>
      </c>
      <c r="W982" s="47">
        <f>((2500+2200+2600+2400+2800+2250+2400)/7)*39.37/12</f>
        <v>8038.041666666667</v>
      </c>
      <c r="X982" s="47"/>
      <c r="Y982" s="47" t="s">
        <v>51</v>
      </c>
      <c r="Z982" s="47" t="s">
        <v>1846</v>
      </c>
      <c r="AA982" s="49"/>
      <c r="AB982" s="49"/>
      <c r="AC982" s="49"/>
      <c r="AD982" s="50">
        <f>3+1/3</f>
        <v>3.3333333333333335</v>
      </c>
      <c r="AE982" s="47" t="s">
        <v>342</v>
      </c>
      <c r="AF982" s="31">
        <v>70</v>
      </c>
      <c r="AK982" s="32">
        <f>7*30</f>
        <v>210</v>
      </c>
      <c r="AQ982" s="32" t="s">
        <v>2152</v>
      </c>
      <c r="AU982">
        <v>981</v>
      </c>
    </row>
    <row r="983" spans="1:47" x14ac:dyDescent="0.2">
      <c r="A983" s="37">
        <v>6140</v>
      </c>
      <c r="B983" s="38" t="s">
        <v>45</v>
      </c>
      <c r="C983" s="39" t="s">
        <v>1843</v>
      </c>
      <c r="D983" s="29"/>
      <c r="E983" s="57" t="s">
        <v>464</v>
      </c>
      <c r="F983" s="31" t="s">
        <v>2144</v>
      </c>
      <c r="G983" s="31" t="s">
        <v>481</v>
      </c>
      <c r="I983" s="32" t="b">
        <v>0</v>
      </c>
      <c r="J983" s="32" t="b">
        <v>0</v>
      </c>
      <c r="K983" s="31">
        <f>6*30*10*2.2</f>
        <v>3960.0000000000005</v>
      </c>
      <c r="S983" s="33">
        <v>6</v>
      </c>
      <c r="T983" s="47">
        <v>0</v>
      </c>
      <c r="U983" s="47">
        <v>0</v>
      </c>
      <c r="V983" s="47">
        <v>0</v>
      </c>
      <c r="W983" s="47">
        <f>((2500+2200+2600+2400+2800+2250)/6)*39.37/12</f>
        <v>8065.3819444444443</v>
      </c>
      <c r="X983" s="47"/>
      <c r="Y983" s="47" t="s">
        <v>51</v>
      </c>
      <c r="Z983" s="47" t="s">
        <v>1846</v>
      </c>
      <c r="AA983" s="49"/>
      <c r="AB983" s="49"/>
      <c r="AC983" s="49"/>
      <c r="AD983" s="50">
        <f>2+35/30</f>
        <v>3.166666666666667</v>
      </c>
      <c r="AE983" s="47" t="s">
        <v>342</v>
      </c>
      <c r="AF983" s="31">
        <v>60</v>
      </c>
      <c r="AK983" s="32">
        <f>6*30</f>
        <v>180</v>
      </c>
      <c r="AQ983" s="32" t="s">
        <v>2152</v>
      </c>
      <c r="AR983" s="32" t="s">
        <v>2153</v>
      </c>
      <c r="AU983">
        <v>982</v>
      </c>
    </row>
    <row r="984" spans="1:47" x14ac:dyDescent="0.2">
      <c r="A984" s="37">
        <v>6140</v>
      </c>
      <c r="B984" s="38" t="s">
        <v>45</v>
      </c>
      <c r="C984" s="39" t="s">
        <v>1843</v>
      </c>
      <c r="D984" s="29"/>
      <c r="E984" s="144" t="s">
        <v>1764</v>
      </c>
      <c r="F984" s="31" t="s">
        <v>150</v>
      </c>
      <c r="G984" s="31" t="s">
        <v>49</v>
      </c>
      <c r="I984" s="32" t="b">
        <v>0</v>
      </c>
      <c r="J984" s="32" t="b">
        <v>0</v>
      </c>
      <c r="K984" s="31">
        <f>30*10*2.2</f>
        <v>660</v>
      </c>
      <c r="R984" s="31">
        <v>1</v>
      </c>
      <c r="S984" s="33">
        <v>1</v>
      </c>
      <c r="T984" s="47">
        <v>0</v>
      </c>
      <c r="U984" s="47">
        <v>0</v>
      </c>
      <c r="V984" s="47">
        <v>0</v>
      </c>
      <c r="W984" s="47">
        <f>2400*39.37/12</f>
        <v>7874</v>
      </c>
      <c r="X984" s="47"/>
      <c r="Y984" s="47" t="s">
        <v>51</v>
      </c>
      <c r="Z984" s="47" t="s">
        <v>1846</v>
      </c>
      <c r="AA984" s="49"/>
      <c r="AB984" s="49"/>
      <c r="AC984" s="49"/>
      <c r="AD984" s="50">
        <f>3+1/3</f>
        <v>3.3333333333333335</v>
      </c>
      <c r="AE984" s="47" t="s">
        <v>342</v>
      </c>
      <c r="AF984" s="31">
        <v>70</v>
      </c>
      <c r="AK984" s="32">
        <v>30</v>
      </c>
      <c r="AQ984" s="32" t="s">
        <v>2154</v>
      </c>
      <c r="AR984" s="31" t="s">
        <v>2155</v>
      </c>
      <c r="AU984">
        <v>983</v>
      </c>
    </row>
    <row r="985" spans="1:47" x14ac:dyDescent="0.2">
      <c r="A985" s="37">
        <v>6140</v>
      </c>
      <c r="B985" s="38" t="s">
        <v>45</v>
      </c>
      <c r="C985" s="39" t="s">
        <v>1561</v>
      </c>
      <c r="D985" s="29"/>
      <c r="E985" s="57" t="s">
        <v>2156</v>
      </c>
      <c r="F985" s="31" t="s">
        <v>2157</v>
      </c>
      <c r="G985" s="31" t="s">
        <v>69</v>
      </c>
      <c r="K985" s="31">
        <f>6*10*2.2</f>
        <v>132</v>
      </c>
      <c r="S985" s="33">
        <v>1</v>
      </c>
      <c r="T985" s="47">
        <v>0</v>
      </c>
      <c r="U985" s="47">
        <v>0</v>
      </c>
      <c r="V985" s="47">
        <v>0</v>
      </c>
      <c r="W985" s="47"/>
      <c r="X985" s="47"/>
      <c r="Y985" s="47" t="s">
        <v>51</v>
      </c>
      <c r="Z985" s="47" t="s">
        <v>1565</v>
      </c>
      <c r="AA985" s="49"/>
      <c r="AB985" s="49"/>
      <c r="AC985" s="49"/>
      <c r="AD985" s="50"/>
      <c r="AE985" s="31" t="s">
        <v>342</v>
      </c>
      <c r="AF985" s="31">
        <v>50</v>
      </c>
      <c r="AK985" s="32">
        <v>6</v>
      </c>
      <c r="AQ985" s="32" t="s">
        <v>2158</v>
      </c>
      <c r="AU985">
        <v>984</v>
      </c>
    </row>
    <row r="986" spans="1:47" x14ac:dyDescent="0.2">
      <c r="A986" s="37">
        <v>6140</v>
      </c>
      <c r="B986" s="38" t="s">
        <v>45</v>
      </c>
      <c r="C986" s="39" t="s">
        <v>1561</v>
      </c>
      <c r="D986" s="29"/>
      <c r="E986" s="57" t="s">
        <v>2159</v>
      </c>
      <c r="F986" s="31" t="s">
        <v>220</v>
      </c>
      <c r="G986" s="31" t="s">
        <v>49</v>
      </c>
      <c r="K986" s="31">
        <f>6*10*2.2</f>
        <v>132</v>
      </c>
      <c r="S986" s="33">
        <v>1</v>
      </c>
      <c r="T986" s="47">
        <v>0</v>
      </c>
      <c r="U986" s="47">
        <v>0</v>
      </c>
      <c r="V986" s="47">
        <v>0</v>
      </c>
      <c r="W986" s="47"/>
      <c r="X986" s="47"/>
      <c r="Y986" s="47" t="s">
        <v>51</v>
      </c>
      <c r="Z986" s="47" t="s">
        <v>1565</v>
      </c>
      <c r="AA986" s="49"/>
      <c r="AB986" s="49"/>
      <c r="AC986" s="49"/>
      <c r="AD986" s="50"/>
      <c r="AE986" s="31" t="s">
        <v>342</v>
      </c>
      <c r="AF986" s="31">
        <v>25</v>
      </c>
      <c r="AK986" s="32">
        <v>6</v>
      </c>
      <c r="AQ986" s="32" t="s">
        <v>2158</v>
      </c>
      <c r="AU986">
        <v>985</v>
      </c>
    </row>
    <row r="987" spans="1:47" x14ac:dyDescent="0.2">
      <c r="A987" s="37">
        <v>6140</v>
      </c>
      <c r="B987" s="38" t="s">
        <v>45</v>
      </c>
      <c r="C987" s="85" t="s">
        <v>1561</v>
      </c>
      <c r="D987" s="29"/>
      <c r="E987" s="57" t="s">
        <v>1389</v>
      </c>
      <c r="F987" s="31" t="s">
        <v>220</v>
      </c>
      <c r="G987" s="31" t="s">
        <v>49</v>
      </c>
      <c r="K987" s="31">
        <f>6*10*2.2</f>
        <v>132</v>
      </c>
      <c r="S987" s="33">
        <v>1</v>
      </c>
      <c r="T987" s="47">
        <v>0</v>
      </c>
      <c r="U987" s="47">
        <v>0</v>
      </c>
      <c r="V987" s="47">
        <v>0</v>
      </c>
      <c r="W987" s="47"/>
      <c r="X987" s="47"/>
      <c r="Y987" s="47" t="s">
        <v>51</v>
      </c>
      <c r="Z987" s="47" t="s">
        <v>1565</v>
      </c>
      <c r="AA987" s="49"/>
      <c r="AB987" s="49"/>
      <c r="AC987" s="49"/>
      <c r="AD987" s="50"/>
      <c r="AE987" s="31" t="s">
        <v>342</v>
      </c>
      <c r="AF987" s="47">
        <v>55</v>
      </c>
      <c r="AK987" s="32">
        <v>6</v>
      </c>
      <c r="AQ987" s="32" t="s">
        <v>2158</v>
      </c>
      <c r="AU987">
        <v>986</v>
      </c>
    </row>
    <row r="988" spans="1:47" x14ac:dyDescent="0.2">
      <c r="A988" s="37">
        <v>6140</v>
      </c>
      <c r="B988" s="38" t="s">
        <v>45</v>
      </c>
      <c r="C988" s="39" t="s">
        <v>1561</v>
      </c>
      <c r="D988" s="29"/>
      <c r="E988" s="57" t="s">
        <v>1983</v>
      </c>
      <c r="F988" s="31" t="s">
        <v>1972</v>
      </c>
      <c r="G988" s="31" t="s">
        <v>481</v>
      </c>
      <c r="K988" s="31">
        <f>6*10*2.2</f>
        <v>132</v>
      </c>
      <c r="S988" s="33">
        <v>1</v>
      </c>
      <c r="T988" s="47">
        <v>0</v>
      </c>
      <c r="U988" s="47">
        <v>0</v>
      </c>
      <c r="V988" s="47">
        <v>0</v>
      </c>
      <c r="W988" s="47"/>
      <c r="X988" s="47"/>
      <c r="Y988" s="47" t="s">
        <v>51</v>
      </c>
      <c r="Z988" s="47" t="s">
        <v>1565</v>
      </c>
      <c r="AA988" s="49"/>
      <c r="AB988" s="49"/>
      <c r="AC988" s="49"/>
      <c r="AD988" s="50"/>
      <c r="AE988" s="31" t="s">
        <v>342</v>
      </c>
      <c r="AF988" s="47">
        <v>65</v>
      </c>
      <c r="AK988" s="32">
        <v>6</v>
      </c>
      <c r="AQ988" s="32" t="s">
        <v>2158</v>
      </c>
      <c r="AU988">
        <v>987</v>
      </c>
    </row>
    <row r="989" spans="1:47" x14ac:dyDescent="0.2">
      <c r="A989" s="37">
        <v>6140</v>
      </c>
      <c r="B989" s="38" t="s">
        <v>45</v>
      </c>
      <c r="C989" s="39" t="s">
        <v>1262</v>
      </c>
      <c r="D989" s="29"/>
      <c r="E989" s="57" t="s">
        <v>2160</v>
      </c>
      <c r="F989" s="31" t="s">
        <v>726</v>
      </c>
      <c r="G989" s="31" t="s">
        <v>49</v>
      </c>
      <c r="I989" s="31" t="s">
        <v>2161</v>
      </c>
      <c r="K989" s="31">
        <f>6*10*2.2</f>
        <v>132</v>
      </c>
      <c r="S989" s="33">
        <v>1</v>
      </c>
      <c r="T989" s="47">
        <v>0</v>
      </c>
      <c r="U989" s="47">
        <v>0</v>
      </c>
      <c r="V989" s="47">
        <v>0</v>
      </c>
      <c r="W989" s="47"/>
      <c r="X989" s="47"/>
      <c r="Y989" s="47" t="s">
        <v>51</v>
      </c>
      <c r="Z989" s="47" t="s">
        <v>146</v>
      </c>
      <c r="AA989" s="49"/>
      <c r="AB989" s="49"/>
      <c r="AC989" s="49"/>
      <c r="AD989" s="50"/>
      <c r="AE989" s="47" t="s">
        <v>1558</v>
      </c>
      <c r="AK989" s="32">
        <v>6</v>
      </c>
      <c r="AQ989" s="32" t="s">
        <v>2158</v>
      </c>
      <c r="AR989" s="32" t="s">
        <v>1560</v>
      </c>
      <c r="AU989">
        <v>988</v>
      </c>
    </row>
    <row r="990" spans="1:47" x14ac:dyDescent="0.2">
      <c r="A990" s="37">
        <v>6140</v>
      </c>
      <c r="B990" s="38" t="s">
        <v>45</v>
      </c>
      <c r="C990" s="39" t="s">
        <v>1262</v>
      </c>
      <c r="D990" s="29"/>
      <c r="E990" s="57" t="s">
        <v>364</v>
      </c>
      <c r="F990" s="31" t="s">
        <v>107</v>
      </c>
      <c r="I990" s="31" t="s">
        <v>2161</v>
      </c>
      <c r="K990" s="31">
        <f>5*10*2.2</f>
        <v>110.00000000000001</v>
      </c>
      <c r="S990" s="33">
        <v>1</v>
      </c>
      <c r="T990" s="47">
        <v>0</v>
      </c>
      <c r="U990" s="47">
        <v>0</v>
      </c>
      <c r="V990" s="47">
        <v>0</v>
      </c>
      <c r="W990" s="47"/>
      <c r="X990" s="47"/>
      <c r="Y990" s="47" t="s">
        <v>51</v>
      </c>
      <c r="Z990" s="47" t="s">
        <v>146</v>
      </c>
      <c r="AA990" s="49"/>
      <c r="AB990" s="49"/>
      <c r="AC990" s="49"/>
      <c r="AD990" s="50"/>
      <c r="AE990" s="47" t="s">
        <v>1558</v>
      </c>
      <c r="AF990" s="31">
        <v>75</v>
      </c>
      <c r="AK990" s="32">
        <v>5</v>
      </c>
      <c r="AQ990" s="32" t="s">
        <v>2158</v>
      </c>
      <c r="AR990" s="32" t="s">
        <v>1560</v>
      </c>
      <c r="AU990">
        <v>989</v>
      </c>
    </row>
    <row r="991" spans="1:47" x14ac:dyDescent="0.2">
      <c r="A991" s="37">
        <v>6140</v>
      </c>
      <c r="B991" s="38" t="s">
        <v>45</v>
      </c>
      <c r="C991" s="39" t="s">
        <v>253</v>
      </c>
      <c r="D991" s="29"/>
      <c r="E991" s="38" t="s">
        <v>1455</v>
      </c>
      <c r="F991" s="32" t="s">
        <v>1663</v>
      </c>
      <c r="G991" s="47"/>
      <c r="H991"/>
      <c r="I991" s="32"/>
      <c r="J991" s="47"/>
      <c r="K991" s="47"/>
      <c r="L991" s="48"/>
      <c r="M991" s="47"/>
      <c r="N991" s="47"/>
      <c r="O991" s="47"/>
      <c r="P991" s="47"/>
      <c r="Q991" s="47"/>
      <c r="R991" s="47"/>
      <c r="S991" s="48"/>
      <c r="T991" s="47"/>
      <c r="U991" s="47"/>
      <c r="V991" s="47"/>
      <c r="W991" s="47"/>
      <c r="X991" s="47"/>
      <c r="Y991" s="47"/>
      <c r="Z991" s="47"/>
      <c r="AA991" s="49"/>
      <c r="AB991" s="49"/>
      <c r="AC991" s="49"/>
      <c r="AD991" s="50"/>
      <c r="AE991" s="47"/>
      <c r="AF991" s="47"/>
      <c r="AG991"/>
      <c r="AH991"/>
      <c r="AI991"/>
      <c r="AJ991"/>
      <c r="AK991"/>
      <c r="AL991"/>
      <c r="AM991"/>
      <c r="AN991"/>
      <c r="AO991"/>
      <c r="AP991"/>
      <c r="AQ991" s="32" t="s">
        <v>1939</v>
      </c>
      <c r="AU991">
        <v>990</v>
      </c>
    </row>
    <row r="992" spans="1:47" x14ac:dyDescent="0.2">
      <c r="A992" s="26">
        <v>6140</v>
      </c>
      <c r="B992" s="27">
        <v>0.95486111111111116</v>
      </c>
      <c r="C992" s="28"/>
      <c r="D992" s="29"/>
      <c r="E992" s="30" t="s">
        <v>1124</v>
      </c>
      <c r="H992" s="32">
        <v>1</v>
      </c>
      <c r="I992" s="32"/>
      <c r="AG992" s="32">
        <v>3</v>
      </c>
      <c r="AH992" s="32">
        <v>2</v>
      </c>
      <c r="AK992" s="32">
        <v>47</v>
      </c>
      <c r="AL992" s="32">
        <v>0.75</v>
      </c>
      <c r="AO992" s="46" t="s">
        <v>1126</v>
      </c>
      <c r="AP992" s="32">
        <v>0.75</v>
      </c>
      <c r="AQ992" s="32" t="s">
        <v>589</v>
      </c>
      <c r="AU992">
        <v>991</v>
      </c>
    </row>
    <row r="993" spans="1:47" x14ac:dyDescent="0.2">
      <c r="A993" s="26">
        <v>6140</v>
      </c>
      <c r="B993" s="27" t="s">
        <v>45</v>
      </c>
      <c r="C993" s="28"/>
      <c r="D993" s="29"/>
      <c r="E993" s="30" t="s">
        <v>464</v>
      </c>
      <c r="H993" s="32">
        <v>1</v>
      </c>
      <c r="I993" s="32" t="s">
        <v>2162</v>
      </c>
      <c r="AG993" s="32">
        <v>0</v>
      </c>
      <c r="AH993" s="32">
        <v>0</v>
      </c>
      <c r="AK993" s="32">
        <v>5</v>
      </c>
      <c r="AO993" s="32" t="s">
        <v>487</v>
      </c>
      <c r="AQ993" s="32">
        <v>386</v>
      </c>
      <c r="AU993">
        <v>992</v>
      </c>
    </row>
    <row r="994" spans="1:47" x14ac:dyDescent="0.2">
      <c r="A994" s="26">
        <v>6140</v>
      </c>
      <c r="B994" s="27" t="s">
        <v>45</v>
      </c>
      <c r="C994" s="28"/>
      <c r="D994" s="29"/>
      <c r="E994" s="30" t="s">
        <v>1823</v>
      </c>
      <c r="H994" s="32">
        <v>0</v>
      </c>
      <c r="I994" s="32" t="s">
        <v>1824</v>
      </c>
      <c r="AG994" s="32">
        <v>0</v>
      </c>
      <c r="AH994" s="32">
        <v>0</v>
      </c>
      <c r="AI994" s="32">
        <v>0</v>
      </c>
      <c r="AK994" s="32">
        <v>0</v>
      </c>
      <c r="AM994" s="32">
        <f>45*500</f>
        <v>22500</v>
      </c>
      <c r="AO994" s="73" t="s">
        <v>75</v>
      </c>
      <c r="AQ994" s="32" t="s">
        <v>589</v>
      </c>
      <c r="AU994">
        <v>993</v>
      </c>
    </row>
    <row r="995" spans="1:47" x14ac:dyDescent="0.2">
      <c r="A995" s="133">
        <v>6141</v>
      </c>
      <c r="B995" s="39" t="s">
        <v>85</v>
      </c>
      <c r="C995" s="39" t="s">
        <v>1806</v>
      </c>
      <c r="D995" s="29" t="b">
        <v>0</v>
      </c>
      <c r="E995" s="39" t="s">
        <v>464</v>
      </c>
      <c r="F995" s="47" t="s">
        <v>2163</v>
      </c>
      <c r="G995" s="47" t="s">
        <v>481</v>
      </c>
      <c r="H995"/>
      <c r="I995" s="134" t="s">
        <v>2164</v>
      </c>
      <c r="J995" s="47" t="b">
        <v>1</v>
      </c>
      <c r="K995" s="47">
        <v>2940</v>
      </c>
      <c r="L995" s="48">
        <v>10</v>
      </c>
      <c r="M995" s="47">
        <v>0</v>
      </c>
      <c r="N995" s="47">
        <v>1</v>
      </c>
      <c r="O995" s="47">
        <v>0</v>
      </c>
      <c r="P995" s="47">
        <v>0</v>
      </c>
      <c r="Q995" s="47">
        <v>0</v>
      </c>
      <c r="R995" s="47">
        <v>0</v>
      </c>
      <c r="S995" s="48">
        <v>9</v>
      </c>
      <c r="T995" s="47">
        <v>0</v>
      </c>
      <c r="U995" s="47">
        <v>0</v>
      </c>
      <c r="V995" s="47">
        <v>3</v>
      </c>
      <c r="W995" s="31">
        <v>10000</v>
      </c>
      <c r="X995" s="47">
        <v>3</v>
      </c>
      <c r="Y995" s="47" t="s">
        <v>51</v>
      </c>
      <c r="Z995" s="47" t="s">
        <v>1809</v>
      </c>
      <c r="AA995" s="49">
        <v>0.45833333333333331</v>
      </c>
      <c r="AB995" s="49">
        <v>0.54166666666666663</v>
      </c>
      <c r="AC995" s="49">
        <v>0.5</v>
      </c>
      <c r="AD995" s="50">
        <f>(AB995-AA995)*24</f>
        <v>1.9999999999999996</v>
      </c>
      <c r="AE995" s="47" t="s">
        <v>2165</v>
      </c>
      <c r="AF995" s="47">
        <v>60</v>
      </c>
      <c r="AG995"/>
      <c r="AH995"/>
      <c r="AI995"/>
      <c r="AJ995"/>
      <c r="AK995">
        <f>9*4</f>
        <v>36</v>
      </c>
      <c r="AL995"/>
      <c r="AM995"/>
      <c r="AN995"/>
      <c r="AO995"/>
      <c r="AP995"/>
      <c r="AQ995" t="s">
        <v>2166</v>
      </c>
      <c r="AU995">
        <v>994</v>
      </c>
    </row>
    <row r="996" spans="1:47" x14ac:dyDescent="0.2">
      <c r="A996" s="37">
        <v>6141</v>
      </c>
      <c r="B996" s="38" t="s">
        <v>85</v>
      </c>
      <c r="C996" s="39" t="s">
        <v>253</v>
      </c>
      <c r="D996" s="29"/>
      <c r="E996" s="38" t="s">
        <v>2167</v>
      </c>
      <c r="F996" s="32" t="s">
        <v>1735</v>
      </c>
      <c r="G996" s="47"/>
      <c r="H996"/>
      <c r="I996" s="32"/>
      <c r="J996" s="47"/>
      <c r="K996" s="47"/>
      <c r="L996" s="48"/>
      <c r="M996" s="47"/>
      <c r="N996" s="47"/>
      <c r="O996" s="47"/>
      <c r="P996" s="47"/>
      <c r="Q996" s="47"/>
      <c r="R996" s="47"/>
      <c r="S996" s="48"/>
      <c r="T996" s="47"/>
      <c r="U996" s="47"/>
      <c r="V996" s="47"/>
      <c r="W996" s="47"/>
      <c r="X996" s="47"/>
      <c r="Y996" s="47"/>
      <c r="Z996" s="47"/>
      <c r="AA996" s="49"/>
      <c r="AB996" s="49"/>
      <c r="AC996" s="49"/>
      <c r="AD996" s="50"/>
      <c r="AE996" s="47"/>
      <c r="AF996" s="47"/>
      <c r="AG996"/>
      <c r="AH996"/>
      <c r="AI996"/>
      <c r="AJ996"/>
      <c r="AK996"/>
      <c r="AL996"/>
      <c r="AM996"/>
      <c r="AN996"/>
      <c r="AO996"/>
      <c r="AP996"/>
      <c r="AQ996" s="32" t="s">
        <v>1375</v>
      </c>
      <c r="AU996">
        <v>995</v>
      </c>
    </row>
    <row r="997" spans="1:47" x14ac:dyDescent="0.2">
      <c r="A997" s="37">
        <v>6141</v>
      </c>
      <c r="B997" s="38" t="s">
        <v>45</v>
      </c>
      <c r="C997" s="39" t="s">
        <v>253</v>
      </c>
      <c r="D997" s="29"/>
      <c r="E997" s="38" t="s">
        <v>2167</v>
      </c>
      <c r="F997" s="32" t="s">
        <v>1735</v>
      </c>
      <c r="G997" s="47"/>
      <c r="H997"/>
      <c r="I997" s="32"/>
      <c r="J997" s="47"/>
      <c r="K997" s="47"/>
      <c r="L997" s="48"/>
      <c r="M997" s="47"/>
      <c r="N997" s="47"/>
      <c r="O997" s="47"/>
      <c r="P997" s="47"/>
      <c r="Q997" s="47"/>
      <c r="R997" s="47"/>
      <c r="S997" s="48"/>
      <c r="T997" s="47"/>
      <c r="U997" s="47"/>
      <c r="V997" s="47"/>
      <c r="W997" s="47"/>
      <c r="X997" s="47"/>
      <c r="Y997" s="47"/>
      <c r="Z997" s="47"/>
      <c r="AA997" s="49"/>
      <c r="AB997" s="49"/>
      <c r="AC997" s="49"/>
      <c r="AD997" s="50"/>
      <c r="AE997" s="47"/>
      <c r="AF997" s="47"/>
      <c r="AG997"/>
      <c r="AH997"/>
      <c r="AI997"/>
      <c r="AJ997"/>
      <c r="AK997"/>
      <c r="AL997"/>
      <c r="AM997"/>
      <c r="AN997"/>
      <c r="AO997"/>
      <c r="AP997"/>
      <c r="AQ997" s="32" t="s">
        <v>1939</v>
      </c>
      <c r="AU997">
        <v>996</v>
      </c>
    </row>
    <row r="998" spans="1:47" x14ac:dyDescent="0.2">
      <c r="A998" s="26">
        <v>6141</v>
      </c>
      <c r="B998" s="27">
        <v>0.5</v>
      </c>
      <c r="C998" s="28"/>
      <c r="D998" s="29"/>
      <c r="E998" s="30" t="s">
        <v>464</v>
      </c>
      <c r="H998" s="32">
        <v>1</v>
      </c>
      <c r="I998" s="32" t="s">
        <v>2168</v>
      </c>
      <c r="AG998" s="32">
        <v>0</v>
      </c>
      <c r="AH998" s="32">
        <v>0</v>
      </c>
      <c r="AK998" s="32">
        <v>17</v>
      </c>
      <c r="AO998" s="32" t="s">
        <v>487</v>
      </c>
      <c r="AQ998" s="32">
        <v>387</v>
      </c>
      <c r="AU998">
        <v>997</v>
      </c>
    </row>
    <row r="999" spans="1:47" x14ac:dyDescent="0.2">
      <c r="A999" s="26">
        <v>6141</v>
      </c>
      <c r="B999" s="27">
        <v>0.93055555555555547</v>
      </c>
      <c r="C999" s="28"/>
      <c r="D999" s="29"/>
      <c r="E999" s="30" t="s">
        <v>1282</v>
      </c>
      <c r="H999" s="32">
        <v>0</v>
      </c>
      <c r="I999" s="32" t="s">
        <v>1841</v>
      </c>
      <c r="AG999" s="32">
        <v>0</v>
      </c>
      <c r="AH999" s="32">
        <v>0</v>
      </c>
      <c r="AI999" s="32">
        <v>0</v>
      </c>
      <c r="AK999" s="32">
        <v>0</v>
      </c>
      <c r="AL999" s="32">
        <f>130/60</f>
        <v>2.1666666666666665</v>
      </c>
      <c r="AP999" s="32">
        <f>130/60</f>
        <v>2.1666666666666665</v>
      </c>
      <c r="AQ999" s="32" t="s">
        <v>1101</v>
      </c>
      <c r="AU999">
        <v>998</v>
      </c>
    </row>
    <row r="1000" spans="1:47" x14ac:dyDescent="0.2">
      <c r="A1000" s="26">
        <v>6142</v>
      </c>
      <c r="B1000" s="27">
        <v>0.2986111111111111</v>
      </c>
      <c r="C1000" s="28"/>
      <c r="D1000" s="29"/>
      <c r="E1000" s="30" t="s">
        <v>1282</v>
      </c>
      <c r="H1000" s="32">
        <v>0</v>
      </c>
      <c r="I1000" s="32" t="s">
        <v>1841</v>
      </c>
      <c r="AG1000" s="32">
        <v>0</v>
      </c>
      <c r="AH1000" s="32">
        <v>0</v>
      </c>
      <c r="AI1000" s="32">
        <v>0</v>
      </c>
      <c r="AK1000" s="32">
        <v>0</v>
      </c>
      <c r="AL1000" s="32">
        <f>50/60</f>
        <v>0.83333333333333337</v>
      </c>
      <c r="AP1000" s="32">
        <f>50/60</f>
        <v>0.83333333333333337</v>
      </c>
      <c r="AQ1000" s="32" t="s">
        <v>1101</v>
      </c>
      <c r="AU1000">
        <v>999</v>
      </c>
    </row>
    <row r="1001" spans="1:47" x14ac:dyDescent="0.2">
      <c r="A1001" s="26">
        <v>6142</v>
      </c>
      <c r="B1001" s="27" t="s">
        <v>45</v>
      </c>
      <c r="C1001" s="28"/>
      <c r="D1001" s="29"/>
      <c r="E1001" s="30" t="s">
        <v>1531</v>
      </c>
      <c r="H1001" s="32">
        <v>0</v>
      </c>
      <c r="I1001" s="32" t="s">
        <v>1532</v>
      </c>
      <c r="AG1001" s="32">
        <v>0</v>
      </c>
      <c r="AH1001" s="32">
        <v>0</v>
      </c>
      <c r="AI1001" s="32">
        <v>0</v>
      </c>
      <c r="AK1001" s="32">
        <v>0</v>
      </c>
      <c r="AM1001" s="32">
        <f>498*50</f>
        <v>24900</v>
      </c>
      <c r="AO1001" s="32" t="s">
        <v>1533</v>
      </c>
      <c r="AQ1001" s="32" t="s">
        <v>1101</v>
      </c>
      <c r="AU1001">
        <v>1000</v>
      </c>
    </row>
    <row r="1002" spans="1:47" x14ac:dyDescent="0.2">
      <c r="A1002" s="26">
        <v>6142</v>
      </c>
      <c r="B1002" s="27" t="s">
        <v>45</v>
      </c>
      <c r="C1002" s="28"/>
      <c r="D1002" s="29"/>
      <c r="E1002" s="30" t="s">
        <v>1823</v>
      </c>
      <c r="H1002" s="32">
        <v>0</v>
      </c>
      <c r="I1002" s="32" t="s">
        <v>1824</v>
      </c>
      <c r="AG1002" s="32">
        <v>0</v>
      </c>
      <c r="AH1002" s="32">
        <v>0</v>
      </c>
      <c r="AI1002" s="32">
        <v>0</v>
      </c>
      <c r="AK1002" s="32">
        <v>0</v>
      </c>
      <c r="AM1002" s="32">
        <v>2500</v>
      </c>
      <c r="AO1002" s="73" t="s">
        <v>75</v>
      </c>
      <c r="AQ1002" s="32" t="s">
        <v>589</v>
      </c>
      <c r="AU1002">
        <v>1001</v>
      </c>
    </row>
    <row r="1003" spans="1:47" x14ac:dyDescent="0.2">
      <c r="A1003" s="37">
        <v>6144</v>
      </c>
      <c r="B1003" s="38" t="s">
        <v>45</v>
      </c>
      <c r="C1003" s="39" t="s">
        <v>253</v>
      </c>
      <c r="D1003" s="29"/>
      <c r="E1003" s="38" t="s">
        <v>2169</v>
      </c>
      <c r="F1003" s="32" t="s">
        <v>2170</v>
      </c>
      <c r="G1003" s="47"/>
      <c r="H1003"/>
      <c r="I1003" s="32"/>
      <c r="J1003" s="47"/>
      <c r="K1003" s="47"/>
      <c r="L1003" s="48"/>
      <c r="M1003" s="47"/>
      <c r="N1003" s="47"/>
      <c r="O1003" s="47"/>
      <c r="P1003" s="47"/>
      <c r="Q1003" s="47"/>
      <c r="R1003" s="47"/>
      <c r="S1003" s="48"/>
      <c r="T1003" s="47"/>
      <c r="U1003" s="47"/>
      <c r="V1003" s="47"/>
      <c r="W1003" s="47"/>
      <c r="X1003" s="47"/>
      <c r="Y1003" s="47"/>
      <c r="Z1003" s="47"/>
      <c r="AA1003" s="49"/>
      <c r="AB1003" s="49"/>
      <c r="AC1003" s="49"/>
      <c r="AD1003" s="50"/>
      <c r="AE1003" s="47"/>
      <c r="AF1003" s="47"/>
      <c r="AG1003"/>
      <c r="AH1003"/>
      <c r="AI1003"/>
      <c r="AJ1003"/>
      <c r="AK1003"/>
      <c r="AL1003"/>
      <c r="AM1003"/>
      <c r="AN1003"/>
      <c r="AO1003"/>
      <c r="AP1003"/>
      <c r="AQ1003" s="32" t="s">
        <v>1939</v>
      </c>
      <c r="AU1003">
        <v>1002</v>
      </c>
    </row>
    <row r="1004" spans="1:47" x14ac:dyDescent="0.2">
      <c r="A1004" s="37">
        <v>6144</v>
      </c>
      <c r="B1004" s="38" t="s">
        <v>45</v>
      </c>
      <c r="C1004" s="39" t="s">
        <v>1843</v>
      </c>
      <c r="D1004" s="29"/>
      <c r="E1004" s="38" t="s">
        <v>2171</v>
      </c>
      <c r="F1004" s="32" t="s">
        <v>246</v>
      </c>
      <c r="G1004" s="47" t="s">
        <v>49</v>
      </c>
      <c r="H1004"/>
      <c r="I1004" s="32" t="b">
        <v>1</v>
      </c>
      <c r="J1004" s="32" t="b">
        <v>1</v>
      </c>
      <c r="K1004" s="47">
        <f>9*30*10*2.2</f>
        <v>5940.0000000000009</v>
      </c>
      <c r="L1004" s="48">
        <v>10</v>
      </c>
      <c r="M1004" s="47">
        <v>1</v>
      </c>
      <c r="N1004" s="47"/>
      <c r="O1004" s="47"/>
      <c r="P1004" s="47">
        <v>1</v>
      </c>
      <c r="Q1004" s="47"/>
      <c r="R1004" s="47"/>
      <c r="S1004" s="48">
        <v>9</v>
      </c>
      <c r="T1004" s="47">
        <v>0</v>
      </c>
      <c r="U1004" s="47">
        <v>0</v>
      </c>
      <c r="V1004" s="47">
        <v>2</v>
      </c>
      <c r="W1004" s="47">
        <f>((2400+2200+1800+2400+2400+2300+2200+1800+2500)/9)*39.37/12</f>
        <v>7290.74074074074</v>
      </c>
      <c r="X1004" s="47"/>
      <c r="Y1004" s="47" t="s">
        <v>51</v>
      </c>
      <c r="Z1004" s="47" t="s">
        <v>1846</v>
      </c>
      <c r="AA1004" s="49">
        <v>0.97569444444444453</v>
      </c>
      <c r="AB1004" s="49"/>
      <c r="AC1004" s="49">
        <v>2.7777777777777776E-2</v>
      </c>
      <c r="AD1004" s="50">
        <v>2.75</v>
      </c>
      <c r="AE1004" s="47" t="s">
        <v>342</v>
      </c>
      <c r="AF1004" s="47">
        <v>55</v>
      </c>
      <c r="AG1004"/>
      <c r="AH1004"/>
      <c r="AI1004"/>
      <c r="AJ1004"/>
      <c r="AK1004">
        <f>9*30</f>
        <v>270</v>
      </c>
      <c r="AL1004"/>
      <c r="AM1004"/>
      <c r="AN1004"/>
      <c r="AO1004"/>
      <c r="AP1004"/>
      <c r="AQ1004" s="32" t="s">
        <v>2172</v>
      </c>
      <c r="AR1004" s="32" t="s">
        <v>2173</v>
      </c>
      <c r="AU1004">
        <v>1003</v>
      </c>
    </row>
    <row r="1005" spans="1:47" x14ac:dyDescent="0.2">
      <c r="A1005" s="37">
        <v>6144</v>
      </c>
      <c r="B1005" s="38" t="s">
        <v>45</v>
      </c>
      <c r="C1005" s="39" t="s">
        <v>1843</v>
      </c>
      <c r="D1005" s="29"/>
      <c r="E1005" s="38" t="s">
        <v>788</v>
      </c>
      <c r="F1005" s="32" t="s">
        <v>246</v>
      </c>
      <c r="G1005" s="47" t="s">
        <v>49</v>
      </c>
      <c r="H1005"/>
      <c r="I1005" s="32" t="b">
        <v>0</v>
      </c>
      <c r="J1005" s="32" t="b">
        <v>0</v>
      </c>
      <c r="K1005" s="47">
        <f>8*30*10*2.2</f>
        <v>5280</v>
      </c>
      <c r="L1005" s="48"/>
      <c r="M1005" s="47"/>
      <c r="N1005" s="47"/>
      <c r="O1005" s="47"/>
      <c r="P1005" s="47"/>
      <c r="Q1005" s="47"/>
      <c r="R1005" s="47"/>
      <c r="S1005" s="48">
        <v>8</v>
      </c>
      <c r="T1005" s="47"/>
      <c r="U1005" s="47"/>
      <c r="V1005" s="47"/>
      <c r="W1005" s="47">
        <f>((2400+2200+1800+2400+2400+2300+2200+2500)/8)*39.37/12</f>
        <v>7463.895833333333</v>
      </c>
      <c r="X1005" s="47"/>
      <c r="Y1005" s="47" t="s">
        <v>51</v>
      </c>
      <c r="Z1005" s="47" t="s">
        <v>1846</v>
      </c>
      <c r="AA1005" s="49">
        <v>0.97569444444444453</v>
      </c>
      <c r="AB1005" s="49"/>
      <c r="AC1005" s="49">
        <v>2.7777777777777776E-2</v>
      </c>
      <c r="AD1005" s="50">
        <v>2.25</v>
      </c>
      <c r="AE1005" s="47" t="s">
        <v>342</v>
      </c>
      <c r="AF1005" s="47">
        <v>55</v>
      </c>
      <c r="AG1005"/>
      <c r="AH1005"/>
      <c r="AI1005"/>
      <c r="AJ1005"/>
      <c r="AK1005">
        <f>8*30</f>
        <v>240</v>
      </c>
      <c r="AL1005"/>
      <c r="AM1005"/>
      <c r="AN1005"/>
      <c r="AO1005"/>
      <c r="AP1005"/>
      <c r="AQ1005" s="32" t="s">
        <v>2174</v>
      </c>
      <c r="AR1005" s="32" t="s">
        <v>2175</v>
      </c>
      <c r="AU1005">
        <v>1004</v>
      </c>
    </row>
    <row r="1006" spans="1:47" x14ac:dyDescent="0.2">
      <c r="A1006" s="37">
        <v>6144</v>
      </c>
      <c r="B1006" s="38" t="s">
        <v>45</v>
      </c>
      <c r="C1006" s="39" t="s">
        <v>1843</v>
      </c>
      <c r="D1006" s="29"/>
      <c r="E1006" s="38" t="s">
        <v>405</v>
      </c>
      <c r="F1006" s="32" t="s">
        <v>246</v>
      </c>
      <c r="G1006" s="47" t="s">
        <v>49</v>
      </c>
      <c r="H1006"/>
      <c r="I1006" s="32" t="b">
        <v>0</v>
      </c>
      <c r="J1006" s="32" t="b">
        <v>0</v>
      </c>
      <c r="K1006" s="47">
        <f>30*10*2.2</f>
        <v>660</v>
      </c>
      <c r="L1006" s="48"/>
      <c r="M1006" s="47"/>
      <c r="N1006" s="47"/>
      <c r="O1006" s="47"/>
      <c r="P1006" s="47"/>
      <c r="Q1006" s="47"/>
      <c r="R1006" s="47"/>
      <c r="S1006" s="48">
        <v>1</v>
      </c>
      <c r="T1006" s="47"/>
      <c r="U1006" s="47"/>
      <c r="V1006" s="47"/>
      <c r="W1006" s="47">
        <f>1800*39.37/12</f>
        <v>5905.5</v>
      </c>
      <c r="X1006" s="47"/>
      <c r="Y1006" s="47" t="s">
        <v>51</v>
      </c>
      <c r="Z1006" s="47" t="s">
        <v>1846</v>
      </c>
      <c r="AA1006" s="49">
        <v>0.97569444444444453</v>
      </c>
      <c r="AB1006" s="49"/>
      <c r="AC1006" s="49">
        <v>2.7777777777777776E-2</v>
      </c>
      <c r="AD1006" s="50">
        <v>2.75</v>
      </c>
      <c r="AE1006" s="47" t="s">
        <v>342</v>
      </c>
      <c r="AF1006" s="47">
        <v>40</v>
      </c>
      <c r="AG1006"/>
      <c r="AH1006"/>
      <c r="AI1006"/>
      <c r="AJ1006"/>
      <c r="AK1006">
        <v>30</v>
      </c>
      <c r="AL1006"/>
      <c r="AM1006"/>
      <c r="AN1006"/>
      <c r="AO1006"/>
      <c r="AP1006"/>
      <c r="AQ1006" s="32" t="s">
        <v>2174</v>
      </c>
      <c r="AR1006" s="32" t="s">
        <v>2176</v>
      </c>
      <c r="AU1006">
        <v>1005</v>
      </c>
    </row>
    <row r="1007" spans="1:47" x14ac:dyDescent="0.2">
      <c r="A1007" s="37">
        <v>6144</v>
      </c>
      <c r="B1007" s="38" t="s">
        <v>45</v>
      </c>
      <c r="C1007" s="39" t="s">
        <v>1561</v>
      </c>
      <c r="D1007" s="29"/>
      <c r="E1007" s="38" t="s">
        <v>190</v>
      </c>
      <c r="F1007" s="32" t="s">
        <v>2003</v>
      </c>
      <c r="G1007" s="47" t="s">
        <v>49</v>
      </c>
      <c r="H1007"/>
      <c r="I1007" s="32" t="s">
        <v>2177</v>
      </c>
      <c r="J1007" s="32"/>
      <c r="K1007" s="47">
        <f>6*10*2.2</f>
        <v>132</v>
      </c>
      <c r="L1007" s="48">
        <v>3</v>
      </c>
      <c r="M1007" s="47">
        <v>2</v>
      </c>
      <c r="N1007" s="47"/>
      <c r="O1007" s="47"/>
      <c r="P1007" s="47"/>
      <c r="Q1007" s="47"/>
      <c r="R1007" s="47"/>
      <c r="S1007" s="48">
        <v>1</v>
      </c>
      <c r="T1007" s="47">
        <v>0</v>
      </c>
      <c r="U1007" s="47">
        <v>0</v>
      </c>
      <c r="V1007" s="47">
        <v>0</v>
      </c>
      <c r="W1007" s="47"/>
      <c r="X1007" s="47"/>
      <c r="Y1007" s="47" t="s">
        <v>51</v>
      </c>
      <c r="Z1007" s="47" t="s">
        <v>1565</v>
      </c>
      <c r="AA1007" s="49">
        <v>2.0833333333333332E-2</v>
      </c>
      <c r="AB1007" s="49"/>
      <c r="AC1007" s="49"/>
      <c r="AD1007" s="50"/>
      <c r="AE1007" s="31" t="s">
        <v>342</v>
      </c>
      <c r="AF1007" s="47">
        <v>30</v>
      </c>
      <c r="AG1007"/>
      <c r="AH1007"/>
      <c r="AI1007"/>
      <c r="AJ1007"/>
      <c r="AK1007">
        <v>6</v>
      </c>
      <c r="AL1007"/>
      <c r="AM1007"/>
      <c r="AN1007"/>
      <c r="AO1007"/>
      <c r="AP1007"/>
      <c r="AQ1007" s="32" t="s">
        <v>2178</v>
      </c>
      <c r="AU1007">
        <v>1006</v>
      </c>
    </row>
    <row r="1008" spans="1:47" x14ac:dyDescent="0.2">
      <c r="A1008" s="26">
        <v>6145</v>
      </c>
      <c r="B1008" s="27">
        <v>7.9861111111111105E-2</v>
      </c>
      <c r="C1008" s="28"/>
      <c r="D1008" s="29"/>
      <c r="E1008" s="30" t="s">
        <v>1124</v>
      </c>
      <c r="H1008" s="32">
        <v>1</v>
      </c>
      <c r="I1008" s="32"/>
      <c r="AG1008" s="32">
        <v>0</v>
      </c>
      <c r="AH1008" s="32">
        <v>1</v>
      </c>
      <c r="AK1008" s="32">
        <v>31</v>
      </c>
      <c r="AL1008" s="32">
        <f>55/60</f>
        <v>0.91666666666666663</v>
      </c>
      <c r="AO1008" s="46" t="s">
        <v>1126</v>
      </c>
      <c r="AP1008" s="32">
        <f>55/60</f>
        <v>0.91666666666666663</v>
      </c>
      <c r="AQ1008" s="32" t="s">
        <v>589</v>
      </c>
      <c r="AU1008">
        <v>1007</v>
      </c>
    </row>
    <row r="1009" spans="1:47" x14ac:dyDescent="0.2">
      <c r="A1009" s="37">
        <v>6149</v>
      </c>
      <c r="B1009" s="38" t="s">
        <v>45</v>
      </c>
      <c r="C1009" s="39" t="s">
        <v>253</v>
      </c>
      <c r="D1009" s="29"/>
      <c r="E1009" s="38" t="s">
        <v>2179</v>
      </c>
      <c r="F1009" s="32" t="s">
        <v>2180</v>
      </c>
      <c r="G1009" s="47"/>
      <c r="H1009"/>
      <c r="I1009" s="32"/>
      <c r="J1009" s="47"/>
      <c r="K1009" s="47"/>
      <c r="L1009" s="48"/>
      <c r="M1009" s="47"/>
      <c r="N1009" s="47"/>
      <c r="O1009" s="47"/>
      <c r="P1009" s="47"/>
      <c r="Q1009" s="47"/>
      <c r="R1009" s="47"/>
      <c r="S1009" s="48"/>
      <c r="T1009" s="47"/>
      <c r="U1009" s="47"/>
      <c r="V1009" s="47"/>
      <c r="W1009" s="47"/>
      <c r="X1009" s="47"/>
      <c r="Y1009" s="47"/>
      <c r="Z1009" s="47"/>
      <c r="AA1009" s="49"/>
      <c r="AB1009" s="49"/>
      <c r="AC1009" s="49"/>
      <c r="AD1009" s="50"/>
      <c r="AE1009" s="47"/>
      <c r="AF1009" s="47"/>
      <c r="AG1009"/>
      <c r="AH1009"/>
      <c r="AI1009"/>
      <c r="AJ1009"/>
      <c r="AK1009"/>
      <c r="AL1009"/>
      <c r="AM1009"/>
      <c r="AN1009"/>
      <c r="AO1009"/>
      <c r="AP1009"/>
      <c r="AQ1009" s="32" t="s">
        <v>1939</v>
      </c>
      <c r="AU1009">
        <v>1008</v>
      </c>
    </row>
    <row r="1010" spans="1:47" x14ac:dyDescent="0.2">
      <c r="A1010" s="26">
        <v>6150</v>
      </c>
      <c r="B1010" s="27" t="s">
        <v>45</v>
      </c>
      <c r="C1010" s="28"/>
      <c r="D1010" s="29"/>
      <c r="E1010" s="30" t="s">
        <v>1823</v>
      </c>
      <c r="H1010" s="32">
        <v>0</v>
      </c>
      <c r="I1010" s="32" t="s">
        <v>1824</v>
      </c>
      <c r="AG1010" s="32">
        <v>0</v>
      </c>
      <c r="AH1010" s="32">
        <v>0</v>
      </c>
      <c r="AI1010" s="32">
        <v>0</v>
      </c>
      <c r="AK1010" s="32">
        <v>0</v>
      </c>
      <c r="AM1010" s="32">
        <v>1500</v>
      </c>
      <c r="AO1010" s="73" t="s">
        <v>75</v>
      </c>
      <c r="AQ1010" s="32" t="s">
        <v>589</v>
      </c>
      <c r="AU1010">
        <v>1009</v>
      </c>
    </row>
    <row r="1011" spans="1:47" x14ac:dyDescent="0.2">
      <c r="A1011" s="37">
        <v>6155</v>
      </c>
      <c r="B1011" s="38" t="s">
        <v>45</v>
      </c>
      <c r="C1011" s="39" t="s">
        <v>1843</v>
      </c>
      <c r="D1011" s="29"/>
      <c r="E1011" s="38" t="s">
        <v>175</v>
      </c>
      <c r="F1011" s="32" t="s">
        <v>150</v>
      </c>
      <c r="G1011" s="31" t="s">
        <v>49</v>
      </c>
      <c r="H1011" s="32"/>
      <c r="I1011" s="32" t="s">
        <v>2181</v>
      </c>
      <c r="J1011" s="32"/>
      <c r="K1011" s="31">
        <f>4*30*10*2.2</f>
        <v>2640</v>
      </c>
      <c r="L1011" s="33">
        <v>5</v>
      </c>
      <c r="N1011" s="31">
        <v>1</v>
      </c>
      <c r="S1011" s="33">
        <v>4</v>
      </c>
      <c r="T1011" s="31">
        <v>0</v>
      </c>
      <c r="U1011" s="31">
        <v>0</v>
      </c>
      <c r="V1011" s="31">
        <v>0</v>
      </c>
      <c r="W1011" s="47">
        <f>((2400+2700+2200+1700)/4)*39.37/12</f>
        <v>7381.875</v>
      </c>
      <c r="Y1011" s="47" t="s">
        <v>51</v>
      </c>
      <c r="Z1011" s="47" t="s">
        <v>1846</v>
      </c>
      <c r="AA1011" s="49">
        <v>0.97222222222222221</v>
      </c>
      <c r="AC1011" s="34">
        <v>3.125E-2</v>
      </c>
      <c r="AD1011" s="35">
        <f>2+5/60</f>
        <v>2.0833333333333335</v>
      </c>
      <c r="AE1011" s="47" t="s">
        <v>342</v>
      </c>
      <c r="AF1011" s="47">
        <v>40</v>
      </c>
      <c r="AK1011" s="32">
        <f>4*30</f>
        <v>120</v>
      </c>
      <c r="AO1011" s="73"/>
      <c r="AQ1011" s="32" t="s">
        <v>2182</v>
      </c>
      <c r="AU1011">
        <v>1010</v>
      </c>
    </row>
    <row r="1012" spans="1:47" x14ac:dyDescent="0.2">
      <c r="A1012" s="37">
        <v>6155</v>
      </c>
      <c r="B1012" s="38" t="s">
        <v>45</v>
      </c>
      <c r="C1012" s="39" t="s">
        <v>1843</v>
      </c>
      <c r="D1012" s="29"/>
      <c r="E1012" s="38" t="s">
        <v>649</v>
      </c>
      <c r="F1012" s="31" t="s">
        <v>529</v>
      </c>
      <c r="G1012" s="31" t="s">
        <v>205</v>
      </c>
      <c r="H1012" s="32"/>
      <c r="I1012" s="32" t="s">
        <v>2183</v>
      </c>
      <c r="J1012" s="32"/>
      <c r="K1012" s="31">
        <f>4*30*10*2.2</f>
        <v>2640</v>
      </c>
      <c r="L1012" s="33">
        <v>4</v>
      </c>
      <c r="S1012" s="33">
        <v>4</v>
      </c>
      <c r="T1012" s="31">
        <v>0</v>
      </c>
      <c r="U1012" s="31">
        <v>0</v>
      </c>
      <c r="V1012" s="31">
        <v>1</v>
      </c>
      <c r="W1012" s="47">
        <f>((1800+1800+2000+2200)/4)*39.37/12</f>
        <v>6397.625</v>
      </c>
      <c r="Y1012" s="47" t="s">
        <v>51</v>
      </c>
      <c r="Z1012" s="47" t="s">
        <v>1846</v>
      </c>
      <c r="AA1012" s="49">
        <v>0.97222222222222221</v>
      </c>
      <c r="AC1012" s="34">
        <v>2.0833333333333332E-2</v>
      </c>
      <c r="AD1012" s="35">
        <f>1+5/6</f>
        <v>1.8333333333333335</v>
      </c>
      <c r="AE1012" s="47" t="s">
        <v>342</v>
      </c>
      <c r="AF1012" s="31">
        <v>40</v>
      </c>
      <c r="AK1012" s="32">
        <f>4*30</f>
        <v>120</v>
      </c>
      <c r="AO1012" s="73"/>
      <c r="AQ1012" s="32" t="s">
        <v>2182</v>
      </c>
      <c r="AU1012">
        <v>1011</v>
      </c>
    </row>
    <row r="1013" spans="1:47" x14ac:dyDescent="0.2">
      <c r="A1013" s="26">
        <v>6155</v>
      </c>
      <c r="B1013" s="27"/>
      <c r="C1013" s="28"/>
      <c r="D1013" s="29"/>
      <c r="E1013" s="30" t="s">
        <v>75</v>
      </c>
      <c r="H1013" s="32">
        <v>1</v>
      </c>
      <c r="I1013" s="32" t="s">
        <v>2184</v>
      </c>
      <c r="AG1013" s="32">
        <v>0</v>
      </c>
      <c r="AH1013" s="32">
        <v>0</v>
      </c>
      <c r="AI1013" s="32">
        <v>155</v>
      </c>
      <c r="AQ1013" s="32">
        <v>413</v>
      </c>
      <c r="AU1013">
        <v>1012</v>
      </c>
    </row>
    <row r="1014" spans="1:47" x14ac:dyDescent="0.2">
      <c r="A1014" s="26">
        <v>6156</v>
      </c>
      <c r="B1014" s="27">
        <v>6.25E-2</v>
      </c>
      <c r="C1014" s="28"/>
      <c r="D1014" s="29"/>
      <c r="E1014" s="30" t="s">
        <v>1124</v>
      </c>
      <c r="H1014" s="32">
        <v>1</v>
      </c>
      <c r="I1014" s="32"/>
      <c r="AG1014" s="32">
        <v>0</v>
      </c>
      <c r="AH1014" s="32">
        <v>5</v>
      </c>
      <c r="AK1014" s="32">
        <v>14</v>
      </c>
      <c r="AL1014" s="32">
        <v>0.66700000000000004</v>
      </c>
      <c r="AO1014" s="46" t="s">
        <v>1126</v>
      </c>
      <c r="AP1014" s="32">
        <v>0.66700000000000004</v>
      </c>
      <c r="AQ1014" s="32" t="s">
        <v>589</v>
      </c>
      <c r="AU1014">
        <v>1013</v>
      </c>
    </row>
    <row r="1015" spans="1:47" x14ac:dyDescent="0.2">
      <c r="A1015" s="133">
        <v>6158</v>
      </c>
      <c r="B1015" s="38" t="s">
        <v>45</v>
      </c>
      <c r="C1015" s="38" t="s">
        <v>156</v>
      </c>
      <c r="D1015" s="29" t="b">
        <v>0</v>
      </c>
      <c r="E1015" s="39" t="s">
        <v>2185</v>
      </c>
      <c r="F1015" s="31" t="s">
        <v>2186</v>
      </c>
      <c r="H1015" s="32"/>
      <c r="I1015" s="31" t="s">
        <v>2187</v>
      </c>
      <c r="S1015" s="33">
        <v>7</v>
      </c>
      <c r="AE1015" s="31" t="s">
        <v>2188</v>
      </c>
      <c r="AF1015" s="31">
        <v>40</v>
      </c>
      <c r="AO1015" s="46"/>
      <c r="AQ1015" s="32" t="s">
        <v>2059</v>
      </c>
      <c r="AU1015">
        <v>1014</v>
      </c>
    </row>
    <row r="1016" spans="1:47" x14ac:dyDescent="0.2">
      <c r="A1016" s="133">
        <v>6158</v>
      </c>
      <c r="B1016" s="38" t="s">
        <v>45</v>
      </c>
      <c r="C1016" s="38" t="s">
        <v>2189</v>
      </c>
      <c r="D1016" s="29"/>
      <c r="E1016" s="39" t="s">
        <v>2190</v>
      </c>
      <c r="F1016" s="31" t="s">
        <v>1198</v>
      </c>
      <c r="G1016" s="31" t="s">
        <v>49</v>
      </c>
      <c r="H1016" s="32"/>
      <c r="AO1016" s="46"/>
      <c r="AQ1016" s="32" t="s">
        <v>2079</v>
      </c>
      <c r="AU1016">
        <v>1015</v>
      </c>
    </row>
    <row r="1017" spans="1:47" x14ac:dyDescent="0.2">
      <c r="A1017" s="133">
        <v>6158</v>
      </c>
      <c r="B1017" s="38" t="s">
        <v>45</v>
      </c>
      <c r="C1017" s="38" t="s">
        <v>2092</v>
      </c>
      <c r="D1017" s="29"/>
      <c r="E1017" s="39" t="s">
        <v>2191</v>
      </c>
      <c r="F1017" s="31" t="s">
        <v>220</v>
      </c>
      <c r="G1017" s="31" t="s">
        <v>49</v>
      </c>
      <c r="H1017" s="32"/>
      <c r="I1017" s="31" t="s">
        <v>2192</v>
      </c>
      <c r="S1017" s="33">
        <v>3</v>
      </c>
      <c r="AO1017" s="46"/>
      <c r="AQ1017" s="32" t="s">
        <v>2079</v>
      </c>
      <c r="AU1017">
        <v>1016</v>
      </c>
    </row>
    <row r="1018" spans="1:47" x14ac:dyDescent="0.2">
      <c r="A1018" s="133">
        <v>6158</v>
      </c>
      <c r="B1018" s="38" t="s">
        <v>45</v>
      </c>
      <c r="C1018" s="39" t="s">
        <v>1843</v>
      </c>
      <c r="D1018" s="29"/>
      <c r="E1018" s="39" t="s">
        <v>2193</v>
      </c>
      <c r="F1018" s="31" t="s">
        <v>1972</v>
      </c>
      <c r="G1018" s="31" t="s">
        <v>481</v>
      </c>
      <c r="H1018" s="32"/>
      <c r="I1018" s="19" t="s">
        <v>2194</v>
      </c>
      <c r="K1018" s="31">
        <f>7*30*10*2.2</f>
        <v>4620</v>
      </c>
      <c r="L1018" s="33">
        <v>7</v>
      </c>
      <c r="S1018" s="33">
        <v>7</v>
      </c>
      <c r="T1018" s="47">
        <v>0</v>
      </c>
      <c r="U1018" s="47">
        <v>0</v>
      </c>
      <c r="V1018" s="47">
        <v>0</v>
      </c>
      <c r="W1018" s="47">
        <f>((2600+3000+2400+2600+2500+2400+2200)/7)*39.37/12</f>
        <v>8295.8214285714275</v>
      </c>
      <c r="X1018" s="47"/>
      <c r="Y1018" s="47" t="s">
        <v>51</v>
      </c>
      <c r="Z1018" s="47" t="s">
        <v>1846</v>
      </c>
      <c r="AA1018" s="49">
        <v>0.85902777777777783</v>
      </c>
      <c r="AB1018" s="49"/>
      <c r="AC1018" s="49">
        <v>0.92361111111111116</v>
      </c>
      <c r="AD1018" s="50">
        <f>2+5/6</f>
        <v>2.8333333333333335</v>
      </c>
      <c r="AE1018" s="47" t="s">
        <v>342</v>
      </c>
      <c r="AF1018" s="31">
        <v>70</v>
      </c>
      <c r="AK1018" s="32">
        <f>7*30</f>
        <v>210</v>
      </c>
      <c r="AO1018" s="46" t="s">
        <v>2195</v>
      </c>
      <c r="AQ1018" s="32" t="s">
        <v>2196</v>
      </c>
      <c r="AU1018">
        <v>1017</v>
      </c>
    </row>
    <row r="1019" spans="1:47" x14ac:dyDescent="0.2">
      <c r="A1019" s="133">
        <v>6158</v>
      </c>
      <c r="B1019" s="38" t="s">
        <v>45</v>
      </c>
      <c r="C1019" s="39" t="s">
        <v>1843</v>
      </c>
      <c r="D1019" s="29"/>
      <c r="E1019" s="39" t="s">
        <v>153</v>
      </c>
      <c r="F1019" s="31" t="s">
        <v>204</v>
      </c>
      <c r="G1019" s="31" t="s">
        <v>205</v>
      </c>
      <c r="H1019" s="32"/>
      <c r="I1019" s="31" t="s">
        <v>2197</v>
      </c>
      <c r="K1019" s="31">
        <f>30*10*2.2</f>
        <v>660</v>
      </c>
      <c r="L1019" s="33">
        <v>1</v>
      </c>
      <c r="S1019" s="33">
        <v>1</v>
      </c>
      <c r="T1019" s="47">
        <v>0</v>
      </c>
      <c r="U1019" s="47">
        <v>0</v>
      </c>
      <c r="V1019" s="47">
        <v>0</v>
      </c>
      <c r="W1019" s="47">
        <f>2200*39.37/12</f>
        <v>7217.833333333333</v>
      </c>
      <c r="X1019" s="47"/>
      <c r="Y1019" s="47" t="s">
        <v>51</v>
      </c>
      <c r="Z1019" s="47" t="s">
        <v>1846</v>
      </c>
      <c r="AA1019" s="49">
        <v>1.0416666666666666E-2</v>
      </c>
      <c r="AB1019" s="49"/>
      <c r="AC1019" s="49">
        <v>5.2083333333333336E-2</v>
      </c>
      <c r="AD1019" s="50">
        <f>1+2/3</f>
        <v>1.6666666666666665</v>
      </c>
      <c r="AE1019" s="47" t="s">
        <v>342</v>
      </c>
      <c r="AF1019" s="31">
        <v>40</v>
      </c>
      <c r="AK1019" s="32">
        <v>30</v>
      </c>
      <c r="AO1019" s="46"/>
      <c r="AQ1019" s="32" t="s">
        <v>2198</v>
      </c>
      <c r="AU1019">
        <v>1018</v>
      </c>
    </row>
    <row r="1020" spans="1:47" x14ac:dyDescent="0.2">
      <c r="A1020" s="133">
        <v>6158</v>
      </c>
      <c r="B1020" s="38" t="s">
        <v>45</v>
      </c>
      <c r="C1020" s="39" t="s">
        <v>1561</v>
      </c>
      <c r="D1020" s="29"/>
      <c r="E1020" s="39" t="s">
        <v>2199</v>
      </c>
      <c r="F1020" s="31" t="s">
        <v>150</v>
      </c>
      <c r="G1020" s="31" t="s">
        <v>49</v>
      </c>
      <c r="H1020" s="32"/>
      <c r="I1020" s="31" t="s">
        <v>2200</v>
      </c>
      <c r="K1020" s="31">
        <f>22*10*2.2</f>
        <v>484.00000000000006</v>
      </c>
      <c r="L1020" s="33">
        <v>4</v>
      </c>
      <c r="S1020" s="33">
        <v>3</v>
      </c>
      <c r="T1020" s="47">
        <v>0</v>
      </c>
      <c r="U1020" s="47">
        <v>0</v>
      </c>
      <c r="V1020" s="47">
        <v>0</v>
      </c>
      <c r="W1020" s="47"/>
      <c r="X1020" s="47"/>
      <c r="Y1020" s="47" t="s">
        <v>51</v>
      </c>
      <c r="Z1020" s="47" t="s">
        <v>1565</v>
      </c>
      <c r="AA1020" s="49">
        <v>0.90277777777777779</v>
      </c>
      <c r="AB1020" s="49"/>
      <c r="AC1020" s="49">
        <v>0.96527777777777779</v>
      </c>
      <c r="AD1020" s="50"/>
      <c r="AE1020" s="31" t="s">
        <v>342</v>
      </c>
      <c r="AF1020" s="31">
        <v>40</v>
      </c>
      <c r="AK1020" s="32">
        <v>22</v>
      </c>
      <c r="AO1020" s="46"/>
      <c r="AQ1020" s="32" t="s">
        <v>2201</v>
      </c>
      <c r="AU1020">
        <v>1019</v>
      </c>
    </row>
    <row r="1021" spans="1:47" x14ac:dyDescent="0.2">
      <c r="A1021" s="133">
        <v>6158</v>
      </c>
      <c r="B1021" s="38" t="s">
        <v>45</v>
      </c>
      <c r="C1021" s="38" t="s">
        <v>1262</v>
      </c>
      <c r="D1021" s="29"/>
      <c r="E1021" s="39" t="s">
        <v>649</v>
      </c>
      <c r="F1021" s="31" t="s">
        <v>529</v>
      </c>
      <c r="G1021" s="31" t="s">
        <v>205</v>
      </c>
      <c r="H1021" s="32"/>
      <c r="I1021" s="31" t="s">
        <v>2202</v>
      </c>
      <c r="K1021" s="31">
        <f>17*10*2.2</f>
        <v>374.00000000000006</v>
      </c>
      <c r="L1021" s="33">
        <v>4</v>
      </c>
      <c r="S1021" s="33">
        <v>4</v>
      </c>
      <c r="T1021" s="47">
        <v>0</v>
      </c>
      <c r="U1021" s="47">
        <v>0</v>
      </c>
      <c r="V1021" s="47">
        <v>0</v>
      </c>
      <c r="W1021" s="47"/>
      <c r="X1021" s="47"/>
      <c r="Y1021" s="47" t="s">
        <v>51</v>
      </c>
      <c r="Z1021" s="47" t="s">
        <v>2203</v>
      </c>
      <c r="AA1021" s="49">
        <v>0.92361111111111116</v>
      </c>
      <c r="AB1021" s="49"/>
      <c r="AC1021" s="49">
        <v>0.97569444444444453</v>
      </c>
      <c r="AD1021" s="50"/>
      <c r="AE1021" s="47" t="s">
        <v>1558</v>
      </c>
      <c r="AF1021" s="31">
        <v>75</v>
      </c>
      <c r="AK1021" s="32">
        <v>17</v>
      </c>
      <c r="AO1021" s="46"/>
      <c r="AQ1021" s="32" t="s">
        <v>2201</v>
      </c>
      <c r="AR1021" s="32" t="s">
        <v>1560</v>
      </c>
      <c r="AU1021">
        <v>1020</v>
      </c>
    </row>
    <row r="1022" spans="1:47" x14ac:dyDescent="0.2">
      <c r="A1022" s="26">
        <v>6158</v>
      </c>
      <c r="B1022" s="27">
        <v>0.93055555555555547</v>
      </c>
      <c r="C1022" s="28"/>
      <c r="D1022" s="29"/>
      <c r="E1022" s="30" t="s">
        <v>1282</v>
      </c>
      <c r="H1022" s="32">
        <v>0</v>
      </c>
      <c r="I1022" s="32" t="s">
        <v>2204</v>
      </c>
      <c r="AG1022" s="32">
        <v>0</v>
      </c>
      <c r="AH1022" s="32">
        <v>0</v>
      </c>
      <c r="AI1022" s="32">
        <v>0</v>
      </c>
      <c r="AK1022" s="32">
        <v>0</v>
      </c>
      <c r="AL1022" s="32">
        <f>6+2/3</f>
        <v>6.666666666666667</v>
      </c>
      <c r="AP1022" s="32">
        <f>6+2/3</f>
        <v>6.666666666666667</v>
      </c>
      <c r="AQ1022" s="32" t="s">
        <v>1101</v>
      </c>
      <c r="AU1022">
        <v>1021</v>
      </c>
    </row>
    <row r="1023" spans="1:47" x14ac:dyDescent="0.2">
      <c r="A1023" s="26">
        <v>6158</v>
      </c>
      <c r="B1023" s="27" t="s">
        <v>45</v>
      </c>
      <c r="C1023" s="28"/>
      <c r="D1023" s="29"/>
      <c r="E1023" s="30" t="s">
        <v>464</v>
      </c>
      <c r="H1023" s="32">
        <v>1</v>
      </c>
      <c r="I1023" s="32" t="s">
        <v>2205</v>
      </c>
      <c r="AG1023" s="32">
        <v>2</v>
      </c>
      <c r="AH1023" s="32">
        <v>1</v>
      </c>
      <c r="AO1023" s="32" t="s">
        <v>487</v>
      </c>
      <c r="AQ1023" s="32">
        <v>387</v>
      </c>
      <c r="AU1023">
        <v>1022</v>
      </c>
    </row>
    <row r="1024" spans="1:47" x14ac:dyDescent="0.2">
      <c r="A1024" s="26">
        <v>6158</v>
      </c>
      <c r="B1024" s="27" t="s">
        <v>45</v>
      </c>
      <c r="C1024" s="28"/>
      <c r="D1024" s="29"/>
      <c r="E1024" s="30" t="s">
        <v>1531</v>
      </c>
      <c r="H1024" s="32">
        <v>1</v>
      </c>
      <c r="I1024" s="32" t="s">
        <v>2206</v>
      </c>
      <c r="AM1024" s="32">
        <f>498*93</f>
        <v>46314</v>
      </c>
      <c r="AO1024" s="32" t="s">
        <v>1533</v>
      </c>
      <c r="AQ1024" s="32" t="s">
        <v>1101</v>
      </c>
      <c r="AU1024">
        <v>1023</v>
      </c>
    </row>
    <row r="1025" spans="1:47" x14ac:dyDescent="0.2">
      <c r="A1025" s="26">
        <v>6158</v>
      </c>
      <c r="B1025" s="27" t="s">
        <v>45</v>
      </c>
      <c r="C1025" s="28"/>
      <c r="D1025" s="29"/>
      <c r="E1025" s="30" t="s">
        <v>1823</v>
      </c>
      <c r="H1025" s="32">
        <v>0</v>
      </c>
      <c r="I1025" s="32" t="s">
        <v>1824</v>
      </c>
      <c r="AG1025" s="32">
        <v>0</v>
      </c>
      <c r="AH1025" s="32">
        <v>0</v>
      </c>
      <c r="AI1025" s="32">
        <v>0</v>
      </c>
      <c r="AK1025" s="32">
        <v>0</v>
      </c>
      <c r="AM1025" s="32">
        <v>1000</v>
      </c>
      <c r="AO1025" s="73" t="s">
        <v>75</v>
      </c>
      <c r="AQ1025" s="32" t="s">
        <v>589</v>
      </c>
      <c r="AU1025">
        <v>1024</v>
      </c>
    </row>
    <row r="1026" spans="1:47" x14ac:dyDescent="0.2">
      <c r="A1026" s="133">
        <v>6159</v>
      </c>
      <c r="B1026" s="39" t="s">
        <v>85</v>
      </c>
      <c r="C1026" s="39" t="s">
        <v>1806</v>
      </c>
      <c r="D1026" s="29" t="b">
        <v>0</v>
      </c>
      <c r="E1026" s="39" t="s">
        <v>2207</v>
      </c>
      <c r="F1026" s="47" t="s">
        <v>480</v>
      </c>
      <c r="G1026" s="47" t="s">
        <v>481</v>
      </c>
      <c r="H1026"/>
      <c r="I1026" s="134" t="s">
        <v>2208</v>
      </c>
      <c r="J1026" s="47" t="b">
        <v>1</v>
      </c>
      <c r="K1026" s="47">
        <v>2275</v>
      </c>
      <c r="L1026" s="48">
        <v>10</v>
      </c>
      <c r="M1026" s="47">
        <v>0</v>
      </c>
      <c r="N1026" s="47">
        <v>1</v>
      </c>
      <c r="O1026" s="47">
        <v>0</v>
      </c>
      <c r="P1026" s="47">
        <v>0</v>
      </c>
      <c r="Q1026" s="47">
        <v>0</v>
      </c>
      <c r="R1026" s="47">
        <v>0</v>
      </c>
      <c r="S1026" s="48">
        <v>9</v>
      </c>
      <c r="T1026" s="47">
        <v>0</v>
      </c>
      <c r="U1026" s="47">
        <v>0</v>
      </c>
      <c r="V1026" s="47">
        <v>0</v>
      </c>
      <c r="W1026" s="47">
        <v>11000</v>
      </c>
      <c r="X1026" s="47">
        <v>4</v>
      </c>
      <c r="Y1026" s="47" t="s">
        <v>120</v>
      </c>
      <c r="Z1026" s="47" t="s">
        <v>1809</v>
      </c>
      <c r="AA1026" s="49">
        <v>0.38194444444444442</v>
      </c>
      <c r="AB1026" s="49">
        <v>0.51736111111111105</v>
      </c>
      <c r="AC1026" s="49">
        <v>0.45833333333333331</v>
      </c>
      <c r="AD1026" s="50">
        <f>(AB1026-AA1026)*24</f>
        <v>3.2499999999999991</v>
      </c>
      <c r="AE1026" s="47" t="s">
        <v>1312</v>
      </c>
      <c r="AF1026" s="47">
        <v>100</v>
      </c>
      <c r="AG1026"/>
      <c r="AH1026"/>
      <c r="AI1026"/>
      <c r="AJ1026"/>
      <c r="AK1026">
        <v>35</v>
      </c>
      <c r="AL1026"/>
      <c r="AM1026"/>
      <c r="AN1026"/>
      <c r="AO1026"/>
      <c r="AP1026"/>
      <c r="AQ1026" t="s">
        <v>2166</v>
      </c>
      <c r="AU1026">
        <v>1025</v>
      </c>
    </row>
    <row r="1027" spans="1:47" x14ac:dyDescent="0.2">
      <c r="A1027" s="133">
        <v>6159</v>
      </c>
      <c r="B1027" s="39" t="s">
        <v>45</v>
      </c>
      <c r="C1027" s="57" t="s">
        <v>142</v>
      </c>
      <c r="D1027" s="29"/>
      <c r="E1027" s="39" t="s">
        <v>649</v>
      </c>
      <c r="F1027" s="47" t="s">
        <v>529</v>
      </c>
      <c r="G1027" s="47" t="s">
        <v>205</v>
      </c>
      <c r="H1027"/>
      <c r="I1027" s="47" t="s">
        <v>2209</v>
      </c>
      <c r="J1027" s="47"/>
      <c r="K1027" s="47">
        <f>46*10*2.2</f>
        <v>1012.0000000000001</v>
      </c>
      <c r="L1027" s="48"/>
      <c r="M1027" s="47"/>
      <c r="N1027" s="47"/>
      <c r="O1027" s="47"/>
      <c r="P1027" s="47"/>
      <c r="Q1027" s="47"/>
      <c r="R1027" s="47"/>
      <c r="S1027" s="48">
        <v>7</v>
      </c>
      <c r="T1027" s="47">
        <v>0</v>
      </c>
      <c r="U1027" s="47">
        <v>0</v>
      </c>
      <c r="V1027" s="47">
        <v>0</v>
      </c>
      <c r="W1027" s="47"/>
      <c r="X1027" s="47"/>
      <c r="Y1027" s="47" t="s">
        <v>51</v>
      </c>
      <c r="Z1027" s="31" t="s">
        <v>146</v>
      </c>
      <c r="AA1027" s="49">
        <v>0.92361111111111116</v>
      </c>
      <c r="AB1027" s="49"/>
      <c r="AC1027" s="49">
        <v>3.472222222222222E-3</v>
      </c>
      <c r="AD1027" s="50"/>
      <c r="AE1027" s="47" t="s">
        <v>342</v>
      </c>
      <c r="AF1027" s="47">
        <v>40</v>
      </c>
      <c r="AG1027"/>
      <c r="AH1027"/>
      <c r="AI1027"/>
      <c r="AJ1027"/>
      <c r="AK1027">
        <v>46</v>
      </c>
      <c r="AL1027"/>
      <c r="AM1027"/>
      <c r="AN1027"/>
      <c r="AO1027"/>
      <c r="AP1027"/>
      <c r="AQ1027" s="32" t="s">
        <v>2201</v>
      </c>
      <c r="AU1027">
        <v>1026</v>
      </c>
    </row>
    <row r="1028" spans="1:47" x14ac:dyDescent="0.2">
      <c r="A1028" s="133">
        <v>6159</v>
      </c>
      <c r="B1028" s="39" t="s">
        <v>45</v>
      </c>
      <c r="C1028" s="144" t="s">
        <v>142</v>
      </c>
      <c r="D1028" s="29"/>
      <c r="E1028" s="39" t="s">
        <v>2210</v>
      </c>
      <c r="F1028" s="47" t="s">
        <v>1972</v>
      </c>
      <c r="G1028" s="47" t="s">
        <v>481</v>
      </c>
      <c r="H1028"/>
      <c r="I1028" s="47" t="s">
        <v>2209</v>
      </c>
      <c r="J1028" s="47"/>
      <c r="K1028" s="47">
        <f>10*10*2.2</f>
        <v>220.00000000000003</v>
      </c>
      <c r="L1028" s="48"/>
      <c r="M1028" s="47"/>
      <c r="N1028" s="47"/>
      <c r="O1028" s="47"/>
      <c r="P1028" s="47"/>
      <c r="Q1028" s="47"/>
      <c r="R1028" s="47"/>
      <c r="S1028" s="48">
        <v>1</v>
      </c>
      <c r="T1028" s="47">
        <v>0</v>
      </c>
      <c r="U1028" s="47">
        <v>0</v>
      </c>
      <c r="V1028" s="47">
        <v>0</v>
      </c>
      <c r="W1028" s="47"/>
      <c r="X1028" s="47"/>
      <c r="Y1028" s="47" t="s">
        <v>51</v>
      </c>
      <c r="Z1028" s="31" t="s">
        <v>146</v>
      </c>
      <c r="AA1028" s="49">
        <v>0.92361111111111116</v>
      </c>
      <c r="AB1028" s="49"/>
      <c r="AC1028" s="49">
        <v>0.99652777777777779</v>
      </c>
      <c r="AD1028" s="50"/>
      <c r="AE1028" s="47" t="s">
        <v>342</v>
      </c>
      <c r="AF1028" s="47">
        <v>60</v>
      </c>
      <c r="AG1028"/>
      <c r="AH1028"/>
      <c r="AI1028"/>
      <c r="AJ1028"/>
      <c r="AK1028">
        <v>10</v>
      </c>
      <c r="AL1028"/>
      <c r="AM1028"/>
      <c r="AN1028"/>
      <c r="AO1028"/>
      <c r="AP1028"/>
      <c r="AQ1028" s="32" t="s">
        <v>2201</v>
      </c>
      <c r="AU1028">
        <v>1027</v>
      </c>
    </row>
    <row r="1029" spans="1:47" x14ac:dyDescent="0.2">
      <c r="A1029" s="133">
        <v>6159</v>
      </c>
      <c r="B1029" s="39" t="s">
        <v>45</v>
      </c>
      <c r="C1029" s="39" t="s">
        <v>1843</v>
      </c>
      <c r="D1029" s="29"/>
      <c r="E1029" s="39" t="s">
        <v>2211</v>
      </c>
      <c r="F1029" s="31" t="s">
        <v>2212</v>
      </c>
      <c r="G1029" s="31" t="s">
        <v>481</v>
      </c>
      <c r="H1029"/>
      <c r="I1029" s="32" t="b">
        <v>1</v>
      </c>
      <c r="J1029" s="32" t="b">
        <v>1</v>
      </c>
      <c r="K1029" s="47">
        <f>(10*30)*10*2.2</f>
        <v>6600.0000000000009</v>
      </c>
      <c r="L1029" s="48">
        <v>10</v>
      </c>
      <c r="M1029" s="47"/>
      <c r="N1029" s="47"/>
      <c r="O1029" s="47"/>
      <c r="P1029" s="47"/>
      <c r="Q1029" s="47">
        <v>1</v>
      </c>
      <c r="R1029" s="47"/>
      <c r="S1029" s="48">
        <v>10</v>
      </c>
      <c r="T1029" s="47">
        <v>0</v>
      </c>
      <c r="U1029" s="47">
        <v>0</v>
      </c>
      <c r="V1029" s="47">
        <v>0</v>
      </c>
      <c r="W1029" s="47">
        <f>((2400+2500+2900+2800+2700+2800+1700+1700+2500+1800)/10)*39.37/12</f>
        <v>7808.3833333333323</v>
      </c>
      <c r="X1029" s="47"/>
      <c r="Y1029" s="47" t="s">
        <v>51</v>
      </c>
      <c r="Z1029" s="47" t="s">
        <v>1846</v>
      </c>
      <c r="AA1029" s="49">
        <v>0.85069444444444453</v>
      </c>
      <c r="AB1029" s="49"/>
      <c r="AC1029" s="49"/>
      <c r="AD1029" s="50">
        <v>2.5</v>
      </c>
      <c r="AE1029" s="47" t="s">
        <v>342</v>
      </c>
      <c r="AF1029" s="47">
        <v>60</v>
      </c>
      <c r="AG1029"/>
      <c r="AH1029"/>
      <c r="AI1029"/>
      <c r="AJ1029"/>
      <c r="AK1029">
        <f>270+30</f>
        <v>300</v>
      </c>
      <c r="AL1029"/>
      <c r="AM1029"/>
      <c r="AN1029"/>
      <c r="AO1029"/>
      <c r="AP1029"/>
      <c r="AQ1029" s="32" t="s">
        <v>2213</v>
      </c>
      <c r="AR1029" s="32" t="s">
        <v>2214</v>
      </c>
      <c r="AU1029">
        <v>1028</v>
      </c>
    </row>
    <row r="1030" spans="1:47" x14ac:dyDescent="0.2">
      <c r="A1030" s="133">
        <v>6159</v>
      </c>
      <c r="B1030" s="39" t="s">
        <v>45</v>
      </c>
      <c r="C1030" s="39" t="s">
        <v>1843</v>
      </c>
      <c r="D1030" s="29"/>
      <c r="E1030" s="39" t="s">
        <v>1455</v>
      </c>
      <c r="F1030" s="31" t="s">
        <v>1972</v>
      </c>
      <c r="G1030" s="31" t="s">
        <v>481</v>
      </c>
      <c r="H1030"/>
      <c r="I1030" s="32" t="b">
        <v>0</v>
      </c>
      <c r="J1030" s="32" t="b">
        <v>0</v>
      </c>
      <c r="K1030" s="47">
        <f>9*30*10*2.2</f>
        <v>5940.0000000000009</v>
      </c>
      <c r="L1030" s="48"/>
      <c r="M1030" s="47"/>
      <c r="N1030" s="47"/>
      <c r="O1030" s="47"/>
      <c r="P1030" s="47"/>
      <c r="S1030" s="33">
        <v>9</v>
      </c>
      <c r="T1030" s="47"/>
      <c r="U1030" s="47"/>
      <c r="V1030" s="47"/>
      <c r="W1030" s="47">
        <f>((2400+2500+2900+2800+2700+2800+1700+1700+2500)/9)*39.37/12</f>
        <v>8019.8148148148139</v>
      </c>
      <c r="X1030" s="47"/>
      <c r="Y1030" s="47" t="s">
        <v>51</v>
      </c>
      <c r="Z1030" s="47" t="s">
        <v>1846</v>
      </c>
      <c r="AA1030" s="49"/>
      <c r="AB1030" s="49"/>
      <c r="AC1030" s="49">
        <v>0.93402777777777779</v>
      </c>
      <c r="AD1030" s="50">
        <v>2.5</v>
      </c>
      <c r="AE1030" s="47" t="s">
        <v>342</v>
      </c>
      <c r="AF1030" s="47">
        <v>60</v>
      </c>
      <c r="AG1030"/>
      <c r="AH1030"/>
      <c r="AI1030"/>
      <c r="AJ1030"/>
      <c r="AK1030">
        <v>270</v>
      </c>
      <c r="AL1030"/>
      <c r="AM1030"/>
      <c r="AN1030"/>
      <c r="AO1030"/>
      <c r="AP1030"/>
      <c r="AQ1030" s="32" t="s">
        <v>2213</v>
      </c>
      <c r="AR1030" s="32" t="s">
        <v>2215</v>
      </c>
      <c r="AU1030">
        <v>1029</v>
      </c>
    </row>
    <row r="1031" spans="1:47" x14ac:dyDescent="0.2">
      <c r="A1031" s="133">
        <v>6159</v>
      </c>
      <c r="B1031" s="39" t="s">
        <v>45</v>
      </c>
      <c r="C1031" s="39" t="s">
        <v>1843</v>
      </c>
      <c r="D1031" s="29"/>
      <c r="E1031" s="39" t="s">
        <v>175</v>
      </c>
      <c r="F1031" s="47" t="s">
        <v>220</v>
      </c>
      <c r="G1031" s="47" t="s">
        <v>49</v>
      </c>
      <c r="H1031"/>
      <c r="I1031" s="32" t="b">
        <v>0</v>
      </c>
      <c r="J1031" s="32" t="b">
        <v>0</v>
      </c>
      <c r="K1031" s="47">
        <f>30*10*2.2</f>
        <v>660</v>
      </c>
      <c r="L1031" s="48"/>
      <c r="M1031" s="47"/>
      <c r="N1031" s="47"/>
      <c r="O1031" s="47"/>
      <c r="P1031" s="47"/>
      <c r="Q1031" s="47"/>
      <c r="R1031" s="47"/>
      <c r="S1031" s="48">
        <v>1</v>
      </c>
      <c r="T1031" s="47"/>
      <c r="U1031" s="47"/>
      <c r="V1031" s="47"/>
      <c r="W1031" s="47">
        <f>1800*39.37/12</f>
        <v>5905.5</v>
      </c>
      <c r="X1031" s="47"/>
      <c r="Y1031" s="47" t="s">
        <v>51</v>
      </c>
      <c r="Z1031" s="47" t="s">
        <v>1846</v>
      </c>
      <c r="AA1031" s="49"/>
      <c r="AB1031" s="49"/>
      <c r="AC1031" s="49">
        <v>0.92013888888888884</v>
      </c>
      <c r="AD1031" s="50">
        <v>2</v>
      </c>
      <c r="AE1031" s="47" t="s">
        <v>342</v>
      </c>
      <c r="AF1031" s="47">
        <v>40</v>
      </c>
      <c r="AG1031"/>
      <c r="AH1031"/>
      <c r="AI1031"/>
      <c r="AJ1031"/>
      <c r="AK1031">
        <v>30</v>
      </c>
      <c r="AL1031"/>
      <c r="AM1031"/>
      <c r="AN1031"/>
      <c r="AO1031"/>
      <c r="AP1031"/>
      <c r="AQ1031" s="32" t="s">
        <v>2213</v>
      </c>
      <c r="AR1031" s="32" t="s">
        <v>2216</v>
      </c>
      <c r="AU1031">
        <v>1030</v>
      </c>
    </row>
    <row r="1032" spans="1:47" x14ac:dyDescent="0.2">
      <c r="A1032" s="133">
        <v>6159</v>
      </c>
      <c r="B1032" s="39" t="s">
        <v>45</v>
      </c>
      <c r="C1032" s="39" t="s">
        <v>1843</v>
      </c>
      <c r="D1032" s="29"/>
      <c r="E1032" s="39" t="s">
        <v>2217</v>
      </c>
      <c r="F1032" s="31" t="s">
        <v>204</v>
      </c>
      <c r="G1032" s="31" t="s">
        <v>205</v>
      </c>
      <c r="H1032"/>
      <c r="I1032" s="32" t="s">
        <v>2218</v>
      </c>
      <c r="J1032" s="32"/>
      <c r="K1032" s="47">
        <f>30*10*2.2</f>
        <v>660</v>
      </c>
      <c r="L1032" s="48">
        <v>1</v>
      </c>
      <c r="M1032" s="47"/>
      <c r="N1032" s="47"/>
      <c r="O1032" s="47"/>
      <c r="P1032" s="47"/>
      <c r="Q1032" s="47"/>
      <c r="R1032" s="47"/>
      <c r="S1032" s="48">
        <v>1</v>
      </c>
      <c r="T1032" s="47">
        <v>0</v>
      </c>
      <c r="U1032" s="47">
        <v>0</v>
      </c>
      <c r="V1032" s="47">
        <v>0</v>
      </c>
      <c r="W1032" s="47">
        <f>2000*39.37/12</f>
        <v>6561.666666666667</v>
      </c>
      <c r="X1032" s="47"/>
      <c r="Y1032" s="47" t="s">
        <v>51</v>
      </c>
      <c r="Z1032" s="47" t="s">
        <v>1846</v>
      </c>
      <c r="AA1032" s="49">
        <v>3.472222222222222E-3</v>
      </c>
      <c r="AB1032" s="49"/>
      <c r="AC1032" s="49">
        <v>4.1666666666666664E-2</v>
      </c>
      <c r="AD1032" s="50">
        <f>1+35/60</f>
        <v>1.5833333333333335</v>
      </c>
      <c r="AE1032" s="47" t="s">
        <v>342</v>
      </c>
      <c r="AF1032" s="31">
        <v>40</v>
      </c>
      <c r="AG1032"/>
      <c r="AH1032"/>
      <c r="AI1032"/>
      <c r="AJ1032"/>
      <c r="AK1032">
        <v>30</v>
      </c>
      <c r="AL1032"/>
      <c r="AM1032"/>
      <c r="AN1032"/>
      <c r="AO1032"/>
      <c r="AP1032"/>
      <c r="AQ1032" s="32" t="s">
        <v>2213</v>
      </c>
      <c r="AU1032">
        <v>1031</v>
      </c>
    </row>
    <row r="1033" spans="1:47" x14ac:dyDescent="0.2">
      <c r="A1033" s="133">
        <v>6159</v>
      </c>
      <c r="B1033" s="39" t="s">
        <v>45</v>
      </c>
      <c r="C1033" s="39" t="s">
        <v>425</v>
      </c>
      <c r="D1033" s="29"/>
      <c r="E1033" s="38" t="s">
        <v>2219</v>
      </c>
      <c r="F1033" s="31" t="s">
        <v>340</v>
      </c>
      <c r="G1033" s="31" t="s">
        <v>49</v>
      </c>
      <c r="H1033"/>
      <c r="I1033" s="53" t="s">
        <v>2220</v>
      </c>
      <c r="J1033" s="53"/>
      <c r="K1033" s="54">
        <f>8*13*10*2.2</f>
        <v>2288</v>
      </c>
      <c r="L1033" s="48"/>
      <c r="M1033" s="47"/>
      <c r="N1033" s="47"/>
      <c r="O1033" s="47"/>
      <c r="P1033" s="47"/>
      <c r="Q1033" s="47"/>
      <c r="R1033" s="47"/>
      <c r="S1033" s="48">
        <v>13</v>
      </c>
      <c r="T1033" s="47">
        <v>0</v>
      </c>
      <c r="U1033" s="47">
        <v>0</v>
      </c>
      <c r="V1033" s="47">
        <v>0</v>
      </c>
      <c r="W1033" s="47"/>
      <c r="X1033" s="47"/>
      <c r="Y1033" s="47" t="s">
        <v>51</v>
      </c>
      <c r="Z1033" s="47" t="s">
        <v>146</v>
      </c>
      <c r="AA1033" s="49"/>
      <c r="AB1033" s="49"/>
      <c r="AC1033" s="49"/>
      <c r="AD1033" s="50"/>
      <c r="AE1033" s="47" t="s">
        <v>1578</v>
      </c>
      <c r="AF1033" s="47">
        <v>75</v>
      </c>
      <c r="AG1033"/>
      <c r="AH1033"/>
      <c r="AI1033"/>
      <c r="AJ1033"/>
      <c r="AK1033"/>
      <c r="AL1033"/>
      <c r="AM1033"/>
      <c r="AN1033"/>
      <c r="AO1033"/>
      <c r="AP1033"/>
      <c r="AQ1033" s="32" t="s">
        <v>2221</v>
      </c>
      <c r="AU1033">
        <v>1032</v>
      </c>
    </row>
    <row r="1034" spans="1:47" x14ac:dyDescent="0.2">
      <c r="A1034" s="133">
        <v>6159</v>
      </c>
      <c r="B1034" s="39" t="s">
        <v>45</v>
      </c>
      <c r="C1034" s="39" t="s">
        <v>2222</v>
      </c>
      <c r="D1034" s="29"/>
      <c r="E1034" s="39" t="s">
        <v>2207</v>
      </c>
      <c r="F1034" s="47" t="s">
        <v>2223</v>
      </c>
      <c r="G1034" s="31" t="s">
        <v>481</v>
      </c>
      <c r="H1034"/>
      <c r="I1034" s="47" t="s">
        <v>2224</v>
      </c>
      <c r="J1034" s="47"/>
      <c r="K1034" s="47">
        <f>480*2.2</f>
        <v>1056</v>
      </c>
      <c r="L1034" s="48"/>
      <c r="M1034" s="47"/>
      <c r="N1034" s="47"/>
      <c r="O1034" s="47"/>
      <c r="P1034" s="47"/>
      <c r="Q1034" s="47"/>
      <c r="R1034" s="47"/>
      <c r="S1034" s="48">
        <v>4</v>
      </c>
      <c r="T1034" s="47"/>
      <c r="U1034" s="47"/>
      <c r="V1034" s="47"/>
      <c r="W1034" s="47"/>
      <c r="X1034" s="47"/>
      <c r="Y1034" s="47"/>
      <c r="Z1034" s="47" t="s">
        <v>2225</v>
      </c>
      <c r="AA1034" s="49"/>
      <c r="AB1034" s="49"/>
      <c r="AC1034" s="49">
        <v>0.83333333333333337</v>
      </c>
      <c r="AD1034" s="50"/>
      <c r="AE1034" s="47"/>
      <c r="AF1034" s="47"/>
      <c r="AG1034"/>
      <c r="AH1034"/>
      <c r="AI1034"/>
      <c r="AJ1034"/>
      <c r="AK1034"/>
      <c r="AL1034"/>
      <c r="AM1034"/>
      <c r="AN1034"/>
      <c r="AO1034"/>
      <c r="AP1034"/>
      <c r="AQ1034" t="s">
        <v>2226</v>
      </c>
      <c r="AU1034">
        <v>1033</v>
      </c>
    </row>
    <row r="1035" spans="1:47" x14ac:dyDescent="0.2">
      <c r="A1035" s="133">
        <v>6159</v>
      </c>
      <c r="B1035" s="39" t="s">
        <v>45</v>
      </c>
      <c r="C1035" s="39" t="s">
        <v>2149</v>
      </c>
      <c r="D1035" s="29"/>
      <c r="E1035" s="39" t="s">
        <v>2207</v>
      </c>
      <c r="F1035" s="47" t="s">
        <v>2223</v>
      </c>
      <c r="G1035" s="31" t="s">
        <v>481</v>
      </c>
      <c r="H1035"/>
      <c r="I1035" s="47" t="s">
        <v>2224</v>
      </c>
      <c r="J1035" s="47"/>
      <c r="K1035" s="47">
        <f>960*2.2</f>
        <v>2112</v>
      </c>
      <c r="L1035" s="48"/>
      <c r="M1035" s="47"/>
      <c r="N1035" s="47"/>
      <c r="O1035" s="47"/>
      <c r="P1035" s="47"/>
      <c r="Q1035" s="47"/>
      <c r="R1035" s="47"/>
      <c r="S1035" s="48">
        <v>4</v>
      </c>
      <c r="T1035" s="47"/>
      <c r="U1035" s="47"/>
      <c r="V1035" s="47"/>
      <c r="W1035" s="47"/>
      <c r="X1035" s="47"/>
      <c r="Y1035" s="47"/>
      <c r="Z1035" s="47" t="s">
        <v>2225</v>
      </c>
      <c r="AA1035" s="49"/>
      <c r="AB1035" s="49"/>
      <c r="AC1035" s="49">
        <v>0.83333333333333337</v>
      </c>
      <c r="AD1035" s="50"/>
      <c r="AE1035" s="47" t="s">
        <v>1312</v>
      </c>
      <c r="AF1035" s="47">
        <v>100</v>
      </c>
      <c r="AG1035"/>
      <c r="AH1035"/>
      <c r="AI1035"/>
      <c r="AJ1035"/>
      <c r="AK1035"/>
      <c r="AL1035"/>
      <c r="AM1035"/>
      <c r="AN1035"/>
      <c r="AO1035"/>
      <c r="AP1035"/>
      <c r="AQ1035" t="s">
        <v>2226</v>
      </c>
      <c r="AU1035">
        <v>1034</v>
      </c>
    </row>
    <row r="1036" spans="1:47" x14ac:dyDescent="0.2">
      <c r="A1036" s="26">
        <v>6159</v>
      </c>
      <c r="B1036" s="27" t="s">
        <v>45</v>
      </c>
      <c r="C1036" s="28"/>
      <c r="D1036" s="29"/>
      <c r="E1036" s="30" t="s">
        <v>464</v>
      </c>
      <c r="H1036" s="32">
        <v>1</v>
      </c>
      <c r="I1036" s="32" t="s">
        <v>2227</v>
      </c>
      <c r="AG1036" s="32">
        <v>0</v>
      </c>
      <c r="AH1036" s="32">
        <v>0</v>
      </c>
      <c r="AK1036" s="32">
        <v>50</v>
      </c>
      <c r="AL1036" s="32">
        <v>3</v>
      </c>
      <c r="AO1036" s="32" t="s">
        <v>487</v>
      </c>
      <c r="AQ1036" s="32">
        <v>387</v>
      </c>
      <c r="AU1036">
        <v>1035</v>
      </c>
    </row>
    <row r="1037" spans="1:47" x14ac:dyDescent="0.2">
      <c r="A1037" s="26">
        <v>6159</v>
      </c>
      <c r="B1037" s="27" t="s">
        <v>45</v>
      </c>
      <c r="C1037" s="28"/>
      <c r="D1037" s="29"/>
      <c r="E1037" s="30" t="s">
        <v>1531</v>
      </c>
      <c r="H1037" s="32">
        <v>0</v>
      </c>
      <c r="I1037" s="32" t="s">
        <v>1532</v>
      </c>
      <c r="AG1037" s="32">
        <v>0</v>
      </c>
      <c r="AH1037" s="32">
        <v>0</v>
      </c>
      <c r="AI1037" s="32">
        <v>0</v>
      </c>
      <c r="AK1037" s="32">
        <v>0</v>
      </c>
      <c r="AM1037" s="32">
        <f>498*41</f>
        <v>20418</v>
      </c>
      <c r="AO1037" s="32" t="s">
        <v>1533</v>
      </c>
      <c r="AQ1037" s="32" t="s">
        <v>1101</v>
      </c>
      <c r="AU1037">
        <v>1036</v>
      </c>
    </row>
    <row r="1038" spans="1:47" x14ac:dyDescent="0.2">
      <c r="A1038" s="26">
        <v>6159</v>
      </c>
      <c r="B1038" s="27"/>
      <c r="C1038" s="28"/>
      <c r="D1038" s="29"/>
      <c r="E1038" s="72" t="s">
        <v>872</v>
      </c>
      <c r="H1038" s="32">
        <v>1</v>
      </c>
      <c r="I1038" s="32" t="s">
        <v>2228</v>
      </c>
      <c r="AI1038" s="32">
        <v>21200</v>
      </c>
      <c r="AK1038" s="32">
        <v>24</v>
      </c>
      <c r="AO1038" s="73" t="s">
        <v>858</v>
      </c>
      <c r="AQ1038" s="32">
        <v>439</v>
      </c>
      <c r="AU1038">
        <v>1037</v>
      </c>
    </row>
    <row r="1039" spans="1:47" x14ac:dyDescent="0.2">
      <c r="A1039" s="26">
        <v>6159</v>
      </c>
      <c r="B1039" s="27"/>
      <c r="C1039" s="28"/>
      <c r="D1039" s="29"/>
      <c r="E1039" s="102" t="s">
        <v>1421</v>
      </c>
      <c r="H1039" s="32">
        <v>1</v>
      </c>
      <c r="I1039" s="32" t="s">
        <v>1422</v>
      </c>
      <c r="AK1039" s="32">
        <v>14</v>
      </c>
      <c r="AO1039" s="73"/>
      <c r="AQ1039" s="32" t="s">
        <v>589</v>
      </c>
      <c r="AU1039">
        <v>1038</v>
      </c>
    </row>
    <row r="1040" spans="1:47" x14ac:dyDescent="0.2">
      <c r="A1040" s="133">
        <v>6160</v>
      </c>
      <c r="B1040" s="39" t="s">
        <v>85</v>
      </c>
      <c r="C1040" s="39" t="s">
        <v>1806</v>
      </c>
      <c r="D1040" s="29" t="b">
        <v>0</v>
      </c>
      <c r="E1040" s="39" t="s">
        <v>2207</v>
      </c>
      <c r="F1040" s="47" t="s">
        <v>480</v>
      </c>
      <c r="G1040" s="47" t="s">
        <v>481</v>
      </c>
      <c r="H1040"/>
      <c r="I1040" s="134" t="s">
        <v>2229</v>
      </c>
      <c r="J1040" s="47" t="b">
        <v>1</v>
      </c>
      <c r="K1040" s="47">
        <v>3640</v>
      </c>
      <c r="L1040" s="48">
        <v>14</v>
      </c>
      <c r="M1040" s="47">
        <v>0</v>
      </c>
      <c r="N1040" s="47">
        <v>0</v>
      </c>
      <c r="O1040" s="47">
        <v>0</v>
      </c>
      <c r="P1040" s="47">
        <v>0</v>
      </c>
      <c r="Q1040" s="47">
        <v>0</v>
      </c>
      <c r="R1040" s="47">
        <v>0</v>
      </c>
      <c r="S1040" s="48">
        <v>14</v>
      </c>
      <c r="T1040" s="47">
        <v>0</v>
      </c>
      <c r="U1040" s="47">
        <v>0</v>
      </c>
      <c r="V1040" s="47">
        <v>1</v>
      </c>
      <c r="W1040" s="47">
        <v>10625</v>
      </c>
      <c r="X1040" s="47">
        <v>5</v>
      </c>
      <c r="Y1040" s="47" t="s">
        <v>120</v>
      </c>
      <c r="Z1040" s="47" t="s">
        <v>1809</v>
      </c>
      <c r="AA1040" s="49">
        <v>0.54166666666666663</v>
      </c>
      <c r="AB1040" s="49">
        <v>0.66319444444444442</v>
      </c>
      <c r="AC1040" s="49">
        <v>0.60763888888888895</v>
      </c>
      <c r="AD1040" s="50">
        <f>(AB1040-AA1040)*24</f>
        <v>2.916666666666667</v>
      </c>
      <c r="AE1040" s="47" t="s">
        <v>1312</v>
      </c>
      <c r="AF1040" s="47">
        <v>100</v>
      </c>
      <c r="AG1040"/>
      <c r="AH1040"/>
      <c r="AI1040"/>
      <c r="AJ1040"/>
      <c r="AK1040">
        <f>3640/65</f>
        <v>56</v>
      </c>
      <c r="AL1040"/>
      <c r="AM1040"/>
      <c r="AN1040"/>
      <c r="AO1040"/>
      <c r="AP1040"/>
      <c r="AQ1040" t="s">
        <v>2166</v>
      </c>
      <c r="AR1040" s="32" t="s">
        <v>2230</v>
      </c>
      <c r="AU1040">
        <v>1039</v>
      </c>
    </row>
    <row r="1041" spans="1:47" x14ac:dyDescent="0.2">
      <c r="A1041" s="37">
        <v>6160</v>
      </c>
      <c r="B1041" s="38" t="s">
        <v>45</v>
      </c>
      <c r="C1041" s="39" t="s">
        <v>253</v>
      </c>
      <c r="D1041" s="29"/>
      <c r="E1041" s="38" t="s">
        <v>2231</v>
      </c>
      <c r="F1041" s="32" t="s">
        <v>107</v>
      </c>
      <c r="G1041" s="47"/>
      <c r="H1041"/>
      <c r="I1041" s="32"/>
      <c r="J1041" s="47"/>
      <c r="K1041" s="47"/>
      <c r="L1041" s="48"/>
      <c r="M1041" s="47"/>
      <c r="N1041" s="47"/>
      <c r="O1041" s="47"/>
      <c r="P1041" s="47"/>
      <c r="Q1041" s="47"/>
      <c r="R1041" s="47"/>
      <c r="S1041" s="48"/>
      <c r="T1041" s="47"/>
      <c r="U1041" s="47"/>
      <c r="V1041" s="47"/>
      <c r="W1041" s="47"/>
      <c r="X1041" s="47"/>
      <c r="Y1041" s="47"/>
      <c r="Z1041" s="47"/>
      <c r="AA1041" s="49"/>
      <c r="AB1041" s="49"/>
      <c r="AC1041" s="49"/>
      <c r="AD1041" s="50"/>
      <c r="AE1041" s="47"/>
      <c r="AF1041" s="47"/>
      <c r="AG1041"/>
      <c r="AH1041"/>
      <c r="AI1041"/>
      <c r="AJ1041"/>
      <c r="AK1041"/>
      <c r="AL1041"/>
      <c r="AM1041"/>
      <c r="AN1041"/>
      <c r="AO1041"/>
      <c r="AP1041"/>
      <c r="AQ1041" s="32" t="s">
        <v>1939</v>
      </c>
      <c r="AU1041">
        <v>1040</v>
      </c>
    </row>
    <row r="1042" spans="1:47" x14ac:dyDescent="0.2">
      <c r="A1042" s="37">
        <v>6160</v>
      </c>
      <c r="B1042" s="38" t="s">
        <v>45</v>
      </c>
      <c r="C1042" s="39" t="s">
        <v>1843</v>
      </c>
      <c r="D1042" s="29"/>
      <c r="E1042" s="38" t="s">
        <v>2232</v>
      </c>
      <c r="F1042" s="32" t="s">
        <v>2233</v>
      </c>
      <c r="G1042" s="47" t="s">
        <v>49</v>
      </c>
      <c r="H1042"/>
      <c r="I1042" s="32" t="b">
        <v>1</v>
      </c>
      <c r="J1042" s="32" t="b">
        <v>1</v>
      </c>
      <c r="K1042" s="47">
        <f>6*30*10*2.2</f>
        <v>3960.0000000000005</v>
      </c>
      <c r="L1042" s="48">
        <v>9</v>
      </c>
      <c r="M1042" s="47"/>
      <c r="N1042" s="47">
        <v>3</v>
      </c>
      <c r="O1042" s="47"/>
      <c r="P1042" s="47">
        <v>2</v>
      </c>
      <c r="Q1042" s="47"/>
      <c r="R1042" s="47"/>
      <c r="S1042" s="48">
        <v>6</v>
      </c>
      <c r="T1042" s="47">
        <v>0</v>
      </c>
      <c r="U1042" s="47">
        <v>0</v>
      </c>
      <c r="V1042" s="47">
        <v>0</v>
      </c>
      <c r="W1042" s="47">
        <f>((1700+2600+1900+2600+1800+2000)/6)*39.37/12</f>
        <v>6889.75</v>
      </c>
      <c r="X1042" s="47"/>
      <c r="Y1042" s="47" t="s">
        <v>51</v>
      </c>
      <c r="Z1042" s="47" t="s">
        <v>1846</v>
      </c>
      <c r="AA1042" s="49">
        <v>0.92013888888888884</v>
      </c>
      <c r="AB1042" s="49"/>
      <c r="AC1042" s="49">
        <v>0.99305555555555547</v>
      </c>
      <c r="AD1042" s="50">
        <f>2+25/60</f>
        <v>2.4166666666666665</v>
      </c>
      <c r="AE1042" s="47" t="s">
        <v>342</v>
      </c>
      <c r="AF1042" s="47">
        <v>60</v>
      </c>
      <c r="AG1042"/>
      <c r="AH1042"/>
      <c r="AI1042"/>
      <c r="AJ1042"/>
      <c r="AK1042">
        <f>6*30</f>
        <v>180</v>
      </c>
      <c r="AL1042"/>
      <c r="AM1042"/>
      <c r="AN1042"/>
      <c r="AO1042"/>
      <c r="AP1042"/>
      <c r="AQ1042" s="32" t="s">
        <v>2234</v>
      </c>
      <c r="AR1042" s="32" t="s">
        <v>2235</v>
      </c>
      <c r="AU1042">
        <v>1041</v>
      </c>
    </row>
    <row r="1043" spans="1:47" x14ac:dyDescent="0.2">
      <c r="A1043" s="37">
        <v>6160</v>
      </c>
      <c r="B1043" s="38" t="s">
        <v>45</v>
      </c>
      <c r="C1043" s="39" t="s">
        <v>1843</v>
      </c>
      <c r="D1043" s="29"/>
      <c r="E1043" s="38" t="s">
        <v>1048</v>
      </c>
      <c r="F1043" s="32" t="s">
        <v>2236</v>
      </c>
      <c r="G1043" s="47" t="s">
        <v>49</v>
      </c>
      <c r="H1043"/>
      <c r="I1043" s="32" t="b">
        <v>0</v>
      </c>
      <c r="J1043" s="32" t="b">
        <v>0</v>
      </c>
      <c r="K1043" s="47">
        <f>90*10*2.2</f>
        <v>1980.0000000000002</v>
      </c>
      <c r="L1043" s="48">
        <v>3</v>
      </c>
      <c r="M1043" s="47"/>
      <c r="N1043" s="47"/>
      <c r="O1043" s="47"/>
      <c r="P1043" s="47"/>
      <c r="Q1043" s="47"/>
      <c r="R1043" s="47"/>
      <c r="S1043" s="48">
        <v>3</v>
      </c>
      <c r="T1043" s="47">
        <v>0</v>
      </c>
      <c r="U1043" s="47">
        <v>0</v>
      </c>
      <c r="V1043" s="47">
        <v>0</v>
      </c>
      <c r="W1043" s="47">
        <f>((2600+1800+2000)/3)*39.37/12</f>
        <v>6999.1111111111104</v>
      </c>
      <c r="X1043" s="47"/>
      <c r="Y1043" s="47" t="s">
        <v>51</v>
      </c>
      <c r="Z1043" s="47" t="s">
        <v>1846</v>
      </c>
      <c r="AA1043" s="49">
        <v>0.92013888888888884</v>
      </c>
      <c r="AB1043" s="49"/>
      <c r="AC1043" s="49">
        <v>3.472222222222222E-3</v>
      </c>
      <c r="AD1043" s="50">
        <f>2+1/6</f>
        <v>2.1666666666666665</v>
      </c>
      <c r="AE1043" s="47" t="s">
        <v>342</v>
      </c>
      <c r="AF1043" s="47">
        <v>40</v>
      </c>
      <c r="AG1043"/>
      <c r="AH1043"/>
      <c r="AI1043"/>
      <c r="AJ1043"/>
      <c r="AK1043">
        <f>3*30</f>
        <v>90</v>
      </c>
      <c r="AL1043"/>
      <c r="AM1043"/>
      <c r="AN1043"/>
      <c r="AO1043"/>
      <c r="AP1043"/>
      <c r="AQ1043" s="32" t="s">
        <v>2234</v>
      </c>
      <c r="AR1043" s="32" t="s">
        <v>2237</v>
      </c>
      <c r="AU1043">
        <v>1042</v>
      </c>
    </row>
    <row r="1044" spans="1:47" x14ac:dyDescent="0.2">
      <c r="A1044" s="37">
        <v>6160</v>
      </c>
      <c r="B1044" s="38" t="s">
        <v>45</v>
      </c>
      <c r="C1044" s="39" t="s">
        <v>1843</v>
      </c>
      <c r="D1044" s="29"/>
      <c r="E1044" s="38" t="s">
        <v>1455</v>
      </c>
      <c r="F1044" s="31" t="s">
        <v>2238</v>
      </c>
      <c r="G1044" s="47" t="s">
        <v>481</v>
      </c>
      <c r="H1044"/>
      <c r="I1044" s="32" t="b">
        <v>0</v>
      </c>
      <c r="J1044" s="32" t="b">
        <v>0</v>
      </c>
      <c r="K1044" s="47">
        <f>60*10*2.2</f>
        <v>1320</v>
      </c>
      <c r="L1044" s="48">
        <v>2</v>
      </c>
      <c r="M1044" s="47"/>
      <c r="N1044" s="47"/>
      <c r="O1044" s="47"/>
      <c r="P1044" s="47"/>
      <c r="Q1044" s="47"/>
      <c r="R1044" s="47"/>
      <c r="S1044" s="48">
        <v>2</v>
      </c>
      <c r="T1044" s="47">
        <v>0</v>
      </c>
      <c r="U1044" s="47">
        <v>0</v>
      </c>
      <c r="V1044" s="47">
        <v>0</v>
      </c>
      <c r="W1044" s="47">
        <f>((1900+2600)/2)*39.37/12</f>
        <v>7381.875</v>
      </c>
      <c r="X1044" s="47"/>
      <c r="Y1044" s="47" t="s">
        <v>51</v>
      </c>
      <c r="Z1044" s="47" t="s">
        <v>1846</v>
      </c>
      <c r="AA1044" s="49">
        <v>0.92013888888888884</v>
      </c>
      <c r="AB1044" s="49"/>
      <c r="AC1044" s="49">
        <v>0.99305555555555547</v>
      </c>
      <c r="AD1044" s="50">
        <f>2+25/60</f>
        <v>2.4166666666666665</v>
      </c>
      <c r="AE1044" s="47" t="s">
        <v>342</v>
      </c>
      <c r="AF1044" s="47">
        <v>60</v>
      </c>
      <c r="AG1044"/>
      <c r="AH1044"/>
      <c r="AI1044"/>
      <c r="AJ1044"/>
      <c r="AK1044">
        <f>2*30</f>
        <v>60</v>
      </c>
      <c r="AL1044"/>
      <c r="AM1044"/>
      <c r="AN1044"/>
      <c r="AO1044"/>
      <c r="AP1044"/>
      <c r="AQ1044" s="32" t="s">
        <v>2234</v>
      </c>
      <c r="AR1044" s="32" t="s">
        <v>2239</v>
      </c>
      <c r="AU1044">
        <v>1043</v>
      </c>
    </row>
    <row r="1045" spans="1:47" x14ac:dyDescent="0.2">
      <c r="A1045" s="37">
        <v>6160</v>
      </c>
      <c r="B1045" s="38" t="s">
        <v>45</v>
      </c>
      <c r="C1045" s="39" t="s">
        <v>1843</v>
      </c>
      <c r="D1045" s="29"/>
      <c r="E1045" s="38" t="s">
        <v>649</v>
      </c>
      <c r="F1045" s="31" t="s">
        <v>204</v>
      </c>
      <c r="G1045" s="47" t="s">
        <v>205</v>
      </c>
      <c r="H1045"/>
      <c r="I1045" s="32" t="b">
        <v>0</v>
      </c>
      <c r="J1045" s="32" t="b">
        <v>0</v>
      </c>
      <c r="K1045" s="47">
        <f>30*10*2.2</f>
        <v>660</v>
      </c>
      <c r="L1045" s="48">
        <v>1</v>
      </c>
      <c r="M1045" s="47"/>
      <c r="N1045" s="47"/>
      <c r="O1045" s="47"/>
      <c r="P1045" s="47"/>
      <c r="Q1045" s="47"/>
      <c r="R1045" s="47"/>
      <c r="S1045" s="48">
        <v>1</v>
      </c>
      <c r="T1045" s="47">
        <v>0</v>
      </c>
      <c r="U1045" s="47">
        <v>0</v>
      </c>
      <c r="V1045" s="47">
        <v>0</v>
      </c>
      <c r="W1045" s="47">
        <f>(1700)*39.37/12</f>
        <v>5577.416666666667</v>
      </c>
      <c r="X1045" s="47"/>
      <c r="Y1045" s="47" t="s">
        <v>51</v>
      </c>
      <c r="Z1045" s="47" t="s">
        <v>1846</v>
      </c>
      <c r="AA1045" s="49">
        <v>0.92013888888888884</v>
      </c>
      <c r="AB1045" s="49"/>
      <c r="AC1045" s="49">
        <v>0.9375</v>
      </c>
      <c r="AD1045" s="50">
        <v>1.75</v>
      </c>
      <c r="AE1045" s="47" t="s">
        <v>342</v>
      </c>
      <c r="AF1045" s="47">
        <v>40</v>
      </c>
      <c r="AG1045"/>
      <c r="AH1045"/>
      <c r="AI1045"/>
      <c r="AJ1045"/>
      <c r="AK1045">
        <v>30</v>
      </c>
      <c r="AL1045"/>
      <c r="AM1045"/>
      <c r="AN1045"/>
      <c r="AO1045"/>
      <c r="AP1045"/>
      <c r="AQ1045" s="32" t="s">
        <v>2234</v>
      </c>
      <c r="AR1045" s="32" t="s">
        <v>2240</v>
      </c>
      <c r="AU1045">
        <v>1044</v>
      </c>
    </row>
    <row r="1046" spans="1:47" x14ac:dyDescent="0.2">
      <c r="A1046" s="37">
        <v>6160</v>
      </c>
      <c r="B1046" s="38" t="s">
        <v>45</v>
      </c>
      <c r="C1046" s="39" t="s">
        <v>425</v>
      </c>
      <c r="D1046" s="29"/>
      <c r="E1046" s="38" t="s">
        <v>2127</v>
      </c>
      <c r="F1046" s="31" t="s">
        <v>246</v>
      </c>
      <c r="G1046" s="47" t="s">
        <v>49</v>
      </c>
      <c r="H1046"/>
      <c r="I1046" s="96" t="s">
        <v>2241</v>
      </c>
      <c r="J1046" s="47"/>
      <c r="K1046" s="47">
        <f>262*10*2.2</f>
        <v>5764.0000000000009</v>
      </c>
      <c r="L1046" s="48"/>
      <c r="M1046" s="47"/>
      <c r="N1046" s="47"/>
      <c r="O1046" s="47"/>
      <c r="P1046" s="47"/>
      <c r="Q1046" s="47"/>
      <c r="R1046" s="47"/>
      <c r="S1046" s="118">
        <v>26</v>
      </c>
      <c r="T1046" s="47">
        <v>0</v>
      </c>
      <c r="U1046" s="47">
        <v>0</v>
      </c>
      <c r="V1046" s="47">
        <v>0</v>
      </c>
      <c r="W1046" s="47"/>
      <c r="X1046" s="47"/>
      <c r="Y1046" s="47" t="s">
        <v>51</v>
      </c>
      <c r="Z1046" s="47" t="s">
        <v>146</v>
      </c>
      <c r="AA1046" s="49"/>
      <c r="AB1046" s="49"/>
      <c r="AC1046" s="49"/>
      <c r="AD1046" s="50"/>
      <c r="AE1046" s="47" t="s">
        <v>1578</v>
      </c>
      <c r="AF1046" s="47">
        <v>60</v>
      </c>
      <c r="AG1046"/>
      <c r="AH1046"/>
      <c r="AI1046"/>
      <c r="AJ1046"/>
      <c r="AK1046">
        <v>262</v>
      </c>
      <c r="AL1046"/>
      <c r="AM1046"/>
      <c r="AN1046"/>
      <c r="AO1046"/>
      <c r="AP1046"/>
      <c r="AQ1046" s="32" t="s">
        <v>2221</v>
      </c>
      <c r="AU1046">
        <v>1045</v>
      </c>
    </row>
    <row r="1047" spans="1:47" x14ac:dyDescent="0.2">
      <c r="A1047" s="37">
        <v>6160</v>
      </c>
      <c r="B1047" s="38" t="s">
        <v>45</v>
      </c>
      <c r="C1047" s="38" t="s">
        <v>2222</v>
      </c>
      <c r="D1047" s="29"/>
      <c r="E1047" s="39" t="s">
        <v>2207</v>
      </c>
      <c r="F1047" s="47" t="s">
        <v>2223</v>
      </c>
      <c r="G1047" s="47" t="s">
        <v>481</v>
      </c>
      <c r="H1047"/>
      <c r="I1047" s="32" t="s">
        <v>2242</v>
      </c>
      <c r="J1047" s="47"/>
      <c r="K1047" s="47">
        <f>780*2.2</f>
        <v>1716.0000000000002</v>
      </c>
      <c r="L1047" s="48"/>
      <c r="M1047" s="47"/>
      <c r="N1047" s="47"/>
      <c r="O1047" s="47"/>
      <c r="P1047" s="47"/>
      <c r="Q1047" s="47"/>
      <c r="R1047" s="47"/>
      <c r="S1047" s="48">
        <v>8</v>
      </c>
      <c r="T1047" s="47">
        <v>0</v>
      </c>
      <c r="U1047" s="47"/>
      <c r="V1047" s="47"/>
      <c r="W1047" s="47"/>
      <c r="X1047" s="47"/>
      <c r="Y1047" s="47"/>
      <c r="Z1047" s="47" t="s">
        <v>1652</v>
      </c>
      <c r="AA1047" s="49">
        <v>0.86458333333333337</v>
      </c>
      <c r="AB1047" s="49">
        <v>0.94791666666666663</v>
      </c>
      <c r="AC1047" s="49">
        <f>AVERAGE(AA1047:AB1047)</f>
        <v>0.90625</v>
      </c>
      <c r="AD1047" s="50">
        <f>(AB1047-AA1047)*24</f>
        <v>1.9999999999999982</v>
      </c>
      <c r="AE1047" s="47"/>
      <c r="AF1047" s="47"/>
      <c r="AG1047"/>
      <c r="AH1047"/>
      <c r="AI1047"/>
      <c r="AJ1047"/>
      <c r="AK1047"/>
      <c r="AL1047"/>
      <c r="AM1047"/>
      <c r="AN1047"/>
      <c r="AO1047"/>
      <c r="AP1047"/>
      <c r="AQ1047" t="s">
        <v>2243</v>
      </c>
      <c r="AU1047">
        <v>1046</v>
      </c>
    </row>
    <row r="1048" spans="1:47" x14ac:dyDescent="0.2">
      <c r="A1048" s="37">
        <v>6160</v>
      </c>
      <c r="B1048" s="38" t="s">
        <v>45</v>
      </c>
      <c r="C1048" s="39" t="s">
        <v>2149</v>
      </c>
      <c r="D1048" s="29"/>
      <c r="E1048" s="39" t="s">
        <v>2207</v>
      </c>
      <c r="F1048" s="47" t="s">
        <v>2223</v>
      </c>
      <c r="G1048" s="47" t="s">
        <v>481</v>
      </c>
      <c r="H1048"/>
      <c r="I1048" s="32" t="s">
        <v>2242</v>
      </c>
      <c r="J1048" s="47"/>
      <c r="K1048" s="47">
        <f>792*2.2</f>
        <v>1742.4</v>
      </c>
      <c r="L1048" s="48"/>
      <c r="M1048" s="47"/>
      <c r="N1048" s="47"/>
      <c r="O1048" s="47"/>
      <c r="P1048" s="47"/>
      <c r="Q1048" s="47"/>
      <c r="R1048" s="47"/>
      <c r="S1048" s="48">
        <v>3</v>
      </c>
      <c r="T1048" s="47">
        <v>0</v>
      </c>
      <c r="U1048" s="47"/>
      <c r="V1048" s="47"/>
      <c r="W1048" s="47"/>
      <c r="X1048" s="47"/>
      <c r="Y1048" s="47"/>
      <c r="Z1048" s="47" t="s">
        <v>1080</v>
      </c>
      <c r="AA1048" s="49"/>
      <c r="AB1048" s="49"/>
      <c r="AC1048" s="49"/>
      <c r="AD1048" s="50"/>
      <c r="AE1048" s="47" t="s">
        <v>1312</v>
      </c>
      <c r="AF1048" s="47">
        <v>100</v>
      </c>
      <c r="AG1048"/>
      <c r="AH1048"/>
      <c r="AI1048"/>
      <c r="AJ1048"/>
      <c r="AK1048"/>
      <c r="AL1048"/>
      <c r="AM1048"/>
      <c r="AN1048"/>
      <c r="AO1048"/>
      <c r="AP1048"/>
      <c r="AQ1048" t="s">
        <v>2243</v>
      </c>
      <c r="AU1048">
        <v>1047</v>
      </c>
    </row>
    <row r="1049" spans="1:47" x14ac:dyDescent="0.2">
      <c r="A1049" s="26">
        <v>6160</v>
      </c>
      <c r="B1049" s="27">
        <v>0.91666666666666663</v>
      </c>
      <c r="C1049" s="28"/>
      <c r="D1049" s="29"/>
      <c r="E1049" s="30" t="s">
        <v>1282</v>
      </c>
      <c r="H1049" s="32">
        <v>0</v>
      </c>
      <c r="I1049" s="32" t="s">
        <v>2244</v>
      </c>
      <c r="AG1049" s="32">
        <v>0</v>
      </c>
      <c r="AH1049" s="32">
        <v>0</v>
      </c>
      <c r="AI1049" s="32">
        <v>0</v>
      </c>
      <c r="AK1049" s="32">
        <v>0</v>
      </c>
      <c r="AL1049" s="32">
        <f>65/60</f>
        <v>1.0833333333333333</v>
      </c>
      <c r="AP1049" s="32">
        <f>65/60</f>
        <v>1.0833333333333333</v>
      </c>
      <c r="AQ1049" s="32" t="s">
        <v>1101</v>
      </c>
      <c r="AU1049">
        <v>1048</v>
      </c>
    </row>
    <row r="1050" spans="1:47" x14ac:dyDescent="0.2">
      <c r="A1050" s="26">
        <v>6160</v>
      </c>
      <c r="B1050" s="27">
        <v>0.97222222222222221</v>
      </c>
      <c r="C1050" s="28"/>
      <c r="D1050" s="29"/>
      <c r="E1050" s="30" t="s">
        <v>1124</v>
      </c>
      <c r="H1050" s="32">
        <v>1</v>
      </c>
      <c r="I1050" s="32" t="s">
        <v>1246</v>
      </c>
      <c r="AG1050" s="32">
        <v>0</v>
      </c>
      <c r="AH1050" s="32">
        <v>3</v>
      </c>
      <c r="AK1050" s="32">
        <v>38</v>
      </c>
      <c r="AL1050" s="32">
        <f>115/60</f>
        <v>1.9166666666666667</v>
      </c>
      <c r="AO1050" s="46" t="s">
        <v>1126</v>
      </c>
      <c r="AP1050" s="32">
        <f>115/60</f>
        <v>1.9166666666666667</v>
      </c>
      <c r="AQ1050" s="32" t="s">
        <v>589</v>
      </c>
      <c r="AU1050">
        <v>1049</v>
      </c>
    </row>
    <row r="1051" spans="1:47" x14ac:dyDescent="0.2">
      <c r="A1051" s="133">
        <v>6161</v>
      </c>
      <c r="B1051" s="39" t="s">
        <v>85</v>
      </c>
      <c r="C1051" s="39" t="s">
        <v>1806</v>
      </c>
      <c r="D1051" s="29" t="b">
        <v>0</v>
      </c>
      <c r="E1051" s="39" t="s">
        <v>867</v>
      </c>
      <c r="F1051" s="47" t="s">
        <v>480</v>
      </c>
      <c r="G1051" s="47" t="s">
        <v>481</v>
      </c>
      <c r="H1051"/>
      <c r="I1051" s="134" t="s">
        <v>2245</v>
      </c>
      <c r="J1051" s="47" t="b">
        <v>1</v>
      </c>
      <c r="K1051" s="47">
        <v>2275</v>
      </c>
      <c r="L1051" s="48">
        <v>9</v>
      </c>
      <c r="M1051" s="47">
        <v>0</v>
      </c>
      <c r="N1051" s="47">
        <v>0</v>
      </c>
      <c r="O1051" s="47">
        <v>0</v>
      </c>
      <c r="P1051" s="47">
        <v>0</v>
      </c>
      <c r="Q1051" s="47">
        <v>0</v>
      </c>
      <c r="R1051" s="47">
        <v>0</v>
      </c>
      <c r="S1051" s="48">
        <v>9</v>
      </c>
      <c r="T1051" s="47">
        <v>0</v>
      </c>
      <c r="U1051" s="47">
        <v>0</v>
      </c>
      <c r="V1051" s="47">
        <v>0</v>
      </c>
      <c r="W1051" s="47">
        <v>10000</v>
      </c>
      <c r="X1051" s="47">
        <v>6</v>
      </c>
      <c r="Y1051" s="47" t="s">
        <v>51</v>
      </c>
      <c r="Z1051" s="47" t="s">
        <v>1809</v>
      </c>
      <c r="AA1051" s="49">
        <v>0.5</v>
      </c>
      <c r="AB1051" s="49">
        <v>0.61805555555555558</v>
      </c>
      <c r="AC1051" s="49">
        <v>0.5625</v>
      </c>
      <c r="AD1051" s="50">
        <f>(AB1051-AA1051)*24</f>
        <v>2.8333333333333339</v>
      </c>
      <c r="AE1051" s="47" t="s">
        <v>1312</v>
      </c>
      <c r="AF1051" s="47">
        <v>115</v>
      </c>
      <c r="AG1051"/>
      <c r="AH1051"/>
      <c r="AI1051"/>
      <c r="AJ1051"/>
      <c r="AK1051">
        <v>36</v>
      </c>
      <c r="AL1051"/>
      <c r="AM1051"/>
      <c r="AN1051"/>
      <c r="AO1051"/>
      <c r="AP1051"/>
      <c r="AQ1051" t="s">
        <v>2166</v>
      </c>
      <c r="AR1051" s="32" t="s">
        <v>2246</v>
      </c>
      <c r="AU1051">
        <v>1050</v>
      </c>
    </row>
    <row r="1052" spans="1:47" x14ac:dyDescent="0.2">
      <c r="A1052" s="145">
        <v>6161</v>
      </c>
      <c r="B1052" s="146"/>
      <c r="C1052" s="146" t="s">
        <v>1234</v>
      </c>
      <c r="D1052" s="147"/>
      <c r="E1052" s="146" t="s">
        <v>867</v>
      </c>
      <c r="F1052" s="148" t="s">
        <v>2247</v>
      </c>
      <c r="G1052" s="47"/>
      <c r="H1052"/>
      <c r="I1052" s="63" t="s">
        <v>2248</v>
      </c>
      <c r="J1052" s="47"/>
      <c r="K1052" s="47"/>
      <c r="L1052" s="48"/>
      <c r="M1052" s="47"/>
      <c r="N1052" s="47"/>
      <c r="O1052" s="47"/>
      <c r="P1052" s="47"/>
      <c r="Q1052" s="47"/>
      <c r="R1052" s="47"/>
      <c r="S1052" s="48"/>
      <c r="T1052" s="47"/>
      <c r="U1052" s="47"/>
      <c r="V1052" s="47"/>
      <c r="W1052" s="47"/>
      <c r="X1052" s="47"/>
      <c r="Y1052" s="47"/>
      <c r="Z1052" s="47"/>
      <c r="AA1052" s="49"/>
      <c r="AB1052" s="49"/>
      <c r="AC1052" s="49"/>
      <c r="AD1052" s="50"/>
      <c r="AE1052" s="47"/>
      <c r="AF1052" s="47"/>
      <c r="AG1052"/>
      <c r="AH1052"/>
      <c r="AI1052"/>
      <c r="AJ1052"/>
      <c r="AK1052"/>
      <c r="AL1052"/>
      <c r="AM1052"/>
      <c r="AN1052"/>
      <c r="AO1052"/>
      <c r="AP1052"/>
      <c r="AQ1052" t="s">
        <v>2249</v>
      </c>
      <c r="AU1052">
        <v>1051</v>
      </c>
    </row>
    <row r="1053" spans="1:47" x14ac:dyDescent="0.2">
      <c r="A1053" s="26">
        <v>6161</v>
      </c>
      <c r="B1053" s="27" t="s">
        <v>85</v>
      </c>
      <c r="C1053" s="28"/>
      <c r="D1053" s="29"/>
      <c r="E1053" s="30" t="s">
        <v>1285</v>
      </c>
      <c r="H1053" s="32">
        <v>1</v>
      </c>
      <c r="I1053" s="32" t="s">
        <v>2250</v>
      </c>
      <c r="AI1053" s="32">
        <v>620</v>
      </c>
      <c r="AO1053" s="32" t="s">
        <v>472</v>
      </c>
      <c r="AQ1053" s="32" t="s">
        <v>589</v>
      </c>
      <c r="AU1053">
        <v>1052</v>
      </c>
    </row>
    <row r="1054" spans="1:47" x14ac:dyDescent="0.2">
      <c r="A1054" s="37">
        <v>6164</v>
      </c>
      <c r="B1054" s="38" t="s">
        <v>45</v>
      </c>
      <c r="C1054" s="85" t="s">
        <v>425</v>
      </c>
      <c r="D1054" s="29"/>
      <c r="E1054" s="38" t="s">
        <v>2251</v>
      </c>
      <c r="F1054" s="31" t="s">
        <v>204</v>
      </c>
      <c r="G1054" s="31" t="s">
        <v>205</v>
      </c>
      <c r="H1054" s="32"/>
      <c r="I1054" s="32" t="s">
        <v>2252</v>
      </c>
      <c r="K1054" s="31">
        <f>141*10*2.2</f>
        <v>3102.0000000000005</v>
      </c>
      <c r="S1054" s="33">
        <v>14</v>
      </c>
      <c r="T1054" s="47">
        <v>0</v>
      </c>
      <c r="U1054" s="47">
        <v>0</v>
      </c>
      <c r="V1054" s="47">
        <v>0</v>
      </c>
      <c r="W1054" s="47"/>
      <c r="X1054" s="47"/>
      <c r="Y1054" s="47" t="s">
        <v>51</v>
      </c>
      <c r="Z1054" s="47" t="s">
        <v>146</v>
      </c>
      <c r="AA1054" s="49"/>
      <c r="AB1054" s="49"/>
      <c r="AC1054" s="49"/>
      <c r="AD1054" s="50"/>
      <c r="AE1054" s="47" t="s">
        <v>1578</v>
      </c>
      <c r="AF1054" s="31">
        <v>65</v>
      </c>
      <c r="AK1054" s="32">
        <v>141</v>
      </c>
      <c r="AQ1054" s="32" t="s">
        <v>2253</v>
      </c>
      <c r="AU1054">
        <v>1053</v>
      </c>
    </row>
    <row r="1055" spans="1:47" x14ac:dyDescent="0.2">
      <c r="A1055" s="37">
        <v>6165</v>
      </c>
      <c r="B1055" s="38" t="s">
        <v>45</v>
      </c>
      <c r="C1055" s="39" t="s">
        <v>253</v>
      </c>
      <c r="D1055" s="29"/>
      <c r="E1055" s="38" t="s">
        <v>2254</v>
      </c>
      <c r="F1055" s="32" t="s">
        <v>107</v>
      </c>
      <c r="G1055" s="47"/>
      <c r="H1055"/>
      <c r="I1055" s="32" t="s">
        <v>2255</v>
      </c>
      <c r="J1055" s="47"/>
      <c r="K1055" s="47"/>
      <c r="L1055" s="48"/>
      <c r="M1055" s="47"/>
      <c r="N1055" s="47"/>
      <c r="O1055" s="47"/>
      <c r="P1055" s="47"/>
      <c r="Q1055" s="47"/>
      <c r="R1055" s="47"/>
      <c r="S1055" s="48"/>
      <c r="T1055" s="47"/>
      <c r="U1055" s="47"/>
      <c r="V1055" s="47"/>
      <c r="W1055" s="47"/>
      <c r="X1055" s="47"/>
      <c r="Y1055" s="47"/>
      <c r="Z1055" s="47"/>
      <c r="AA1055" s="49"/>
      <c r="AB1055" s="49"/>
      <c r="AC1055" s="49"/>
      <c r="AD1055" s="50"/>
      <c r="AE1055" s="47"/>
      <c r="AF1055" s="47"/>
      <c r="AG1055"/>
      <c r="AH1055"/>
      <c r="AI1055"/>
      <c r="AJ1055"/>
      <c r="AK1055"/>
      <c r="AL1055"/>
      <c r="AM1055"/>
      <c r="AN1055"/>
      <c r="AO1055"/>
      <c r="AP1055"/>
      <c r="AQ1055" s="32" t="s">
        <v>1939</v>
      </c>
      <c r="AU1055">
        <v>1054</v>
      </c>
    </row>
    <row r="1056" spans="1:47" x14ac:dyDescent="0.2">
      <c r="A1056" s="26">
        <v>6165</v>
      </c>
      <c r="B1056" s="27" t="s">
        <v>45</v>
      </c>
      <c r="C1056" s="28"/>
      <c r="D1056" s="29"/>
      <c r="E1056" s="30" t="s">
        <v>1531</v>
      </c>
      <c r="H1056" s="32">
        <v>1</v>
      </c>
      <c r="I1056" s="32" t="s">
        <v>2256</v>
      </c>
      <c r="AM1056" s="32">
        <f>498*57</f>
        <v>28386</v>
      </c>
      <c r="AO1056" s="32" t="s">
        <v>1533</v>
      </c>
      <c r="AQ1056" s="32" t="s">
        <v>1101</v>
      </c>
      <c r="AU1056">
        <v>1055</v>
      </c>
    </row>
    <row r="1057" spans="1:47" x14ac:dyDescent="0.2">
      <c r="A1057" s="37">
        <v>6166</v>
      </c>
      <c r="B1057" s="42" t="s">
        <v>85</v>
      </c>
      <c r="C1057" s="43" t="s">
        <v>2050</v>
      </c>
      <c r="D1057" s="29"/>
      <c r="E1057" s="36" t="s">
        <v>2257</v>
      </c>
      <c r="F1057" s="31" t="s">
        <v>48</v>
      </c>
      <c r="G1057" s="31" t="s">
        <v>722</v>
      </c>
      <c r="H1057" s="32"/>
      <c r="I1057" s="32" t="s">
        <v>2258</v>
      </c>
      <c r="K1057" s="31">
        <f>6*10*2.2</f>
        <v>132</v>
      </c>
      <c r="L1057" s="33">
        <v>1</v>
      </c>
      <c r="S1057" s="33">
        <v>1</v>
      </c>
      <c r="T1057" s="31">
        <v>0</v>
      </c>
      <c r="U1057" s="31">
        <v>0</v>
      </c>
      <c r="V1057" s="31">
        <v>1</v>
      </c>
      <c r="W1057" s="47">
        <f>1800*39.37/12</f>
        <v>5905.5</v>
      </c>
      <c r="Y1057" s="31" t="s">
        <v>51</v>
      </c>
      <c r="Z1057" s="31" t="s">
        <v>1809</v>
      </c>
      <c r="AA1057" s="34">
        <v>0.33333333333333331</v>
      </c>
      <c r="AE1057" s="31" t="s">
        <v>1810</v>
      </c>
      <c r="AF1057" s="31">
        <v>360</v>
      </c>
      <c r="AQ1057" s="32" t="s">
        <v>2259</v>
      </c>
      <c r="AU1057">
        <v>1056</v>
      </c>
    </row>
    <row r="1058" spans="1:47" x14ac:dyDescent="0.2">
      <c r="A1058" s="37">
        <v>6166</v>
      </c>
      <c r="B1058" s="38" t="s">
        <v>45</v>
      </c>
      <c r="C1058" s="39" t="s">
        <v>425</v>
      </c>
      <c r="D1058" s="29"/>
      <c r="E1058" s="38" t="s">
        <v>2260</v>
      </c>
      <c r="F1058" s="32" t="s">
        <v>1969</v>
      </c>
      <c r="G1058" s="47" t="s">
        <v>205</v>
      </c>
      <c r="H1058"/>
      <c r="I1058" s="32" t="s">
        <v>2261</v>
      </c>
      <c r="J1058" s="47"/>
      <c r="K1058" s="47">
        <f>157*10*2.2</f>
        <v>3454.0000000000005</v>
      </c>
      <c r="L1058" s="48"/>
      <c r="M1058" s="47"/>
      <c r="N1058" s="47"/>
      <c r="O1058" s="47"/>
      <c r="P1058" s="47"/>
      <c r="Q1058" s="47"/>
      <c r="R1058" s="47"/>
      <c r="S1058" s="48"/>
      <c r="T1058" s="47"/>
      <c r="U1058" s="47"/>
      <c r="V1058" s="47"/>
      <c r="W1058" s="47"/>
      <c r="X1058" s="47"/>
      <c r="Y1058" s="47"/>
      <c r="Z1058" s="47" t="s">
        <v>146</v>
      </c>
      <c r="AA1058" s="49">
        <v>8.3333333333333329E-2</v>
      </c>
      <c r="AB1058" s="49">
        <v>0.25</v>
      </c>
      <c r="AC1058" s="49">
        <f>AVERAGE(AA1058:AB1058)</f>
        <v>0.16666666666666666</v>
      </c>
      <c r="AD1058" s="50">
        <f>(AB1058-AA1058)*24</f>
        <v>4</v>
      </c>
      <c r="AE1058" s="47" t="s">
        <v>1578</v>
      </c>
      <c r="AF1058" s="47">
        <v>65</v>
      </c>
      <c r="AG1058"/>
      <c r="AH1058"/>
      <c r="AI1058"/>
      <c r="AJ1058"/>
      <c r="AK1058">
        <v>157</v>
      </c>
      <c r="AL1058"/>
      <c r="AM1058"/>
      <c r="AN1058"/>
      <c r="AO1058"/>
      <c r="AP1058"/>
      <c r="AQ1058" s="32" t="s">
        <v>2262</v>
      </c>
      <c r="AU1058">
        <v>1057</v>
      </c>
    </row>
    <row r="1059" spans="1:47" x14ac:dyDescent="0.2">
      <c r="A1059" s="26">
        <v>6168</v>
      </c>
      <c r="B1059" s="27" t="s">
        <v>45</v>
      </c>
      <c r="C1059" s="124"/>
      <c r="D1059" s="29"/>
      <c r="E1059" s="30" t="s">
        <v>1823</v>
      </c>
      <c r="H1059" s="32">
        <v>0</v>
      </c>
      <c r="I1059" s="32" t="s">
        <v>1824</v>
      </c>
      <c r="AG1059" s="32">
        <v>0</v>
      </c>
      <c r="AH1059" s="32">
        <v>0</v>
      </c>
      <c r="AI1059" s="32">
        <v>0</v>
      </c>
      <c r="AK1059" s="32">
        <v>0</v>
      </c>
      <c r="AM1059" s="32">
        <v>2500</v>
      </c>
      <c r="AO1059" s="73" t="s">
        <v>75</v>
      </c>
      <c r="AQ1059" s="32" t="s">
        <v>589</v>
      </c>
      <c r="AU1059">
        <v>1058</v>
      </c>
    </row>
    <row r="1060" spans="1:47" x14ac:dyDescent="0.2">
      <c r="A1060" s="37">
        <v>6169</v>
      </c>
      <c r="B1060" s="38" t="s">
        <v>45</v>
      </c>
      <c r="C1060" s="39" t="s">
        <v>253</v>
      </c>
      <c r="D1060" s="29"/>
      <c r="E1060" s="38" t="s">
        <v>2263</v>
      </c>
      <c r="F1060" s="32" t="s">
        <v>83</v>
      </c>
      <c r="G1060" s="47"/>
      <c r="H1060"/>
      <c r="I1060" s="32" t="s">
        <v>2264</v>
      </c>
      <c r="J1060" s="47"/>
      <c r="K1060" s="47"/>
      <c r="L1060" s="48"/>
      <c r="M1060" s="47"/>
      <c r="N1060" s="47"/>
      <c r="O1060" s="47"/>
      <c r="P1060" s="47"/>
      <c r="Q1060" s="47"/>
      <c r="R1060" s="47"/>
      <c r="S1060" s="48"/>
      <c r="T1060" s="47"/>
      <c r="U1060" s="47"/>
      <c r="V1060" s="47"/>
      <c r="W1060" s="47"/>
      <c r="X1060" s="47"/>
      <c r="Y1060" s="47"/>
      <c r="Z1060" s="47"/>
      <c r="AA1060" s="49"/>
      <c r="AB1060" s="49"/>
      <c r="AC1060" s="49"/>
      <c r="AD1060" s="50"/>
      <c r="AE1060" s="47"/>
      <c r="AF1060" s="47"/>
      <c r="AG1060"/>
      <c r="AH1060"/>
      <c r="AI1060"/>
      <c r="AJ1060"/>
      <c r="AK1060"/>
      <c r="AL1060"/>
      <c r="AM1060"/>
      <c r="AN1060"/>
      <c r="AO1060"/>
      <c r="AP1060"/>
      <c r="AQ1060" s="32" t="s">
        <v>1939</v>
      </c>
      <c r="AU1060">
        <v>1059</v>
      </c>
    </row>
    <row r="1061" spans="1:47" x14ac:dyDescent="0.2">
      <c r="A1061" s="37">
        <v>6171</v>
      </c>
      <c r="B1061" s="38" t="s">
        <v>85</v>
      </c>
      <c r="C1061" s="39" t="s">
        <v>253</v>
      </c>
      <c r="D1061" s="29"/>
      <c r="E1061" s="38" t="s">
        <v>2265</v>
      </c>
      <c r="F1061" s="32" t="s">
        <v>107</v>
      </c>
      <c r="G1061" s="47"/>
      <c r="H1061"/>
      <c r="I1061" s="32" t="s">
        <v>2266</v>
      </c>
      <c r="J1061" s="47"/>
      <c r="K1061" s="47"/>
      <c r="L1061" s="48"/>
      <c r="M1061" s="47"/>
      <c r="N1061" s="47"/>
      <c r="O1061" s="47"/>
      <c r="P1061" s="47"/>
      <c r="Q1061" s="47"/>
      <c r="R1061" s="47"/>
      <c r="S1061" s="48"/>
      <c r="T1061" s="47"/>
      <c r="U1061" s="47"/>
      <c r="V1061" s="47"/>
      <c r="W1061" s="47"/>
      <c r="X1061" s="47"/>
      <c r="Y1061" s="47"/>
      <c r="Z1061" s="47"/>
      <c r="AA1061" s="49"/>
      <c r="AB1061" s="49"/>
      <c r="AC1061" s="49"/>
      <c r="AD1061" s="50"/>
      <c r="AE1061" s="47"/>
      <c r="AF1061" s="47"/>
      <c r="AG1061"/>
      <c r="AH1061"/>
      <c r="AI1061"/>
      <c r="AJ1061"/>
      <c r="AK1061"/>
      <c r="AL1061"/>
      <c r="AM1061"/>
      <c r="AN1061"/>
      <c r="AO1061"/>
      <c r="AP1061"/>
      <c r="AQ1061" s="32" t="s">
        <v>1375</v>
      </c>
      <c r="AU1061">
        <v>1060</v>
      </c>
    </row>
    <row r="1062" spans="1:47" x14ac:dyDescent="0.2">
      <c r="A1062" s="37">
        <v>6171</v>
      </c>
      <c r="B1062" s="38" t="s">
        <v>85</v>
      </c>
      <c r="C1062" s="39" t="s">
        <v>253</v>
      </c>
      <c r="D1062" s="29"/>
      <c r="E1062" s="38" t="s">
        <v>2263</v>
      </c>
      <c r="F1062" s="32" t="s">
        <v>246</v>
      </c>
      <c r="G1062" s="47"/>
      <c r="H1062"/>
      <c r="I1062" s="32"/>
      <c r="J1062" s="47"/>
      <c r="K1062" s="47"/>
      <c r="L1062" s="48"/>
      <c r="M1062" s="47"/>
      <c r="N1062" s="47"/>
      <c r="O1062" s="47"/>
      <c r="P1062" s="47"/>
      <c r="Q1062" s="47"/>
      <c r="R1062" s="47"/>
      <c r="S1062" s="48"/>
      <c r="T1062" s="47"/>
      <c r="U1062" s="47"/>
      <c r="V1062" s="47"/>
      <c r="W1062" s="47"/>
      <c r="X1062" s="47"/>
      <c r="Y1062" s="47"/>
      <c r="Z1062" s="47"/>
      <c r="AA1062" s="49"/>
      <c r="AB1062" s="49"/>
      <c r="AC1062" s="49"/>
      <c r="AD1062" s="50"/>
      <c r="AE1062" s="47"/>
      <c r="AF1062" s="47"/>
      <c r="AG1062"/>
      <c r="AH1062"/>
      <c r="AI1062"/>
      <c r="AJ1062"/>
      <c r="AK1062"/>
      <c r="AL1062"/>
      <c r="AM1062"/>
      <c r="AN1062"/>
      <c r="AO1062"/>
      <c r="AP1062"/>
      <c r="AQ1062" s="32" t="s">
        <v>1375</v>
      </c>
      <c r="AU1062">
        <v>1061</v>
      </c>
    </row>
    <row r="1063" spans="1:47" x14ac:dyDescent="0.2">
      <c r="A1063" s="37">
        <v>6171</v>
      </c>
      <c r="B1063" s="38" t="s">
        <v>45</v>
      </c>
      <c r="C1063" s="39" t="s">
        <v>253</v>
      </c>
      <c r="D1063" s="29"/>
      <c r="E1063" s="38" t="s">
        <v>2207</v>
      </c>
      <c r="F1063" s="32" t="s">
        <v>2267</v>
      </c>
      <c r="G1063" s="47"/>
      <c r="H1063"/>
      <c r="I1063" s="32"/>
      <c r="J1063" s="47"/>
      <c r="K1063" s="47"/>
      <c r="L1063" s="48"/>
      <c r="M1063" s="47"/>
      <c r="N1063" s="47"/>
      <c r="O1063" s="47"/>
      <c r="P1063" s="47"/>
      <c r="Q1063" s="47"/>
      <c r="R1063" s="47"/>
      <c r="S1063" s="48"/>
      <c r="T1063" s="47"/>
      <c r="U1063" s="47"/>
      <c r="V1063" s="47"/>
      <c r="W1063" s="47"/>
      <c r="X1063" s="47"/>
      <c r="Y1063" s="47"/>
      <c r="Z1063" s="47"/>
      <c r="AA1063" s="49"/>
      <c r="AB1063" s="49"/>
      <c r="AC1063" s="49"/>
      <c r="AD1063" s="50"/>
      <c r="AE1063" s="47"/>
      <c r="AF1063" s="47"/>
      <c r="AG1063"/>
      <c r="AH1063"/>
      <c r="AI1063"/>
      <c r="AJ1063"/>
      <c r="AK1063"/>
      <c r="AL1063"/>
      <c r="AM1063"/>
      <c r="AN1063"/>
      <c r="AO1063"/>
      <c r="AP1063"/>
      <c r="AQ1063" s="32" t="s">
        <v>2268</v>
      </c>
      <c r="AU1063">
        <v>1062</v>
      </c>
    </row>
    <row r="1064" spans="1:47" x14ac:dyDescent="0.2">
      <c r="A1064" s="37">
        <v>6172</v>
      </c>
      <c r="B1064" s="38" t="s">
        <v>85</v>
      </c>
      <c r="C1064" s="39" t="s">
        <v>425</v>
      </c>
      <c r="D1064" s="29"/>
      <c r="E1064" s="38" t="s">
        <v>2251</v>
      </c>
      <c r="F1064" s="32" t="s">
        <v>204</v>
      </c>
      <c r="G1064" s="47" t="s">
        <v>205</v>
      </c>
      <c r="H1064"/>
      <c r="I1064" s="32" t="s">
        <v>2269</v>
      </c>
      <c r="J1064" s="47"/>
      <c r="K1064" s="47">
        <f>171*10*2.2</f>
        <v>3762.0000000000005</v>
      </c>
      <c r="L1064" s="48"/>
      <c r="M1064" s="47"/>
      <c r="N1064" s="47"/>
      <c r="O1064" s="47"/>
      <c r="P1064" s="47"/>
      <c r="Q1064" s="47"/>
      <c r="R1064" s="47"/>
      <c r="S1064" s="48"/>
      <c r="T1064" s="47">
        <v>0</v>
      </c>
      <c r="U1064" s="47">
        <v>0</v>
      </c>
      <c r="V1064" s="47">
        <v>0</v>
      </c>
      <c r="W1064" s="47"/>
      <c r="X1064" s="47"/>
      <c r="Y1064" s="47" t="s">
        <v>51</v>
      </c>
      <c r="Z1064" s="47" t="s">
        <v>146</v>
      </c>
      <c r="AA1064" s="49">
        <v>0.65625</v>
      </c>
      <c r="AB1064" s="49">
        <v>0.79166666666666663</v>
      </c>
      <c r="AC1064" s="49">
        <f>AVERAGE(AA1064:AB1064)</f>
        <v>0.72395833333333326</v>
      </c>
      <c r="AD1064" s="50">
        <f>(AB1064-AA1064)*24</f>
        <v>3.2499999999999991</v>
      </c>
      <c r="AE1064" s="47" t="s">
        <v>1578</v>
      </c>
      <c r="AF1064" s="47">
        <v>65</v>
      </c>
      <c r="AG1064"/>
      <c r="AH1064"/>
      <c r="AI1064"/>
      <c r="AJ1064"/>
      <c r="AK1064">
        <v>171</v>
      </c>
      <c r="AL1064"/>
      <c r="AM1064"/>
      <c r="AN1064"/>
      <c r="AO1064"/>
      <c r="AP1064"/>
      <c r="AQ1064" s="32" t="s">
        <v>2270</v>
      </c>
      <c r="AU1064">
        <v>1063</v>
      </c>
    </row>
    <row r="1065" spans="1:47" x14ac:dyDescent="0.2">
      <c r="A1065" s="37">
        <v>6172</v>
      </c>
      <c r="B1065" s="38" t="s">
        <v>45</v>
      </c>
      <c r="C1065" s="38" t="s">
        <v>1940</v>
      </c>
      <c r="D1065" s="29"/>
      <c r="E1065" s="39" t="s">
        <v>2207</v>
      </c>
      <c r="F1065" s="47" t="s">
        <v>2271</v>
      </c>
      <c r="G1065" s="47" t="s">
        <v>481</v>
      </c>
      <c r="H1065"/>
      <c r="I1065" s="31" t="s">
        <v>2272</v>
      </c>
      <c r="J1065" s="47"/>
      <c r="K1065" s="47">
        <f>(12*25+12*10)*2.2</f>
        <v>924.00000000000011</v>
      </c>
      <c r="L1065" s="48"/>
      <c r="M1065" s="47"/>
      <c r="N1065" s="47"/>
      <c r="O1065" s="47"/>
      <c r="P1065" s="47"/>
      <c r="Q1065" s="47"/>
      <c r="R1065" s="47"/>
      <c r="S1065" s="48">
        <v>4</v>
      </c>
      <c r="T1065" s="47">
        <v>0</v>
      </c>
      <c r="U1065" s="47"/>
      <c r="V1065" s="47"/>
      <c r="W1065" s="47"/>
      <c r="X1065" s="47"/>
      <c r="Y1065" s="47"/>
      <c r="Z1065" s="47" t="s">
        <v>1652</v>
      </c>
      <c r="AA1065" s="49">
        <v>0.89583333333333337</v>
      </c>
      <c r="AB1065" s="49">
        <v>4.8611111111111112E-2</v>
      </c>
      <c r="AC1065" s="49">
        <f>AVERAGE(AA1065:AB1065)</f>
        <v>0.47222222222222227</v>
      </c>
      <c r="AD1065" s="50">
        <f>3+4/6</f>
        <v>3.6666666666666665</v>
      </c>
      <c r="AE1065" s="47" t="s">
        <v>1312</v>
      </c>
      <c r="AF1065" s="47">
        <v>100</v>
      </c>
      <c r="AG1065"/>
      <c r="AH1065"/>
      <c r="AI1065"/>
      <c r="AJ1065"/>
      <c r="AK1065"/>
      <c r="AL1065"/>
      <c r="AM1065"/>
      <c r="AN1065"/>
      <c r="AO1065"/>
      <c r="AP1065"/>
      <c r="AQ1065" t="s">
        <v>2273</v>
      </c>
      <c r="AU1065">
        <v>1064</v>
      </c>
    </row>
    <row r="1066" spans="1:47" x14ac:dyDescent="0.2">
      <c r="A1066" s="26">
        <v>6172</v>
      </c>
      <c r="B1066" s="27" t="s">
        <v>45</v>
      </c>
      <c r="C1066" s="28"/>
      <c r="D1066" s="29"/>
      <c r="E1066" s="30" t="s">
        <v>1531</v>
      </c>
      <c r="H1066" s="32">
        <v>0</v>
      </c>
      <c r="I1066" s="32" t="s">
        <v>1706</v>
      </c>
      <c r="AG1066" s="32">
        <v>0</v>
      </c>
      <c r="AH1066" s="32">
        <v>0</v>
      </c>
      <c r="AI1066" s="32">
        <v>0</v>
      </c>
      <c r="AK1066" s="32">
        <v>0</v>
      </c>
      <c r="AM1066" s="32">
        <f>498*100</f>
        <v>49800</v>
      </c>
      <c r="AO1066" s="32" t="s">
        <v>1533</v>
      </c>
      <c r="AQ1066" s="32" t="s">
        <v>1101</v>
      </c>
      <c r="AU1066">
        <v>1065</v>
      </c>
    </row>
    <row r="1067" spans="1:47" x14ac:dyDescent="0.2">
      <c r="A1067" s="26">
        <v>6172</v>
      </c>
      <c r="B1067" s="27" t="s">
        <v>45</v>
      </c>
      <c r="C1067" s="28"/>
      <c r="D1067" s="29"/>
      <c r="E1067" s="30" t="s">
        <v>1823</v>
      </c>
      <c r="H1067" s="32">
        <v>0</v>
      </c>
      <c r="I1067" s="32" t="s">
        <v>1824</v>
      </c>
      <c r="AG1067" s="32">
        <v>0</v>
      </c>
      <c r="AH1067" s="32">
        <v>0</v>
      </c>
      <c r="AI1067" s="32">
        <v>0</v>
      </c>
      <c r="AK1067" s="32">
        <v>0</v>
      </c>
      <c r="AM1067" s="32">
        <v>5000</v>
      </c>
      <c r="AO1067" s="73" t="s">
        <v>75</v>
      </c>
      <c r="AQ1067" s="32" t="s">
        <v>589</v>
      </c>
      <c r="AU1067">
        <v>1066</v>
      </c>
    </row>
    <row r="1068" spans="1:47" x14ac:dyDescent="0.2">
      <c r="A1068" s="26">
        <v>6172</v>
      </c>
      <c r="B1068" s="27"/>
      <c r="C1068" s="28"/>
      <c r="D1068" s="29"/>
      <c r="E1068" s="72" t="s">
        <v>872</v>
      </c>
      <c r="H1068" s="32">
        <v>1</v>
      </c>
      <c r="I1068" s="32" t="s">
        <v>2274</v>
      </c>
      <c r="AI1068" s="32">
        <v>4000</v>
      </c>
      <c r="AK1068" s="32">
        <v>4</v>
      </c>
      <c r="AO1068" s="73" t="s">
        <v>858</v>
      </c>
      <c r="AQ1068" s="32">
        <v>439</v>
      </c>
      <c r="AU1068">
        <v>1067</v>
      </c>
    </row>
    <row r="1069" spans="1:47" x14ac:dyDescent="0.2">
      <c r="A1069" s="133">
        <v>6173</v>
      </c>
      <c r="B1069" s="39" t="s">
        <v>85</v>
      </c>
      <c r="C1069" s="39" t="s">
        <v>1806</v>
      </c>
      <c r="D1069" s="29" t="b">
        <v>0</v>
      </c>
      <c r="E1069" s="39" t="s">
        <v>911</v>
      </c>
      <c r="F1069" s="47" t="s">
        <v>480</v>
      </c>
      <c r="G1069" s="47" t="s">
        <v>481</v>
      </c>
      <c r="H1069"/>
      <c r="I1069" s="134" t="s">
        <v>2275</v>
      </c>
      <c r="J1069" s="47" t="b">
        <v>1</v>
      </c>
      <c r="K1069" s="47">
        <v>2000</v>
      </c>
      <c r="L1069" s="48">
        <v>9</v>
      </c>
      <c r="M1069" s="47">
        <v>0</v>
      </c>
      <c r="N1069" s="47">
        <v>0</v>
      </c>
      <c r="O1069" s="47">
        <v>0</v>
      </c>
      <c r="P1069" s="47">
        <v>0</v>
      </c>
      <c r="Q1069" s="47">
        <v>0</v>
      </c>
      <c r="R1069" s="47">
        <v>0</v>
      </c>
      <c r="S1069" s="48">
        <v>9</v>
      </c>
      <c r="T1069" s="47">
        <v>0</v>
      </c>
      <c r="U1069" s="47">
        <v>0</v>
      </c>
      <c r="V1069" s="47">
        <v>0</v>
      </c>
      <c r="W1069" s="47">
        <v>6800</v>
      </c>
      <c r="X1069" s="47">
        <v>7</v>
      </c>
      <c r="Y1069" s="47" t="s">
        <v>120</v>
      </c>
      <c r="Z1069" s="47" t="s">
        <v>1809</v>
      </c>
      <c r="AA1069" s="49">
        <v>0.47916666666666669</v>
      </c>
      <c r="AB1069" s="49">
        <v>0.57291666666666663</v>
      </c>
      <c r="AC1069" s="49">
        <v>0.51736111111111105</v>
      </c>
      <c r="AD1069" s="50">
        <f>(AB1069-AA1069)*24</f>
        <v>2.2499999999999987</v>
      </c>
      <c r="AE1069" s="47" t="s">
        <v>1312</v>
      </c>
      <c r="AF1069" s="47">
        <v>100</v>
      </c>
      <c r="AG1069"/>
      <c r="AH1069"/>
      <c r="AI1069"/>
      <c r="AJ1069"/>
      <c r="AK1069">
        <v>36</v>
      </c>
      <c r="AL1069"/>
      <c r="AM1069"/>
      <c r="AN1069"/>
      <c r="AO1069"/>
      <c r="AP1069"/>
      <c r="AQ1069" t="s">
        <v>2166</v>
      </c>
      <c r="AU1069">
        <v>1068</v>
      </c>
    </row>
    <row r="1070" spans="1:47" x14ac:dyDescent="0.2">
      <c r="A1070" s="26">
        <v>6173</v>
      </c>
      <c r="B1070" s="27"/>
      <c r="C1070" s="28"/>
      <c r="D1070" s="29"/>
      <c r="E1070" s="30" t="s">
        <v>2276</v>
      </c>
      <c r="H1070" s="32">
        <v>1</v>
      </c>
      <c r="I1070" s="32" t="s">
        <v>2277</v>
      </c>
      <c r="AG1070" s="32">
        <v>0</v>
      </c>
      <c r="AH1070" s="32">
        <v>0</v>
      </c>
      <c r="AI1070" s="32">
        <v>8436</v>
      </c>
      <c r="AK1070" s="32">
        <v>3</v>
      </c>
      <c r="AL1070" s="149"/>
      <c r="AO1070" s="32" t="s">
        <v>2278</v>
      </c>
      <c r="AQ1070" s="91">
        <v>431</v>
      </c>
      <c r="AU1070">
        <v>1069</v>
      </c>
    </row>
    <row r="1071" spans="1:47" x14ac:dyDescent="0.2">
      <c r="A1071" s="26">
        <v>6173</v>
      </c>
      <c r="B1071" s="27"/>
      <c r="C1071" s="28"/>
      <c r="D1071" s="29"/>
      <c r="E1071" s="30" t="s">
        <v>1028</v>
      </c>
      <c r="H1071" s="32">
        <v>1</v>
      </c>
      <c r="I1071" s="32" t="s">
        <v>2279</v>
      </c>
      <c r="AG1071" s="32">
        <v>0</v>
      </c>
      <c r="AH1071" s="32">
        <v>0</v>
      </c>
      <c r="AI1071" s="32">
        <v>3000</v>
      </c>
      <c r="AK1071" s="32">
        <v>1</v>
      </c>
      <c r="AL1071" s="32">
        <v>0</v>
      </c>
      <c r="AO1071" s="32" t="s">
        <v>1030</v>
      </c>
      <c r="AQ1071" s="32">
        <v>432</v>
      </c>
      <c r="AU1071">
        <v>1070</v>
      </c>
    </row>
    <row r="1072" spans="1:47" x14ac:dyDescent="0.2">
      <c r="A1072" s="26">
        <v>6175</v>
      </c>
      <c r="B1072" s="27" t="s">
        <v>45</v>
      </c>
      <c r="C1072" s="28"/>
      <c r="D1072" s="29"/>
      <c r="E1072" s="30" t="s">
        <v>1823</v>
      </c>
      <c r="H1072" s="32">
        <v>0</v>
      </c>
      <c r="I1072" s="32" t="s">
        <v>1824</v>
      </c>
      <c r="AG1072" s="32">
        <v>0</v>
      </c>
      <c r="AH1072" s="32">
        <v>0</v>
      </c>
      <c r="AI1072" s="32">
        <v>0</v>
      </c>
      <c r="AK1072" s="32">
        <v>0</v>
      </c>
      <c r="AM1072" s="32">
        <v>2500</v>
      </c>
      <c r="AO1072" s="73" t="s">
        <v>75</v>
      </c>
      <c r="AQ1072" s="32" t="s">
        <v>589</v>
      </c>
      <c r="AU1072">
        <v>1071</v>
      </c>
    </row>
    <row r="1073" spans="1:47" x14ac:dyDescent="0.2">
      <c r="A1073" s="26">
        <v>6176</v>
      </c>
      <c r="B1073" s="27">
        <v>0.94097222222222221</v>
      </c>
      <c r="C1073" s="28"/>
      <c r="D1073" s="29"/>
      <c r="E1073" s="30" t="s">
        <v>1282</v>
      </c>
      <c r="H1073" s="32">
        <v>0</v>
      </c>
      <c r="I1073" s="32" t="s">
        <v>2244</v>
      </c>
      <c r="AG1073" s="32">
        <v>0</v>
      </c>
      <c r="AH1073" s="32">
        <v>0</v>
      </c>
      <c r="AI1073" s="32">
        <v>0</v>
      </c>
      <c r="AK1073" s="32">
        <v>0</v>
      </c>
      <c r="AL1073" s="32">
        <f>2/3</f>
        <v>0.66666666666666663</v>
      </c>
      <c r="AP1073" s="32">
        <f>2/3</f>
        <v>0.66666666666666663</v>
      </c>
      <c r="AQ1073" s="32" t="s">
        <v>1101</v>
      </c>
      <c r="AU1073">
        <v>1072</v>
      </c>
    </row>
    <row r="1074" spans="1:47" x14ac:dyDescent="0.2">
      <c r="A1074" s="26">
        <v>6177</v>
      </c>
      <c r="B1074" s="27">
        <v>0.5</v>
      </c>
      <c r="C1074" s="28"/>
      <c r="D1074" s="29"/>
      <c r="E1074" s="102" t="s">
        <v>1102</v>
      </c>
      <c r="H1074" s="32">
        <v>0</v>
      </c>
      <c r="I1074" s="32" t="s">
        <v>1103</v>
      </c>
      <c r="AG1074" s="32">
        <v>0</v>
      </c>
      <c r="AH1074" s="32">
        <v>0</v>
      </c>
      <c r="AI1074" s="32">
        <v>0</v>
      </c>
      <c r="AK1074" s="32">
        <v>0</v>
      </c>
      <c r="AL1074" s="32">
        <v>1</v>
      </c>
      <c r="AO1074" s="73" t="s">
        <v>1006</v>
      </c>
      <c r="AP1074" s="32">
        <v>1</v>
      </c>
      <c r="AQ1074" s="32" t="s">
        <v>589</v>
      </c>
      <c r="AU1074">
        <v>1073</v>
      </c>
    </row>
    <row r="1075" spans="1:47" x14ac:dyDescent="0.2">
      <c r="A1075" s="26">
        <v>6178</v>
      </c>
      <c r="B1075" s="27">
        <v>0.98958333333333337</v>
      </c>
      <c r="C1075" s="28"/>
      <c r="D1075" s="29"/>
      <c r="E1075" s="30" t="s">
        <v>1282</v>
      </c>
      <c r="H1075" s="32">
        <v>0</v>
      </c>
      <c r="I1075" s="32" t="s">
        <v>2244</v>
      </c>
      <c r="AG1075" s="32">
        <v>0</v>
      </c>
      <c r="AH1075" s="32">
        <v>0</v>
      </c>
      <c r="AI1075" s="32">
        <v>0</v>
      </c>
      <c r="AK1075" s="32">
        <v>0</v>
      </c>
      <c r="AL1075" s="32">
        <v>0.5</v>
      </c>
      <c r="AP1075" s="32">
        <v>0.5</v>
      </c>
      <c r="AQ1075" s="32" t="s">
        <v>1101</v>
      </c>
      <c r="AU1075">
        <v>1074</v>
      </c>
    </row>
    <row r="1076" spans="1:47" x14ac:dyDescent="0.2">
      <c r="A1076" s="37">
        <v>6179</v>
      </c>
      <c r="B1076" s="38" t="s">
        <v>45</v>
      </c>
      <c r="C1076" s="39" t="s">
        <v>253</v>
      </c>
      <c r="D1076" s="29"/>
      <c r="E1076" s="38" t="s">
        <v>2280</v>
      </c>
      <c r="F1076" s="32" t="s">
        <v>2281</v>
      </c>
      <c r="G1076" s="47"/>
      <c r="H1076"/>
      <c r="I1076" s="32"/>
      <c r="J1076" s="47"/>
      <c r="K1076" s="47"/>
      <c r="L1076" s="48"/>
      <c r="M1076" s="47"/>
      <c r="N1076" s="47"/>
      <c r="O1076" s="47"/>
      <c r="P1076" s="47"/>
      <c r="Q1076" s="47"/>
      <c r="R1076" s="47"/>
      <c r="S1076" s="48"/>
      <c r="T1076" s="47"/>
      <c r="U1076" s="47"/>
      <c r="V1076" s="47"/>
      <c r="W1076" s="47"/>
      <c r="X1076" s="47"/>
      <c r="Y1076" s="47"/>
      <c r="Z1076" s="47"/>
      <c r="AA1076" s="49"/>
      <c r="AB1076" s="49"/>
      <c r="AC1076" s="49"/>
      <c r="AD1076" s="50"/>
      <c r="AE1076" s="47"/>
      <c r="AF1076" s="47"/>
      <c r="AG1076"/>
      <c r="AH1076"/>
      <c r="AI1076"/>
      <c r="AJ1076"/>
      <c r="AK1076"/>
      <c r="AL1076"/>
      <c r="AM1076"/>
      <c r="AN1076"/>
      <c r="AO1076"/>
      <c r="AP1076"/>
      <c r="AQ1076" s="32" t="s">
        <v>2268</v>
      </c>
      <c r="AU1076">
        <v>1075</v>
      </c>
    </row>
    <row r="1077" spans="1:47" x14ac:dyDescent="0.2">
      <c r="A1077" s="26">
        <v>6179</v>
      </c>
      <c r="B1077" s="27" t="s">
        <v>45</v>
      </c>
      <c r="C1077" s="28"/>
      <c r="D1077" s="29"/>
      <c r="E1077" s="30" t="s">
        <v>1531</v>
      </c>
      <c r="H1077" s="32">
        <v>0</v>
      </c>
      <c r="I1077" s="32" t="s">
        <v>1532</v>
      </c>
      <c r="AG1077" s="32">
        <v>0</v>
      </c>
      <c r="AH1077" s="32">
        <v>0</v>
      </c>
      <c r="AI1077" s="32">
        <v>0</v>
      </c>
      <c r="AK1077" s="32">
        <v>0</v>
      </c>
      <c r="AM1077" s="32">
        <f>498*59</f>
        <v>29382</v>
      </c>
      <c r="AO1077" s="32" t="s">
        <v>1533</v>
      </c>
      <c r="AQ1077" s="32" t="s">
        <v>1101</v>
      </c>
      <c r="AU1077">
        <v>1076</v>
      </c>
    </row>
    <row r="1078" spans="1:47" x14ac:dyDescent="0.2">
      <c r="A1078" s="26">
        <v>6179</v>
      </c>
      <c r="B1078" s="27" t="s">
        <v>45</v>
      </c>
      <c r="C1078" s="28"/>
      <c r="D1078" s="29"/>
      <c r="E1078" s="30" t="s">
        <v>1823</v>
      </c>
      <c r="H1078" s="32">
        <v>0</v>
      </c>
      <c r="I1078" s="32" t="s">
        <v>1824</v>
      </c>
      <c r="AG1078" s="32">
        <v>0</v>
      </c>
      <c r="AH1078" s="32">
        <v>0</v>
      </c>
      <c r="AI1078" s="32">
        <v>0</v>
      </c>
      <c r="AK1078" s="32">
        <v>0</v>
      </c>
      <c r="AM1078" s="32">
        <v>2500</v>
      </c>
      <c r="AO1078" s="73" t="s">
        <v>75</v>
      </c>
      <c r="AQ1078" s="32" t="s">
        <v>589</v>
      </c>
      <c r="AU1078">
        <v>1077</v>
      </c>
    </row>
    <row r="1079" spans="1:47" x14ac:dyDescent="0.2">
      <c r="A1079" s="37">
        <v>6180</v>
      </c>
      <c r="B1079" s="38" t="s">
        <v>45</v>
      </c>
      <c r="C1079" s="39" t="s">
        <v>253</v>
      </c>
      <c r="D1079" s="29"/>
      <c r="E1079" s="38" t="s">
        <v>2282</v>
      </c>
      <c r="F1079" s="32" t="s">
        <v>2283</v>
      </c>
      <c r="G1079" s="47"/>
      <c r="H1079"/>
      <c r="I1079" s="32" t="s">
        <v>2284</v>
      </c>
      <c r="J1079" s="47"/>
      <c r="K1079" s="47"/>
      <c r="L1079" s="48"/>
      <c r="M1079" s="47"/>
      <c r="N1079" s="47"/>
      <c r="O1079" s="47"/>
      <c r="P1079" s="47"/>
      <c r="Q1079" s="47"/>
      <c r="R1079" s="47"/>
      <c r="S1079" s="48"/>
      <c r="T1079" s="47"/>
      <c r="U1079" s="47"/>
      <c r="V1079" s="47"/>
      <c r="W1079" s="47"/>
      <c r="X1079" s="47"/>
      <c r="Y1079" s="47"/>
      <c r="Z1079" s="47"/>
      <c r="AA1079" s="49"/>
      <c r="AB1079" s="49"/>
      <c r="AC1079" s="49"/>
      <c r="AD1079" s="50"/>
      <c r="AE1079" s="47"/>
      <c r="AF1079" s="47"/>
      <c r="AG1079"/>
      <c r="AH1079"/>
      <c r="AI1079"/>
      <c r="AJ1079"/>
      <c r="AK1079"/>
      <c r="AL1079"/>
      <c r="AM1079"/>
      <c r="AN1079"/>
      <c r="AO1079"/>
      <c r="AP1079"/>
      <c r="AQ1079" s="32" t="s">
        <v>2268</v>
      </c>
      <c r="AU1079">
        <v>1078</v>
      </c>
    </row>
    <row r="1080" spans="1:47" x14ac:dyDescent="0.2">
      <c r="A1080" s="26">
        <v>6180</v>
      </c>
      <c r="B1080" s="27">
        <v>0.8125</v>
      </c>
      <c r="C1080" s="28"/>
      <c r="D1080" s="29"/>
      <c r="E1080" s="30" t="s">
        <v>1282</v>
      </c>
      <c r="H1080" s="32">
        <v>0</v>
      </c>
      <c r="I1080" s="32" t="s">
        <v>2285</v>
      </c>
      <c r="AG1080" s="32">
        <v>0</v>
      </c>
      <c r="AH1080" s="32">
        <v>0</v>
      </c>
      <c r="AI1080" s="32">
        <v>0</v>
      </c>
      <c r="AK1080" s="32">
        <v>0</v>
      </c>
      <c r="AL1080" s="32">
        <f>102/60</f>
        <v>1.7</v>
      </c>
      <c r="AP1080" s="32">
        <f>102/60</f>
        <v>1.7</v>
      </c>
      <c r="AQ1080" s="32" t="s">
        <v>1101</v>
      </c>
      <c r="AU1080">
        <v>1079</v>
      </c>
    </row>
    <row r="1081" spans="1:47" x14ac:dyDescent="0.2">
      <c r="A1081" s="26">
        <v>6180</v>
      </c>
      <c r="B1081" s="27" t="s">
        <v>45</v>
      </c>
      <c r="C1081" s="28"/>
      <c r="D1081" s="29"/>
      <c r="E1081" s="30" t="s">
        <v>1531</v>
      </c>
      <c r="H1081" s="32">
        <v>0</v>
      </c>
      <c r="I1081" s="32" t="s">
        <v>1706</v>
      </c>
      <c r="AG1081" s="32">
        <v>0</v>
      </c>
      <c r="AH1081" s="32">
        <v>0</v>
      </c>
      <c r="AI1081" s="32">
        <v>0</v>
      </c>
      <c r="AK1081" s="32">
        <v>0</v>
      </c>
      <c r="AM1081" s="32">
        <f>498*121</f>
        <v>60258</v>
      </c>
      <c r="AO1081" s="32" t="s">
        <v>1533</v>
      </c>
      <c r="AQ1081" s="32" t="s">
        <v>1101</v>
      </c>
      <c r="AU1081">
        <v>1080</v>
      </c>
    </row>
    <row r="1082" spans="1:47" x14ac:dyDescent="0.2">
      <c r="A1082" s="26">
        <v>6180</v>
      </c>
      <c r="B1082" s="27" t="s">
        <v>45</v>
      </c>
      <c r="C1082" s="28"/>
      <c r="D1082" s="29"/>
      <c r="E1082" s="150" t="s">
        <v>2286</v>
      </c>
      <c r="H1082" s="32">
        <v>0</v>
      </c>
      <c r="I1082" s="32" t="s">
        <v>1824</v>
      </c>
      <c r="AG1082" s="32">
        <v>0</v>
      </c>
      <c r="AH1082" s="32">
        <v>0</v>
      </c>
      <c r="AI1082" s="32">
        <v>0</v>
      </c>
      <c r="AK1082" s="32">
        <v>0</v>
      </c>
      <c r="AM1082" s="32">
        <v>5500</v>
      </c>
      <c r="AO1082" s="73" t="s">
        <v>75</v>
      </c>
      <c r="AQ1082" s="32" t="s">
        <v>589</v>
      </c>
      <c r="AU1082">
        <v>1081</v>
      </c>
    </row>
    <row r="1083" spans="1:47" x14ac:dyDescent="0.2">
      <c r="A1083" s="37">
        <v>6181</v>
      </c>
      <c r="B1083" s="38" t="s">
        <v>45</v>
      </c>
      <c r="C1083" s="39" t="s">
        <v>253</v>
      </c>
      <c r="D1083" s="29"/>
      <c r="E1083" s="38" t="s">
        <v>1764</v>
      </c>
      <c r="F1083" s="32" t="s">
        <v>1663</v>
      </c>
      <c r="G1083" s="47"/>
      <c r="H1083"/>
      <c r="I1083" s="32" t="s">
        <v>2287</v>
      </c>
      <c r="J1083" s="47"/>
      <c r="K1083" s="47">
        <f>720*2.2</f>
        <v>1584.0000000000002</v>
      </c>
      <c r="L1083" s="48"/>
      <c r="M1083" s="47"/>
      <c r="N1083" s="47"/>
      <c r="O1083" s="47"/>
      <c r="P1083" s="47"/>
      <c r="Q1083" s="47"/>
      <c r="R1083" s="47"/>
      <c r="S1083" s="48"/>
      <c r="T1083" s="47"/>
      <c r="U1083" s="47"/>
      <c r="V1083" s="47"/>
      <c r="W1083" s="47"/>
      <c r="X1083" s="47"/>
      <c r="Y1083" s="47"/>
      <c r="Z1083" s="47"/>
      <c r="AA1083" s="49"/>
      <c r="AB1083" s="49"/>
      <c r="AC1083" s="49"/>
      <c r="AD1083" s="50"/>
      <c r="AE1083" s="47"/>
      <c r="AF1083" s="47"/>
      <c r="AG1083"/>
      <c r="AH1083"/>
      <c r="AI1083"/>
      <c r="AJ1083"/>
      <c r="AK1083"/>
      <c r="AL1083"/>
      <c r="AM1083"/>
      <c r="AN1083"/>
      <c r="AO1083"/>
      <c r="AP1083"/>
      <c r="AQ1083" s="32" t="s">
        <v>2268</v>
      </c>
      <c r="AU1083">
        <v>1082</v>
      </c>
    </row>
    <row r="1084" spans="1:47" x14ac:dyDescent="0.2">
      <c r="A1084" s="26">
        <v>6181</v>
      </c>
      <c r="B1084" s="27" t="s">
        <v>85</v>
      </c>
      <c r="C1084" s="28"/>
      <c r="D1084" s="29"/>
      <c r="E1084" s="30" t="s">
        <v>1531</v>
      </c>
      <c r="H1084" s="32">
        <v>0</v>
      </c>
      <c r="I1084" s="32" t="s">
        <v>1532</v>
      </c>
      <c r="AG1084" s="32">
        <v>0</v>
      </c>
      <c r="AH1084" s="32">
        <v>0</v>
      </c>
      <c r="AI1084" s="32">
        <v>0</v>
      </c>
      <c r="AK1084" s="32">
        <v>0</v>
      </c>
      <c r="AM1084" s="32">
        <f>498*52</f>
        <v>25896</v>
      </c>
      <c r="AO1084" s="32" t="s">
        <v>1533</v>
      </c>
      <c r="AQ1084" s="32" t="s">
        <v>1101</v>
      </c>
      <c r="AU1084">
        <v>1083</v>
      </c>
    </row>
    <row r="1085" spans="1:47" x14ac:dyDescent="0.2">
      <c r="A1085" s="26">
        <v>6181</v>
      </c>
      <c r="B1085" s="27" t="s">
        <v>45</v>
      </c>
      <c r="C1085" s="28"/>
      <c r="D1085" s="29"/>
      <c r="E1085" s="150" t="s">
        <v>2286</v>
      </c>
      <c r="H1085" s="32">
        <v>0</v>
      </c>
      <c r="I1085" s="32" t="s">
        <v>1824</v>
      </c>
      <c r="AG1085" s="32">
        <v>0</v>
      </c>
      <c r="AH1085" s="32">
        <v>0</v>
      </c>
      <c r="AI1085" s="32">
        <v>0</v>
      </c>
      <c r="AK1085" s="32">
        <v>0</v>
      </c>
      <c r="AM1085" s="32">
        <v>6000</v>
      </c>
      <c r="AO1085" s="73" t="s">
        <v>75</v>
      </c>
      <c r="AQ1085" s="32" t="s">
        <v>589</v>
      </c>
      <c r="AU1085">
        <v>1084</v>
      </c>
    </row>
    <row r="1086" spans="1:47" x14ac:dyDescent="0.2">
      <c r="A1086" s="26">
        <v>6182</v>
      </c>
      <c r="B1086" s="27">
        <v>0.88541666666666663</v>
      </c>
      <c r="C1086" s="28"/>
      <c r="D1086" s="29"/>
      <c r="E1086" s="30" t="s">
        <v>1282</v>
      </c>
      <c r="H1086" s="32">
        <v>0</v>
      </c>
      <c r="I1086" s="32" t="s">
        <v>2288</v>
      </c>
      <c r="AG1086" s="32">
        <v>0</v>
      </c>
      <c r="AH1086" s="32">
        <v>0</v>
      </c>
      <c r="AI1086" s="32">
        <v>0</v>
      </c>
      <c r="AK1086" s="32">
        <v>0</v>
      </c>
      <c r="AL1086" s="32">
        <v>2.25</v>
      </c>
      <c r="AP1086" s="32">
        <f>145/60</f>
        <v>2.4166666666666665</v>
      </c>
      <c r="AQ1086" s="32" t="s">
        <v>1101</v>
      </c>
      <c r="AU1086">
        <v>1085</v>
      </c>
    </row>
    <row r="1087" spans="1:47" x14ac:dyDescent="0.2">
      <c r="A1087" s="26">
        <v>6182</v>
      </c>
      <c r="B1087" s="27" t="s">
        <v>85</v>
      </c>
      <c r="C1087" s="28"/>
      <c r="D1087" s="29"/>
      <c r="E1087" s="30" t="s">
        <v>1531</v>
      </c>
      <c r="H1087" s="32">
        <v>0</v>
      </c>
      <c r="I1087" s="32" t="s">
        <v>1532</v>
      </c>
      <c r="AG1087" s="32">
        <v>0</v>
      </c>
      <c r="AH1087" s="32">
        <v>0</v>
      </c>
      <c r="AI1087" s="32">
        <v>0</v>
      </c>
      <c r="AK1087" s="32">
        <v>0</v>
      </c>
      <c r="AM1087" s="32">
        <f>498*32</f>
        <v>15936</v>
      </c>
      <c r="AO1087" s="32" t="s">
        <v>1533</v>
      </c>
      <c r="AQ1087" s="32" t="s">
        <v>1101</v>
      </c>
      <c r="AU1087">
        <v>1086</v>
      </c>
    </row>
    <row r="1088" spans="1:47" x14ac:dyDescent="0.2">
      <c r="A1088" s="26">
        <v>6182</v>
      </c>
      <c r="B1088" s="27" t="s">
        <v>45</v>
      </c>
      <c r="C1088" s="28"/>
      <c r="D1088" s="29"/>
      <c r="E1088" s="150" t="s">
        <v>2286</v>
      </c>
      <c r="H1088" s="32">
        <v>0</v>
      </c>
      <c r="I1088" s="32" t="s">
        <v>1824</v>
      </c>
      <c r="AG1088" s="32">
        <v>0</v>
      </c>
      <c r="AH1088" s="32">
        <v>0</v>
      </c>
      <c r="AI1088" s="32">
        <v>0</v>
      </c>
      <c r="AK1088" s="32">
        <v>0</v>
      </c>
      <c r="AM1088" s="32">
        <v>5000</v>
      </c>
      <c r="AO1088" s="73" t="s">
        <v>75</v>
      </c>
      <c r="AQ1088" s="32" t="s">
        <v>589</v>
      </c>
      <c r="AU1088">
        <v>1087</v>
      </c>
    </row>
    <row r="1089" spans="1:47" x14ac:dyDescent="0.2">
      <c r="A1089" s="26">
        <v>6183</v>
      </c>
      <c r="B1089" s="27" t="s">
        <v>45</v>
      </c>
      <c r="C1089" s="28"/>
      <c r="D1089" s="29"/>
      <c r="E1089" s="30" t="s">
        <v>1531</v>
      </c>
      <c r="H1089" s="32">
        <v>0</v>
      </c>
      <c r="I1089" s="32" t="s">
        <v>1532</v>
      </c>
      <c r="AG1089" s="32">
        <v>0</v>
      </c>
      <c r="AH1089" s="32">
        <v>0</v>
      </c>
      <c r="AI1089" s="32">
        <v>0</v>
      </c>
      <c r="AK1089" s="32">
        <v>0</v>
      </c>
      <c r="AM1089" s="32">
        <f>498*29</f>
        <v>14442</v>
      </c>
      <c r="AO1089" s="32" t="s">
        <v>1533</v>
      </c>
      <c r="AQ1089" s="32" t="s">
        <v>1101</v>
      </c>
      <c r="AU1089">
        <v>1088</v>
      </c>
    </row>
    <row r="1090" spans="1:47" x14ac:dyDescent="0.2">
      <c r="A1090" s="26">
        <v>6183</v>
      </c>
      <c r="B1090" s="27" t="s">
        <v>45</v>
      </c>
      <c r="C1090" s="28"/>
      <c r="D1090" s="29"/>
      <c r="E1090" s="150" t="s">
        <v>2286</v>
      </c>
      <c r="H1090" s="32">
        <v>0</v>
      </c>
      <c r="I1090" s="32" t="s">
        <v>1824</v>
      </c>
      <c r="AG1090" s="32">
        <v>0</v>
      </c>
      <c r="AH1090" s="32">
        <v>0</v>
      </c>
      <c r="AI1090" s="32">
        <v>0</v>
      </c>
      <c r="AK1090" s="32">
        <v>0</v>
      </c>
      <c r="AM1090" s="32">
        <v>4000</v>
      </c>
      <c r="AO1090" s="73" t="s">
        <v>75</v>
      </c>
      <c r="AQ1090" s="32" t="s">
        <v>589</v>
      </c>
      <c r="AU1090">
        <v>1089</v>
      </c>
    </row>
    <row r="1091" spans="1:47" x14ac:dyDescent="0.2">
      <c r="A1091" s="37">
        <v>6188</v>
      </c>
      <c r="B1091" s="38" t="s">
        <v>45</v>
      </c>
      <c r="C1091" s="39" t="s">
        <v>253</v>
      </c>
      <c r="D1091" s="29"/>
      <c r="E1091" s="38" t="s">
        <v>2289</v>
      </c>
      <c r="F1091" s="32" t="s">
        <v>107</v>
      </c>
      <c r="G1091" s="47"/>
      <c r="H1091"/>
      <c r="I1091" s="32"/>
      <c r="J1091" s="47"/>
      <c r="K1091" s="47"/>
      <c r="L1091" s="48"/>
      <c r="M1091" s="47"/>
      <c r="N1091" s="47"/>
      <c r="O1091" s="47"/>
      <c r="P1091" s="47"/>
      <c r="Q1091" s="47"/>
      <c r="R1091" s="47"/>
      <c r="S1091" s="48"/>
      <c r="T1091" s="47"/>
      <c r="U1091" s="47"/>
      <c r="V1091" s="47"/>
      <c r="W1091" s="47"/>
      <c r="X1091" s="47"/>
      <c r="Y1091" s="47"/>
      <c r="Z1091" s="47"/>
      <c r="AA1091" s="49"/>
      <c r="AB1091" s="49"/>
      <c r="AC1091" s="49"/>
      <c r="AD1091" s="50"/>
      <c r="AE1091" s="47"/>
      <c r="AF1091" s="47"/>
      <c r="AG1091"/>
      <c r="AH1091"/>
      <c r="AI1091"/>
      <c r="AJ1091"/>
      <c r="AK1091"/>
      <c r="AL1091"/>
      <c r="AM1091"/>
      <c r="AN1091"/>
      <c r="AO1091"/>
      <c r="AP1091"/>
      <c r="AQ1091" s="32" t="s">
        <v>2268</v>
      </c>
      <c r="AU1091">
        <v>1090</v>
      </c>
    </row>
    <row r="1092" spans="1:47" x14ac:dyDescent="0.2">
      <c r="A1092" s="37">
        <v>6189</v>
      </c>
      <c r="B1092" s="38" t="s">
        <v>45</v>
      </c>
      <c r="C1092" s="39" t="s">
        <v>253</v>
      </c>
      <c r="D1092" s="29"/>
      <c r="E1092" s="38" t="s">
        <v>2290</v>
      </c>
      <c r="F1092" s="32" t="s">
        <v>2291</v>
      </c>
      <c r="G1092" s="47"/>
      <c r="H1092"/>
      <c r="I1092" s="32"/>
      <c r="J1092" s="47"/>
      <c r="K1092" s="47"/>
      <c r="L1092" s="48"/>
      <c r="M1092" s="47"/>
      <c r="N1092" s="47"/>
      <c r="O1092" s="47"/>
      <c r="P1092" s="47"/>
      <c r="Q1092" s="47"/>
      <c r="R1092" s="47"/>
      <c r="S1092" s="48"/>
      <c r="T1092" s="47"/>
      <c r="U1092" s="47"/>
      <c r="V1092" s="47"/>
      <c r="W1092" s="47"/>
      <c r="X1092" s="47"/>
      <c r="Y1092" s="47"/>
      <c r="Z1092" s="47"/>
      <c r="AA1092" s="49"/>
      <c r="AB1092" s="49"/>
      <c r="AC1092" s="49"/>
      <c r="AD1092" s="50"/>
      <c r="AE1092" s="47"/>
      <c r="AF1092" s="47"/>
      <c r="AG1092"/>
      <c r="AH1092"/>
      <c r="AI1092"/>
      <c r="AJ1092"/>
      <c r="AK1092"/>
      <c r="AL1092"/>
      <c r="AM1092"/>
      <c r="AN1092"/>
      <c r="AO1092"/>
      <c r="AP1092"/>
      <c r="AQ1092" s="32" t="s">
        <v>2268</v>
      </c>
      <c r="AU1092">
        <v>1091</v>
      </c>
    </row>
    <row r="1093" spans="1:47" x14ac:dyDescent="0.2">
      <c r="A1093" s="26">
        <v>6189</v>
      </c>
      <c r="B1093" s="27" t="s">
        <v>45</v>
      </c>
      <c r="C1093" s="28"/>
      <c r="D1093" s="29"/>
      <c r="E1093" s="30" t="s">
        <v>1531</v>
      </c>
      <c r="H1093" s="32">
        <v>0</v>
      </c>
      <c r="I1093" s="32" t="s">
        <v>1532</v>
      </c>
      <c r="AG1093" s="32">
        <v>0</v>
      </c>
      <c r="AH1093" s="32">
        <v>0</v>
      </c>
      <c r="AI1093" s="32">
        <v>0</v>
      </c>
      <c r="AK1093" s="32">
        <v>0</v>
      </c>
      <c r="AM1093" s="32">
        <f>498*27</f>
        <v>13446</v>
      </c>
      <c r="AO1093" s="32" t="s">
        <v>1533</v>
      </c>
      <c r="AQ1093" s="32" t="s">
        <v>1101</v>
      </c>
      <c r="AU1093">
        <v>1092</v>
      </c>
    </row>
    <row r="1094" spans="1:47" x14ac:dyDescent="0.2">
      <c r="A1094" s="26">
        <v>6189</v>
      </c>
      <c r="B1094" s="27" t="s">
        <v>45</v>
      </c>
      <c r="C1094" s="28"/>
      <c r="D1094" s="29"/>
      <c r="E1094" s="150" t="s">
        <v>2286</v>
      </c>
      <c r="H1094" s="32">
        <v>0</v>
      </c>
      <c r="I1094" s="32" t="s">
        <v>1824</v>
      </c>
      <c r="AG1094" s="32">
        <v>0</v>
      </c>
      <c r="AH1094" s="32">
        <v>0</v>
      </c>
      <c r="AI1094" s="32">
        <v>0</v>
      </c>
      <c r="AK1094" s="32">
        <v>0</v>
      </c>
      <c r="AM1094" s="32">
        <v>4000</v>
      </c>
      <c r="AO1094" s="73" t="s">
        <v>75</v>
      </c>
      <c r="AQ1094" s="32" t="s">
        <v>589</v>
      </c>
      <c r="AU1094">
        <v>1093</v>
      </c>
    </row>
    <row r="1095" spans="1:47" x14ac:dyDescent="0.2">
      <c r="A1095" s="26">
        <v>6193</v>
      </c>
      <c r="B1095" s="27" t="s">
        <v>85</v>
      </c>
      <c r="C1095" s="28"/>
      <c r="D1095" s="29"/>
      <c r="E1095" s="30" t="s">
        <v>1531</v>
      </c>
      <c r="H1095" s="32">
        <v>0</v>
      </c>
      <c r="I1095" s="32" t="s">
        <v>1706</v>
      </c>
      <c r="AG1095" s="32">
        <v>0</v>
      </c>
      <c r="AH1095" s="32">
        <v>0</v>
      </c>
      <c r="AI1095" s="32">
        <v>0</v>
      </c>
      <c r="AK1095" s="32">
        <v>0</v>
      </c>
      <c r="AM1095" s="32">
        <f>498*82</f>
        <v>40836</v>
      </c>
      <c r="AO1095" s="32" t="s">
        <v>1533</v>
      </c>
      <c r="AQ1095" s="32" t="s">
        <v>1101</v>
      </c>
      <c r="AU1095">
        <v>1094</v>
      </c>
    </row>
    <row r="1096" spans="1:47" x14ac:dyDescent="0.2">
      <c r="A1096" s="26">
        <v>6193</v>
      </c>
      <c r="B1096" s="27" t="s">
        <v>45</v>
      </c>
      <c r="C1096" s="28"/>
      <c r="D1096" s="29"/>
      <c r="E1096" s="150" t="s">
        <v>2286</v>
      </c>
      <c r="H1096" s="32">
        <v>0</v>
      </c>
      <c r="I1096" s="32" t="s">
        <v>1824</v>
      </c>
      <c r="AG1096" s="32">
        <v>0</v>
      </c>
      <c r="AH1096" s="32">
        <v>0</v>
      </c>
      <c r="AI1096" s="32">
        <v>0</v>
      </c>
      <c r="AK1096" s="32">
        <v>0</v>
      </c>
      <c r="AM1096" s="32">
        <f>13*500</f>
        <v>6500</v>
      </c>
      <c r="AO1096" s="73" t="s">
        <v>75</v>
      </c>
      <c r="AQ1096" s="32" t="s">
        <v>589</v>
      </c>
      <c r="AU1096">
        <v>1095</v>
      </c>
    </row>
    <row r="1097" spans="1:47" x14ac:dyDescent="0.2">
      <c r="A1097" s="37">
        <v>6197</v>
      </c>
      <c r="B1097" s="38" t="s">
        <v>45</v>
      </c>
      <c r="C1097" s="39" t="s">
        <v>253</v>
      </c>
      <c r="D1097" s="29"/>
      <c r="E1097" s="38" t="s">
        <v>2292</v>
      </c>
      <c r="F1097" s="32" t="s">
        <v>107</v>
      </c>
      <c r="G1097" s="47"/>
      <c r="H1097"/>
      <c r="I1097" s="32" t="s">
        <v>2293</v>
      </c>
      <c r="J1097" s="47"/>
      <c r="K1097" s="47">
        <f>500*2.2</f>
        <v>1100</v>
      </c>
      <c r="L1097" s="48"/>
      <c r="M1097" s="47"/>
      <c r="N1097" s="47"/>
      <c r="O1097" s="47"/>
      <c r="P1097" s="47"/>
      <c r="Q1097" s="47"/>
      <c r="R1097" s="47"/>
      <c r="S1097" s="48"/>
      <c r="T1097" s="47"/>
      <c r="U1097" s="47"/>
      <c r="V1097" s="47"/>
      <c r="W1097" s="47"/>
      <c r="X1097" s="47"/>
      <c r="Y1097" s="47"/>
      <c r="Z1097" s="47"/>
      <c r="AA1097" s="49"/>
      <c r="AB1097" s="49"/>
      <c r="AC1097" s="49"/>
      <c r="AD1097" s="50"/>
      <c r="AE1097" s="47"/>
      <c r="AF1097" s="47"/>
      <c r="AG1097"/>
      <c r="AH1097"/>
      <c r="AI1097"/>
      <c r="AJ1097"/>
      <c r="AK1097"/>
      <c r="AL1097"/>
      <c r="AM1097"/>
      <c r="AN1097"/>
      <c r="AO1097"/>
      <c r="AP1097"/>
      <c r="AQ1097" s="32" t="s">
        <v>2268</v>
      </c>
      <c r="AU1097">
        <v>1096</v>
      </c>
    </row>
    <row r="1098" spans="1:47" x14ac:dyDescent="0.2">
      <c r="A1098" s="26">
        <v>6197</v>
      </c>
      <c r="B1098" s="27" t="s">
        <v>45</v>
      </c>
      <c r="C1098" s="28"/>
      <c r="D1098" s="29"/>
      <c r="E1098" s="30" t="s">
        <v>1531</v>
      </c>
      <c r="H1098" s="32">
        <v>0</v>
      </c>
      <c r="I1098" s="32" t="s">
        <v>1706</v>
      </c>
      <c r="AG1098" s="32">
        <v>0</v>
      </c>
      <c r="AH1098" s="32">
        <v>0</v>
      </c>
      <c r="AI1098" s="32">
        <v>0</v>
      </c>
      <c r="AK1098" s="32">
        <v>0</v>
      </c>
      <c r="AM1098" s="32">
        <f>498*73</f>
        <v>36354</v>
      </c>
      <c r="AO1098" s="32" t="s">
        <v>1533</v>
      </c>
      <c r="AQ1098" s="32" t="s">
        <v>1101</v>
      </c>
      <c r="AU1098">
        <v>1097</v>
      </c>
    </row>
    <row r="1099" spans="1:47" x14ac:dyDescent="0.2">
      <c r="A1099" s="26">
        <v>6197</v>
      </c>
      <c r="B1099" s="27" t="s">
        <v>45</v>
      </c>
      <c r="C1099" s="28"/>
      <c r="D1099" s="29"/>
      <c r="E1099" s="150" t="s">
        <v>2286</v>
      </c>
      <c r="H1099" s="32">
        <v>0</v>
      </c>
      <c r="I1099" s="32" t="s">
        <v>1824</v>
      </c>
      <c r="AG1099" s="32">
        <v>0</v>
      </c>
      <c r="AH1099" s="32">
        <v>0</v>
      </c>
      <c r="AI1099" s="32">
        <v>0</v>
      </c>
      <c r="AK1099" s="32">
        <v>0</v>
      </c>
      <c r="AM1099" s="32">
        <f>17*500</f>
        <v>8500</v>
      </c>
      <c r="AO1099" s="73" t="s">
        <v>75</v>
      </c>
      <c r="AQ1099" s="32" t="s">
        <v>589</v>
      </c>
      <c r="AU1099">
        <v>1098</v>
      </c>
    </row>
    <row r="1100" spans="1:47" x14ac:dyDescent="0.2">
      <c r="A1100" s="37">
        <v>6199</v>
      </c>
      <c r="B1100" s="38" t="s">
        <v>45</v>
      </c>
      <c r="C1100" s="39" t="s">
        <v>253</v>
      </c>
      <c r="D1100" s="29"/>
      <c r="E1100" s="38" t="s">
        <v>2294</v>
      </c>
      <c r="F1100" s="32" t="s">
        <v>107</v>
      </c>
      <c r="G1100" s="47"/>
      <c r="H1100"/>
      <c r="I1100" s="32"/>
      <c r="J1100" s="47"/>
      <c r="K1100" s="47"/>
      <c r="L1100" s="48"/>
      <c r="M1100" s="47"/>
      <c r="N1100" s="47"/>
      <c r="O1100" s="47"/>
      <c r="P1100" s="47"/>
      <c r="Q1100" s="47"/>
      <c r="R1100" s="47"/>
      <c r="S1100" s="48"/>
      <c r="T1100" s="47"/>
      <c r="U1100" s="47"/>
      <c r="V1100" s="47"/>
      <c r="W1100" s="47"/>
      <c r="X1100" s="47"/>
      <c r="Y1100" s="47"/>
      <c r="Z1100" s="47"/>
      <c r="AA1100" s="49"/>
      <c r="AB1100" s="49"/>
      <c r="AC1100" s="49"/>
      <c r="AD1100" s="50"/>
      <c r="AE1100" s="47"/>
      <c r="AF1100" s="47"/>
      <c r="AG1100"/>
      <c r="AH1100"/>
      <c r="AI1100"/>
      <c r="AJ1100"/>
      <c r="AK1100"/>
      <c r="AL1100"/>
      <c r="AM1100"/>
      <c r="AN1100"/>
      <c r="AO1100"/>
      <c r="AP1100"/>
      <c r="AQ1100" s="32" t="s">
        <v>2268</v>
      </c>
      <c r="AU1100">
        <v>1099</v>
      </c>
    </row>
    <row r="1101" spans="1:47" x14ac:dyDescent="0.2">
      <c r="A1101" s="37">
        <v>6199</v>
      </c>
      <c r="B1101" s="38" t="s">
        <v>45</v>
      </c>
      <c r="C1101" s="39" t="s">
        <v>253</v>
      </c>
      <c r="D1101" s="29"/>
      <c r="E1101" s="38" t="s">
        <v>2295</v>
      </c>
      <c r="F1101" s="32" t="s">
        <v>150</v>
      </c>
      <c r="G1101" s="47"/>
      <c r="H1101"/>
      <c r="I1101" s="32" t="s">
        <v>2296</v>
      </c>
      <c r="J1101" s="47"/>
      <c r="K1101" s="47">
        <f>480*2.2</f>
        <v>1056</v>
      </c>
      <c r="L1101" s="48"/>
      <c r="M1101" s="47"/>
      <c r="N1101" s="47"/>
      <c r="O1101" s="47"/>
      <c r="P1101" s="47"/>
      <c r="Q1101" s="47"/>
      <c r="R1101" s="47"/>
      <c r="S1101" s="48"/>
      <c r="T1101" s="47"/>
      <c r="U1101" s="47"/>
      <c r="V1101" s="47"/>
      <c r="W1101" s="47"/>
      <c r="X1101" s="47"/>
      <c r="Y1101" s="47"/>
      <c r="Z1101" s="47"/>
      <c r="AA1101" s="49"/>
      <c r="AB1101" s="49"/>
      <c r="AC1101" s="49"/>
      <c r="AD1101" s="50"/>
      <c r="AE1101" s="47"/>
      <c r="AF1101" s="47"/>
      <c r="AG1101"/>
      <c r="AH1101"/>
      <c r="AI1101"/>
      <c r="AJ1101"/>
      <c r="AK1101"/>
      <c r="AL1101"/>
      <c r="AM1101"/>
      <c r="AN1101"/>
      <c r="AO1101"/>
      <c r="AP1101"/>
      <c r="AQ1101" s="32" t="s">
        <v>2268</v>
      </c>
      <c r="AU1101">
        <v>1100</v>
      </c>
    </row>
    <row r="1102" spans="1:47" x14ac:dyDescent="0.2">
      <c r="A1102" s="26">
        <v>6199</v>
      </c>
      <c r="B1102" s="27" t="s">
        <v>45</v>
      </c>
      <c r="C1102" s="28"/>
      <c r="D1102" s="29"/>
      <c r="E1102" s="30" t="s">
        <v>1531</v>
      </c>
      <c r="H1102" s="32">
        <v>0</v>
      </c>
      <c r="I1102" s="32" t="s">
        <v>1532</v>
      </c>
      <c r="AG1102" s="32">
        <v>0</v>
      </c>
      <c r="AH1102" s="32">
        <v>0</v>
      </c>
      <c r="AI1102" s="32">
        <v>0</v>
      </c>
      <c r="AK1102" s="32">
        <v>0</v>
      </c>
      <c r="AM1102" s="32">
        <f>498*55</f>
        <v>27390</v>
      </c>
      <c r="AO1102" s="32" t="s">
        <v>1533</v>
      </c>
      <c r="AQ1102" s="32" t="s">
        <v>1101</v>
      </c>
      <c r="AU1102">
        <v>1101</v>
      </c>
    </row>
    <row r="1103" spans="1:47" x14ac:dyDescent="0.2">
      <c r="A1103" s="26">
        <v>6199</v>
      </c>
      <c r="B1103" s="27" t="s">
        <v>45</v>
      </c>
      <c r="C1103" s="28"/>
      <c r="D1103" s="29"/>
      <c r="E1103" s="150" t="s">
        <v>2286</v>
      </c>
      <c r="H1103" s="32">
        <v>0</v>
      </c>
      <c r="I1103" s="32" t="s">
        <v>1824</v>
      </c>
      <c r="AG1103" s="32">
        <v>0</v>
      </c>
      <c r="AH1103" s="32">
        <v>0</v>
      </c>
      <c r="AI1103" s="32">
        <v>0</v>
      </c>
      <c r="AK1103" s="32">
        <v>0</v>
      </c>
      <c r="AM1103" s="32">
        <v>8500</v>
      </c>
      <c r="AO1103" s="73" t="s">
        <v>75</v>
      </c>
      <c r="AQ1103" s="32" t="s">
        <v>589</v>
      </c>
      <c r="AU1103">
        <v>1102</v>
      </c>
    </row>
    <row r="1104" spans="1:47" x14ac:dyDescent="0.2">
      <c r="A1104" s="37">
        <v>6206</v>
      </c>
      <c r="B1104" s="39" t="s">
        <v>85</v>
      </c>
      <c r="C1104" s="39" t="s">
        <v>1806</v>
      </c>
      <c r="D1104" s="29" t="b">
        <v>0</v>
      </c>
      <c r="E1104" s="39" t="s">
        <v>911</v>
      </c>
      <c r="F1104" s="47" t="s">
        <v>480</v>
      </c>
      <c r="G1104" s="47" t="s">
        <v>481</v>
      </c>
      <c r="H1104"/>
      <c r="I1104" s="134" t="s">
        <v>2297</v>
      </c>
      <c r="J1104" s="47" t="b">
        <v>1</v>
      </c>
      <c r="K1104" s="47">
        <v>2340</v>
      </c>
      <c r="L1104" s="48">
        <v>11</v>
      </c>
      <c r="M1104" s="47">
        <v>0</v>
      </c>
      <c r="N1104" s="47">
        <v>2</v>
      </c>
      <c r="O1104" s="47">
        <v>0</v>
      </c>
      <c r="P1104" s="47">
        <v>0</v>
      </c>
      <c r="Q1104" s="47">
        <v>0</v>
      </c>
      <c r="R1104" s="47">
        <v>0</v>
      </c>
      <c r="S1104" s="48">
        <v>9</v>
      </c>
      <c r="T1104" s="47">
        <v>0</v>
      </c>
      <c r="U1104" s="47">
        <v>0</v>
      </c>
      <c r="V1104" s="47">
        <v>0</v>
      </c>
      <c r="W1104" s="47">
        <v>8500</v>
      </c>
      <c r="X1104" s="47">
        <v>8</v>
      </c>
      <c r="Y1104" s="47" t="s">
        <v>120</v>
      </c>
      <c r="Z1104" s="47" t="s">
        <v>1809</v>
      </c>
      <c r="AA1104" s="49">
        <v>0.52083333333333337</v>
      </c>
      <c r="AB1104" s="34">
        <v>0.625</v>
      </c>
      <c r="AC1104" s="49">
        <v>0.58333333333333337</v>
      </c>
      <c r="AD1104" s="50">
        <f>(AB1104-AA1104)*24</f>
        <v>2.4999999999999991</v>
      </c>
      <c r="AE1104" s="47" t="s">
        <v>1312</v>
      </c>
      <c r="AF1104" s="47">
        <v>100</v>
      </c>
      <c r="AG1104"/>
      <c r="AH1104"/>
      <c r="AI1104"/>
      <c r="AJ1104"/>
      <c r="AK1104">
        <v>36</v>
      </c>
      <c r="AL1104"/>
      <c r="AM1104"/>
      <c r="AN1104"/>
      <c r="AO1104"/>
      <c r="AP1104"/>
      <c r="AQ1104" t="s">
        <v>2298</v>
      </c>
      <c r="AU1104">
        <v>1103</v>
      </c>
    </row>
    <row r="1105" spans="1:47" x14ac:dyDescent="0.2">
      <c r="A1105" s="37">
        <v>6206</v>
      </c>
      <c r="B1105" s="38" t="s">
        <v>45</v>
      </c>
      <c r="C1105" s="39" t="s">
        <v>1561</v>
      </c>
      <c r="D1105" s="29"/>
      <c r="E1105" s="39" t="s">
        <v>2299</v>
      </c>
      <c r="F1105" s="31" t="s">
        <v>2300</v>
      </c>
      <c r="G1105" s="31" t="s">
        <v>205</v>
      </c>
      <c r="H1105" s="32"/>
      <c r="I1105" s="137" t="s">
        <v>2301</v>
      </c>
      <c r="K1105" s="31">
        <f>6*10*2.2</f>
        <v>132</v>
      </c>
      <c r="L1105" s="33">
        <v>1</v>
      </c>
      <c r="S1105" s="33">
        <v>1</v>
      </c>
      <c r="T1105" s="47">
        <v>0</v>
      </c>
      <c r="U1105" s="47">
        <v>0</v>
      </c>
      <c r="V1105" s="47">
        <v>0</v>
      </c>
      <c r="W1105" s="47"/>
      <c r="X1105" s="47"/>
      <c r="Y1105" s="47" t="s">
        <v>51</v>
      </c>
      <c r="Z1105" s="47" t="s">
        <v>1565</v>
      </c>
      <c r="AA1105" s="49">
        <v>0.66666666666666663</v>
      </c>
      <c r="AB1105" s="49"/>
      <c r="AC1105" s="49">
        <v>0.71875</v>
      </c>
      <c r="AD1105" s="50"/>
      <c r="AE1105" s="47" t="s">
        <v>2302</v>
      </c>
      <c r="AF1105" s="31">
        <v>130</v>
      </c>
      <c r="AK1105" s="32">
        <v>6</v>
      </c>
      <c r="AO1105" s="73"/>
      <c r="AQ1105" s="32" t="s">
        <v>2303</v>
      </c>
      <c r="AU1105">
        <v>1104</v>
      </c>
    </row>
    <row r="1106" spans="1:47" x14ac:dyDescent="0.2">
      <c r="A1106" s="37">
        <v>6206</v>
      </c>
      <c r="B1106" s="38" t="s">
        <v>45</v>
      </c>
      <c r="C1106" s="38" t="s">
        <v>1262</v>
      </c>
      <c r="D1106" s="29"/>
      <c r="E1106" s="38" t="s">
        <v>2304</v>
      </c>
      <c r="F1106" s="31" t="s">
        <v>2305</v>
      </c>
      <c r="G1106" s="31" t="s">
        <v>69</v>
      </c>
      <c r="H1106" s="32"/>
      <c r="I1106" s="32" t="s">
        <v>2306</v>
      </c>
      <c r="K1106" s="31">
        <f>6*10*2.2</f>
        <v>132</v>
      </c>
      <c r="L1106" s="33">
        <v>1</v>
      </c>
      <c r="S1106" s="33">
        <v>1</v>
      </c>
      <c r="T1106" s="47">
        <v>0</v>
      </c>
      <c r="U1106" s="47">
        <v>0</v>
      </c>
      <c r="V1106" s="47">
        <v>0</v>
      </c>
      <c r="W1106" s="47"/>
      <c r="X1106" s="47"/>
      <c r="Y1106" s="47" t="s">
        <v>51</v>
      </c>
      <c r="Z1106" s="47" t="s">
        <v>2203</v>
      </c>
      <c r="AA1106" s="49"/>
      <c r="AB1106" s="49"/>
      <c r="AC1106" s="49"/>
      <c r="AD1106" s="50"/>
      <c r="AE1106" s="47" t="s">
        <v>1558</v>
      </c>
      <c r="AK1106" s="32">
        <v>6</v>
      </c>
      <c r="AO1106" s="73"/>
      <c r="AQ1106" s="32" t="s">
        <v>2303</v>
      </c>
      <c r="AR1106" s="32" t="s">
        <v>1560</v>
      </c>
      <c r="AU1106">
        <v>1105</v>
      </c>
    </row>
    <row r="1107" spans="1:47" x14ac:dyDescent="0.2">
      <c r="A1107" s="37">
        <v>6206</v>
      </c>
      <c r="B1107" s="38" t="s">
        <v>45</v>
      </c>
      <c r="C1107" s="38" t="s">
        <v>1262</v>
      </c>
      <c r="D1107" s="29"/>
      <c r="E1107" s="38" t="s">
        <v>153</v>
      </c>
      <c r="F1107" s="31" t="s">
        <v>1900</v>
      </c>
      <c r="G1107" s="31" t="s">
        <v>69</v>
      </c>
      <c r="H1107" s="32"/>
      <c r="I1107" s="32" t="s">
        <v>2307</v>
      </c>
      <c r="K1107" s="31">
        <f>6*10*2.2</f>
        <v>132</v>
      </c>
      <c r="L1107" s="33">
        <v>1</v>
      </c>
      <c r="S1107" s="33">
        <v>1</v>
      </c>
      <c r="T1107" s="47">
        <v>0</v>
      </c>
      <c r="U1107" s="47">
        <v>0</v>
      </c>
      <c r="V1107" s="47">
        <v>0</v>
      </c>
      <c r="W1107" s="47"/>
      <c r="X1107" s="47"/>
      <c r="Y1107" s="47" t="s">
        <v>51</v>
      </c>
      <c r="Z1107" s="47" t="s">
        <v>2203</v>
      </c>
      <c r="AA1107" s="49"/>
      <c r="AB1107" s="49"/>
      <c r="AC1107" s="49"/>
      <c r="AD1107" s="50"/>
      <c r="AE1107" s="47" t="s">
        <v>1558</v>
      </c>
      <c r="AF1107" s="31">
        <v>120</v>
      </c>
      <c r="AK1107" s="32">
        <v>6</v>
      </c>
      <c r="AO1107" s="73"/>
      <c r="AQ1107" s="32" t="s">
        <v>2303</v>
      </c>
      <c r="AR1107" s="32" t="s">
        <v>1560</v>
      </c>
      <c r="AU1107">
        <v>1106</v>
      </c>
    </row>
    <row r="1108" spans="1:47" x14ac:dyDescent="0.2">
      <c r="A1108" s="37">
        <v>6206</v>
      </c>
      <c r="B1108" s="38" t="s">
        <v>45</v>
      </c>
      <c r="C1108" s="39" t="s">
        <v>1843</v>
      </c>
      <c r="D1108" s="29"/>
      <c r="E1108" s="38" t="s">
        <v>1455</v>
      </c>
      <c r="F1108" s="31" t="s">
        <v>1972</v>
      </c>
      <c r="G1108" s="31" t="s">
        <v>481</v>
      </c>
      <c r="H1108" s="32"/>
      <c r="I1108" s="32" t="s">
        <v>2308</v>
      </c>
      <c r="K1108" s="31">
        <f>3*30*10*2.2</f>
        <v>1980.0000000000002</v>
      </c>
      <c r="L1108" s="33">
        <v>3</v>
      </c>
      <c r="S1108" s="33">
        <v>3</v>
      </c>
      <c r="T1108" s="47">
        <v>0</v>
      </c>
      <c r="U1108" s="47">
        <v>0</v>
      </c>
      <c r="V1108" s="47">
        <v>0</v>
      </c>
      <c r="W1108" s="47">
        <f>((2400+2500+2300)/3)*39.37/12</f>
        <v>7874</v>
      </c>
      <c r="X1108" s="47"/>
      <c r="Y1108" s="47" t="s">
        <v>51</v>
      </c>
      <c r="Z1108" s="47" t="s">
        <v>1846</v>
      </c>
      <c r="AA1108" s="49"/>
      <c r="AB1108" s="49"/>
      <c r="AC1108" s="49">
        <v>0.66666666666666663</v>
      </c>
      <c r="AD1108" s="50">
        <v>2.5</v>
      </c>
      <c r="AE1108" s="47" t="s">
        <v>342</v>
      </c>
      <c r="AF1108" s="31">
        <v>60</v>
      </c>
      <c r="AK1108" s="32">
        <f>3*30</f>
        <v>90</v>
      </c>
      <c r="AO1108" s="73"/>
      <c r="AQ1108" s="32" t="s">
        <v>2309</v>
      </c>
      <c r="AU1108">
        <v>1107</v>
      </c>
    </row>
    <row r="1109" spans="1:47" x14ac:dyDescent="0.2">
      <c r="A1109" s="37">
        <v>6206</v>
      </c>
      <c r="B1109" s="38" t="s">
        <v>45</v>
      </c>
      <c r="C1109" s="39" t="s">
        <v>1843</v>
      </c>
      <c r="D1109" s="29"/>
      <c r="E1109" s="38" t="s">
        <v>2310</v>
      </c>
      <c r="F1109" s="31" t="s">
        <v>2311</v>
      </c>
      <c r="G1109" s="31" t="s">
        <v>481</v>
      </c>
      <c r="H1109" s="32"/>
      <c r="I1109" s="32" t="b">
        <v>1</v>
      </c>
      <c r="J1109" s="32" t="b">
        <v>1</v>
      </c>
      <c r="K1109" s="31">
        <f>60*10*2.2</f>
        <v>1320</v>
      </c>
      <c r="L1109" s="33">
        <v>3</v>
      </c>
      <c r="O1109" s="31">
        <v>1</v>
      </c>
      <c r="S1109" s="33">
        <v>2</v>
      </c>
      <c r="T1109" s="47">
        <v>0</v>
      </c>
      <c r="U1109" s="47">
        <v>0</v>
      </c>
      <c r="V1109" s="47">
        <v>0</v>
      </c>
      <c r="W1109" s="47">
        <f>((1600+2100)/2)*39.37/12</f>
        <v>6069.541666666667</v>
      </c>
      <c r="X1109" s="47"/>
      <c r="Y1109" s="47" t="s">
        <v>51</v>
      </c>
      <c r="Z1109" s="47" t="s">
        <v>1846</v>
      </c>
      <c r="AA1109" s="49"/>
      <c r="AB1109" s="49"/>
      <c r="AC1109" s="49">
        <v>0.66666666666666663</v>
      </c>
      <c r="AD1109" s="50">
        <f>2+4/6</f>
        <v>2.6666666666666665</v>
      </c>
      <c r="AE1109" s="47" t="s">
        <v>342</v>
      </c>
      <c r="AF1109" s="31">
        <v>60</v>
      </c>
      <c r="AK1109" s="32">
        <f>30+30</f>
        <v>60</v>
      </c>
      <c r="AO1109" s="73"/>
      <c r="AQ1109" s="32" t="s">
        <v>2309</v>
      </c>
      <c r="AR1109" s="32" t="s">
        <v>2312</v>
      </c>
      <c r="AU1109">
        <v>1108</v>
      </c>
    </row>
    <row r="1110" spans="1:47" x14ac:dyDescent="0.2">
      <c r="A1110" s="37">
        <v>6206</v>
      </c>
      <c r="B1110" s="38" t="s">
        <v>45</v>
      </c>
      <c r="C1110" s="39" t="s">
        <v>1843</v>
      </c>
      <c r="D1110" s="29"/>
      <c r="E1110" s="38" t="s">
        <v>2210</v>
      </c>
      <c r="F1110" s="31" t="s">
        <v>1972</v>
      </c>
      <c r="G1110" s="31" t="s">
        <v>481</v>
      </c>
      <c r="H1110" s="32"/>
      <c r="I1110" s="32" t="b">
        <v>0</v>
      </c>
      <c r="J1110" s="32" t="b">
        <v>0</v>
      </c>
      <c r="K1110" s="31">
        <f>(30+27)*10*2.2</f>
        <v>1254</v>
      </c>
      <c r="S1110" s="33">
        <v>2</v>
      </c>
      <c r="T1110" s="47">
        <v>0</v>
      </c>
      <c r="U1110" s="47">
        <v>0</v>
      </c>
      <c r="V1110" s="47">
        <v>0</v>
      </c>
      <c r="W1110" s="47">
        <f>((1600+2100)/2)*39.37/12</f>
        <v>6069.541666666667</v>
      </c>
      <c r="X1110" s="47"/>
      <c r="Y1110" s="47" t="s">
        <v>51</v>
      </c>
      <c r="Z1110" s="47" t="s">
        <v>1846</v>
      </c>
      <c r="AA1110" s="49"/>
      <c r="AB1110" s="49"/>
      <c r="AC1110" s="49">
        <v>0.66666666666666663</v>
      </c>
      <c r="AD1110" s="50">
        <f>2+4/6</f>
        <v>2.6666666666666665</v>
      </c>
      <c r="AE1110" s="47" t="s">
        <v>342</v>
      </c>
      <c r="AF1110" s="31">
        <v>60</v>
      </c>
      <c r="AK1110" s="32">
        <f>30+27</f>
        <v>57</v>
      </c>
      <c r="AO1110" s="73"/>
      <c r="AQ1110" s="32" t="s">
        <v>2309</v>
      </c>
      <c r="AR1110" s="32" t="s">
        <v>2313</v>
      </c>
      <c r="AU1110">
        <v>1109</v>
      </c>
    </row>
    <row r="1111" spans="1:47" x14ac:dyDescent="0.2">
      <c r="A1111" s="37">
        <v>6206</v>
      </c>
      <c r="B1111" s="38" t="s">
        <v>45</v>
      </c>
      <c r="C1111" s="39" t="s">
        <v>1843</v>
      </c>
      <c r="D1111" s="29"/>
      <c r="E1111" s="38" t="s">
        <v>649</v>
      </c>
      <c r="F1111" s="31" t="s">
        <v>204</v>
      </c>
      <c r="G1111" s="31" t="s">
        <v>205</v>
      </c>
      <c r="H1111" s="32"/>
      <c r="I1111" s="32" t="b">
        <v>0</v>
      </c>
      <c r="J1111" s="32" t="b">
        <v>0</v>
      </c>
      <c r="K1111" s="31">
        <f>3*10*2.2</f>
        <v>66</v>
      </c>
      <c r="S1111" s="33">
        <v>1</v>
      </c>
      <c r="T1111" s="47">
        <v>0</v>
      </c>
      <c r="U1111" s="47">
        <v>0</v>
      </c>
      <c r="V1111" s="47">
        <v>0</v>
      </c>
      <c r="W1111" s="47">
        <f>(2100)*39.37/12</f>
        <v>6889.75</v>
      </c>
      <c r="X1111" s="47"/>
      <c r="Y1111" s="47" t="s">
        <v>51</v>
      </c>
      <c r="Z1111" s="47" t="s">
        <v>1846</v>
      </c>
      <c r="AA1111" s="49"/>
      <c r="AB1111" s="49"/>
      <c r="AC1111" s="49">
        <v>0.66666666666666663</v>
      </c>
      <c r="AD1111" s="50">
        <f>2+1/6</f>
        <v>2.1666666666666665</v>
      </c>
      <c r="AE1111" s="47" t="s">
        <v>342</v>
      </c>
      <c r="AF1111" s="31">
        <v>40</v>
      </c>
      <c r="AK1111" s="32">
        <v>3</v>
      </c>
      <c r="AO1111" s="73"/>
      <c r="AQ1111" s="32" t="s">
        <v>2309</v>
      </c>
      <c r="AR1111" s="32" t="s">
        <v>2313</v>
      </c>
      <c r="AU1111">
        <v>1110</v>
      </c>
    </row>
    <row r="1112" spans="1:47" x14ac:dyDescent="0.2">
      <c r="A1112" s="37">
        <v>6206</v>
      </c>
      <c r="B1112" s="38" t="s">
        <v>45</v>
      </c>
      <c r="C1112" s="43" t="s">
        <v>2314</v>
      </c>
      <c r="D1112" s="29"/>
      <c r="E1112" s="36" t="s">
        <v>2315</v>
      </c>
      <c r="F1112" s="31" t="s">
        <v>2316</v>
      </c>
      <c r="G1112" s="31" t="s">
        <v>73</v>
      </c>
      <c r="H1112" s="32"/>
      <c r="I1112" s="32" t="s">
        <v>2317</v>
      </c>
      <c r="K1112" s="31">
        <f>600*2.2</f>
        <v>1320</v>
      </c>
      <c r="L1112" s="33">
        <v>10</v>
      </c>
      <c r="O1112" s="31">
        <v>1</v>
      </c>
      <c r="S1112" s="33">
        <v>9</v>
      </c>
      <c r="T1112" s="31">
        <v>0</v>
      </c>
      <c r="U1112" s="31">
        <v>0</v>
      </c>
      <c r="V1112" s="31">
        <v>2</v>
      </c>
      <c r="Y1112" s="31" t="s">
        <v>51</v>
      </c>
      <c r="AO1112" s="73"/>
      <c r="AQ1112" s="32" t="s">
        <v>2318</v>
      </c>
      <c r="AU1112">
        <v>1111</v>
      </c>
    </row>
    <row r="1113" spans="1:47" x14ac:dyDescent="0.2">
      <c r="A1113" s="37">
        <v>6206</v>
      </c>
      <c r="B1113" s="38" t="s">
        <v>45</v>
      </c>
      <c r="C1113" s="39" t="s">
        <v>2039</v>
      </c>
      <c r="D1113" s="29"/>
      <c r="E1113" s="38" t="s">
        <v>2210</v>
      </c>
      <c r="F1113" s="32" t="s">
        <v>2319</v>
      </c>
      <c r="G1113" s="47" t="s">
        <v>481</v>
      </c>
      <c r="H1113"/>
      <c r="I1113" s="32" t="s">
        <v>2320</v>
      </c>
      <c r="J1113" s="47"/>
      <c r="K1113" s="47">
        <f>(10*43+24*10)*2.2</f>
        <v>1474.0000000000002</v>
      </c>
      <c r="L1113" s="48">
        <v>1</v>
      </c>
      <c r="M1113" s="47"/>
      <c r="N1113" s="47"/>
      <c r="O1113" s="47"/>
      <c r="P1113" s="47"/>
      <c r="Q1113" s="47"/>
      <c r="R1113" s="47"/>
      <c r="S1113" s="48">
        <v>1</v>
      </c>
      <c r="T1113" s="47"/>
      <c r="U1113" s="47"/>
      <c r="V1113" s="47"/>
      <c r="W1113" s="47"/>
      <c r="X1113" s="47"/>
      <c r="Y1113" s="47" t="s">
        <v>51</v>
      </c>
      <c r="Z1113" s="20" t="s">
        <v>52</v>
      </c>
      <c r="AA1113" s="49"/>
      <c r="AB1113" s="49"/>
      <c r="AC1113" s="49"/>
      <c r="AD1113" s="50"/>
      <c r="AE1113" s="47"/>
      <c r="AF1113" s="47">
        <v>200</v>
      </c>
      <c r="AG1113"/>
      <c r="AH1113"/>
      <c r="AI1113"/>
      <c r="AJ1113"/>
      <c r="AK1113">
        <v>34</v>
      </c>
      <c r="AL1113"/>
      <c r="AM1113"/>
      <c r="AN1113"/>
      <c r="AO1113"/>
      <c r="AP1113"/>
      <c r="AQ1113" s="32" t="s">
        <v>566</v>
      </c>
      <c r="AU1113">
        <v>1112</v>
      </c>
    </row>
    <row r="1114" spans="1:47" x14ac:dyDescent="0.2">
      <c r="A1114" s="37">
        <v>6206</v>
      </c>
      <c r="B1114" s="38" t="s">
        <v>45</v>
      </c>
      <c r="C1114" s="39" t="s">
        <v>156</v>
      </c>
      <c r="D1114" s="29"/>
      <c r="E1114" s="38" t="s">
        <v>2321</v>
      </c>
      <c r="G1114" s="47"/>
      <c r="H1114"/>
      <c r="I1114" s="32"/>
      <c r="J1114" s="47"/>
      <c r="K1114" s="47"/>
      <c r="L1114" s="48"/>
      <c r="M1114" s="47"/>
      <c r="N1114" s="47"/>
      <c r="O1114" s="47"/>
      <c r="P1114" s="47"/>
      <c r="Q1114" s="47"/>
      <c r="R1114" s="47"/>
      <c r="S1114" s="48"/>
      <c r="T1114" s="47"/>
      <c r="U1114" s="47"/>
      <c r="V1114" s="47"/>
      <c r="W1114" s="47"/>
      <c r="X1114" s="47"/>
      <c r="Y1114" s="47"/>
      <c r="Z1114" s="47"/>
      <c r="AA1114" s="49"/>
      <c r="AB1114" s="49"/>
      <c r="AC1114" s="49"/>
      <c r="AD1114" s="50"/>
      <c r="AE1114" s="31" t="s">
        <v>2188</v>
      </c>
      <c r="AF1114" s="47">
        <v>55</v>
      </c>
      <c r="AG1114"/>
      <c r="AH1114"/>
      <c r="AI1114"/>
      <c r="AJ1114"/>
      <c r="AK1114"/>
      <c r="AL1114"/>
      <c r="AM1114"/>
      <c r="AN1114"/>
      <c r="AO1114"/>
      <c r="AP1114"/>
      <c r="AQ1114" s="32" t="s">
        <v>2079</v>
      </c>
      <c r="AU1114">
        <v>1113</v>
      </c>
    </row>
    <row r="1115" spans="1:47" x14ac:dyDescent="0.2">
      <c r="A1115" s="26">
        <v>6206</v>
      </c>
      <c r="B1115" s="27">
        <v>0.82986111111111116</v>
      </c>
      <c r="C1115" s="28"/>
      <c r="D1115" s="29"/>
      <c r="E1115" s="30" t="s">
        <v>1282</v>
      </c>
      <c r="H1115" s="32">
        <v>0</v>
      </c>
      <c r="I1115" s="32" t="s">
        <v>2322</v>
      </c>
      <c r="AG1115" s="32">
        <v>0</v>
      </c>
      <c r="AH1115" s="32">
        <v>0</v>
      </c>
      <c r="AI1115" s="32">
        <v>0</v>
      </c>
      <c r="AK1115" s="32">
        <v>0</v>
      </c>
      <c r="AL1115" s="32">
        <v>0.5</v>
      </c>
      <c r="AP1115" s="32">
        <f>35/60</f>
        <v>0.58333333333333337</v>
      </c>
      <c r="AQ1115" s="32" t="s">
        <v>1101</v>
      </c>
      <c r="AU1115">
        <v>1114</v>
      </c>
    </row>
    <row r="1116" spans="1:47" x14ac:dyDescent="0.2">
      <c r="A1116" s="26">
        <v>6206</v>
      </c>
      <c r="B1116" s="27">
        <v>0.93055555555555547</v>
      </c>
      <c r="C1116" s="28"/>
      <c r="D1116" s="29"/>
      <c r="E1116" s="30" t="s">
        <v>653</v>
      </c>
      <c r="H1116" s="32">
        <v>1</v>
      </c>
      <c r="I1116" s="32" t="s">
        <v>654</v>
      </c>
      <c r="AI1116" s="32">
        <v>0</v>
      </c>
      <c r="AK1116" s="32">
        <v>9</v>
      </c>
      <c r="AO1116" s="32" t="s">
        <v>655</v>
      </c>
      <c r="AQ1116" s="32">
        <v>447</v>
      </c>
      <c r="AU1116">
        <v>1115</v>
      </c>
    </row>
    <row r="1117" spans="1:47" x14ac:dyDescent="0.2">
      <c r="A1117" s="26">
        <v>6206</v>
      </c>
      <c r="B1117" s="27">
        <v>0.95833333333333337</v>
      </c>
      <c r="C1117" s="28"/>
      <c r="D1117" s="29"/>
      <c r="E1117" s="30" t="s">
        <v>2323</v>
      </c>
      <c r="H1117" s="32">
        <v>1</v>
      </c>
      <c r="I1117" s="32" t="s">
        <v>2324</v>
      </c>
      <c r="AG1117" s="32">
        <v>0</v>
      </c>
      <c r="AH1117" s="32">
        <v>0</v>
      </c>
      <c r="AJ1117" s="32">
        <v>500</v>
      </c>
      <c r="AK1117" s="32">
        <v>8</v>
      </c>
      <c r="AO1117" s="32" t="s">
        <v>2325</v>
      </c>
      <c r="AQ1117" s="32">
        <v>418</v>
      </c>
      <c r="AU1117">
        <v>1116</v>
      </c>
    </row>
    <row r="1118" spans="1:47" x14ac:dyDescent="0.2">
      <c r="A1118" s="26">
        <v>6206</v>
      </c>
      <c r="B1118" s="27" t="s">
        <v>85</v>
      </c>
      <c r="C1118" s="28"/>
      <c r="D1118" s="29"/>
      <c r="E1118" s="30" t="s">
        <v>1461</v>
      </c>
      <c r="H1118" s="32">
        <v>1</v>
      </c>
      <c r="I1118" s="32" t="s">
        <v>2326</v>
      </c>
      <c r="AG1118" s="32">
        <v>0</v>
      </c>
      <c r="AH1118" s="32">
        <v>0</v>
      </c>
      <c r="AI1118" s="32">
        <v>102</v>
      </c>
      <c r="AK1118" s="32">
        <v>15</v>
      </c>
      <c r="AO1118" s="32" t="s">
        <v>1463</v>
      </c>
      <c r="AQ1118" s="32">
        <v>402</v>
      </c>
      <c r="AU1118">
        <v>1117</v>
      </c>
    </row>
    <row r="1119" spans="1:47" x14ac:dyDescent="0.2">
      <c r="A1119" s="26">
        <v>6206</v>
      </c>
      <c r="B1119" s="27" t="s">
        <v>45</v>
      </c>
      <c r="C1119" s="28"/>
      <c r="D1119" s="29"/>
      <c r="E1119" s="30" t="s">
        <v>1531</v>
      </c>
      <c r="H1119" s="32">
        <v>0</v>
      </c>
      <c r="I1119" s="32" t="s">
        <v>1706</v>
      </c>
      <c r="AG1119" s="32">
        <v>0</v>
      </c>
      <c r="AH1119" s="32">
        <v>0</v>
      </c>
      <c r="AI1119" s="32">
        <v>0</v>
      </c>
      <c r="AK1119" s="32">
        <v>0</v>
      </c>
      <c r="AM1119" s="32">
        <f>498*167</f>
        <v>83166</v>
      </c>
      <c r="AO1119" s="32" t="s">
        <v>1533</v>
      </c>
      <c r="AQ1119" s="32" t="s">
        <v>1101</v>
      </c>
      <c r="AU1119">
        <v>1118</v>
      </c>
    </row>
    <row r="1120" spans="1:47" x14ac:dyDescent="0.2">
      <c r="A1120" s="26">
        <v>6206</v>
      </c>
      <c r="B1120" s="27" t="s">
        <v>45</v>
      </c>
      <c r="C1120" s="28"/>
      <c r="D1120" s="29"/>
      <c r="E1120" s="150" t="s">
        <v>2286</v>
      </c>
      <c r="H1120" s="32">
        <v>0</v>
      </c>
      <c r="I1120" s="32" t="s">
        <v>1824</v>
      </c>
      <c r="AG1120" s="32">
        <v>0</v>
      </c>
      <c r="AH1120" s="32">
        <v>0</v>
      </c>
      <c r="AI1120" s="32">
        <v>0</v>
      </c>
      <c r="AK1120" s="32">
        <v>0</v>
      </c>
      <c r="AM1120" s="32">
        <f>21*500</f>
        <v>10500</v>
      </c>
      <c r="AO1120" s="73" t="s">
        <v>75</v>
      </c>
      <c r="AQ1120" s="32" t="s">
        <v>589</v>
      </c>
      <c r="AU1120">
        <v>1119</v>
      </c>
    </row>
    <row r="1121" spans="1:47" x14ac:dyDescent="0.2">
      <c r="A1121" s="26">
        <v>6206</v>
      </c>
      <c r="B1121" s="27"/>
      <c r="C1121" s="28"/>
      <c r="D1121" s="29"/>
      <c r="E1121" s="102" t="s">
        <v>1421</v>
      </c>
      <c r="H1121" s="32">
        <v>1</v>
      </c>
      <c r="I1121" s="32" t="s">
        <v>1422</v>
      </c>
      <c r="AK1121" s="32">
        <v>15</v>
      </c>
      <c r="AO1121" s="73"/>
      <c r="AQ1121" s="32" t="s">
        <v>589</v>
      </c>
      <c r="AU1121">
        <v>1120</v>
      </c>
    </row>
    <row r="1122" spans="1:47" x14ac:dyDescent="0.2">
      <c r="A1122" s="26">
        <v>6213</v>
      </c>
      <c r="B1122" s="27">
        <v>0.875</v>
      </c>
      <c r="C1122" s="28"/>
      <c r="D1122" s="29"/>
      <c r="E1122" s="30" t="s">
        <v>631</v>
      </c>
      <c r="H1122" s="32">
        <v>1</v>
      </c>
      <c r="I1122" s="32" t="s">
        <v>2327</v>
      </c>
      <c r="AK1122" s="32">
        <v>5</v>
      </c>
      <c r="AL1122" s="32">
        <f>95/60</f>
        <v>1.5833333333333333</v>
      </c>
      <c r="AO1122" s="32" t="s">
        <v>633</v>
      </c>
      <c r="AP1122" s="32">
        <f>95/60</f>
        <v>1.5833333333333333</v>
      </c>
      <c r="AQ1122" s="32">
        <v>463</v>
      </c>
      <c r="AU1122">
        <v>1121</v>
      </c>
    </row>
    <row r="1123" spans="1:47" x14ac:dyDescent="0.2">
      <c r="A1123" s="37">
        <v>6214</v>
      </c>
      <c r="B1123" s="38" t="s">
        <v>45</v>
      </c>
      <c r="C1123" s="39" t="s">
        <v>253</v>
      </c>
      <c r="D1123" s="29"/>
      <c r="E1123" s="38" t="s">
        <v>2328</v>
      </c>
      <c r="F1123" s="32" t="s">
        <v>1969</v>
      </c>
      <c r="G1123" s="47"/>
      <c r="H1123"/>
      <c r="I1123" s="32"/>
      <c r="J1123" s="47"/>
      <c r="K1123" s="47"/>
      <c r="L1123" s="48"/>
      <c r="M1123" s="47"/>
      <c r="N1123" s="47"/>
      <c r="O1123" s="47"/>
      <c r="P1123" s="47"/>
      <c r="Q1123" s="47"/>
      <c r="R1123" s="47"/>
      <c r="S1123" s="48"/>
      <c r="T1123" s="47"/>
      <c r="U1123" s="47"/>
      <c r="V1123" s="47"/>
      <c r="W1123" s="47"/>
      <c r="X1123" s="47"/>
      <c r="Y1123" s="47"/>
      <c r="Z1123" s="47"/>
      <c r="AA1123" s="49"/>
      <c r="AB1123" s="49"/>
      <c r="AC1123" s="49"/>
      <c r="AD1123" s="50"/>
      <c r="AE1123" s="47"/>
      <c r="AF1123" s="47"/>
      <c r="AG1123"/>
      <c r="AH1123"/>
      <c r="AI1123"/>
      <c r="AJ1123"/>
      <c r="AK1123"/>
      <c r="AL1123"/>
      <c r="AM1123"/>
      <c r="AN1123"/>
      <c r="AO1123"/>
      <c r="AP1123"/>
      <c r="AQ1123" s="32" t="s">
        <v>2329</v>
      </c>
      <c r="AU1123">
        <v>1122</v>
      </c>
    </row>
    <row r="1124" spans="1:47" x14ac:dyDescent="0.2">
      <c r="A1124" s="37">
        <v>6214</v>
      </c>
      <c r="B1124" s="38" t="s">
        <v>45</v>
      </c>
      <c r="C1124" s="39" t="s">
        <v>253</v>
      </c>
      <c r="D1124" s="29"/>
      <c r="E1124" s="38" t="s">
        <v>2330</v>
      </c>
      <c r="F1124" s="32" t="s">
        <v>246</v>
      </c>
      <c r="G1124" s="47"/>
      <c r="H1124"/>
      <c r="I1124" s="32"/>
      <c r="J1124" s="47"/>
      <c r="K1124" s="47"/>
      <c r="L1124" s="48"/>
      <c r="M1124" s="47"/>
      <c r="N1124" s="47"/>
      <c r="O1124" s="47"/>
      <c r="P1124" s="47"/>
      <c r="Q1124" s="47"/>
      <c r="R1124" s="47"/>
      <c r="S1124" s="48"/>
      <c r="T1124" s="47"/>
      <c r="U1124" s="47"/>
      <c r="V1124" s="47"/>
      <c r="W1124" s="47"/>
      <c r="X1124" s="47"/>
      <c r="Y1124" s="47"/>
      <c r="Z1124" s="47"/>
      <c r="AA1124" s="49"/>
      <c r="AB1124" s="49"/>
      <c r="AC1124" s="49"/>
      <c r="AD1124" s="50"/>
      <c r="AE1124" s="47"/>
      <c r="AF1124" s="47"/>
      <c r="AG1124"/>
      <c r="AH1124"/>
      <c r="AI1124"/>
      <c r="AJ1124"/>
      <c r="AK1124"/>
      <c r="AL1124"/>
      <c r="AM1124"/>
      <c r="AN1124"/>
      <c r="AO1124"/>
      <c r="AP1124"/>
      <c r="AQ1124" s="32" t="s">
        <v>2329</v>
      </c>
      <c r="AU1124">
        <v>1123</v>
      </c>
    </row>
    <row r="1125" spans="1:47" x14ac:dyDescent="0.2">
      <c r="A1125" s="37">
        <v>6214</v>
      </c>
      <c r="B1125" s="38" t="s">
        <v>45</v>
      </c>
      <c r="C1125" s="39" t="s">
        <v>253</v>
      </c>
      <c r="D1125" s="29"/>
      <c r="E1125" s="38" t="s">
        <v>1593</v>
      </c>
      <c r="F1125" s="32" t="s">
        <v>2331</v>
      </c>
      <c r="G1125" s="47"/>
      <c r="H1125"/>
      <c r="I1125" s="32"/>
      <c r="J1125" s="47"/>
      <c r="K1125" s="47"/>
      <c r="L1125" s="48"/>
      <c r="M1125" s="47"/>
      <c r="N1125" s="47"/>
      <c r="O1125" s="47"/>
      <c r="P1125" s="47"/>
      <c r="Q1125" s="47"/>
      <c r="R1125" s="47"/>
      <c r="S1125" s="48"/>
      <c r="T1125" s="47"/>
      <c r="U1125" s="47"/>
      <c r="V1125" s="47"/>
      <c r="W1125" s="47"/>
      <c r="X1125" s="47"/>
      <c r="Y1125" s="47"/>
      <c r="Z1125" s="47"/>
      <c r="AA1125" s="49"/>
      <c r="AB1125" s="49"/>
      <c r="AC1125" s="49"/>
      <c r="AD1125" s="50"/>
      <c r="AE1125" s="47"/>
      <c r="AF1125" s="47"/>
      <c r="AG1125"/>
      <c r="AH1125"/>
      <c r="AI1125"/>
      <c r="AJ1125"/>
      <c r="AK1125"/>
      <c r="AL1125"/>
      <c r="AM1125"/>
      <c r="AN1125"/>
      <c r="AO1125"/>
      <c r="AP1125"/>
      <c r="AQ1125" s="32" t="s">
        <v>2329</v>
      </c>
      <c r="AU1125">
        <v>1124</v>
      </c>
    </row>
    <row r="1126" spans="1:47" x14ac:dyDescent="0.2">
      <c r="A1126" s="26">
        <v>6214</v>
      </c>
      <c r="B1126" s="27" t="s">
        <v>45</v>
      </c>
      <c r="C1126" s="28"/>
      <c r="D1126" s="29"/>
      <c r="E1126" s="30" t="s">
        <v>1531</v>
      </c>
      <c r="H1126" s="32">
        <v>0</v>
      </c>
      <c r="I1126" s="32" t="s">
        <v>1532</v>
      </c>
      <c r="AG1126" s="32">
        <v>0</v>
      </c>
      <c r="AH1126" s="32">
        <v>0</v>
      </c>
      <c r="AI1126" s="32">
        <v>0</v>
      </c>
      <c r="AK1126" s="32">
        <v>0</v>
      </c>
      <c r="AM1126" s="32">
        <f>498*41</f>
        <v>20418</v>
      </c>
      <c r="AO1126" s="32" t="s">
        <v>1533</v>
      </c>
      <c r="AQ1126" s="32" t="s">
        <v>1101</v>
      </c>
      <c r="AU1126">
        <v>1125</v>
      </c>
    </row>
    <row r="1127" spans="1:47" x14ac:dyDescent="0.2">
      <c r="A1127" s="37">
        <v>6215</v>
      </c>
      <c r="B1127" s="38" t="s">
        <v>45</v>
      </c>
      <c r="C1127" s="39" t="s">
        <v>253</v>
      </c>
      <c r="D1127" s="29"/>
      <c r="E1127" s="38" t="s">
        <v>2332</v>
      </c>
      <c r="F1127" s="32" t="s">
        <v>2333</v>
      </c>
      <c r="G1127" s="47"/>
      <c r="H1127"/>
      <c r="I1127" s="32" t="s">
        <v>2334</v>
      </c>
      <c r="J1127" s="47"/>
      <c r="K1127" s="47"/>
      <c r="L1127" s="48"/>
      <c r="M1127" s="47"/>
      <c r="N1127" s="47"/>
      <c r="O1127" s="47"/>
      <c r="P1127" s="47"/>
      <c r="Q1127" s="47"/>
      <c r="R1127" s="47"/>
      <c r="S1127" s="48"/>
      <c r="T1127" s="47"/>
      <c r="U1127" s="47"/>
      <c r="V1127" s="47"/>
      <c r="W1127" s="47"/>
      <c r="X1127" s="47"/>
      <c r="Y1127" s="47"/>
      <c r="Z1127" s="47"/>
      <c r="AA1127" s="49"/>
      <c r="AB1127" s="49"/>
      <c r="AC1127" s="49"/>
      <c r="AD1127" s="50"/>
      <c r="AE1127" s="47"/>
      <c r="AF1127" s="47"/>
      <c r="AG1127"/>
      <c r="AH1127"/>
      <c r="AI1127"/>
      <c r="AJ1127"/>
      <c r="AK1127"/>
      <c r="AL1127"/>
      <c r="AM1127"/>
      <c r="AN1127"/>
      <c r="AO1127"/>
      <c r="AP1127"/>
      <c r="AQ1127" s="32" t="s">
        <v>2335</v>
      </c>
      <c r="AU1127">
        <v>1126</v>
      </c>
    </row>
    <row r="1128" spans="1:47" x14ac:dyDescent="0.2">
      <c r="A1128" s="37">
        <v>6216</v>
      </c>
      <c r="B1128" s="38" t="s">
        <v>45</v>
      </c>
      <c r="C1128" s="39" t="s">
        <v>253</v>
      </c>
      <c r="D1128" s="29"/>
      <c r="E1128" s="38" t="s">
        <v>2336</v>
      </c>
      <c r="F1128" s="32" t="s">
        <v>83</v>
      </c>
      <c r="G1128" s="47"/>
      <c r="H1128"/>
      <c r="I1128" s="32"/>
      <c r="J1128" s="47"/>
      <c r="K1128" s="47"/>
      <c r="L1128" s="48"/>
      <c r="M1128" s="47"/>
      <c r="N1128" s="47"/>
      <c r="O1128" s="47"/>
      <c r="P1128" s="47"/>
      <c r="Q1128" s="47"/>
      <c r="R1128" s="47"/>
      <c r="S1128" s="48"/>
      <c r="T1128" s="47"/>
      <c r="U1128" s="47"/>
      <c r="V1128" s="47"/>
      <c r="W1128" s="47"/>
      <c r="X1128" s="47"/>
      <c r="Y1128" s="47"/>
      <c r="Z1128" s="47"/>
      <c r="AA1128" s="49"/>
      <c r="AB1128" s="49"/>
      <c r="AC1128" s="49"/>
      <c r="AD1128" s="50"/>
      <c r="AE1128" s="47"/>
      <c r="AF1128" s="47"/>
      <c r="AG1128"/>
      <c r="AH1128"/>
      <c r="AI1128"/>
      <c r="AJ1128"/>
      <c r="AK1128"/>
      <c r="AL1128"/>
      <c r="AM1128"/>
      <c r="AN1128"/>
      <c r="AO1128"/>
      <c r="AP1128"/>
      <c r="AQ1128" s="32" t="s">
        <v>2335</v>
      </c>
      <c r="AU1128">
        <v>1127</v>
      </c>
    </row>
    <row r="1129" spans="1:47" x14ac:dyDescent="0.2">
      <c r="A1129" s="37">
        <v>6216</v>
      </c>
      <c r="B1129" s="38" t="s">
        <v>45</v>
      </c>
      <c r="C1129" s="39" t="s">
        <v>253</v>
      </c>
      <c r="D1129" s="29"/>
      <c r="E1129" s="38" t="s">
        <v>2337</v>
      </c>
      <c r="F1129" s="32" t="s">
        <v>2338</v>
      </c>
      <c r="G1129" s="47"/>
      <c r="H1129"/>
      <c r="I1129" s="32"/>
      <c r="J1129" s="47"/>
      <c r="K1129" s="47"/>
      <c r="L1129" s="48"/>
      <c r="M1129" s="47"/>
      <c r="N1129" s="47"/>
      <c r="O1129" s="47"/>
      <c r="P1129" s="47"/>
      <c r="Q1129" s="47"/>
      <c r="R1129" s="47"/>
      <c r="S1129" s="48"/>
      <c r="T1129" s="47"/>
      <c r="U1129" s="47"/>
      <c r="V1129" s="47"/>
      <c r="W1129" s="47"/>
      <c r="X1129" s="47"/>
      <c r="Y1129" s="47"/>
      <c r="Z1129" s="47"/>
      <c r="AA1129" s="49"/>
      <c r="AB1129" s="49"/>
      <c r="AC1129" s="49"/>
      <c r="AD1129" s="50"/>
      <c r="AE1129" s="47"/>
      <c r="AF1129" s="47"/>
      <c r="AG1129"/>
      <c r="AH1129"/>
      <c r="AI1129"/>
      <c r="AJ1129"/>
      <c r="AK1129"/>
      <c r="AL1129"/>
      <c r="AM1129"/>
      <c r="AN1129"/>
      <c r="AO1129"/>
      <c r="AP1129"/>
      <c r="AQ1129" s="32" t="s">
        <v>2335</v>
      </c>
      <c r="AU1129">
        <v>1128</v>
      </c>
    </row>
    <row r="1130" spans="1:47" x14ac:dyDescent="0.2">
      <c r="A1130" s="37">
        <v>6216</v>
      </c>
      <c r="B1130" s="38" t="s">
        <v>45</v>
      </c>
      <c r="C1130" s="39" t="s">
        <v>253</v>
      </c>
      <c r="D1130" s="29"/>
      <c r="E1130" s="38" t="s">
        <v>2339</v>
      </c>
      <c r="F1130" s="32" t="s">
        <v>246</v>
      </c>
      <c r="G1130" s="47"/>
      <c r="H1130"/>
      <c r="I1130" s="32"/>
      <c r="J1130" s="47"/>
      <c r="K1130" s="47"/>
      <c r="L1130" s="48"/>
      <c r="M1130" s="47"/>
      <c r="N1130" s="47"/>
      <c r="O1130" s="47"/>
      <c r="P1130" s="47"/>
      <c r="Q1130" s="47"/>
      <c r="R1130" s="47"/>
      <c r="S1130" s="48"/>
      <c r="T1130" s="47"/>
      <c r="U1130" s="47"/>
      <c r="V1130" s="47"/>
      <c r="W1130" s="47"/>
      <c r="X1130" s="47"/>
      <c r="Y1130" s="47"/>
      <c r="Z1130" s="47"/>
      <c r="AA1130" s="49"/>
      <c r="AB1130" s="49"/>
      <c r="AC1130" s="49"/>
      <c r="AD1130" s="50"/>
      <c r="AE1130" s="47"/>
      <c r="AF1130" s="47"/>
      <c r="AG1130"/>
      <c r="AH1130"/>
      <c r="AI1130"/>
      <c r="AJ1130"/>
      <c r="AK1130"/>
      <c r="AL1130"/>
      <c r="AM1130"/>
      <c r="AN1130"/>
      <c r="AO1130"/>
      <c r="AP1130"/>
      <c r="AQ1130" s="32" t="s">
        <v>2335</v>
      </c>
      <c r="AU1130">
        <v>1129</v>
      </c>
    </row>
    <row r="1131" spans="1:47" x14ac:dyDescent="0.2">
      <c r="A1131" s="37">
        <v>6216</v>
      </c>
      <c r="B1131" s="38" t="s">
        <v>45</v>
      </c>
      <c r="C1131" s="39" t="s">
        <v>253</v>
      </c>
      <c r="D1131" s="29"/>
      <c r="E1131" s="38" t="s">
        <v>2340</v>
      </c>
      <c r="F1131" s="32" t="s">
        <v>1969</v>
      </c>
      <c r="G1131" s="47"/>
      <c r="H1131"/>
      <c r="I1131" s="32"/>
      <c r="J1131" s="47"/>
      <c r="K1131" s="47"/>
      <c r="L1131" s="48"/>
      <c r="M1131" s="47"/>
      <c r="N1131" s="47"/>
      <c r="O1131" s="47"/>
      <c r="P1131" s="47"/>
      <c r="Q1131" s="47"/>
      <c r="R1131" s="47"/>
      <c r="S1131" s="48"/>
      <c r="T1131" s="47"/>
      <c r="U1131" s="47"/>
      <c r="V1131" s="47"/>
      <c r="W1131" s="47"/>
      <c r="X1131" s="47"/>
      <c r="Y1131" s="47"/>
      <c r="Z1131" s="47"/>
      <c r="AA1131" s="49"/>
      <c r="AB1131" s="49"/>
      <c r="AC1131" s="49"/>
      <c r="AD1131" s="50"/>
      <c r="AE1131" s="47"/>
      <c r="AF1131" s="47"/>
      <c r="AG1131"/>
      <c r="AH1131"/>
      <c r="AI1131"/>
      <c r="AJ1131"/>
      <c r="AK1131"/>
      <c r="AL1131"/>
      <c r="AM1131"/>
      <c r="AN1131"/>
      <c r="AO1131"/>
      <c r="AP1131"/>
      <c r="AQ1131" s="32" t="s">
        <v>2335</v>
      </c>
      <c r="AU1131">
        <v>1130</v>
      </c>
    </row>
    <row r="1132" spans="1:47" x14ac:dyDescent="0.2">
      <c r="A1132" s="37">
        <v>6216</v>
      </c>
      <c r="B1132" s="38" t="s">
        <v>45</v>
      </c>
      <c r="C1132" s="39" t="s">
        <v>253</v>
      </c>
      <c r="D1132" s="29"/>
      <c r="E1132" s="38" t="s">
        <v>2341</v>
      </c>
      <c r="F1132" s="32" t="s">
        <v>2331</v>
      </c>
      <c r="G1132" s="47"/>
      <c r="H1132"/>
      <c r="I1132" s="32"/>
      <c r="J1132" s="47"/>
      <c r="K1132" s="47"/>
      <c r="L1132" s="48"/>
      <c r="M1132" s="47"/>
      <c r="N1132" s="47"/>
      <c r="O1132" s="47"/>
      <c r="P1132" s="47"/>
      <c r="Q1132" s="47"/>
      <c r="R1132" s="47"/>
      <c r="S1132" s="48"/>
      <c r="T1132" s="47"/>
      <c r="U1132" s="47"/>
      <c r="V1132" s="47"/>
      <c r="W1132" s="47"/>
      <c r="X1132" s="47"/>
      <c r="Y1132" s="47"/>
      <c r="Z1132" s="47"/>
      <c r="AA1132" s="49"/>
      <c r="AB1132" s="49"/>
      <c r="AC1132" s="49"/>
      <c r="AD1132" s="50"/>
      <c r="AE1132" s="47"/>
      <c r="AF1132" s="47"/>
      <c r="AG1132"/>
      <c r="AH1132"/>
      <c r="AI1132"/>
      <c r="AJ1132"/>
      <c r="AK1132"/>
      <c r="AL1132"/>
      <c r="AM1132"/>
      <c r="AN1132"/>
      <c r="AO1132"/>
      <c r="AP1132"/>
      <c r="AQ1132" s="32" t="s">
        <v>2335</v>
      </c>
      <c r="AU1132">
        <v>1131</v>
      </c>
    </row>
    <row r="1133" spans="1:47" x14ac:dyDescent="0.2">
      <c r="A1133" s="37">
        <v>6216</v>
      </c>
      <c r="B1133" s="38" t="s">
        <v>45</v>
      </c>
      <c r="C1133" s="39" t="s">
        <v>253</v>
      </c>
      <c r="D1133" s="29"/>
      <c r="E1133" s="38" t="s">
        <v>2342</v>
      </c>
      <c r="F1133" s="32" t="s">
        <v>2343</v>
      </c>
      <c r="G1133" s="47"/>
      <c r="H1133"/>
      <c r="I1133" s="32"/>
      <c r="J1133" s="47"/>
      <c r="K1133" s="47"/>
      <c r="L1133" s="48"/>
      <c r="M1133" s="47"/>
      <c r="N1133" s="47"/>
      <c r="O1133" s="47"/>
      <c r="P1133" s="47"/>
      <c r="Q1133" s="47"/>
      <c r="R1133" s="47"/>
      <c r="S1133" s="48"/>
      <c r="T1133" s="47"/>
      <c r="U1133" s="47"/>
      <c r="V1133" s="47"/>
      <c r="W1133" s="47"/>
      <c r="X1133" s="47"/>
      <c r="Y1133" s="47"/>
      <c r="Z1133" s="47"/>
      <c r="AA1133" s="49"/>
      <c r="AB1133" s="49"/>
      <c r="AC1133" s="49"/>
      <c r="AD1133" s="50"/>
      <c r="AE1133" s="47"/>
      <c r="AF1133" s="47"/>
      <c r="AG1133"/>
      <c r="AH1133"/>
      <c r="AI1133"/>
      <c r="AJ1133"/>
      <c r="AK1133"/>
      <c r="AL1133"/>
      <c r="AM1133"/>
      <c r="AN1133"/>
      <c r="AO1133"/>
      <c r="AP1133"/>
      <c r="AQ1133" s="32" t="s">
        <v>2335</v>
      </c>
      <c r="AU1133">
        <v>1132</v>
      </c>
    </row>
    <row r="1134" spans="1:47" x14ac:dyDescent="0.2">
      <c r="A1134" s="26">
        <v>6224</v>
      </c>
      <c r="B1134" s="27">
        <v>0.94444444444444453</v>
      </c>
      <c r="C1134" s="28"/>
      <c r="D1134" s="29"/>
      <c r="E1134" s="30" t="s">
        <v>869</v>
      </c>
      <c r="H1134" s="32">
        <v>0</v>
      </c>
      <c r="I1134" s="32" t="s">
        <v>2344</v>
      </c>
      <c r="AG1134" s="32">
        <v>0</v>
      </c>
      <c r="AH1134" s="32">
        <v>0</v>
      </c>
      <c r="AI1134" s="32">
        <v>0</v>
      </c>
      <c r="AK1134" s="32">
        <v>0</v>
      </c>
      <c r="AL1134" s="32">
        <f>65/60</f>
        <v>1.0833333333333333</v>
      </c>
      <c r="AP1134" s="32">
        <f>65/60</f>
        <v>1.0833333333333333</v>
      </c>
      <c r="AQ1134" s="32" t="s">
        <v>589</v>
      </c>
      <c r="AU1134">
        <v>1133</v>
      </c>
    </row>
    <row r="1135" spans="1:47" x14ac:dyDescent="0.2">
      <c r="A1135" s="26">
        <v>6231</v>
      </c>
      <c r="B1135" s="27">
        <v>0.91666666666666663</v>
      </c>
      <c r="C1135" s="28"/>
      <c r="D1135" s="29"/>
      <c r="E1135" s="30" t="s">
        <v>869</v>
      </c>
      <c r="H1135" s="32">
        <v>0</v>
      </c>
      <c r="I1135" s="32" t="s">
        <v>2344</v>
      </c>
      <c r="AG1135" s="32">
        <v>0</v>
      </c>
      <c r="AH1135" s="32">
        <v>0</v>
      </c>
      <c r="AI1135" s="32">
        <v>0</v>
      </c>
      <c r="AK1135" s="32">
        <v>0</v>
      </c>
      <c r="AL1135" s="32">
        <f>55/60</f>
        <v>0.91666666666666663</v>
      </c>
      <c r="AP1135" s="32">
        <f>55/60</f>
        <v>0.91666666666666663</v>
      </c>
      <c r="AQ1135" s="32" t="s">
        <v>589</v>
      </c>
      <c r="AU1135">
        <v>1134</v>
      </c>
    </row>
    <row r="1136" spans="1:47" x14ac:dyDescent="0.2">
      <c r="A1136" s="133">
        <v>6233</v>
      </c>
      <c r="B1136" s="39" t="s">
        <v>85</v>
      </c>
      <c r="C1136" s="39" t="s">
        <v>1806</v>
      </c>
      <c r="D1136" s="29" t="b">
        <v>0</v>
      </c>
      <c r="E1136" s="39" t="s">
        <v>2345</v>
      </c>
      <c r="F1136" s="47" t="s">
        <v>480</v>
      </c>
      <c r="G1136" s="47" t="s">
        <v>481</v>
      </c>
      <c r="H1136"/>
      <c r="I1136" s="134" t="s">
        <v>2346</v>
      </c>
      <c r="J1136" s="47" t="b">
        <v>1</v>
      </c>
      <c r="K1136" s="47">
        <v>2600</v>
      </c>
      <c r="L1136" s="48">
        <v>15</v>
      </c>
      <c r="M1136" s="47">
        <v>0</v>
      </c>
      <c r="N1136" s="47">
        <v>5</v>
      </c>
      <c r="O1136" s="47">
        <v>0</v>
      </c>
      <c r="P1136" s="47">
        <v>0</v>
      </c>
      <c r="Q1136" s="47">
        <v>0</v>
      </c>
      <c r="R1136" s="47">
        <v>0</v>
      </c>
      <c r="S1136" s="48">
        <v>10</v>
      </c>
      <c r="T1136" s="47">
        <v>0</v>
      </c>
      <c r="U1136" s="47">
        <v>0</v>
      </c>
      <c r="V1136" s="47">
        <v>1</v>
      </c>
      <c r="W1136" s="47">
        <v>9000</v>
      </c>
      <c r="X1136" s="47">
        <v>9</v>
      </c>
      <c r="Y1136" s="47" t="s">
        <v>120</v>
      </c>
      <c r="Z1136" s="47" t="s">
        <v>1809</v>
      </c>
      <c r="AA1136" s="49">
        <v>0.54166666666666663</v>
      </c>
      <c r="AB1136" s="49">
        <v>0.63888888888888895</v>
      </c>
      <c r="AC1136" s="49">
        <v>0.60069444444444442</v>
      </c>
      <c r="AD1136" s="50">
        <f>(AB1136-AA1136)*24</f>
        <v>2.3333333333333357</v>
      </c>
      <c r="AE1136" s="47" t="s">
        <v>1312</v>
      </c>
      <c r="AF1136" s="47">
        <v>90</v>
      </c>
      <c r="AG1136"/>
      <c r="AH1136"/>
      <c r="AI1136"/>
      <c r="AJ1136"/>
      <c r="AK1136">
        <v>40</v>
      </c>
      <c r="AL1136"/>
      <c r="AM1136"/>
      <c r="AN1136"/>
      <c r="AO1136"/>
      <c r="AP1136"/>
      <c r="AQ1136" t="s">
        <v>2166</v>
      </c>
      <c r="AU1136">
        <v>1135</v>
      </c>
    </row>
    <row r="1137" spans="1:47" x14ac:dyDescent="0.2">
      <c r="A1137" s="26">
        <v>6233</v>
      </c>
      <c r="B1137" s="27">
        <v>0.64583333333333337</v>
      </c>
      <c r="C1137" s="28"/>
      <c r="D1137" s="29"/>
      <c r="E1137" s="30" t="s">
        <v>869</v>
      </c>
      <c r="H1137" s="32">
        <v>0</v>
      </c>
      <c r="I1137" s="32" t="s">
        <v>2344</v>
      </c>
      <c r="AG1137" s="32">
        <v>0</v>
      </c>
      <c r="AH1137" s="32">
        <v>0</v>
      </c>
      <c r="AI1137" s="32">
        <v>0</v>
      </c>
      <c r="AK1137" s="32">
        <v>0</v>
      </c>
      <c r="AL1137" s="32">
        <v>0.75</v>
      </c>
      <c r="AP1137" s="32">
        <v>0.75</v>
      </c>
      <c r="AQ1137" s="32" t="s">
        <v>589</v>
      </c>
      <c r="AU1137">
        <v>1136</v>
      </c>
    </row>
    <row r="1138" spans="1:47" x14ac:dyDescent="0.2">
      <c r="A1138" s="26">
        <v>6233</v>
      </c>
      <c r="B1138" s="27"/>
      <c r="C1138" s="28"/>
      <c r="D1138" s="29"/>
      <c r="E1138" s="72" t="s">
        <v>872</v>
      </c>
      <c r="H1138" s="32">
        <v>1</v>
      </c>
      <c r="I1138" s="32" t="s">
        <v>2347</v>
      </c>
      <c r="AI1138" s="32">
        <v>6600</v>
      </c>
      <c r="AK1138" s="32">
        <v>9</v>
      </c>
      <c r="AO1138" s="73" t="s">
        <v>858</v>
      </c>
      <c r="AQ1138" s="32">
        <v>439</v>
      </c>
      <c r="AU1138">
        <v>1137</v>
      </c>
    </row>
    <row r="1139" spans="1:47" x14ac:dyDescent="0.2">
      <c r="A1139" s="37">
        <v>6234</v>
      </c>
      <c r="B1139" s="38" t="s">
        <v>45</v>
      </c>
      <c r="C1139" s="38" t="s">
        <v>156</v>
      </c>
      <c r="D1139" s="29"/>
      <c r="E1139" s="38" t="s">
        <v>199</v>
      </c>
      <c r="F1139" s="32"/>
      <c r="G1139" s="47"/>
      <c r="H1139"/>
      <c r="J1139" s="47"/>
      <c r="K1139" s="47"/>
      <c r="L1139" s="48"/>
      <c r="M1139" s="47"/>
      <c r="N1139" s="47"/>
      <c r="O1139" s="47"/>
      <c r="P1139" s="47"/>
      <c r="Q1139" s="47"/>
      <c r="R1139" s="47"/>
      <c r="S1139" s="48"/>
      <c r="T1139" s="47"/>
      <c r="U1139" s="47"/>
      <c r="V1139" s="47"/>
      <c r="W1139" s="47"/>
      <c r="X1139" s="47"/>
      <c r="Y1139" s="47"/>
      <c r="Z1139" s="47"/>
      <c r="AA1139" s="49"/>
      <c r="AB1139" s="49"/>
      <c r="AC1139" s="49"/>
      <c r="AD1139" s="50"/>
      <c r="AE1139" s="31" t="s">
        <v>2188</v>
      </c>
      <c r="AF1139" s="47">
        <v>40</v>
      </c>
      <c r="AG1139"/>
      <c r="AH1139"/>
      <c r="AI1139"/>
      <c r="AJ1139"/>
      <c r="AK1139"/>
      <c r="AL1139"/>
      <c r="AM1139"/>
      <c r="AN1139"/>
      <c r="AO1139"/>
      <c r="AP1139"/>
      <c r="AQ1139"/>
      <c r="AU1139">
        <v>1138</v>
      </c>
    </row>
    <row r="1140" spans="1:47" x14ac:dyDescent="0.2">
      <c r="A1140" s="37">
        <v>6234</v>
      </c>
      <c r="B1140" s="38"/>
      <c r="C1140" s="39" t="s">
        <v>253</v>
      </c>
      <c r="D1140" s="29"/>
      <c r="E1140" s="38" t="s">
        <v>1310</v>
      </c>
      <c r="F1140" s="32" t="s">
        <v>150</v>
      </c>
      <c r="G1140" s="47"/>
      <c r="H1140"/>
      <c r="I1140" s="32" t="s">
        <v>2348</v>
      </c>
      <c r="J1140" s="47"/>
      <c r="K1140" s="47"/>
      <c r="L1140" s="48"/>
      <c r="M1140" s="47"/>
      <c r="N1140" s="47"/>
      <c r="O1140" s="47"/>
      <c r="P1140" s="47"/>
      <c r="Q1140" s="47"/>
      <c r="R1140" s="47"/>
      <c r="S1140" s="48"/>
      <c r="T1140" s="47"/>
      <c r="U1140" s="47"/>
      <c r="V1140" s="47"/>
      <c r="W1140" s="47"/>
      <c r="X1140" s="47"/>
      <c r="Y1140" s="47"/>
      <c r="Z1140" s="47"/>
      <c r="AA1140" s="49"/>
      <c r="AB1140" s="49"/>
      <c r="AC1140" s="49"/>
      <c r="AD1140" s="50"/>
      <c r="AE1140" s="47"/>
      <c r="AF1140" s="47"/>
      <c r="AG1140"/>
      <c r="AH1140"/>
      <c r="AI1140"/>
      <c r="AJ1140"/>
      <c r="AK1140"/>
      <c r="AL1140"/>
      <c r="AM1140"/>
      <c r="AN1140"/>
      <c r="AO1140"/>
      <c r="AP1140"/>
      <c r="AQ1140" s="32" t="s">
        <v>2335</v>
      </c>
      <c r="AU1140">
        <v>1139</v>
      </c>
    </row>
    <row r="1141" spans="1:47" x14ac:dyDescent="0.2">
      <c r="A1141" s="37">
        <v>6234</v>
      </c>
      <c r="B1141" s="38"/>
      <c r="C1141" s="39" t="s">
        <v>253</v>
      </c>
      <c r="D1141" s="29"/>
      <c r="E1141" s="38" t="s">
        <v>2349</v>
      </c>
      <c r="F1141" s="32" t="s">
        <v>246</v>
      </c>
      <c r="G1141" s="47"/>
      <c r="H1141"/>
      <c r="I1141" s="32" t="s">
        <v>2350</v>
      </c>
      <c r="J1141" s="47"/>
      <c r="K1141" s="47"/>
      <c r="L1141" s="48"/>
      <c r="M1141" s="47"/>
      <c r="N1141" s="47"/>
      <c r="O1141" s="47"/>
      <c r="P1141" s="47"/>
      <c r="Q1141" s="47"/>
      <c r="R1141" s="47"/>
      <c r="S1141" s="48"/>
      <c r="T1141" s="47"/>
      <c r="U1141" s="47"/>
      <c r="V1141" s="47"/>
      <c r="W1141" s="47"/>
      <c r="X1141" s="47"/>
      <c r="Y1141" s="47"/>
      <c r="Z1141" s="47"/>
      <c r="AA1141" s="49"/>
      <c r="AB1141" s="49"/>
      <c r="AC1141" s="49"/>
      <c r="AD1141" s="50"/>
      <c r="AE1141" s="47"/>
      <c r="AF1141" s="47"/>
      <c r="AG1141"/>
      <c r="AH1141"/>
      <c r="AI1141"/>
      <c r="AJ1141"/>
      <c r="AK1141"/>
      <c r="AL1141"/>
      <c r="AM1141"/>
      <c r="AN1141"/>
      <c r="AO1141"/>
      <c r="AP1141"/>
      <c r="AQ1141" s="32" t="s">
        <v>2335</v>
      </c>
      <c r="AU1141">
        <v>1140</v>
      </c>
    </row>
    <row r="1142" spans="1:47" x14ac:dyDescent="0.2">
      <c r="A1142" s="37">
        <v>6234</v>
      </c>
      <c r="B1142" s="38"/>
      <c r="C1142" s="39" t="s">
        <v>253</v>
      </c>
      <c r="D1142" s="29"/>
      <c r="E1142" s="38" t="s">
        <v>1895</v>
      </c>
      <c r="F1142" s="32" t="s">
        <v>2351</v>
      </c>
      <c r="G1142" s="47"/>
      <c r="H1142"/>
      <c r="I1142" s="32" t="s">
        <v>2350</v>
      </c>
      <c r="J1142" s="47"/>
      <c r="K1142" s="47"/>
      <c r="L1142" s="48"/>
      <c r="M1142" s="47"/>
      <c r="N1142" s="47"/>
      <c r="O1142" s="47"/>
      <c r="P1142" s="47"/>
      <c r="Q1142" s="47"/>
      <c r="R1142" s="47"/>
      <c r="S1142" s="48"/>
      <c r="T1142" s="47"/>
      <c r="U1142" s="47"/>
      <c r="V1142" s="47"/>
      <c r="W1142" s="47"/>
      <c r="X1142" s="47"/>
      <c r="Y1142" s="47"/>
      <c r="Z1142" s="47"/>
      <c r="AA1142" s="49"/>
      <c r="AB1142" s="49"/>
      <c r="AC1142" s="49"/>
      <c r="AD1142" s="50"/>
      <c r="AE1142" s="47"/>
      <c r="AF1142" s="47"/>
      <c r="AG1142"/>
      <c r="AH1142"/>
      <c r="AI1142"/>
      <c r="AJ1142"/>
      <c r="AK1142"/>
      <c r="AL1142"/>
      <c r="AM1142"/>
      <c r="AN1142"/>
      <c r="AO1142"/>
      <c r="AP1142"/>
      <c r="AQ1142" s="32" t="s">
        <v>2335</v>
      </c>
      <c r="AU1142">
        <v>1141</v>
      </c>
    </row>
    <row r="1143" spans="1:47" x14ac:dyDescent="0.2">
      <c r="A1143" s="37">
        <v>6234</v>
      </c>
      <c r="B1143" s="38"/>
      <c r="C1143" s="39" t="s">
        <v>253</v>
      </c>
      <c r="D1143" s="29"/>
      <c r="E1143" s="38" t="s">
        <v>124</v>
      </c>
      <c r="F1143" s="32" t="s">
        <v>150</v>
      </c>
      <c r="G1143" s="47"/>
      <c r="H1143"/>
      <c r="I1143" s="32" t="s">
        <v>2350</v>
      </c>
      <c r="J1143" s="47"/>
      <c r="K1143" s="47"/>
      <c r="L1143" s="48"/>
      <c r="M1143" s="47"/>
      <c r="N1143" s="47"/>
      <c r="O1143" s="47"/>
      <c r="P1143" s="47"/>
      <c r="Q1143" s="47"/>
      <c r="R1143" s="47"/>
      <c r="S1143" s="48"/>
      <c r="T1143" s="47"/>
      <c r="U1143" s="47"/>
      <c r="V1143" s="47"/>
      <c r="W1143" s="47"/>
      <c r="X1143" s="47"/>
      <c r="Y1143" s="47"/>
      <c r="Z1143" s="47"/>
      <c r="AA1143" s="49"/>
      <c r="AB1143" s="49"/>
      <c r="AC1143" s="49"/>
      <c r="AD1143" s="50"/>
      <c r="AE1143" s="47"/>
      <c r="AF1143" s="47"/>
      <c r="AG1143"/>
      <c r="AH1143"/>
      <c r="AI1143"/>
      <c r="AJ1143"/>
      <c r="AK1143"/>
      <c r="AL1143"/>
      <c r="AM1143"/>
      <c r="AN1143"/>
      <c r="AO1143"/>
      <c r="AP1143"/>
      <c r="AQ1143" s="32" t="s">
        <v>2335</v>
      </c>
      <c r="AU1143">
        <v>1142</v>
      </c>
    </row>
    <row r="1144" spans="1:47" x14ac:dyDescent="0.2">
      <c r="A1144" s="37">
        <v>6234</v>
      </c>
      <c r="B1144" s="38"/>
      <c r="C1144" s="39" t="s">
        <v>253</v>
      </c>
      <c r="D1144" s="29"/>
      <c r="E1144" s="38" t="s">
        <v>2352</v>
      </c>
      <c r="F1144" s="32" t="s">
        <v>1630</v>
      </c>
      <c r="G1144" s="47"/>
      <c r="H1144"/>
      <c r="I1144" s="32" t="s">
        <v>2350</v>
      </c>
      <c r="J1144" s="47"/>
      <c r="K1144" s="47"/>
      <c r="L1144" s="48"/>
      <c r="M1144" s="47"/>
      <c r="N1144" s="47"/>
      <c r="O1144" s="47"/>
      <c r="P1144" s="47"/>
      <c r="Q1144" s="47"/>
      <c r="R1144" s="47"/>
      <c r="S1144" s="48"/>
      <c r="T1144" s="47"/>
      <c r="U1144" s="47"/>
      <c r="V1144" s="47"/>
      <c r="W1144" s="47"/>
      <c r="X1144" s="47"/>
      <c r="Y1144" s="47"/>
      <c r="Z1144" s="47"/>
      <c r="AA1144" s="49"/>
      <c r="AB1144" s="49"/>
      <c r="AC1144" s="49"/>
      <c r="AD1144" s="50"/>
      <c r="AE1144" s="47"/>
      <c r="AF1144" s="47"/>
      <c r="AG1144"/>
      <c r="AH1144"/>
      <c r="AI1144"/>
      <c r="AJ1144"/>
      <c r="AK1144"/>
      <c r="AL1144"/>
      <c r="AM1144"/>
      <c r="AN1144"/>
      <c r="AO1144"/>
      <c r="AP1144"/>
      <c r="AQ1144" s="32" t="s">
        <v>2335</v>
      </c>
      <c r="AU1144">
        <v>1143</v>
      </c>
    </row>
    <row r="1145" spans="1:47" x14ac:dyDescent="0.2">
      <c r="A1145" s="37">
        <v>6234</v>
      </c>
      <c r="B1145" s="38"/>
      <c r="C1145" s="39" t="s">
        <v>253</v>
      </c>
      <c r="D1145" s="29"/>
      <c r="E1145" s="38" t="s">
        <v>1830</v>
      </c>
      <c r="F1145" s="32" t="s">
        <v>2353</v>
      </c>
      <c r="G1145" s="47"/>
      <c r="H1145"/>
      <c r="I1145" s="32" t="s">
        <v>2354</v>
      </c>
      <c r="J1145" s="47"/>
      <c r="K1145" s="47"/>
      <c r="L1145" s="48"/>
      <c r="M1145" s="47"/>
      <c r="N1145" s="47"/>
      <c r="O1145" s="47"/>
      <c r="P1145" s="47"/>
      <c r="Q1145" s="47"/>
      <c r="R1145" s="47"/>
      <c r="S1145" s="48"/>
      <c r="T1145" s="47"/>
      <c r="U1145" s="47"/>
      <c r="V1145" s="47"/>
      <c r="W1145" s="47"/>
      <c r="X1145" s="47"/>
      <c r="Y1145" s="47"/>
      <c r="Z1145" s="47"/>
      <c r="AA1145" s="49"/>
      <c r="AB1145" s="49"/>
      <c r="AC1145" s="49"/>
      <c r="AD1145" s="50"/>
      <c r="AE1145" s="47"/>
      <c r="AF1145" s="47"/>
      <c r="AG1145"/>
      <c r="AH1145"/>
      <c r="AI1145"/>
      <c r="AJ1145"/>
      <c r="AK1145"/>
      <c r="AL1145"/>
      <c r="AM1145"/>
      <c r="AN1145"/>
      <c r="AO1145"/>
      <c r="AP1145"/>
      <c r="AQ1145" s="32" t="s">
        <v>2335</v>
      </c>
      <c r="AU1145">
        <v>1144</v>
      </c>
    </row>
    <row r="1146" spans="1:47" x14ac:dyDescent="0.2">
      <c r="A1146" s="37">
        <v>6241</v>
      </c>
      <c r="B1146" s="38" t="s">
        <v>45</v>
      </c>
      <c r="C1146" s="39" t="s">
        <v>253</v>
      </c>
      <c r="D1146" s="29"/>
      <c r="E1146" s="38" t="s">
        <v>1404</v>
      </c>
      <c r="F1146" s="32" t="s">
        <v>83</v>
      </c>
      <c r="G1146" s="47"/>
      <c r="H1146"/>
      <c r="I1146" s="32"/>
      <c r="J1146" s="47"/>
      <c r="K1146" s="47"/>
      <c r="L1146" s="48"/>
      <c r="M1146" s="47"/>
      <c r="N1146" s="47"/>
      <c r="O1146" s="47"/>
      <c r="P1146" s="47"/>
      <c r="Q1146" s="47"/>
      <c r="R1146" s="47"/>
      <c r="S1146" s="48"/>
      <c r="T1146" s="47"/>
      <c r="U1146" s="47"/>
      <c r="V1146" s="47"/>
      <c r="W1146" s="47"/>
      <c r="X1146" s="47"/>
      <c r="Y1146" s="47"/>
      <c r="Z1146" s="47"/>
      <c r="AA1146" s="49"/>
      <c r="AB1146" s="49"/>
      <c r="AC1146" s="49"/>
      <c r="AD1146" s="50"/>
      <c r="AE1146" s="47"/>
      <c r="AF1146" s="47"/>
      <c r="AG1146"/>
      <c r="AH1146"/>
      <c r="AI1146"/>
      <c r="AJ1146"/>
      <c r="AK1146"/>
      <c r="AL1146"/>
      <c r="AM1146"/>
      <c r="AN1146"/>
      <c r="AO1146"/>
      <c r="AP1146"/>
      <c r="AQ1146" s="32" t="s">
        <v>2335</v>
      </c>
      <c r="AU1146">
        <v>1145</v>
      </c>
    </row>
    <row r="1147" spans="1:47" x14ac:dyDescent="0.2">
      <c r="A1147" s="37">
        <v>6241</v>
      </c>
      <c r="B1147" s="38" t="s">
        <v>45</v>
      </c>
      <c r="C1147" s="39" t="s">
        <v>253</v>
      </c>
      <c r="D1147" s="29"/>
      <c r="E1147" s="38" t="s">
        <v>1830</v>
      </c>
      <c r="F1147" s="32" t="s">
        <v>2355</v>
      </c>
      <c r="G1147" s="47"/>
      <c r="H1147"/>
      <c r="I1147" s="32"/>
      <c r="J1147" s="47"/>
      <c r="K1147" s="47"/>
      <c r="L1147" s="48"/>
      <c r="M1147" s="47"/>
      <c r="N1147" s="47"/>
      <c r="O1147" s="47"/>
      <c r="P1147" s="47"/>
      <c r="Q1147" s="47"/>
      <c r="R1147" s="47"/>
      <c r="S1147" s="48"/>
      <c r="T1147" s="47"/>
      <c r="U1147" s="47"/>
      <c r="V1147" s="47"/>
      <c r="W1147" s="47"/>
      <c r="X1147" s="47"/>
      <c r="Y1147" s="47"/>
      <c r="Z1147" s="47"/>
      <c r="AA1147" s="49"/>
      <c r="AB1147" s="49"/>
      <c r="AC1147" s="49"/>
      <c r="AD1147" s="50"/>
      <c r="AE1147" s="47"/>
      <c r="AF1147" s="47"/>
      <c r="AG1147"/>
      <c r="AH1147"/>
      <c r="AI1147"/>
      <c r="AJ1147"/>
      <c r="AK1147"/>
      <c r="AL1147"/>
      <c r="AM1147"/>
      <c r="AN1147"/>
      <c r="AO1147"/>
      <c r="AP1147"/>
      <c r="AQ1147" s="32" t="s">
        <v>2335</v>
      </c>
      <c r="AU1147">
        <v>1146</v>
      </c>
    </row>
    <row r="1148" spans="1:47" x14ac:dyDescent="0.2">
      <c r="A1148" s="37">
        <v>6241</v>
      </c>
      <c r="B1148" s="38" t="s">
        <v>45</v>
      </c>
      <c r="C1148" s="39" t="s">
        <v>253</v>
      </c>
      <c r="D1148" s="29"/>
      <c r="E1148" s="38" t="s">
        <v>2356</v>
      </c>
      <c r="F1148" s="32" t="s">
        <v>2357</v>
      </c>
      <c r="G1148" s="47"/>
      <c r="H1148"/>
      <c r="I1148" s="32"/>
      <c r="J1148" s="47"/>
      <c r="K1148" s="47"/>
      <c r="L1148" s="48"/>
      <c r="M1148" s="47"/>
      <c r="N1148" s="47"/>
      <c r="O1148" s="47"/>
      <c r="P1148" s="47"/>
      <c r="Q1148" s="47"/>
      <c r="R1148" s="47"/>
      <c r="S1148" s="48"/>
      <c r="T1148" s="47"/>
      <c r="U1148" s="47"/>
      <c r="V1148" s="47"/>
      <c r="W1148" s="47"/>
      <c r="X1148" s="47"/>
      <c r="Y1148" s="47"/>
      <c r="Z1148" s="47"/>
      <c r="AA1148" s="49"/>
      <c r="AB1148" s="49"/>
      <c r="AC1148" s="49"/>
      <c r="AD1148" s="50"/>
      <c r="AE1148" s="47"/>
      <c r="AF1148" s="47"/>
      <c r="AG1148"/>
      <c r="AH1148"/>
      <c r="AI1148"/>
      <c r="AJ1148"/>
      <c r="AK1148"/>
      <c r="AL1148"/>
      <c r="AM1148"/>
      <c r="AN1148"/>
      <c r="AO1148"/>
      <c r="AP1148"/>
      <c r="AQ1148" s="32" t="s">
        <v>2335</v>
      </c>
      <c r="AU1148">
        <v>1147</v>
      </c>
    </row>
    <row r="1149" spans="1:47" x14ac:dyDescent="0.2">
      <c r="A1149" s="37">
        <v>6241</v>
      </c>
      <c r="B1149" s="38" t="s">
        <v>45</v>
      </c>
      <c r="C1149" s="39" t="s">
        <v>253</v>
      </c>
      <c r="D1149" s="29"/>
      <c r="E1149" s="38" t="s">
        <v>2358</v>
      </c>
      <c r="F1149" s="32" t="s">
        <v>246</v>
      </c>
      <c r="G1149" s="47"/>
      <c r="H1149"/>
      <c r="I1149" s="32"/>
      <c r="J1149" s="47"/>
      <c r="K1149" s="47"/>
      <c r="L1149" s="48"/>
      <c r="M1149" s="47"/>
      <c r="N1149" s="47"/>
      <c r="O1149" s="47"/>
      <c r="P1149" s="47"/>
      <c r="Q1149" s="47"/>
      <c r="R1149" s="47"/>
      <c r="S1149" s="48"/>
      <c r="T1149" s="47"/>
      <c r="U1149" s="47"/>
      <c r="V1149" s="47"/>
      <c r="W1149" s="47"/>
      <c r="X1149" s="47"/>
      <c r="Y1149" s="47"/>
      <c r="Z1149" s="47"/>
      <c r="AA1149" s="49"/>
      <c r="AB1149" s="49"/>
      <c r="AC1149" s="49"/>
      <c r="AD1149" s="50"/>
      <c r="AE1149" s="47"/>
      <c r="AF1149" s="47"/>
      <c r="AG1149"/>
      <c r="AH1149"/>
      <c r="AI1149"/>
      <c r="AJ1149"/>
      <c r="AK1149"/>
      <c r="AL1149"/>
      <c r="AM1149"/>
      <c r="AN1149"/>
      <c r="AO1149"/>
      <c r="AP1149"/>
      <c r="AQ1149" s="32" t="s">
        <v>2335</v>
      </c>
      <c r="AU1149">
        <v>1148</v>
      </c>
    </row>
    <row r="1150" spans="1:47" x14ac:dyDescent="0.2">
      <c r="A1150" s="37">
        <v>6243</v>
      </c>
      <c r="B1150" s="38" t="s">
        <v>45</v>
      </c>
      <c r="C1150" s="39" t="s">
        <v>253</v>
      </c>
      <c r="D1150" s="29"/>
      <c r="E1150" s="38" t="s">
        <v>2359</v>
      </c>
      <c r="F1150" s="32" t="s">
        <v>2360</v>
      </c>
      <c r="G1150" s="47"/>
      <c r="H1150"/>
      <c r="I1150" s="32"/>
      <c r="J1150" s="47"/>
      <c r="K1150" s="47"/>
      <c r="L1150" s="48"/>
      <c r="M1150" s="47"/>
      <c r="N1150" s="47"/>
      <c r="O1150" s="47"/>
      <c r="P1150" s="47"/>
      <c r="Q1150" s="47"/>
      <c r="R1150" s="47"/>
      <c r="S1150" s="48"/>
      <c r="T1150" s="47"/>
      <c r="U1150" s="47"/>
      <c r="V1150" s="47"/>
      <c r="W1150" s="47"/>
      <c r="X1150" s="47"/>
      <c r="Y1150" s="47"/>
      <c r="Z1150" s="47"/>
      <c r="AA1150" s="49"/>
      <c r="AB1150" s="49"/>
      <c r="AC1150" s="49"/>
      <c r="AD1150" s="50"/>
      <c r="AE1150" s="47"/>
      <c r="AF1150" s="47"/>
      <c r="AG1150"/>
      <c r="AH1150"/>
      <c r="AI1150"/>
      <c r="AJ1150"/>
      <c r="AK1150"/>
      <c r="AL1150"/>
      <c r="AM1150"/>
      <c r="AN1150"/>
      <c r="AO1150"/>
      <c r="AP1150"/>
      <c r="AQ1150" s="32" t="s">
        <v>2335</v>
      </c>
      <c r="AU1150">
        <v>1149</v>
      </c>
    </row>
    <row r="1151" spans="1:47" x14ac:dyDescent="0.2">
      <c r="A1151" s="37">
        <v>6250</v>
      </c>
      <c r="B1151" s="38" t="s">
        <v>45</v>
      </c>
      <c r="C1151" s="39" t="s">
        <v>1234</v>
      </c>
      <c r="D1151" s="29"/>
      <c r="E1151" s="38" t="s">
        <v>2361</v>
      </c>
      <c r="F1151" s="32" t="s">
        <v>1663</v>
      </c>
      <c r="G1151" s="47" t="s">
        <v>481</v>
      </c>
      <c r="H1151"/>
      <c r="I1151" s="32" t="s">
        <v>2362</v>
      </c>
      <c r="J1151" s="47"/>
      <c r="K1151" s="47"/>
      <c r="L1151" s="48">
        <v>8</v>
      </c>
      <c r="M1151" s="47"/>
      <c r="N1151" s="47"/>
      <c r="O1151" s="47">
        <v>1</v>
      </c>
      <c r="P1151" s="47"/>
      <c r="Q1151" s="47"/>
      <c r="R1151" s="47"/>
      <c r="S1151" s="48">
        <v>7</v>
      </c>
      <c r="T1151" s="47">
        <v>0</v>
      </c>
      <c r="U1151" s="47"/>
      <c r="V1151" s="47"/>
      <c r="W1151" s="47"/>
      <c r="X1151" s="47"/>
      <c r="Y1151" s="31" t="s">
        <v>51</v>
      </c>
      <c r="Z1151" s="47"/>
      <c r="AA1151" s="49"/>
      <c r="AB1151" s="49"/>
      <c r="AC1151" s="49"/>
      <c r="AD1151" s="50"/>
      <c r="AE1151" s="47" t="s">
        <v>1312</v>
      </c>
      <c r="AF1151" s="47">
        <v>105</v>
      </c>
      <c r="AG1151"/>
      <c r="AH1151"/>
      <c r="AI1151"/>
      <c r="AJ1151"/>
      <c r="AK1151"/>
      <c r="AL1151"/>
      <c r="AM1151"/>
      <c r="AN1151"/>
      <c r="AO1151"/>
      <c r="AP1151"/>
      <c r="AQ1151" s="32" t="s">
        <v>2363</v>
      </c>
      <c r="AU1151">
        <v>1150</v>
      </c>
    </row>
    <row r="1152" spans="1:47" x14ac:dyDescent="0.2">
      <c r="A1152" s="37">
        <v>6250</v>
      </c>
      <c r="B1152" s="38" t="s">
        <v>45</v>
      </c>
      <c r="C1152" s="85" t="s">
        <v>1843</v>
      </c>
      <c r="D1152" s="29"/>
      <c r="E1152" s="38" t="s">
        <v>2364</v>
      </c>
      <c r="F1152" s="32" t="s">
        <v>2365</v>
      </c>
      <c r="G1152" s="47" t="s">
        <v>481</v>
      </c>
      <c r="H1152"/>
      <c r="I1152" s="32" t="b">
        <v>1</v>
      </c>
      <c r="J1152" s="32" t="b">
        <v>1</v>
      </c>
      <c r="K1152" s="47">
        <f>1210+880+660</f>
        <v>2750</v>
      </c>
      <c r="L1152" s="48">
        <v>6</v>
      </c>
      <c r="M1152" s="47"/>
      <c r="N1152" s="47">
        <v>1</v>
      </c>
      <c r="O1152" s="47"/>
      <c r="P1152" s="47"/>
      <c r="Q1152" s="47"/>
      <c r="R1152" s="47"/>
      <c r="S1152" s="48">
        <v>5</v>
      </c>
      <c r="T1152" s="47">
        <v>0</v>
      </c>
      <c r="U1152" s="47">
        <v>0</v>
      </c>
      <c r="V1152" s="47">
        <v>1</v>
      </c>
      <c r="W1152" s="47">
        <f>((600+1600+2400+1200+2800)/5)*39.37/12</f>
        <v>5643.0333333333328</v>
      </c>
      <c r="X1152" s="47"/>
      <c r="Y1152" s="47" t="s">
        <v>51</v>
      </c>
      <c r="Z1152" s="47" t="s">
        <v>1846</v>
      </c>
      <c r="AA1152" s="49">
        <v>0.75</v>
      </c>
      <c r="AB1152" s="49"/>
      <c r="AC1152" s="49">
        <v>0.80902777777777779</v>
      </c>
      <c r="AD1152" s="50">
        <v>3</v>
      </c>
      <c r="AE1152" s="47" t="s">
        <v>342</v>
      </c>
      <c r="AF1152" s="47">
        <v>60</v>
      </c>
      <c r="AG1152"/>
      <c r="AH1152"/>
      <c r="AI1152"/>
      <c r="AJ1152"/>
      <c r="AK1152">
        <f>35+32+30</f>
        <v>97</v>
      </c>
      <c r="AL1152"/>
      <c r="AM1152"/>
      <c r="AN1152"/>
      <c r="AO1152"/>
      <c r="AP1152"/>
      <c r="AQ1152" s="32" t="s">
        <v>2366</v>
      </c>
      <c r="AR1152" s="32" t="s">
        <v>2367</v>
      </c>
      <c r="AU1152">
        <v>1151</v>
      </c>
    </row>
    <row r="1153" spans="1:47" x14ac:dyDescent="0.2">
      <c r="A1153" s="37">
        <v>6250</v>
      </c>
      <c r="B1153" s="38" t="s">
        <v>45</v>
      </c>
      <c r="C1153" s="39" t="s">
        <v>1843</v>
      </c>
      <c r="D1153" s="29"/>
      <c r="E1153" s="38" t="s">
        <v>2368</v>
      </c>
      <c r="F1153" s="32" t="s">
        <v>2369</v>
      </c>
      <c r="G1153" s="47" t="s">
        <v>49</v>
      </c>
      <c r="H1153"/>
      <c r="I1153" s="32" t="b">
        <v>0</v>
      </c>
      <c r="J1153" s="32" t="b">
        <v>0</v>
      </c>
      <c r="K1153" s="47">
        <f>(5*50+30*10)*2.2</f>
        <v>1210</v>
      </c>
      <c r="L1153" s="48"/>
      <c r="M1153" s="47"/>
      <c r="N1153" s="47"/>
      <c r="O1153" s="47"/>
      <c r="P1153" s="47"/>
      <c r="Q1153" s="47"/>
      <c r="R1153" s="47"/>
      <c r="S1153" s="48">
        <v>2</v>
      </c>
      <c r="T1153" s="47"/>
      <c r="U1153" s="47"/>
      <c r="V1153" s="47"/>
      <c r="W1153" s="47">
        <f>((600+2400)/2)*39.37/12</f>
        <v>4921.2499999999991</v>
      </c>
      <c r="X1153" s="47"/>
      <c r="Y1153" s="47" t="s">
        <v>51</v>
      </c>
      <c r="Z1153" s="47" t="s">
        <v>1846</v>
      </c>
      <c r="AA1153" s="49">
        <v>0.75</v>
      </c>
      <c r="AB1153" s="49"/>
      <c r="AC1153" s="49">
        <v>0.80902777777777779</v>
      </c>
      <c r="AD1153" s="50">
        <f>2+1/3</f>
        <v>2.3333333333333335</v>
      </c>
      <c r="AE1153" s="47" t="s">
        <v>342</v>
      </c>
      <c r="AF1153" s="47">
        <v>55</v>
      </c>
      <c r="AG1153"/>
      <c r="AH1153"/>
      <c r="AI1153"/>
      <c r="AJ1153"/>
      <c r="AK1153">
        <v>35</v>
      </c>
      <c r="AL1153"/>
      <c r="AM1153"/>
      <c r="AN1153"/>
      <c r="AO1153"/>
      <c r="AP1153"/>
      <c r="AQ1153" s="32" t="s">
        <v>2366</v>
      </c>
      <c r="AR1153" s="32" t="s">
        <v>2370</v>
      </c>
      <c r="AU1153">
        <v>1152</v>
      </c>
    </row>
    <row r="1154" spans="1:47" x14ac:dyDescent="0.2">
      <c r="A1154" s="37">
        <v>6250</v>
      </c>
      <c r="B1154" s="38" t="s">
        <v>45</v>
      </c>
      <c r="C1154" s="39" t="s">
        <v>1843</v>
      </c>
      <c r="D1154" s="29"/>
      <c r="E1154" s="38" t="s">
        <v>472</v>
      </c>
      <c r="F1154" s="32" t="s">
        <v>1972</v>
      </c>
      <c r="G1154" s="47" t="s">
        <v>481</v>
      </c>
      <c r="H1154"/>
      <c r="I1154" s="32" t="b">
        <v>0</v>
      </c>
      <c r="J1154" s="32" t="b">
        <v>0</v>
      </c>
      <c r="K1154" s="47">
        <f>(30*10+2*50)*2.2</f>
        <v>880.00000000000011</v>
      </c>
      <c r="L1154" s="48"/>
      <c r="M1154" s="47"/>
      <c r="N1154" s="47"/>
      <c r="O1154" s="47"/>
      <c r="P1154" s="47"/>
      <c r="Q1154" s="47"/>
      <c r="R1154" s="47"/>
      <c r="S1154" s="48">
        <v>2</v>
      </c>
      <c r="T1154" s="47"/>
      <c r="U1154" s="47"/>
      <c r="V1154" s="47"/>
      <c r="W1154" s="47">
        <f>((1600+2800)/2)*39.37/12</f>
        <v>7217.833333333333</v>
      </c>
      <c r="X1154" s="47"/>
      <c r="Y1154" s="47" t="s">
        <v>51</v>
      </c>
      <c r="Z1154" s="47" t="s">
        <v>1846</v>
      </c>
      <c r="AA1154" s="49">
        <v>0.75</v>
      </c>
      <c r="AB1154" s="49"/>
      <c r="AC1154" s="49">
        <v>0.80902777777777779</v>
      </c>
      <c r="AD1154" s="50">
        <v>3</v>
      </c>
      <c r="AE1154" s="47" t="s">
        <v>342</v>
      </c>
      <c r="AF1154" s="47">
        <v>60</v>
      </c>
      <c r="AG1154"/>
      <c r="AH1154"/>
      <c r="AI1154"/>
      <c r="AJ1154"/>
      <c r="AK1154">
        <v>32</v>
      </c>
      <c r="AL1154"/>
      <c r="AM1154"/>
      <c r="AN1154"/>
      <c r="AO1154"/>
      <c r="AP1154"/>
      <c r="AQ1154" s="32" t="s">
        <v>2366</v>
      </c>
      <c r="AR1154" s="32" t="s">
        <v>2371</v>
      </c>
      <c r="AU1154">
        <v>1153</v>
      </c>
    </row>
    <row r="1155" spans="1:47" x14ac:dyDescent="0.2">
      <c r="A1155" s="37">
        <v>6250</v>
      </c>
      <c r="B1155" s="38" t="s">
        <v>45</v>
      </c>
      <c r="C1155" s="39" t="s">
        <v>1843</v>
      </c>
      <c r="D1155" s="29"/>
      <c r="E1155" s="38" t="s">
        <v>464</v>
      </c>
      <c r="F1155" s="32" t="s">
        <v>1972</v>
      </c>
      <c r="G1155" s="47" t="s">
        <v>481</v>
      </c>
      <c r="H1155"/>
      <c r="I1155" s="32" t="b">
        <v>0</v>
      </c>
      <c r="J1155" s="32" t="b">
        <v>0</v>
      </c>
      <c r="K1155" s="47">
        <f>30*10*2.2</f>
        <v>660</v>
      </c>
      <c r="L1155" s="48"/>
      <c r="M1155" s="47"/>
      <c r="N1155" s="47"/>
      <c r="O1155" s="47"/>
      <c r="P1155" s="47"/>
      <c r="Q1155" s="47"/>
      <c r="R1155" s="47"/>
      <c r="S1155" s="48">
        <v>1</v>
      </c>
      <c r="T1155" s="47"/>
      <c r="U1155" s="47"/>
      <c r="V1155" s="47"/>
      <c r="W1155" s="47">
        <f>(1200)*39.37/12</f>
        <v>3937</v>
      </c>
      <c r="X1155" s="47"/>
      <c r="Y1155" s="47" t="s">
        <v>51</v>
      </c>
      <c r="Z1155" s="47" t="s">
        <v>1846</v>
      </c>
      <c r="AA1155" s="49">
        <v>0.75</v>
      </c>
      <c r="AB1155" s="49"/>
      <c r="AC1155" s="49">
        <v>0.80902777777777779</v>
      </c>
      <c r="AD1155" s="50">
        <f>2+50/60</f>
        <v>2.8333333333333335</v>
      </c>
      <c r="AE1155" s="47" t="s">
        <v>342</v>
      </c>
      <c r="AF1155" s="47">
        <v>60</v>
      </c>
      <c r="AG1155"/>
      <c r="AH1155"/>
      <c r="AI1155"/>
      <c r="AJ1155"/>
      <c r="AK1155">
        <v>30</v>
      </c>
      <c r="AL1155"/>
      <c r="AM1155"/>
      <c r="AN1155"/>
      <c r="AO1155"/>
      <c r="AP1155"/>
      <c r="AQ1155" s="32" t="s">
        <v>2366</v>
      </c>
      <c r="AR1155" s="32" t="s">
        <v>2372</v>
      </c>
      <c r="AU1155">
        <v>1154</v>
      </c>
    </row>
    <row r="1156" spans="1:47" x14ac:dyDescent="0.2">
      <c r="A1156" s="37">
        <v>6250</v>
      </c>
      <c r="B1156" s="38" t="s">
        <v>45</v>
      </c>
      <c r="C1156" s="39" t="s">
        <v>1561</v>
      </c>
      <c r="D1156" s="29"/>
      <c r="E1156" s="38" t="s">
        <v>2373</v>
      </c>
      <c r="F1156" s="32" t="s">
        <v>2374</v>
      </c>
      <c r="G1156" s="47" t="s">
        <v>69</v>
      </c>
      <c r="H1156"/>
      <c r="I1156" s="32"/>
      <c r="J1156" s="32"/>
      <c r="K1156" s="47">
        <f>4*10*2.2</f>
        <v>88</v>
      </c>
      <c r="L1156" s="48"/>
      <c r="M1156" s="47"/>
      <c r="N1156" s="47"/>
      <c r="O1156" s="47"/>
      <c r="P1156" s="47"/>
      <c r="Q1156" s="47"/>
      <c r="R1156" s="47"/>
      <c r="S1156" s="48">
        <v>1</v>
      </c>
      <c r="T1156" s="47">
        <v>0</v>
      </c>
      <c r="U1156" s="47">
        <v>0</v>
      </c>
      <c r="V1156" s="47">
        <v>0</v>
      </c>
      <c r="W1156" s="47"/>
      <c r="X1156" s="47"/>
      <c r="Y1156" s="47" t="s">
        <v>51</v>
      </c>
      <c r="Z1156" s="47"/>
      <c r="AA1156" s="49"/>
      <c r="AB1156" s="49"/>
      <c r="AC1156" s="49"/>
      <c r="AD1156" s="50"/>
      <c r="AE1156" s="47" t="s">
        <v>2302</v>
      </c>
      <c r="AF1156" s="47">
        <v>140</v>
      </c>
      <c r="AG1156"/>
      <c r="AH1156"/>
      <c r="AI1156"/>
      <c r="AJ1156"/>
      <c r="AK1156">
        <v>4</v>
      </c>
      <c r="AL1156"/>
      <c r="AM1156"/>
      <c r="AN1156"/>
      <c r="AO1156"/>
      <c r="AP1156"/>
      <c r="AQ1156" s="32" t="s">
        <v>2375</v>
      </c>
      <c r="AU1156">
        <v>1155</v>
      </c>
    </row>
    <row r="1157" spans="1:47" x14ac:dyDescent="0.2">
      <c r="A1157" s="26">
        <v>6250</v>
      </c>
      <c r="B1157" s="27">
        <v>0.88888888888888884</v>
      </c>
      <c r="C1157" s="28"/>
      <c r="D1157" s="29"/>
      <c r="E1157" s="30" t="s">
        <v>869</v>
      </c>
      <c r="H1157" s="32">
        <v>0</v>
      </c>
      <c r="I1157" s="32" t="s">
        <v>2376</v>
      </c>
      <c r="AG1157" s="32">
        <v>0</v>
      </c>
      <c r="AH1157" s="32">
        <v>0</v>
      </c>
      <c r="AI1157" s="32">
        <v>0</v>
      </c>
      <c r="AK1157" s="32">
        <v>0</v>
      </c>
      <c r="AQ1157" s="32" t="s">
        <v>589</v>
      </c>
      <c r="AU1157">
        <v>1156</v>
      </c>
    </row>
    <row r="1158" spans="1:47" x14ac:dyDescent="0.2">
      <c r="A1158" s="26">
        <v>6250</v>
      </c>
      <c r="B1158" s="27" t="s">
        <v>85</v>
      </c>
      <c r="C1158" s="28"/>
      <c r="D1158" s="29"/>
      <c r="E1158" s="30" t="s">
        <v>720</v>
      </c>
      <c r="H1158" s="32">
        <v>1</v>
      </c>
      <c r="I1158" s="32" t="s">
        <v>2377</v>
      </c>
      <c r="AG1158" s="32">
        <v>1</v>
      </c>
      <c r="AH1158" s="32">
        <v>2</v>
      </c>
      <c r="AQ1158" s="32">
        <v>460</v>
      </c>
      <c r="AU1158">
        <v>1157</v>
      </c>
    </row>
    <row r="1159" spans="1:47" x14ac:dyDescent="0.2">
      <c r="A1159" s="26">
        <v>6250</v>
      </c>
      <c r="B1159" s="27" t="s">
        <v>45</v>
      </c>
      <c r="C1159" s="28"/>
      <c r="D1159" s="29"/>
      <c r="E1159" s="30" t="s">
        <v>858</v>
      </c>
      <c r="H1159" s="32">
        <v>1</v>
      </c>
      <c r="I1159" s="32"/>
      <c r="AG1159" s="32">
        <v>12</v>
      </c>
      <c r="AH1159" s="32">
        <v>3</v>
      </c>
      <c r="AI1159" s="32">
        <v>40000</v>
      </c>
      <c r="AQ1159" s="32">
        <v>438</v>
      </c>
      <c r="AU1159">
        <v>1158</v>
      </c>
    </row>
    <row r="1160" spans="1:47" x14ac:dyDescent="0.2">
      <c r="A1160" s="26">
        <v>6250</v>
      </c>
      <c r="B1160" s="27" t="s">
        <v>45</v>
      </c>
      <c r="C1160" s="28"/>
      <c r="D1160" s="29"/>
      <c r="E1160" s="30" t="s">
        <v>1531</v>
      </c>
      <c r="H1160" s="32">
        <v>1</v>
      </c>
      <c r="I1160" s="32" t="s">
        <v>2378</v>
      </c>
      <c r="AM1160" s="32">
        <f>498*315</f>
        <v>156870</v>
      </c>
      <c r="AO1160" s="32" t="s">
        <v>1533</v>
      </c>
      <c r="AQ1160" s="32" t="s">
        <v>1101</v>
      </c>
      <c r="AU1160">
        <v>1159</v>
      </c>
    </row>
    <row r="1161" spans="1:47" x14ac:dyDescent="0.2">
      <c r="A1161" s="26">
        <v>6250</v>
      </c>
      <c r="B1161" s="27" t="s">
        <v>45</v>
      </c>
      <c r="C1161" s="28"/>
      <c r="D1161" s="29"/>
      <c r="E1161" s="150" t="s">
        <v>2379</v>
      </c>
      <c r="H1161" s="32">
        <v>0</v>
      </c>
      <c r="I1161" s="32" t="s">
        <v>1820</v>
      </c>
      <c r="AG1161" s="32">
        <v>0</v>
      </c>
      <c r="AH1161" s="32">
        <v>0</v>
      </c>
      <c r="AI1161" s="32">
        <v>0</v>
      </c>
      <c r="AK1161" s="32">
        <v>0</v>
      </c>
      <c r="AM1161" s="32">
        <f>125*500</f>
        <v>62500</v>
      </c>
      <c r="AO1161" s="73" t="s">
        <v>75</v>
      </c>
      <c r="AQ1161" s="32" t="s">
        <v>589</v>
      </c>
      <c r="AU1161">
        <v>1160</v>
      </c>
    </row>
    <row r="1162" spans="1:47" x14ac:dyDescent="0.2">
      <c r="A1162" s="37">
        <v>6251</v>
      </c>
      <c r="B1162" s="38" t="s">
        <v>45</v>
      </c>
      <c r="C1162" s="39" t="s">
        <v>253</v>
      </c>
      <c r="D1162" s="29"/>
      <c r="E1162" s="38" t="s">
        <v>720</v>
      </c>
      <c r="F1162" s="32" t="s">
        <v>1625</v>
      </c>
      <c r="G1162" s="47"/>
      <c r="H1162"/>
      <c r="I1162" s="32"/>
      <c r="J1162" s="47"/>
      <c r="K1162" s="47"/>
      <c r="L1162" s="48"/>
      <c r="M1162" s="47"/>
      <c r="N1162" s="47"/>
      <c r="O1162" s="47"/>
      <c r="P1162" s="47"/>
      <c r="Q1162" s="47"/>
      <c r="R1162" s="47"/>
      <c r="S1162" s="48"/>
      <c r="T1162" s="47"/>
      <c r="U1162" s="47"/>
      <c r="V1162" s="47"/>
      <c r="W1162" s="47"/>
      <c r="X1162" s="47"/>
      <c r="Y1162" s="47"/>
      <c r="Z1162" s="47"/>
      <c r="AA1162" s="49"/>
      <c r="AB1162" s="49"/>
      <c r="AC1162" s="49"/>
      <c r="AD1162" s="50"/>
      <c r="AE1162" s="47"/>
      <c r="AF1162" s="47"/>
      <c r="AG1162"/>
      <c r="AH1162"/>
      <c r="AI1162"/>
      <c r="AJ1162"/>
      <c r="AK1162"/>
      <c r="AL1162"/>
      <c r="AM1162"/>
      <c r="AN1162"/>
      <c r="AO1162"/>
      <c r="AP1162"/>
      <c r="AQ1162" s="32" t="s">
        <v>2335</v>
      </c>
      <c r="AU1162">
        <v>1161</v>
      </c>
    </row>
    <row r="1163" spans="1:47" x14ac:dyDescent="0.2">
      <c r="A1163" s="37">
        <v>6251</v>
      </c>
      <c r="B1163" s="38" t="s">
        <v>45</v>
      </c>
      <c r="C1163" s="39" t="s">
        <v>1843</v>
      </c>
      <c r="D1163" s="29"/>
      <c r="E1163" s="38" t="s">
        <v>2380</v>
      </c>
      <c r="F1163" s="32" t="s">
        <v>1972</v>
      </c>
      <c r="G1163" s="47" t="s">
        <v>481</v>
      </c>
      <c r="H1163"/>
      <c r="I1163" s="32" t="b">
        <v>1</v>
      </c>
      <c r="J1163" s="32" t="b">
        <v>1</v>
      </c>
      <c r="K1163" s="47">
        <f>2420+660</f>
        <v>3080</v>
      </c>
      <c r="L1163" s="48">
        <v>5</v>
      </c>
      <c r="M1163" s="47"/>
      <c r="N1163" s="47">
        <v>2</v>
      </c>
      <c r="O1163" s="47"/>
      <c r="P1163" s="47"/>
      <c r="Q1163" s="47"/>
      <c r="R1163" s="47"/>
      <c r="S1163" s="48">
        <v>3</v>
      </c>
      <c r="T1163" s="47">
        <v>0</v>
      </c>
      <c r="U1163" s="47">
        <v>0</v>
      </c>
      <c r="V1163" s="47">
        <v>1</v>
      </c>
      <c r="W1163" s="47">
        <f>((2800+1800+1500)/3)*39.37/12</f>
        <v>6671.0277777777774</v>
      </c>
      <c r="X1163" s="47"/>
      <c r="Y1163" s="47" t="s">
        <v>51</v>
      </c>
      <c r="Z1163" s="47" t="s">
        <v>1846</v>
      </c>
      <c r="AA1163" s="49">
        <v>0.72569444444444453</v>
      </c>
      <c r="AB1163" s="49"/>
      <c r="AC1163" s="49">
        <v>0.97916666666666663</v>
      </c>
      <c r="AD1163" s="50">
        <f>2+5/60</f>
        <v>2.0833333333333335</v>
      </c>
      <c r="AE1163" s="47" t="s">
        <v>342</v>
      </c>
      <c r="AF1163" s="47">
        <v>60</v>
      </c>
      <c r="AG1163"/>
      <c r="AH1163"/>
      <c r="AI1163"/>
      <c r="AJ1163"/>
      <c r="AK1163">
        <f>94+30</f>
        <v>124</v>
      </c>
      <c r="AL1163"/>
      <c r="AM1163"/>
      <c r="AN1163"/>
      <c r="AO1163"/>
      <c r="AP1163"/>
      <c r="AQ1163" s="32" t="s">
        <v>2366</v>
      </c>
      <c r="AR1163" s="32" t="s">
        <v>2381</v>
      </c>
      <c r="AU1163">
        <v>1162</v>
      </c>
    </row>
    <row r="1164" spans="1:47" x14ac:dyDescent="0.2">
      <c r="A1164" s="37">
        <v>6251</v>
      </c>
      <c r="B1164" s="38" t="s">
        <v>45</v>
      </c>
      <c r="C1164" s="39" t="s">
        <v>1843</v>
      </c>
      <c r="D1164" s="29"/>
      <c r="E1164" s="38" t="s">
        <v>1455</v>
      </c>
      <c r="F1164" s="32" t="s">
        <v>1972</v>
      </c>
      <c r="G1164" s="47" t="s">
        <v>481</v>
      </c>
      <c r="H1164"/>
      <c r="I1164" s="32" t="b">
        <v>0</v>
      </c>
      <c r="J1164" s="32" t="b">
        <v>0</v>
      </c>
      <c r="K1164" s="47">
        <f>(90*10+4*50)*2.2</f>
        <v>2420</v>
      </c>
      <c r="L1164" s="48"/>
      <c r="M1164" s="47"/>
      <c r="N1164" s="47"/>
      <c r="O1164" s="47"/>
      <c r="P1164" s="47"/>
      <c r="Q1164" s="47"/>
      <c r="R1164" s="47"/>
      <c r="S1164" s="48">
        <v>2</v>
      </c>
      <c r="T1164" s="47"/>
      <c r="U1164" s="47"/>
      <c r="V1164" s="47"/>
      <c r="W1164" s="47">
        <f>((1800+1500)/2)*39.37/12</f>
        <v>5413.3749999999991</v>
      </c>
      <c r="X1164" s="47"/>
      <c r="Y1164" s="47" t="s">
        <v>51</v>
      </c>
      <c r="Z1164" s="47" t="s">
        <v>1846</v>
      </c>
      <c r="AA1164" s="49">
        <v>0.72569444444444453</v>
      </c>
      <c r="AB1164" s="49"/>
      <c r="AC1164" s="49">
        <v>0.97916666666666663</v>
      </c>
      <c r="AD1164" s="50">
        <v>1.75</v>
      </c>
      <c r="AE1164" s="47" t="s">
        <v>342</v>
      </c>
      <c r="AF1164" s="47">
        <v>60</v>
      </c>
      <c r="AG1164"/>
      <c r="AH1164"/>
      <c r="AI1164"/>
      <c r="AJ1164"/>
      <c r="AK1164">
        <v>94</v>
      </c>
      <c r="AL1164"/>
      <c r="AM1164"/>
      <c r="AN1164"/>
      <c r="AO1164"/>
      <c r="AP1164"/>
      <c r="AQ1164" s="32" t="s">
        <v>2366</v>
      </c>
      <c r="AR1164" s="32" t="s">
        <v>2382</v>
      </c>
      <c r="AU1164">
        <v>1163</v>
      </c>
    </row>
    <row r="1165" spans="1:47" x14ac:dyDescent="0.2">
      <c r="A1165" s="37">
        <v>6251</v>
      </c>
      <c r="B1165" s="38" t="s">
        <v>45</v>
      </c>
      <c r="C1165" s="39" t="s">
        <v>1843</v>
      </c>
      <c r="D1165" s="29"/>
      <c r="E1165" s="38" t="s">
        <v>464</v>
      </c>
      <c r="F1165" s="32" t="s">
        <v>2383</v>
      </c>
      <c r="G1165" s="47" t="s">
        <v>481</v>
      </c>
      <c r="H1165"/>
      <c r="I1165" s="32" t="b">
        <v>0</v>
      </c>
      <c r="J1165" s="32" t="b">
        <v>0</v>
      </c>
      <c r="K1165" s="47">
        <f>30*10*2.2</f>
        <v>660</v>
      </c>
      <c r="L1165" s="48"/>
      <c r="M1165" s="47"/>
      <c r="N1165" s="47"/>
      <c r="O1165" s="47"/>
      <c r="P1165" s="47"/>
      <c r="Q1165" s="47"/>
      <c r="R1165" s="47"/>
      <c r="S1165" s="48">
        <v>1</v>
      </c>
      <c r="T1165" s="47"/>
      <c r="U1165" s="47"/>
      <c r="V1165" s="47"/>
      <c r="W1165" s="47">
        <f>2800*39.37/12</f>
        <v>9186.3333333333339</v>
      </c>
      <c r="X1165" s="47"/>
      <c r="Y1165" s="47" t="s">
        <v>51</v>
      </c>
      <c r="Z1165" s="47" t="s">
        <v>1846</v>
      </c>
      <c r="AA1165" s="49">
        <v>0.72569444444444453</v>
      </c>
      <c r="AB1165" s="49"/>
      <c r="AC1165" s="49">
        <v>0.97916666666666663</v>
      </c>
      <c r="AD1165" s="50">
        <f>2+5/60</f>
        <v>2.0833333333333335</v>
      </c>
      <c r="AE1165" s="47" t="s">
        <v>342</v>
      </c>
      <c r="AF1165" s="47">
        <v>60</v>
      </c>
      <c r="AG1165"/>
      <c r="AH1165"/>
      <c r="AI1165"/>
      <c r="AJ1165"/>
      <c r="AK1165">
        <v>30</v>
      </c>
      <c r="AL1165"/>
      <c r="AM1165"/>
      <c r="AN1165"/>
      <c r="AO1165"/>
      <c r="AP1165"/>
      <c r="AQ1165" s="32" t="s">
        <v>2366</v>
      </c>
      <c r="AR1165" s="32" t="s">
        <v>2384</v>
      </c>
      <c r="AU1165">
        <v>1164</v>
      </c>
    </row>
    <row r="1166" spans="1:47" x14ac:dyDescent="0.2">
      <c r="A1166" s="37">
        <v>6251</v>
      </c>
      <c r="B1166" s="38" t="s">
        <v>45</v>
      </c>
      <c r="C1166" s="39" t="s">
        <v>142</v>
      </c>
      <c r="D1166" s="29"/>
      <c r="E1166" s="38" t="s">
        <v>1389</v>
      </c>
      <c r="F1166" s="32" t="s">
        <v>1663</v>
      </c>
      <c r="G1166" s="47" t="s">
        <v>459</v>
      </c>
      <c r="H1166"/>
      <c r="I1166" s="32" t="s">
        <v>2385</v>
      </c>
      <c r="J1166" s="47"/>
      <c r="K1166" s="47">
        <f>22*10*2.2</f>
        <v>484.00000000000006</v>
      </c>
      <c r="L1166" s="48"/>
      <c r="M1166" s="47"/>
      <c r="N1166" s="47"/>
      <c r="O1166" s="47"/>
      <c r="P1166" s="47"/>
      <c r="Q1166" s="47"/>
      <c r="R1166" s="47"/>
      <c r="S1166" s="48">
        <v>3</v>
      </c>
      <c r="T1166" s="47">
        <v>0</v>
      </c>
      <c r="U1166" s="47">
        <v>0</v>
      </c>
      <c r="V1166" s="47">
        <v>0</v>
      </c>
      <c r="W1166" s="47"/>
      <c r="X1166" s="47"/>
      <c r="Y1166" s="47" t="s">
        <v>51</v>
      </c>
      <c r="Z1166" s="47" t="s">
        <v>2203</v>
      </c>
      <c r="AA1166" s="49">
        <v>0.96875</v>
      </c>
      <c r="AB1166" s="49"/>
      <c r="AC1166" s="49"/>
      <c r="AD1166" s="50"/>
      <c r="AE1166" s="47" t="s">
        <v>342</v>
      </c>
      <c r="AF1166" s="47">
        <v>55</v>
      </c>
      <c r="AG1166"/>
      <c r="AH1166"/>
      <c r="AI1166"/>
      <c r="AJ1166"/>
      <c r="AK1166">
        <v>22</v>
      </c>
      <c r="AL1166"/>
      <c r="AM1166"/>
      <c r="AN1166"/>
      <c r="AO1166"/>
      <c r="AP1166"/>
      <c r="AQ1166" s="32" t="s">
        <v>2375</v>
      </c>
      <c r="AU1166">
        <v>1165</v>
      </c>
    </row>
    <row r="1167" spans="1:47" x14ac:dyDescent="0.2">
      <c r="A1167" s="37">
        <v>6251</v>
      </c>
      <c r="B1167" s="38" t="s">
        <v>45</v>
      </c>
      <c r="C1167" s="39" t="s">
        <v>142</v>
      </c>
      <c r="D1167" s="29"/>
      <c r="E1167" s="38" t="s">
        <v>153</v>
      </c>
      <c r="F1167" s="32" t="s">
        <v>529</v>
      </c>
      <c r="G1167" s="47" t="s">
        <v>205</v>
      </c>
      <c r="H1167"/>
      <c r="I1167" s="32" t="s">
        <v>2386</v>
      </c>
      <c r="J1167" s="47"/>
      <c r="K1167" s="47">
        <v>0</v>
      </c>
      <c r="L1167" s="48"/>
      <c r="M1167" s="47"/>
      <c r="N1167" s="47"/>
      <c r="O1167" s="47"/>
      <c r="P1167" s="47"/>
      <c r="Q1167" s="47"/>
      <c r="R1167" s="47"/>
      <c r="S1167" s="48">
        <v>0</v>
      </c>
      <c r="T1167" s="47">
        <v>0</v>
      </c>
      <c r="U1167" s="47">
        <v>0</v>
      </c>
      <c r="V1167" s="47">
        <v>0</v>
      </c>
      <c r="W1167" s="47"/>
      <c r="X1167" s="47"/>
      <c r="Y1167" s="47" t="s">
        <v>51</v>
      </c>
      <c r="Z1167" s="47" t="s">
        <v>2203</v>
      </c>
      <c r="AA1167" s="49"/>
      <c r="AB1167" s="49"/>
      <c r="AC1167" s="49"/>
      <c r="AD1167" s="50"/>
      <c r="AE1167" s="47" t="s">
        <v>342</v>
      </c>
      <c r="AF1167" s="47">
        <v>40</v>
      </c>
      <c r="AG1167"/>
      <c r="AH1167"/>
      <c r="AI1167"/>
      <c r="AJ1167"/>
      <c r="AK1167">
        <v>0</v>
      </c>
      <c r="AL1167"/>
      <c r="AM1167"/>
      <c r="AN1167"/>
      <c r="AO1167"/>
      <c r="AP1167"/>
      <c r="AQ1167" s="32" t="s">
        <v>2375</v>
      </c>
      <c r="AU1167">
        <v>1166</v>
      </c>
    </row>
    <row r="1168" spans="1:47" x14ac:dyDescent="0.2">
      <c r="A1168" s="37">
        <v>6251</v>
      </c>
      <c r="B1168" s="38" t="s">
        <v>45</v>
      </c>
      <c r="C1168" s="39" t="s">
        <v>1234</v>
      </c>
      <c r="D1168" s="29"/>
      <c r="E1168" s="38" t="s">
        <v>2387</v>
      </c>
      <c r="F1168" s="32" t="s">
        <v>2388</v>
      </c>
      <c r="G1168" s="47" t="s">
        <v>481</v>
      </c>
      <c r="H1168"/>
      <c r="I1168" s="32" t="s">
        <v>2389</v>
      </c>
      <c r="J1168" s="47"/>
      <c r="K1168" s="47"/>
      <c r="L1168" s="48"/>
      <c r="M1168" s="47"/>
      <c r="N1168" s="47"/>
      <c r="O1168" s="47"/>
      <c r="P1168" s="47"/>
      <c r="Q1168" s="47"/>
      <c r="R1168" s="47"/>
      <c r="S1168" s="48">
        <v>14</v>
      </c>
      <c r="T1168" s="47">
        <v>0</v>
      </c>
      <c r="U1168" s="47">
        <v>4</v>
      </c>
      <c r="V1168" s="47"/>
      <c r="W1168" s="47"/>
      <c r="X1168" s="47"/>
      <c r="Y1168" s="31" t="s">
        <v>51</v>
      </c>
      <c r="Z1168" s="47"/>
      <c r="AA1168" s="49"/>
      <c r="AB1168" s="49"/>
      <c r="AC1168" s="49"/>
      <c r="AD1168" s="50"/>
      <c r="AE1168" s="47" t="s">
        <v>1312</v>
      </c>
      <c r="AF1168" s="47">
        <v>115</v>
      </c>
      <c r="AG1168"/>
      <c r="AH1168"/>
      <c r="AI1168"/>
      <c r="AJ1168"/>
      <c r="AK1168"/>
      <c r="AL1168"/>
      <c r="AM1168"/>
      <c r="AN1168"/>
      <c r="AO1168"/>
      <c r="AP1168"/>
      <c r="AQ1168" t="s">
        <v>2390</v>
      </c>
      <c r="AU1168">
        <v>1167</v>
      </c>
    </row>
    <row r="1169" spans="1:47" x14ac:dyDescent="0.2">
      <c r="A1169" s="26">
        <v>6251</v>
      </c>
      <c r="B1169" s="27">
        <v>0.14583333333333334</v>
      </c>
      <c r="C1169" s="28"/>
      <c r="D1169" s="29"/>
      <c r="E1169" s="30" t="s">
        <v>78</v>
      </c>
      <c r="H1169" s="32">
        <v>1</v>
      </c>
      <c r="I1169" s="32"/>
      <c r="AG1169" s="32">
        <v>0</v>
      </c>
      <c r="AH1169" s="32">
        <v>8</v>
      </c>
      <c r="AJ1169" s="32">
        <v>121465</v>
      </c>
      <c r="AK1169" s="32">
        <v>14</v>
      </c>
      <c r="AO1169" s="32" t="s">
        <v>80</v>
      </c>
      <c r="AQ1169" s="32" t="s">
        <v>1101</v>
      </c>
      <c r="AU1169">
        <v>1168</v>
      </c>
    </row>
    <row r="1170" spans="1:47" x14ac:dyDescent="0.2">
      <c r="A1170" s="26">
        <v>6251</v>
      </c>
      <c r="B1170" s="27">
        <v>0.875</v>
      </c>
      <c r="C1170" s="28"/>
      <c r="D1170" s="29"/>
      <c r="E1170" s="30" t="s">
        <v>1282</v>
      </c>
      <c r="H1170" s="32">
        <v>0</v>
      </c>
      <c r="I1170" s="32" t="s">
        <v>2391</v>
      </c>
      <c r="AG1170" s="32">
        <v>0</v>
      </c>
      <c r="AH1170" s="32">
        <v>0</v>
      </c>
      <c r="AI1170" s="32">
        <v>0</v>
      </c>
      <c r="AK1170" s="32">
        <v>0</v>
      </c>
      <c r="AL1170" s="32">
        <f>5+1/3</f>
        <v>5.333333333333333</v>
      </c>
      <c r="AP1170" s="32">
        <v>5.5</v>
      </c>
      <c r="AQ1170" s="32" t="s">
        <v>1101</v>
      </c>
      <c r="AU1170">
        <v>1169</v>
      </c>
    </row>
    <row r="1171" spans="1:47" x14ac:dyDescent="0.2">
      <c r="A1171" s="26">
        <v>6251</v>
      </c>
      <c r="B1171" s="27">
        <v>0.97222222222222221</v>
      </c>
      <c r="C1171" s="28"/>
      <c r="D1171" s="29"/>
      <c r="E1171" s="30" t="s">
        <v>869</v>
      </c>
      <c r="H1171" s="32">
        <v>0</v>
      </c>
      <c r="I1171" s="32" t="s">
        <v>2344</v>
      </c>
      <c r="AG1171" s="32">
        <v>0</v>
      </c>
      <c r="AH1171" s="32">
        <v>0</v>
      </c>
      <c r="AI1171" s="32">
        <v>0</v>
      </c>
      <c r="AK1171" s="32">
        <v>0</v>
      </c>
      <c r="AQ1171" s="32" t="s">
        <v>589</v>
      </c>
      <c r="AU1171">
        <v>1170</v>
      </c>
    </row>
    <row r="1172" spans="1:47" x14ac:dyDescent="0.2">
      <c r="A1172" s="26">
        <v>6251</v>
      </c>
      <c r="B1172" s="27" t="s">
        <v>45</v>
      </c>
      <c r="C1172" s="28"/>
      <c r="D1172" s="29"/>
      <c r="E1172" s="30" t="s">
        <v>1882</v>
      </c>
      <c r="H1172" s="32">
        <v>1</v>
      </c>
      <c r="I1172" s="32" t="s">
        <v>2392</v>
      </c>
      <c r="AI1172" s="32">
        <v>9000</v>
      </c>
      <c r="AO1172" s="73" t="s">
        <v>858</v>
      </c>
      <c r="AQ1172" s="32">
        <v>441</v>
      </c>
      <c r="AU1172">
        <v>1171</v>
      </c>
    </row>
    <row r="1173" spans="1:47" x14ac:dyDescent="0.2">
      <c r="A1173" s="26">
        <v>6251</v>
      </c>
      <c r="B1173" s="27" t="s">
        <v>45</v>
      </c>
      <c r="C1173" s="28"/>
      <c r="D1173" s="29"/>
      <c r="E1173" s="30" t="s">
        <v>586</v>
      </c>
      <c r="H1173" s="32">
        <v>1</v>
      </c>
      <c r="I1173" s="32" t="s">
        <v>2393</v>
      </c>
      <c r="AI1173" s="32">
        <f>159+943+3731</f>
        <v>4833</v>
      </c>
      <c r="AO1173" s="46" t="s">
        <v>588</v>
      </c>
      <c r="AQ1173" s="32" t="s">
        <v>589</v>
      </c>
      <c r="AU1173">
        <v>1172</v>
      </c>
    </row>
    <row r="1174" spans="1:47" x14ac:dyDescent="0.2">
      <c r="A1174" s="26">
        <v>6251</v>
      </c>
      <c r="B1174" s="27" t="s">
        <v>45</v>
      </c>
      <c r="C1174" s="28"/>
      <c r="D1174" s="29"/>
      <c r="E1174" s="30" t="s">
        <v>1285</v>
      </c>
      <c r="H1174" s="32">
        <v>1</v>
      </c>
      <c r="I1174" s="32" t="s">
        <v>2394</v>
      </c>
      <c r="AI1174" s="32">
        <v>909</v>
      </c>
      <c r="AO1174" s="32" t="s">
        <v>472</v>
      </c>
      <c r="AQ1174" s="32" t="s">
        <v>589</v>
      </c>
      <c r="AU1174">
        <v>1173</v>
      </c>
    </row>
    <row r="1175" spans="1:47" x14ac:dyDescent="0.2">
      <c r="A1175" s="26">
        <v>6252</v>
      </c>
      <c r="B1175" s="27">
        <v>0.41666666666666669</v>
      </c>
      <c r="C1175" s="28"/>
      <c r="D1175" s="29"/>
      <c r="E1175" s="30" t="s">
        <v>2023</v>
      </c>
      <c r="H1175" s="32">
        <v>1</v>
      </c>
      <c r="I1175" s="32" t="s">
        <v>2395</v>
      </c>
      <c r="AI1175" s="32">
        <v>0</v>
      </c>
      <c r="AK1175" s="32">
        <v>35</v>
      </c>
      <c r="AM1175" s="32">
        <f>100*500</f>
        <v>50000</v>
      </c>
      <c r="AO1175" s="32" t="s">
        <v>2025</v>
      </c>
      <c r="AQ1175" s="32">
        <v>416</v>
      </c>
      <c r="AU1175">
        <v>1174</v>
      </c>
    </row>
    <row r="1176" spans="1:47" x14ac:dyDescent="0.2">
      <c r="A1176" s="26">
        <v>6254</v>
      </c>
      <c r="B1176" s="27">
        <v>0.91666666666666663</v>
      </c>
      <c r="C1176" s="28"/>
      <c r="D1176" s="29"/>
      <c r="E1176" s="30" t="s">
        <v>2023</v>
      </c>
      <c r="H1176" s="32">
        <v>1</v>
      </c>
      <c r="I1176" s="32" t="s">
        <v>2396</v>
      </c>
      <c r="AI1176" s="32">
        <v>0</v>
      </c>
      <c r="AK1176" s="32">
        <v>19</v>
      </c>
      <c r="AO1176" s="32" t="s">
        <v>2025</v>
      </c>
      <c r="AQ1176" s="32">
        <v>416</v>
      </c>
      <c r="AU1176">
        <v>1175</v>
      </c>
    </row>
    <row r="1177" spans="1:47" x14ac:dyDescent="0.2">
      <c r="A1177" s="26">
        <v>6254</v>
      </c>
      <c r="B1177" s="27" t="s">
        <v>45</v>
      </c>
      <c r="C1177" s="28"/>
      <c r="D1177" s="29"/>
      <c r="E1177" s="150" t="s">
        <v>2286</v>
      </c>
      <c r="H1177" s="32">
        <v>0</v>
      </c>
      <c r="I1177" s="32" t="s">
        <v>1824</v>
      </c>
      <c r="AG1177" s="32">
        <v>0</v>
      </c>
      <c r="AH1177" s="32">
        <v>0</v>
      </c>
      <c r="AI1177" s="32">
        <v>0</v>
      </c>
      <c r="AK1177" s="32">
        <v>0</v>
      </c>
      <c r="AM1177" s="32">
        <v>0</v>
      </c>
      <c r="AO1177" s="73" t="s">
        <v>75</v>
      </c>
      <c r="AQ1177" s="32" t="s">
        <v>589</v>
      </c>
      <c r="AU1177">
        <v>1176</v>
      </c>
    </row>
    <row r="1178" spans="1:47" x14ac:dyDescent="0.2">
      <c r="A1178" s="37">
        <v>6256</v>
      </c>
      <c r="B1178" s="38" t="s">
        <v>45</v>
      </c>
      <c r="C1178" s="39" t="s">
        <v>253</v>
      </c>
      <c r="D1178" s="29"/>
      <c r="E1178" s="38" t="s">
        <v>2397</v>
      </c>
      <c r="F1178" s="32" t="s">
        <v>2398</v>
      </c>
      <c r="G1178" s="47"/>
      <c r="H1178"/>
      <c r="I1178" s="32"/>
      <c r="J1178" s="47"/>
      <c r="K1178" s="47"/>
      <c r="L1178" s="48"/>
      <c r="M1178" s="47"/>
      <c r="N1178" s="47"/>
      <c r="O1178" s="47"/>
      <c r="P1178" s="47"/>
      <c r="Q1178" s="47"/>
      <c r="R1178" s="47"/>
      <c r="S1178" s="48"/>
      <c r="T1178" s="47"/>
      <c r="U1178" s="47"/>
      <c r="V1178" s="47"/>
      <c r="W1178" s="47"/>
      <c r="X1178" s="47"/>
      <c r="Y1178" s="47"/>
      <c r="Z1178" s="47"/>
      <c r="AA1178" s="49"/>
      <c r="AB1178" s="49"/>
      <c r="AC1178" s="49"/>
      <c r="AD1178" s="50"/>
      <c r="AE1178" s="47"/>
      <c r="AF1178" s="47"/>
      <c r="AG1178"/>
      <c r="AH1178"/>
      <c r="AI1178"/>
      <c r="AJ1178"/>
      <c r="AK1178"/>
      <c r="AL1178"/>
      <c r="AM1178"/>
      <c r="AN1178"/>
      <c r="AO1178"/>
      <c r="AP1178"/>
      <c r="AQ1178" s="32" t="s">
        <v>2335</v>
      </c>
      <c r="AU1178">
        <v>1177</v>
      </c>
    </row>
    <row r="1179" spans="1:47" x14ac:dyDescent="0.2">
      <c r="A1179" s="37">
        <v>6256</v>
      </c>
      <c r="B1179" s="38" t="s">
        <v>45</v>
      </c>
      <c r="C1179" s="39" t="s">
        <v>1843</v>
      </c>
      <c r="D1179" s="29"/>
      <c r="E1179" s="38" t="s">
        <v>1983</v>
      </c>
      <c r="F1179" s="32" t="s">
        <v>2399</v>
      </c>
      <c r="G1179" s="47" t="s">
        <v>481</v>
      </c>
      <c r="H1179"/>
      <c r="I1179" s="32" t="s">
        <v>2400</v>
      </c>
      <c r="J1179" s="32"/>
      <c r="K1179" s="47">
        <f>3*30*10*2.2</f>
        <v>1980.0000000000002</v>
      </c>
      <c r="L1179" s="48">
        <v>5</v>
      </c>
      <c r="M1179" s="47">
        <v>2</v>
      </c>
      <c r="N1179" s="47"/>
      <c r="O1179" s="47"/>
      <c r="P1179" s="47"/>
      <c r="Q1179" s="47"/>
      <c r="R1179" s="47"/>
      <c r="S1179" s="48">
        <v>3</v>
      </c>
      <c r="T1179" s="47">
        <v>0</v>
      </c>
      <c r="U1179" s="47">
        <v>0</v>
      </c>
      <c r="V1179" s="47">
        <v>0</v>
      </c>
      <c r="W1179" s="47">
        <f>((1700+2700+900)/3)*39.37/12</f>
        <v>5796.1388888888896</v>
      </c>
      <c r="X1179" s="47"/>
      <c r="Y1179" s="47" t="s">
        <v>51</v>
      </c>
      <c r="Z1179" s="47" t="s">
        <v>1846</v>
      </c>
      <c r="AA1179" s="49">
        <v>0.78472222222222221</v>
      </c>
      <c r="AB1179" s="49"/>
      <c r="AC1179" s="49"/>
      <c r="AD1179" s="50">
        <f>2+20/60</f>
        <v>2.3333333333333335</v>
      </c>
      <c r="AE1179" s="47" t="s">
        <v>342</v>
      </c>
      <c r="AF1179" s="47">
        <v>65</v>
      </c>
      <c r="AG1179"/>
      <c r="AH1179"/>
      <c r="AI1179"/>
      <c r="AJ1179"/>
      <c r="AK1179">
        <v>90</v>
      </c>
      <c r="AL1179"/>
      <c r="AM1179"/>
      <c r="AN1179"/>
      <c r="AO1179"/>
      <c r="AP1179"/>
      <c r="AQ1179" s="32" t="s">
        <v>2401</v>
      </c>
      <c r="AU1179">
        <v>1178</v>
      </c>
    </row>
    <row r="1180" spans="1:47" x14ac:dyDescent="0.2">
      <c r="A1180" s="37">
        <v>6256</v>
      </c>
      <c r="B1180" s="38" t="s">
        <v>45</v>
      </c>
      <c r="C1180" s="39" t="s">
        <v>1843</v>
      </c>
      <c r="D1180" s="29"/>
      <c r="E1180" s="38" t="s">
        <v>472</v>
      </c>
      <c r="F1180" s="32" t="s">
        <v>2399</v>
      </c>
      <c r="G1180" s="47" t="s">
        <v>481</v>
      </c>
      <c r="H1180"/>
      <c r="I1180" s="32" t="s">
        <v>2402</v>
      </c>
      <c r="J1180" s="32"/>
      <c r="K1180" s="47">
        <f>60*10*2.2</f>
        <v>1320</v>
      </c>
      <c r="L1180" s="48">
        <v>2</v>
      </c>
      <c r="M1180" s="47"/>
      <c r="N1180" s="47"/>
      <c r="O1180" s="47"/>
      <c r="P1180" s="47"/>
      <c r="Q1180" s="47"/>
      <c r="R1180" s="47"/>
      <c r="S1180" s="48">
        <v>2</v>
      </c>
      <c r="T1180" s="47">
        <v>0</v>
      </c>
      <c r="U1180" s="47">
        <v>0</v>
      </c>
      <c r="V1180" s="47">
        <v>0</v>
      </c>
      <c r="W1180" s="47">
        <f>((1600+2400)/2)*39.37/12</f>
        <v>6561.666666666667</v>
      </c>
      <c r="X1180" s="47"/>
      <c r="Y1180" s="47" t="s">
        <v>51</v>
      </c>
      <c r="Z1180" s="47" t="s">
        <v>1846</v>
      </c>
      <c r="AA1180" s="49">
        <v>0.78472222222222221</v>
      </c>
      <c r="AB1180" s="49"/>
      <c r="AC1180" s="49"/>
      <c r="AD1180" s="50">
        <f>2+20/60</f>
        <v>2.3333333333333335</v>
      </c>
      <c r="AE1180" s="47" t="s">
        <v>342</v>
      </c>
      <c r="AF1180" s="47"/>
      <c r="AG1180"/>
      <c r="AH1180"/>
      <c r="AI1180"/>
      <c r="AJ1180"/>
      <c r="AK1180">
        <v>60</v>
      </c>
      <c r="AL1180"/>
      <c r="AM1180"/>
      <c r="AN1180"/>
      <c r="AO1180"/>
      <c r="AP1180"/>
      <c r="AQ1180" s="32" t="s">
        <v>2403</v>
      </c>
      <c r="AR1180" s="32" t="s">
        <v>2404</v>
      </c>
      <c r="AU1180">
        <v>1179</v>
      </c>
    </row>
    <row r="1181" spans="1:47" x14ac:dyDescent="0.2">
      <c r="A1181" s="37">
        <v>6256</v>
      </c>
      <c r="B1181" s="38" t="s">
        <v>45</v>
      </c>
      <c r="C1181" s="39" t="s">
        <v>1843</v>
      </c>
      <c r="D1181" s="29"/>
      <c r="E1181" s="38" t="s">
        <v>1389</v>
      </c>
      <c r="F1181" s="32" t="s">
        <v>150</v>
      </c>
      <c r="G1181" s="47" t="s">
        <v>49</v>
      </c>
      <c r="H1181"/>
      <c r="I1181" s="32" t="s">
        <v>2405</v>
      </c>
      <c r="J1181" s="32"/>
      <c r="K1181" s="47">
        <f>(30*10+2*50)*2.2</f>
        <v>880.00000000000011</v>
      </c>
      <c r="L1181" s="48">
        <v>1</v>
      </c>
      <c r="M1181" s="47"/>
      <c r="N1181" s="47"/>
      <c r="O1181" s="47"/>
      <c r="P1181" s="47"/>
      <c r="Q1181" s="47"/>
      <c r="R1181" s="47"/>
      <c r="S1181" s="48">
        <v>1</v>
      </c>
      <c r="T1181" s="47">
        <v>0</v>
      </c>
      <c r="U1181" s="47">
        <v>0</v>
      </c>
      <c r="V1181" s="47">
        <v>0</v>
      </c>
      <c r="W1181" s="47">
        <f>2400*39.37/12</f>
        <v>7874</v>
      </c>
      <c r="X1181" s="47"/>
      <c r="Y1181" s="47" t="s">
        <v>51</v>
      </c>
      <c r="Z1181" s="47" t="s">
        <v>1846</v>
      </c>
      <c r="AA1181" s="49">
        <v>0.78472222222222221</v>
      </c>
      <c r="AB1181" s="49"/>
      <c r="AC1181" s="49"/>
      <c r="AD1181" s="50">
        <f>1+55/60</f>
        <v>1.9166666666666665</v>
      </c>
      <c r="AE1181" s="47" t="s">
        <v>342</v>
      </c>
      <c r="AF1181" s="47">
        <v>55</v>
      </c>
      <c r="AG1181"/>
      <c r="AH1181"/>
      <c r="AI1181"/>
      <c r="AJ1181"/>
      <c r="AK1181">
        <v>30</v>
      </c>
      <c r="AL1181"/>
      <c r="AM1181"/>
      <c r="AN1181"/>
      <c r="AO1181"/>
      <c r="AP1181"/>
      <c r="AQ1181" s="32" t="s">
        <v>2403</v>
      </c>
      <c r="AR1181" s="32" t="s">
        <v>2404</v>
      </c>
      <c r="AU1181">
        <v>1180</v>
      </c>
    </row>
    <row r="1182" spans="1:47" x14ac:dyDescent="0.2">
      <c r="A1182" s="37">
        <v>6256</v>
      </c>
      <c r="B1182" s="38" t="s">
        <v>45</v>
      </c>
      <c r="C1182" s="39" t="s">
        <v>2406</v>
      </c>
      <c r="D1182" s="29"/>
      <c r="E1182" s="38" t="s">
        <v>2407</v>
      </c>
      <c r="F1182" s="32" t="s">
        <v>2408</v>
      </c>
      <c r="G1182" s="47" t="s">
        <v>69</v>
      </c>
      <c r="H1182"/>
      <c r="I1182" s="32" t="s">
        <v>2409</v>
      </c>
      <c r="J1182" s="47"/>
      <c r="K1182" s="47">
        <f>31*10*2.2</f>
        <v>682</v>
      </c>
      <c r="L1182" s="48">
        <v>6</v>
      </c>
      <c r="M1182" s="47"/>
      <c r="N1182" s="47"/>
      <c r="O1182" s="47"/>
      <c r="P1182" s="47"/>
      <c r="Q1182" s="47"/>
      <c r="R1182" s="47"/>
      <c r="S1182" s="48">
        <v>5</v>
      </c>
      <c r="T1182" s="47">
        <v>1</v>
      </c>
      <c r="U1182" s="47">
        <v>0</v>
      </c>
      <c r="V1182" s="47">
        <v>0</v>
      </c>
      <c r="W1182" s="47"/>
      <c r="X1182" s="47"/>
      <c r="Y1182" s="47" t="s">
        <v>51</v>
      </c>
      <c r="Z1182" s="47" t="s">
        <v>2203</v>
      </c>
      <c r="AA1182" s="49">
        <v>0.73958333333333337</v>
      </c>
      <c r="AB1182" s="49">
        <v>0.89583333333333337</v>
      </c>
      <c r="AC1182" s="49">
        <f>AVERAGE(AA1182:AB1182)</f>
        <v>0.81770833333333337</v>
      </c>
      <c r="AD1182" s="50">
        <f>(AB1182-AA1182)*24</f>
        <v>3.75</v>
      </c>
      <c r="AE1182" s="47" t="s">
        <v>342</v>
      </c>
      <c r="AF1182" s="31">
        <v>40</v>
      </c>
      <c r="AG1182"/>
      <c r="AH1182"/>
      <c r="AI1182"/>
      <c r="AJ1182"/>
      <c r="AK1182">
        <v>31</v>
      </c>
      <c r="AL1182"/>
      <c r="AM1182"/>
      <c r="AN1182"/>
      <c r="AO1182"/>
      <c r="AP1182"/>
      <c r="AQ1182" s="32" t="s">
        <v>2410</v>
      </c>
      <c r="AU1182">
        <v>1181</v>
      </c>
    </row>
    <row r="1183" spans="1:47" x14ac:dyDescent="0.2">
      <c r="A1183" s="26">
        <v>6256</v>
      </c>
      <c r="B1183" s="27">
        <v>0.83333333333333337</v>
      </c>
      <c r="C1183" s="28"/>
      <c r="D1183" s="29"/>
      <c r="E1183" s="30" t="s">
        <v>464</v>
      </c>
      <c r="H1183" s="32">
        <v>1</v>
      </c>
      <c r="I1183" s="32" t="s">
        <v>2411</v>
      </c>
      <c r="AG1183" s="32">
        <v>4</v>
      </c>
      <c r="AH1183" s="32">
        <v>27</v>
      </c>
      <c r="AO1183" s="32" t="s">
        <v>487</v>
      </c>
      <c r="AQ1183" s="32" t="s">
        <v>2412</v>
      </c>
      <c r="AU1183">
        <v>1182</v>
      </c>
    </row>
    <row r="1184" spans="1:47" x14ac:dyDescent="0.2">
      <c r="A1184" s="26">
        <v>6256</v>
      </c>
      <c r="B1184" s="27">
        <v>0.91249999999999998</v>
      </c>
      <c r="C1184" s="28"/>
      <c r="D1184" s="29"/>
      <c r="E1184" s="30" t="s">
        <v>869</v>
      </c>
      <c r="H1184" s="32">
        <v>0</v>
      </c>
      <c r="I1184" s="32" t="s">
        <v>2344</v>
      </c>
      <c r="AG1184" s="32">
        <v>0</v>
      </c>
      <c r="AH1184" s="32">
        <v>0</v>
      </c>
      <c r="AI1184" s="32">
        <v>0</v>
      </c>
      <c r="AK1184" s="32">
        <v>0</v>
      </c>
      <c r="AL1184" s="32">
        <f>66/60</f>
        <v>1.1000000000000001</v>
      </c>
      <c r="AP1184" s="32">
        <f>66/60</f>
        <v>1.1000000000000001</v>
      </c>
      <c r="AQ1184" s="32" t="s">
        <v>589</v>
      </c>
      <c r="AU1184">
        <v>1183</v>
      </c>
    </row>
    <row r="1185" spans="1:47" x14ac:dyDescent="0.2">
      <c r="A1185" s="26">
        <v>6256</v>
      </c>
      <c r="B1185" s="27" t="s">
        <v>45</v>
      </c>
      <c r="C1185" s="28"/>
      <c r="D1185" s="29"/>
      <c r="E1185" s="30" t="s">
        <v>1531</v>
      </c>
      <c r="H1185" s="32">
        <v>0</v>
      </c>
      <c r="I1185" s="32" t="s">
        <v>1532</v>
      </c>
      <c r="AG1185" s="32">
        <v>0</v>
      </c>
      <c r="AH1185" s="32">
        <v>0</v>
      </c>
      <c r="AI1185" s="32">
        <v>0</v>
      </c>
      <c r="AK1185" s="32">
        <v>0</v>
      </c>
      <c r="AM1185" s="32">
        <f>498*80</f>
        <v>39840</v>
      </c>
      <c r="AO1185" s="32" t="s">
        <v>1533</v>
      </c>
      <c r="AQ1185" s="32" t="s">
        <v>1101</v>
      </c>
      <c r="AU1185">
        <v>1184</v>
      </c>
    </row>
    <row r="1186" spans="1:47" x14ac:dyDescent="0.2">
      <c r="A1186" s="26">
        <v>6256</v>
      </c>
      <c r="B1186" s="27" t="s">
        <v>45</v>
      </c>
      <c r="C1186" s="28"/>
      <c r="D1186" s="29"/>
      <c r="E1186" s="150" t="s">
        <v>2286</v>
      </c>
      <c r="H1186" s="32">
        <v>0</v>
      </c>
      <c r="I1186" s="32" t="s">
        <v>1824</v>
      </c>
      <c r="AG1186" s="32">
        <v>0</v>
      </c>
      <c r="AH1186" s="32">
        <v>0</v>
      </c>
      <c r="AI1186" s="32">
        <v>0</v>
      </c>
      <c r="AK1186" s="32">
        <v>0</v>
      </c>
      <c r="AM1186" s="32">
        <f>35*500</f>
        <v>17500</v>
      </c>
      <c r="AO1186" s="73" t="s">
        <v>75</v>
      </c>
      <c r="AQ1186" s="32" t="s">
        <v>589</v>
      </c>
      <c r="AU1186">
        <v>1185</v>
      </c>
    </row>
    <row r="1187" spans="1:47" x14ac:dyDescent="0.2">
      <c r="A1187" s="26">
        <v>6257</v>
      </c>
      <c r="B1187" s="27"/>
      <c r="C1187" s="28"/>
      <c r="D1187" s="29"/>
      <c r="E1187" s="30" t="s">
        <v>153</v>
      </c>
      <c r="H1187" s="32">
        <v>1</v>
      </c>
      <c r="I1187" s="32"/>
      <c r="AG1187" s="32">
        <v>0</v>
      </c>
      <c r="AH1187" s="32">
        <v>0</v>
      </c>
      <c r="AJ1187" s="32">
        <v>0</v>
      </c>
      <c r="AK1187" s="32">
        <v>3</v>
      </c>
      <c r="AO1187" s="46" t="s">
        <v>155</v>
      </c>
      <c r="AP1187" s="46"/>
      <c r="AQ1187" s="32">
        <v>448</v>
      </c>
      <c r="AU1187">
        <v>1186</v>
      </c>
    </row>
    <row r="1188" spans="1:47" x14ac:dyDescent="0.2">
      <c r="A1188" s="26">
        <v>6258</v>
      </c>
      <c r="B1188" s="27">
        <v>0.72916666666666663</v>
      </c>
      <c r="C1188" s="28"/>
      <c r="D1188" s="29"/>
      <c r="E1188" s="30" t="s">
        <v>869</v>
      </c>
      <c r="H1188" s="32">
        <v>0</v>
      </c>
      <c r="I1188" s="32" t="s">
        <v>2344</v>
      </c>
      <c r="AG1188" s="32">
        <v>0</v>
      </c>
      <c r="AH1188" s="32">
        <v>0</v>
      </c>
      <c r="AI1188" s="32">
        <v>0</v>
      </c>
      <c r="AK1188" s="32">
        <v>0</v>
      </c>
      <c r="AL1188" s="32">
        <v>0.25</v>
      </c>
      <c r="AP1188" s="32">
        <v>0.25</v>
      </c>
      <c r="AQ1188" s="32" t="s">
        <v>589</v>
      </c>
      <c r="AU1188">
        <v>1187</v>
      </c>
    </row>
    <row r="1189" spans="1:47" x14ac:dyDescent="0.2">
      <c r="A1189" s="26">
        <v>6263</v>
      </c>
      <c r="B1189" s="27"/>
      <c r="C1189" s="28"/>
      <c r="D1189" s="29"/>
      <c r="E1189" s="30" t="s">
        <v>1882</v>
      </c>
      <c r="H1189" s="32">
        <v>1</v>
      </c>
      <c r="I1189" s="32" t="s">
        <v>2413</v>
      </c>
      <c r="AI1189" s="32">
        <v>1150</v>
      </c>
      <c r="AO1189" s="73" t="s">
        <v>858</v>
      </c>
      <c r="AQ1189" s="32">
        <v>441</v>
      </c>
      <c r="AU1189">
        <v>1188</v>
      </c>
    </row>
    <row r="1190" spans="1:47" x14ac:dyDescent="0.2">
      <c r="A1190" s="44">
        <v>6264</v>
      </c>
      <c r="B1190" s="42" t="s">
        <v>85</v>
      </c>
      <c r="C1190" s="43" t="s">
        <v>2050</v>
      </c>
      <c r="D1190" s="29"/>
      <c r="E1190" s="36" t="s">
        <v>2414</v>
      </c>
      <c r="F1190" s="31" t="s">
        <v>83</v>
      </c>
      <c r="G1190" s="31" t="s">
        <v>69</v>
      </c>
      <c r="H1190" s="32"/>
      <c r="I1190" s="32" t="s">
        <v>2415</v>
      </c>
      <c r="S1190" s="33">
        <v>1</v>
      </c>
      <c r="Z1190" s="31" t="s">
        <v>1809</v>
      </c>
      <c r="AE1190" s="31" t="s">
        <v>1736</v>
      </c>
      <c r="AF1190" s="31">
        <v>30</v>
      </c>
      <c r="AK1190" s="32">
        <v>12</v>
      </c>
      <c r="AO1190" s="73"/>
      <c r="AQ1190" s="32" t="s">
        <v>2416</v>
      </c>
      <c r="AU1190">
        <v>1189</v>
      </c>
    </row>
    <row r="1191" spans="1:47" x14ac:dyDescent="0.2">
      <c r="A1191" s="44">
        <v>6264</v>
      </c>
      <c r="B1191" s="42" t="s">
        <v>45</v>
      </c>
      <c r="C1191" s="43" t="s">
        <v>2039</v>
      </c>
      <c r="D1191" s="29"/>
      <c r="E1191" s="36" t="s">
        <v>352</v>
      </c>
      <c r="F1191" s="31" t="s">
        <v>1494</v>
      </c>
      <c r="H1191" s="32"/>
      <c r="I1191" s="32" t="s">
        <v>2417</v>
      </c>
      <c r="L1191" s="33">
        <v>2</v>
      </c>
      <c r="S1191" s="33">
        <v>1</v>
      </c>
      <c r="T1191" s="31">
        <v>1</v>
      </c>
      <c r="U1191" s="31">
        <v>0</v>
      </c>
      <c r="V1191" s="31">
        <v>0</v>
      </c>
      <c r="AO1191" s="73"/>
      <c r="AQ1191" s="32" t="s">
        <v>566</v>
      </c>
      <c r="AU1191">
        <v>1190</v>
      </c>
    </row>
    <row r="1192" spans="1:47" x14ac:dyDescent="0.2">
      <c r="A1192" s="26">
        <v>6264</v>
      </c>
      <c r="B1192" s="27" t="s">
        <v>45</v>
      </c>
      <c r="C1192" s="28"/>
      <c r="D1192" s="29"/>
      <c r="E1192" s="150" t="s">
        <v>2286</v>
      </c>
      <c r="H1192" s="32">
        <v>0</v>
      </c>
      <c r="I1192" s="32" t="s">
        <v>1824</v>
      </c>
      <c r="AG1192" s="32">
        <v>0</v>
      </c>
      <c r="AH1192" s="32">
        <v>0</v>
      </c>
      <c r="AI1192" s="32">
        <v>0</v>
      </c>
      <c r="AK1192" s="32">
        <v>0</v>
      </c>
      <c r="AM1192" s="32">
        <f>15*500</f>
        <v>7500</v>
      </c>
      <c r="AO1192" s="73" t="s">
        <v>75</v>
      </c>
      <c r="AQ1192" s="32" t="s">
        <v>589</v>
      </c>
      <c r="AU1192">
        <v>1191</v>
      </c>
    </row>
    <row r="1193" spans="1:47" x14ac:dyDescent="0.2">
      <c r="A1193" s="37">
        <v>6265</v>
      </c>
      <c r="B1193" s="38" t="s">
        <v>45</v>
      </c>
      <c r="C1193" s="39" t="s">
        <v>253</v>
      </c>
      <c r="D1193" s="29"/>
      <c r="E1193" s="38" t="s">
        <v>2418</v>
      </c>
      <c r="F1193" s="32"/>
      <c r="G1193" s="47"/>
      <c r="H1193"/>
      <c r="I1193" s="32"/>
      <c r="J1193" s="47"/>
      <c r="K1193" s="47"/>
      <c r="L1193" s="48"/>
      <c r="M1193" s="47"/>
      <c r="N1193" s="47"/>
      <c r="O1193" s="47"/>
      <c r="P1193" s="47"/>
      <c r="Q1193" s="47"/>
      <c r="R1193" s="47"/>
      <c r="S1193" s="48"/>
      <c r="T1193" s="47"/>
      <c r="U1193" s="47"/>
      <c r="V1193" s="47"/>
      <c r="W1193" s="47"/>
      <c r="X1193" s="47"/>
      <c r="Y1193" s="47"/>
      <c r="Z1193" s="47"/>
      <c r="AA1193" s="49"/>
      <c r="AB1193" s="49"/>
      <c r="AC1193" s="49"/>
      <c r="AD1193" s="50"/>
      <c r="AE1193" s="47"/>
      <c r="AF1193" s="47"/>
      <c r="AG1193"/>
      <c r="AH1193"/>
      <c r="AI1193"/>
      <c r="AJ1193"/>
      <c r="AK1193"/>
      <c r="AL1193"/>
      <c r="AM1193"/>
      <c r="AN1193"/>
      <c r="AO1193"/>
      <c r="AP1193"/>
      <c r="AQ1193" s="32" t="s">
        <v>2335</v>
      </c>
      <c r="AU1193">
        <v>1192</v>
      </c>
    </row>
    <row r="1194" spans="1:47" x14ac:dyDescent="0.2">
      <c r="A1194" s="26">
        <v>6265</v>
      </c>
      <c r="B1194" s="27" t="s">
        <v>45</v>
      </c>
      <c r="C1194" s="28"/>
      <c r="D1194" s="29"/>
      <c r="E1194" s="30" t="s">
        <v>1531</v>
      </c>
      <c r="H1194" s="32">
        <v>0</v>
      </c>
      <c r="I1194" s="32" t="s">
        <v>1706</v>
      </c>
      <c r="AG1194" s="32">
        <v>0</v>
      </c>
      <c r="AH1194" s="32">
        <v>0</v>
      </c>
      <c r="AI1194" s="32">
        <v>0</v>
      </c>
      <c r="AK1194" s="32">
        <v>0</v>
      </c>
      <c r="AM1194" s="32">
        <f>498*70</f>
        <v>34860</v>
      </c>
      <c r="AO1194" s="32" t="s">
        <v>1533</v>
      </c>
      <c r="AQ1194" s="32" t="s">
        <v>1101</v>
      </c>
      <c r="AU1194">
        <v>1193</v>
      </c>
    </row>
    <row r="1195" spans="1:47" x14ac:dyDescent="0.2">
      <c r="A1195" s="26">
        <v>6265</v>
      </c>
      <c r="B1195" s="27" t="s">
        <v>45</v>
      </c>
      <c r="C1195" s="28"/>
      <c r="D1195" s="29"/>
      <c r="E1195" s="150" t="s">
        <v>2286</v>
      </c>
      <c r="H1195" s="32">
        <v>0</v>
      </c>
      <c r="I1195" s="32" t="s">
        <v>1824</v>
      </c>
      <c r="AG1195" s="32">
        <v>0</v>
      </c>
      <c r="AH1195" s="32">
        <v>0</v>
      </c>
      <c r="AI1195" s="32">
        <v>0</v>
      </c>
      <c r="AK1195" s="32">
        <v>0</v>
      </c>
      <c r="AM1195" s="32">
        <v>10000</v>
      </c>
      <c r="AO1195" s="73" t="s">
        <v>75</v>
      </c>
      <c r="AQ1195" s="32" t="s">
        <v>589</v>
      </c>
      <c r="AU1195">
        <v>1194</v>
      </c>
    </row>
    <row r="1196" spans="1:47" x14ac:dyDescent="0.2">
      <c r="A1196" s="133">
        <v>6266</v>
      </c>
      <c r="B1196" s="39" t="s">
        <v>85</v>
      </c>
      <c r="C1196" s="39" t="s">
        <v>1806</v>
      </c>
      <c r="D1196" s="29" t="b">
        <v>0</v>
      </c>
      <c r="E1196" s="39" t="s">
        <v>2419</v>
      </c>
      <c r="F1196" s="47" t="s">
        <v>2420</v>
      </c>
      <c r="G1196" s="47" t="s">
        <v>481</v>
      </c>
      <c r="H1196"/>
      <c r="I1196" s="134" t="s">
        <v>2421</v>
      </c>
      <c r="J1196" s="47" t="b">
        <v>1</v>
      </c>
      <c r="K1196" s="47">
        <v>1690</v>
      </c>
      <c r="L1196" s="48">
        <v>14</v>
      </c>
      <c r="M1196" s="47">
        <v>0</v>
      </c>
      <c r="N1196" s="47">
        <v>1</v>
      </c>
      <c r="O1196" s="47">
        <v>0</v>
      </c>
      <c r="P1196" s="47">
        <v>0</v>
      </c>
      <c r="Q1196" s="47">
        <v>0</v>
      </c>
      <c r="R1196" s="47">
        <v>0</v>
      </c>
      <c r="S1196" s="48">
        <v>13</v>
      </c>
      <c r="T1196" s="47">
        <v>0</v>
      </c>
      <c r="U1196" s="47">
        <v>0</v>
      </c>
      <c r="V1196" s="47">
        <v>2</v>
      </c>
      <c r="W1196" s="47">
        <v>7000</v>
      </c>
      <c r="X1196" s="47">
        <v>10</v>
      </c>
      <c r="Y1196" s="47" t="s">
        <v>120</v>
      </c>
      <c r="Z1196" s="47" t="s">
        <v>1809</v>
      </c>
      <c r="AA1196" s="49">
        <v>0.54861111111111105</v>
      </c>
      <c r="AB1196" s="49">
        <v>0.65625</v>
      </c>
      <c r="AC1196" s="49">
        <v>0.61111111111111105</v>
      </c>
      <c r="AD1196" s="50">
        <f>(AB1196-AA1196)*24</f>
        <v>2.5833333333333348</v>
      </c>
      <c r="AE1196" s="47" t="s">
        <v>1312</v>
      </c>
      <c r="AF1196" s="47">
        <v>105</v>
      </c>
      <c r="AG1196"/>
      <c r="AH1196"/>
      <c r="AI1196"/>
      <c r="AJ1196"/>
      <c r="AK1196">
        <v>26</v>
      </c>
      <c r="AL1196"/>
      <c r="AM1196"/>
      <c r="AN1196"/>
      <c r="AO1196"/>
      <c r="AP1196"/>
      <c r="AQ1196" t="s">
        <v>2166</v>
      </c>
      <c r="AR1196" s="32" t="s">
        <v>2422</v>
      </c>
      <c r="AU1196">
        <v>1195</v>
      </c>
    </row>
    <row r="1197" spans="1:47" x14ac:dyDescent="0.2">
      <c r="A1197" s="133">
        <v>6266</v>
      </c>
      <c r="B1197" s="39" t="s">
        <v>85</v>
      </c>
      <c r="C1197" s="39" t="s">
        <v>2423</v>
      </c>
      <c r="D1197" s="29"/>
      <c r="E1197" s="39" t="s">
        <v>2424</v>
      </c>
      <c r="F1197" s="47" t="s">
        <v>204</v>
      </c>
      <c r="G1197" s="47"/>
      <c r="H1197"/>
      <c r="I1197" s="134" t="s">
        <v>2425</v>
      </c>
      <c r="J1197" s="47"/>
      <c r="K1197" s="47">
        <f>4*40*2.2</f>
        <v>352</v>
      </c>
      <c r="L1197" s="48">
        <v>3</v>
      </c>
      <c r="M1197" s="47"/>
      <c r="N1197" s="47"/>
      <c r="O1197" s="47"/>
      <c r="P1197" s="47"/>
      <c r="Q1197" s="47"/>
      <c r="R1197" s="47"/>
      <c r="S1197" s="48">
        <v>3</v>
      </c>
      <c r="T1197" s="47">
        <v>0</v>
      </c>
      <c r="U1197" s="47">
        <v>0</v>
      </c>
      <c r="V1197" s="47">
        <v>0</v>
      </c>
      <c r="W1197" s="47"/>
      <c r="X1197" s="47"/>
      <c r="Y1197" s="31" t="s">
        <v>51</v>
      </c>
      <c r="Z1197" s="47" t="s">
        <v>1809</v>
      </c>
      <c r="AA1197" s="49"/>
      <c r="AB1197" s="49"/>
      <c r="AC1197" s="49">
        <v>0.63541666666666663</v>
      </c>
      <c r="AD1197" s="50"/>
      <c r="AE1197" s="47" t="s">
        <v>1312</v>
      </c>
      <c r="AF1197" s="47">
        <v>50</v>
      </c>
      <c r="AG1197"/>
      <c r="AH1197"/>
      <c r="AI1197"/>
      <c r="AJ1197"/>
      <c r="AK1197">
        <v>4</v>
      </c>
      <c r="AL1197"/>
      <c r="AM1197"/>
      <c r="AN1197"/>
      <c r="AO1197"/>
      <c r="AP1197"/>
      <c r="AQ1197" t="s">
        <v>2426</v>
      </c>
      <c r="AU1197">
        <v>1196</v>
      </c>
    </row>
    <row r="1198" spans="1:47" x14ac:dyDescent="0.2">
      <c r="A1198" s="37">
        <v>6266</v>
      </c>
      <c r="B1198" s="38" t="s">
        <v>85</v>
      </c>
      <c r="C1198" s="39" t="s">
        <v>253</v>
      </c>
      <c r="D1198" s="29"/>
      <c r="E1198" s="38" t="s">
        <v>2427</v>
      </c>
      <c r="F1198" s="32" t="s">
        <v>2428</v>
      </c>
      <c r="G1198" s="47"/>
      <c r="H1198"/>
      <c r="I1198" s="32"/>
      <c r="J1198" s="47"/>
      <c r="K1198" s="47"/>
      <c r="L1198" s="48"/>
      <c r="M1198" s="47"/>
      <c r="N1198" s="47"/>
      <c r="O1198" s="47"/>
      <c r="P1198" s="47"/>
      <c r="Q1198" s="47"/>
      <c r="R1198" s="47"/>
      <c r="S1198" s="48"/>
      <c r="T1198" s="47"/>
      <c r="U1198" s="47"/>
      <c r="V1198" s="47"/>
      <c r="W1198" s="47"/>
      <c r="X1198" s="47"/>
      <c r="Y1198" s="47"/>
      <c r="Z1198" s="47"/>
      <c r="AA1198" s="49"/>
      <c r="AB1198" s="49"/>
      <c r="AC1198" s="49"/>
      <c r="AD1198" s="50"/>
      <c r="AE1198" s="47"/>
      <c r="AF1198" s="47"/>
      <c r="AG1198"/>
      <c r="AH1198"/>
      <c r="AI1198"/>
      <c r="AJ1198"/>
      <c r="AK1198"/>
      <c r="AL1198"/>
      <c r="AM1198"/>
      <c r="AN1198"/>
      <c r="AO1198"/>
      <c r="AP1198"/>
      <c r="AQ1198" s="32" t="s">
        <v>2429</v>
      </c>
      <c r="AU1198">
        <v>1197</v>
      </c>
    </row>
    <row r="1199" spans="1:47" x14ac:dyDescent="0.2">
      <c r="A1199" s="37">
        <v>6266</v>
      </c>
      <c r="B1199" s="42" t="s">
        <v>45</v>
      </c>
      <c r="C1199" s="39" t="s">
        <v>142</v>
      </c>
      <c r="D1199" s="29"/>
      <c r="E1199" s="38" t="s">
        <v>2430</v>
      </c>
      <c r="F1199" s="31" t="s">
        <v>2431</v>
      </c>
      <c r="G1199" s="47" t="s">
        <v>459</v>
      </c>
      <c r="H1199"/>
      <c r="I1199" s="32" t="b">
        <v>1</v>
      </c>
      <c r="J1199" s="32" t="b">
        <v>1</v>
      </c>
      <c r="K1199" s="47">
        <f>682+132</f>
        <v>814</v>
      </c>
      <c r="L1199" s="48">
        <v>6</v>
      </c>
      <c r="M1199" s="47"/>
      <c r="N1199" s="47"/>
      <c r="O1199" s="47"/>
      <c r="P1199" s="47"/>
      <c r="Q1199" s="47"/>
      <c r="R1199" s="47">
        <v>1</v>
      </c>
      <c r="S1199" s="48">
        <v>6</v>
      </c>
      <c r="T1199" s="47">
        <v>0</v>
      </c>
      <c r="U1199" s="47">
        <v>0</v>
      </c>
      <c r="V1199" s="47">
        <v>0</v>
      </c>
      <c r="W1199" s="47"/>
      <c r="X1199" s="47"/>
      <c r="Y1199" s="47" t="s">
        <v>51</v>
      </c>
      <c r="Z1199" s="47" t="s">
        <v>2203</v>
      </c>
      <c r="AA1199" s="49">
        <v>0.83333333333333337</v>
      </c>
      <c r="AB1199" s="49"/>
      <c r="AC1199" s="49"/>
      <c r="AD1199" s="50"/>
      <c r="AE1199" s="47" t="s">
        <v>342</v>
      </c>
      <c r="AF1199" s="47">
        <v>40</v>
      </c>
      <c r="AG1199"/>
      <c r="AH1199"/>
      <c r="AI1199"/>
      <c r="AJ1199"/>
      <c r="AK1199">
        <f>31+6</f>
        <v>37</v>
      </c>
      <c r="AL1199"/>
      <c r="AM1199"/>
      <c r="AN1199"/>
      <c r="AO1199"/>
      <c r="AP1199"/>
      <c r="AQ1199" s="32" t="s">
        <v>2410</v>
      </c>
      <c r="AR1199" s="32" t="s">
        <v>2432</v>
      </c>
      <c r="AU1199">
        <v>1198</v>
      </c>
    </row>
    <row r="1200" spans="1:47" x14ac:dyDescent="0.2">
      <c r="A1200" s="37">
        <v>6266</v>
      </c>
      <c r="B1200" s="42" t="s">
        <v>45</v>
      </c>
      <c r="C1200" s="39" t="s">
        <v>142</v>
      </c>
      <c r="D1200" s="29"/>
      <c r="E1200" s="38" t="s">
        <v>1454</v>
      </c>
      <c r="F1200" s="31" t="s">
        <v>1224</v>
      </c>
      <c r="G1200" s="47" t="s">
        <v>459</v>
      </c>
      <c r="H1200"/>
      <c r="I1200" s="32" t="b">
        <v>0</v>
      </c>
      <c r="J1200" s="32" t="b">
        <v>0</v>
      </c>
      <c r="K1200" s="47">
        <f>31*10*2.2</f>
        <v>682</v>
      </c>
      <c r="L1200" s="48"/>
      <c r="M1200" s="47"/>
      <c r="N1200" s="47"/>
      <c r="O1200" s="47"/>
      <c r="P1200" s="47"/>
      <c r="Q1200" s="47"/>
      <c r="R1200" s="47"/>
      <c r="S1200" s="48">
        <v>5</v>
      </c>
      <c r="T1200" s="47">
        <v>0</v>
      </c>
      <c r="U1200" s="47">
        <v>0</v>
      </c>
      <c r="V1200" s="47">
        <v>0</v>
      </c>
      <c r="W1200" s="47"/>
      <c r="X1200" s="47"/>
      <c r="Y1200" s="47" t="s">
        <v>51</v>
      </c>
      <c r="Z1200" s="47" t="s">
        <v>2203</v>
      </c>
      <c r="AA1200" s="49">
        <v>0.83333333333333337</v>
      </c>
      <c r="AB1200" s="49"/>
      <c r="AC1200" s="49"/>
      <c r="AD1200" s="50"/>
      <c r="AE1200" s="47" t="s">
        <v>342</v>
      </c>
      <c r="AF1200" s="47">
        <v>40</v>
      </c>
      <c r="AG1200"/>
      <c r="AH1200"/>
      <c r="AI1200"/>
      <c r="AJ1200"/>
      <c r="AK1200">
        <v>31</v>
      </c>
      <c r="AL1200"/>
      <c r="AM1200"/>
      <c r="AN1200"/>
      <c r="AO1200"/>
      <c r="AP1200"/>
      <c r="AQ1200" s="32" t="s">
        <v>2410</v>
      </c>
      <c r="AR1200" s="32" t="s">
        <v>2432</v>
      </c>
      <c r="AU1200">
        <v>1199</v>
      </c>
    </row>
    <row r="1201" spans="1:47" x14ac:dyDescent="0.2">
      <c r="A1201" s="37">
        <v>6266</v>
      </c>
      <c r="B1201" s="42" t="s">
        <v>45</v>
      </c>
      <c r="C1201" s="39" t="s">
        <v>142</v>
      </c>
      <c r="D1201" s="29"/>
      <c r="E1201" s="38" t="s">
        <v>2433</v>
      </c>
      <c r="F1201" s="31" t="s">
        <v>150</v>
      </c>
      <c r="G1201" s="47" t="s">
        <v>49</v>
      </c>
      <c r="H1201"/>
      <c r="I1201" s="32" t="b">
        <v>0</v>
      </c>
      <c r="J1201" s="32" t="b">
        <v>0</v>
      </c>
      <c r="K1201" s="47">
        <f>6*10*2.2</f>
        <v>132</v>
      </c>
      <c r="L1201" s="48"/>
      <c r="M1201" s="47"/>
      <c r="N1201" s="47"/>
      <c r="O1201" s="47"/>
      <c r="P1201" s="47"/>
      <c r="Q1201" s="47"/>
      <c r="R1201" s="47"/>
      <c r="S1201" s="48">
        <v>1</v>
      </c>
      <c r="T1201" s="47">
        <v>0</v>
      </c>
      <c r="U1201" s="47">
        <v>0</v>
      </c>
      <c r="V1201" s="47">
        <v>0</v>
      </c>
      <c r="W1201" s="47"/>
      <c r="X1201" s="47"/>
      <c r="Y1201" s="47" t="s">
        <v>51</v>
      </c>
      <c r="Z1201" s="47" t="s">
        <v>2203</v>
      </c>
      <c r="AA1201" s="49">
        <v>0.83333333333333337</v>
      </c>
      <c r="AB1201" s="49"/>
      <c r="AC1201" s="49"/>
      <c r="AD1201" s="50"/>
      <c r="AE1201" s="47" t="s">
        <v>342</v>
      </c>
      <c r="AF1201" s="47">
        <v>30</v>
      </c>
      <c r="AG1201"/>
      <c r="AH1201"/>
      <c r="AI1201"/>
      <c r="AJ1201"/>
      <c r="AK1201">
        <v>6</v>
      </c>
      <c r="AL1201"/>
      <c r="AM1201"/>
      <c r="AN1201"/>
      <c r="AO1201"/>
      <c r="AP1201"/>
      <c r="AQ1201" s="32" t="s">
        <v>2410</v>
      </c>
      <c r="AR1201" s="32" t="s">
        <v>2432</v>
      </c>
      <c r="AU1201">
        <v>1200</v>
      </c>
    </row>
    <row r="1202" spans="1:47" x14ac:dyDescent="0.2">
      <c r="A1202" s="37">
        <v>6266</v>
      </c>
      <c r="B1202" s="42" t="s">
        <v>45</v>
      </c>
      <c r="C1202" s="39" t="s">
        <v>1843</v>
      </c>
      <c r="D1202" s="29"/>
      <c r="E1202" s="38" t="s">
        <v>2434</v>
      </c>
      <c r="F1202" s="31" t="s">
        <v>150</v>
      </c>
      <c r="G1202" s="47" t="s">
        <v>49</v>
      </c>
      <c r="H1202"/>
      <c r="I1202" s="32" t="s">
        <v>2435</v>
      </c>
      <c r="J1202" s="32"/>
      <c r="K1202" s="54">
        <f>3*30*10*2.2</f>
        <v>1980.0000000000002</v>
      </c>
      <c r="L1202" s="48">
        <v>3</v>
      </c>
      <c r="M1202" s="47"/>
      <c r="N1202" s="47"/>
      <c r="O1202" s="47"/>
      <c r="P1202" s="47"/>
      <c r="Q1202" s="47"/>
      <c r="R1202" s="47"/>
      <c r="S1202" s="48">
        <v>3</v>
      </c>
      <c r="T1202" s="47">
        <v>0</v>
      </c>
      <c r="U1202" s="47">
        <v>0</v>
      </c>
      <c r="V1202" s="47">
        <v>0</v>
      </c>
      <c r="W1202" s="47">
        <f>((1800+1800+1800)/3)*39.37/12</f>
        <v>5905.5</v>
      </c>
      <c r="X1202" s="47"/>
      <c r="Y1202" s="47" t="s">
        <v>51</v>
      </c>
      <c r="Z1202" s="47" t="s">
        <v>1846</v>
      </c>
      <c r="AA1202" s="49"/>
      <c r="AB1202" s="49"/>
      <c r="AC1202" s="49"/>
      <c r="AD1202" s="50">
        <f>1+50/60</f>
        <v>1.8333333333333335</v>
      </c>
      <c r="AE1202" s="47" t="s">
        <v>342</v>
      </c>
      <c r="AF1202" s="47">
        <v>60</v>
      </c>
      <c r="AG1202"/>
      <c r="AH1202"/>
      <c r="AI1202"/>
      <c r="AJ1202"/>
      <c r="AK1202" s="90">
        <v>90</v>
      </c>
      <c r="AL1202"/>
      <c r="AM1202"/>
      <c r="AN1202"/>
      <c r="AO1202"/>
      <c r="AP1202"/>
      <c r="AQ1202" s="32" t="s">
        <v>2436</v>
      </c>
      <c r="AU1202">
        <v>1201</v>
      </c>
    </row>
    <row r="1203" spans="1:47" x14ac:dyDescent="0.2">
      <c r="A1203" s="37">
        <v>6266</v>
      </c>
      <c r="B1203" s="42" t="s">
        <v>45</v>
      </c>
      <c r="C1203" s="39" t="s">
        <v>1843</v>
      </c>
      <c r="D1203" s="29"/>
      <c r="E1203" s="38" t="s">
        <v>2437</v>
      </c>
      <c r="F1203" s="31" t="s">
        <v>2438</v>
      </c>
      <c r="G1203" s="47" t="s">
        <v>459</v>
      </c>
      <c r="H1203"/>
      <c r="I1203" s="32" t="s">
        <v>2439</v>
      </c>
      <c r="J1203" s="32"/>
      <c r="K1203" s="54">
        <f>2*30*10*2.2</f>
        <v>1320</v>
      </c>
      <c r="L1203" s="48">
        <v>2</v>
      </c>
      <c r="M1203" s="47"/>
      <c r="N1203" s="47"/>
      <c r="O1203" s="47"/>
      <c r="P1203" s="47"/>
      <c r="Q1203" s="47"/>
      <c r="R1203" s="47"/>
      <c r="S1203" s="48">
        <v>2</v>
      </c>
      <c r="T1203" s="47">
        <v>0</v>
      </c>
      <c r="U1203" s="47">
        <v>0</v>
      </c>
      <c r="V1203" s="47">
        <v>0</v>
      </c>
      <c r="W1203" s="47">
        <f>((2200+2500)/2)*39.37/12</f>
        <v>7709.958333333333</v>
      </c>
      <c r="X1203" s="47"/>
      <c r="Y1203" s="47" t="s">
        <v>51</v>
      </c>
      <c r="Z1203" s="47" t="s">
        <v>1846</v>
      </c>
      <c r="AA1203" s="49"/>
      <c r="AB1203" s="49"/>
      <c r="AC1203" s="49"/>
      <c r="AD1203" s="50">
        <f>2+4/6</f>
        <v>2.6666666666666665</v>
      </c>
      <c r="AE1203" s="47" t="s">
        <v>342</v>
      </c>
      <c r="AF1203" s="47">
        <v>80</v>
      </c>
      <c r="AG1203"/>
      <c r="AH1203"/>
      <c r="AI1203"/>
      <c r="AJ1203"/>
      <c r="AK1203" s="90">
        <v>60</v>
      </c>
      <c r="AL1203"/>
      <c r="AM1203"/>
      <c r="AN1203"/>
      <c r="AO1203"/>
      <c r="AP1203"/>
      <c r="AQ1203" s="32" t="s">
        <v>2436</v>
      </c>
      <c r="AU1203">
        <v>1202</v>
      </c>
    </row>
    <row r="1204" spans="1:47" x14ac:dyDescent="0.2">
      <c r="A1204" s="37">
        <v>6266</v>
      </c>
      <c r="B1204" s="42" t="s">
        <v>45</v>
      </c>
      <c r="C1204" s="39" t="s">
        <v>1843</v>
      </c>
      <c r="D1204" s="29"/>
      <c r="E1204" s="38" t="s">
        <v>2440</v>
      </c>
      <c r="F1204" s="31" t="s">
        <v>2438</v>
      </c>
      <c r="G1204" s="47" t="s">
        <v>459</v>
      </c>
      <c r="H1204"/>
      <c r="I1204" s="32" t="s">
        <v>2441</v>
      </c>
      <c r="J1204" s="32"/>
      <c r="K1204" s="54">
        <f>1*30*10*2.2</f>
        <v>660</v>
      </c>
      <c r="L1204" s="48">
        <v>1</v>
      </c>
      <c r="M1204" s="47"/>
      <c r="N1204" s="47"/>
      <c r="O1204" s="47"/>
      <c r="P1204" s="47"/>
      <c r="Q1204" s="47"/>
      <c r="R1204" s="47"/>
      <c r="S1204" s="48">
        <v>1</v>
      </c>
      <c r="T1204" s="47">
        <v>0</v>
      </c>
      <c r="U1204" s="47">
        <v>0</v>
      </c>
      <c r="V1204" s="47">
        <v>0</v>
      </c>
      <c r="W1204" s="47">
        <f>1900*39.37/12</f>
        <v>6233.583333333333</v>
      </c>
      <c r="X1204" s="47"/>
      <c r="Y1204" s="47" t="s">
        <v>51</v>
      </c>
      <c r="Z1204" s="47" t="s">
        <v>1846</v>
      </c>
      <c r="AA1204" s="49"/>
      <c r="AB1204" s="49"/>
      <c r="AC1204" s="49"/>
      <c r="AD1204" s="50">
        <f>2+25/60</f>
        <v>2.4166666666666665</v>
      </c>
      <c r="AE1204" s="47" t="s">
        <v>342</v>
      </c>
      <c r="AF1204" s="47">
        <v>75</v>
      </c>
      <c r="AG1204"/>
      <c r="AH1204"/>
      <c r="AI1204"/>
      <c r="AJ1204"/>
      <c r="AK1204" s="90">
        <v>30</v>
      </c>
      <c r="AL1204"/>
      <c r="AM1204"/>
      <c r="AN1204"/>
      <c r="AO1204"/>
      <c r="AP1204"/>
      <c r="AQ1204" s="32" t="s">
        <v>2436</v>
      </c>
      <c r="AU1204">
        <v>1203</v>
      </c>
    </row>
    <row r="1205" spans="1:47" x14ac:dyDescent="0.2">
      <c r="A1205" s="26">
        <v>6266</v>
      </c>
      <c r="B1205" s="27">
        <v>0.64583333333333337</v>
      </c>
      <c r="C1205" s="28"/>
      <c r="D1205" s="29"/>
      <c r="E1205" s="30" t="s">
        <v>869</v>
      </c>
      <c r="H1205" s="32">
        <v>0</v>
      </c>
      <c r="I1205" s="32" t="s">
        <v>2442</v>
      </c>
      <c r="AG1205" s="32">
        <v>0</v>
      </c>
      <c r="AH1205" s="32">
        <v>0</v>
      </c>
      <c r="AI1205" s="32">
        <v>0</v>
      </c>
      <c r="AK1205" s="32">
        <v>0</v>
      </c>
      <c r="AL1205" s="32">
        <f>68/60</f>
        <v>1.1333333333333333</v>
      </c>
      <c r="AP1205" s="32">
        <f>68/60</f>
        <v>1.1333333333333333</v>
      </c>
      <c r="AQ1205" s="32" t="s">
        <v>589</v>
      </c>
      <c r="AU1205">
        <v>1204</v>
      </c>
    </row>
    <row r="1206" spans="1:47" x14ac:dyDescent="0.2">
      <c r="A1206" s="26">
        <v>6266</v>
      </c>
      <c r="B1206" s="27">
        <v>0.95833333333333337</v>
      </c>
      <c r="C1206" s="28"/>
      <c r="D1206" s="29"/>
      <c r="E1206" s="30" t="s">
        <v>869</v>
      </c>
      <c r="H1206" s="32">
        <v>0</v>
      </c>
      <c r="I1206" s="32" t="s">
        <v>2344</v>
      </c>
      <c r="AG1206" s="32">
        <v>0</v>
      </c>
      <c r="AH1206" s="32">
        <v>0</v>
      </c>
      <c r="AI1206" s="32">
        <v>0</v>
      </c>
      <c r="AK1206" s="32">
        <v>0</v>
      </c>
      <c r="AL1206" s="32">
        <f>85/60</f>
        <v>1.4166666666666667</v>
      </c>
      <c r="AP1206" s="32">
        <f>85/60</f>
        <v>1.4166666666666667</v>
      </c>
      <c r="AQ1206" s="32" t="s">
        <v>589</v>
      </c>
      <c r="AU1206">
        <v>1205</v>
      </c>
    </row>
    <row r="1207" spans="1:47" x14ac:dyDescent="0.2">
      <c r="A1207" s="44">
        <v>6271</v>
      </c>
      <c r="B1207" s="42" t="s">
        <v>85</v>
      </c>
      <c r="C1207" s="43" t="s">
        <v>2050</v>
      </c>
      <c r="D1207" s="29"/>
      <c r="E1207" s="36" t="s">
        <v>2443</v>
      </c>
      <c r="H1207" s="32"/>
      <c r="I1207" s="32" t="s">
        <v>2415</v>
      </c>
      <c r="S1207" s="33">
        <v>1</v>
      </c>
      <c r="Z1207" s="31" t="s">
        <v>1809</v>
      </c>
      <c r="AE1207" s="31" t="s">
        <v>1736</v>
      </c>
      <c r="AF1207" s="31">
        <v>40</v>
      </c>
      <c r="AK1207" s="32">
        <v>6</v>
      </c>
      <c r="AQ1207" s="32" t="s">
        <v>2416</v>
      </c>
      <c r="AU1207">
        <v>1206</v>
      </c>
    </row>
    <row r="1208" spans="1:47" x14ac:dyDescent="0.2">
      <c r="A1208" s="44">
        <v>6271</v>
      </c>
      <c r="B1208" s="42" t="s">
        <v>45</v>
      </c>
      <c r="C1208" s="38" t="s">
        <v>156</v>
      </c>
      <c r="D1208" s="29"/>
      <c r="E1208" s="121" t="s">
        <v>2444</v>
      </c>
      <c r="F1208" s="31" t="s">
        <v>1663</v>
      </c>
      <c r="H1208" s="32"/>
      <c r="AE1208" s="31" t="s">
        <v>2188</v>
      </c>
      <c r="AF1208" s="31">
        <v>70</v>
      </c>
      <c r="AO1208" s="73"/>
      <c r="AU1208">
        <v>1207</v>
      </c>
    </row>
    <row r="1209" spans="1:47" x14ac:dyDescent="0.2">
      <c r="A1209" s="26">
        <v>6271</v>
      </c>
      <c r="B1209" s="27">
        <v>0.97222222222222221</v>
      </c>
      <c r="C1209" s="28"/>
      <c r="D1209" s="29"/>
      <c r="E1209" s="30" t="s">
        <v>1282</v>
      </c>
      <c r="H1209" s="32">
        <v>0</v>
      </c>
      <c r="I1209" s="32" t="s">
        <v>2445</v>
      </c>
      <c r="AG1209" s="32">
        <v>0</v>
      </c>
      <c r="AH1209" s="32">
        <v>0</v>
      </c>
      <c r="AI1209" s="32">
        <v>0</v>
      </c>
      <c r="AK1209" s="32">
        <v>0</v>
      </c>
      <c r="AL1209" s="32">
        <f>22/60</f>
        <v>0.36666666666666664</v>
      </c>
      <c r="AP1209" s="32">
        <f>22/60</f>
        <v>0.36666666666666664</v>
      </c>
      <c r="AQ1209" s="32" t="s">
        <v>1101</v>
      </c>
      <c r="AU1209">
        <v>1208</v>
      </c>
    </row>
    <row r="1210" spans="1:47" x14ac:dyDescent="0.2">
      <c r="A1210" s="26">
        <v>6271</v>
      </c>
      <c r="B1210" s="27" t="s">
        <v>85</v>
      </c>
      <c r="C1210" s="28"/>
      <c r="D1210" s="29"/>
      <c r="E1210" s="30" t="s">
        <v>1461</v>
      </c>
      <c r="H1210" s="32">
        <v>1</v>
      </c>
      <c r="I1210" s="32" t="s">
        <v>2446</v>
      </c>
      <c r="AG1210" s="32">
        <v>0</v>
      </c>
      <c r="AH1210" s="32">
        <v>0</v>
      </c>
      <c r="AI1210" s="32">
        <v>87</v>
      </c>
      <c r="AK1210" s="32">
        <v>2</v>
      </c>
      <c r="AO1210" s="32" t="s">
        <v>1463</v>
      </c>
      <c r="AQ1210" s="32">
        <v>402</v>
      </c>
      <c r="AU1210">
        <v>1209</v>
      </c>
    </row>
    <row r="1211" spans="1:47" x14ac:dyDescent="0.2">
      <c r="A1211" s="26">
        <v>6271</v>
      </c>
      <c r="B1211" s="27" t="s">
        <v>45</v>
      </c>
      <c r="C1211" s="28"/>
      <c r="D1211" s="29"/>
      <c r="E1211" s="150" t="s">
        <v>2286</v>
      </c>
      <c r="H1211" s="32">
        <v>0</v>
      </c>
      <c r="I1211" s="32" t="s">
        <v>1824</v>
      </c>
      <c r="AG1211" s="32">
        <v>0</v>
      </c>
      <c r="AH1211" s="32">
        <v>0</v>
      </c>
      <c r="AI1211" s="32">
        <v>0</v>
      </c>
      <c r="AK1211" s="32">
        <v>0</v>
      </c>
      <c r="AM1211" s="32">
        <v>5000</v>
      </c>
      <c r="AO1211" s="73" t="s">
        <v>75</v>
      </c>
      <c r="AQ1211" s="32" t="s">
        <v>589</v>
      </c>
      <c r="AU1211">
        <v>1210</v>
      </c>
    </row>
    <row r="1212" spans="1:47" x14ac:dyDescent="0.2">
      <c r="A1212" s="26">
        <v>6271</v>
      </c>
      <c r="B1212" s="27"/>
      <c r="C1212" s="28"/>
      <c r="D1212" s="29"/>
      <c r="E1212" s="102" t="s">
        <v>1421</v>
      </c>
      <c r="H1212" s="32">
        <v>1</v>
      </c>
      <c r="I1212" s="32" t="s">
        <v>1422</v>
      </c>
      <c r="AK1212" s="32">
        <v>4</v>
      </c>
      <c r="AO1212" s="73"/>
      <c r="AQ1212" s="32" t="s">
        <v>589</v>
      </c>
      <c r="AU1212">
        <v>1211</v>
      </c>
    </row>
    <row r="1213" spans="1:47" x14ac:dyDescent="0.2">
      <c r="A1213" s="37">
        <v>6272</v>
      </c>
      <c r="B1213" s="38" t="s">
        <v>85</v>
      </c>
      <c r="C1213" s="39" t="s">
        <v>253</v>
      </c>
      <c r="D1213" s="29"/>
      <c r="E1213" s="38" t="s">
        <v>2447</v>
      </c>
      <c r="F1213" s="32" t="s">
        <v>2448</v>
      </c>
      <c r="G1213" s="47"/>
      <c r="H1213"/>
      <c r="I1213" s="32"/>
      <c r="J1213" s="47"/>
      <c r="K1213" s="47"/>
      <c r="L1213" s="48"/>
      <c r="M1213" s="47"/>
      <c r="N1213" s="47"/>
      <c r="O1213" s="47"/>
      <c r="P1213" s="47"/>
      <c r="Q1213" s="47"/>
      <c r="R1213" s="47"/>
      <c r="S1213" s="48"/>
      <c r="T1213" s="47"/>
      <c r="U1213" s="47"/>
      <c r="V1213" s="47"/>
      <c r="W1213" s="47"/>
      <c r="X1213" s="47"/>
      <c r="Y1213" s="47"/>
      <c r="Z1213" s="47"/>
      <c r="AA1213" s="49"/>
      <c r="AB1213" s="49"/>
      <c r="AC1213" s="49"/>
      <c r="AD1213" s="50"/>
      <c r="AE1213" s="47"/>
      <c r="AF1213" s="47"/>
      <c r="AG1213"/>
      <c r="AH1213"/>
      <c r="AI1213"/>
      <c r="AJ1213"/>
      <c r="AK1213"/>
      <c r="AL1213"/>
      <c r="AM1213"/>
      <c r="AN1213"/>
      <c r="AO1213"/>
      <c r="AP1213"/>
      <c r="AQ1213" s="32" t="s">
        <v>2429</v>
      </c>
      <c r="AU1213">
        <v>1212</v>
      </c>
    </row>
    <row r="1214" spans="1:47" x14ac:dyDescent="0.2">
      <c r="A1214" s="37">
        <v>6272</v>
      </c>
      <c r="B1214" s="38" t="s">
        <v>45</v>
      </c>
      <c r="C1214" s="39" t="s">
        <v>1561</v>
      </c>
      <c r="D1214" s="29"/>
      <c r="E1214" s="38" t="s">
        <v>649</v>
      </c>
      <c r="F1214" s="32" t="s">
        <v>529</v>
      </c>
      <c r="G1214" s="47" t="s">
        <v>205</v>
      </c>
      <c r="H1214"/>
      <c r="I1214" s="32" t="s">
        <v>2449</v>
      </c>
      <c r="J1214" s="47"/>
      <c r="K1214" s="47">
        <f>20*10*2.2</f>
        <v>440.00000000000006</v>
      </c>
      <c r="L1214" s="48">
        <v>3</v>
      </c>
      <c r="M1214" s="47"/>
      <c r="N1214" s="47"/>
      <c r="O1214" s="47"/>
      <c r="P1214" s="47"/>
      <c r="Q1214" s="47"/>
      <c r="R1214" s="47"/>
      <c r="S1214" s="48">
        <v>3</v>
      </c>
      <c r="T1214" s="47">
        <v>0</v>
      </c>
      <c r="U1214" s="47">
        <v>0</v>
      </c>
      <c r="V1214" s="47">
        <v>0</v>
      </c>
      <c r="W1214" s="47"/>
      <c r="X1214" s="47"/>
      <c r="Y1214" s="47" t="s">
        <v>51</v>
      </c>
      <c r="Z1214" s="47"/>
      <c r="AA1214" s="49">
        <v>0.875</v>
      </c>
      <c r="AB1214" s="49"/>
      <c r="AC1214" s="49"/>
      <c r="AD1214" s="50"/>
      <c r="AE1214" s="47" t="s">
        <v>2302</v>
      </c>
      <c r="AF1214" s="47">
        <v>120</v>
      </c>
      <c r="AG1214"/>
      <c r="AH1214"/>
      <c r="AI1214"/>
      <c r="AJ1214"/>
      <c r="AK1214">
        <v>20</v>
      </c>
      <c r="AL1214"/>
      <c r="AM1214"/>
      <c r="AN1214"/>
      <c r="AO1214"/>
      <c r="AP1214"/>
      <c r="AQ1214" s="32" t="s">
        <v>2410</v>
      </c>
      <c r="AU1214">
        <v>1213</v>
      </c>
    </row>
    <row r="1215" spans="1:47" x14ac:dyDescent="0.2">
      <c r="A1215" s="37">
        <v>6272</v>
      </c>
      <c r="B1215" s="38" t="s">
        <v>45</v>
      </c>
      <c r="C1215" s="39" t="s">
        <v>1843</v>
      </c>
      <c r="D1215" s="29"/>
      <c r="E1215" s="38" t="s">
        <v>2450</v>
      </c>
      <c r="F1215" s="32" t="s">
        <v>2451</v>
      </c>
      <c r="G1215" s="47" t="s">
        <v>481</v>
      </c>
      <c r="H1215"/>
      <c r="I1215" s="32" t="b">
        <v>1</v>
      </c>
      <c r="J1215" s="32" t="b">
        <v>1</v>
      </c>
      <c r="K1215" s="54">
        <f>5*30*10*2.2</f>
        <v>3300.0000000000005</v>
      </c>
      <c r="L1215" s="48">
        <v>6</v>
      </c>
      <c r="M1215" s="47"/>
      <c r="N1215" s="47">
        <v>1</v>
      </c>
      <c r="O1215" s="47"/>
      <c r="P1215" s="47"/>
      <c r="Q1215" s="47"/>
      <c r="R1215" s="47"/>
      <c r="S1215" s="48">
        <v>5</v>
      </c>
      <c r="T1215" s="47">
        <v>0</v>
      </c>
      <c r="U1215" s="47">
        <v>0</v>
      </c>
      <c r="V1215" s="47">
        <v>0</v>
      </c>
      <c r="W1215" s="47">
        <f>((2300+2800+2200+2600+2000)/5)*39.37/12</f>
        <v>7808.3833333333323</v>
      </c>
      <c r="X1215" s="47"/>
      <c r="Y1215" s="47" t="s">
        <v>51</v>
      </c>
      <c r="Z1215" s="47" t="s">
        <v>1846</v>
      </c>
      <c r="AA1215" s="49"/>
      <c r="AB1215" s="49"/>
      <c r="AC1215" s="49"/>
      <c r="AD1215" s="50">
        <f>2+20/60</f>
        <v>2.3333333333333335</v>
      </c>
      <c r="AE1215" s="47" t="s">
        <v>342</v>
      </c>
      <c r="AF1215" s="47">
        <v>75</v>
      </c>
      <c r="AG1215"/>
      <c r="AH1215"/>
      <c r="AI1215"/>
      <c r="AJ1215"/>
      <c r="AK1215" s="90">
        <f>5*30</f>
        <v>150</v>
      </c>
      <c r="AL1215"/>
      <c r="AM1215"/>
      <c r="AN1215"/>
      <c r="AO1215"/>
      <c r="AP1215"/>
      <c r="AQ1215" s="32" t="s">
        <v>2452</v>
      </c>
      <c r="AR1215" s="32" t="s">
        <v>2453</v>
      </c>
      <c r="AU1215">
        <v>1214</v>
      </c>
    </row>
    <row r="1216" spans="1:47" x14ac:dyDescent="0.2">
      <c r="A1216" s="37">
        <v>6272</v>
      </c>
      <c r="B1216" s="38" t="s">
        <v>45</v>
      </c>
      <c r="C1216" s="39" t="s">
        <v>1843</v>
      </c>
      <c r="D1216" s="29"/>
      <c r="E1216" s="38" t="s">
        <v>2440</v>
      </c>
      <c r="F1216" s="32" t="s">
        <v>2454</v>
      </c>
      <c r="G1216" s="47" t="s">
        <v>481</v>
      </c>
      <c r="H1216"/>
      <c r="I1216" s="32" t="b">
        <v>0</v>
      </c>
      <c r="J1216" s="32" t="b">
        <v>0</v>
      </c>
      <c r="K1216" s="54">
        <f>3*30*10*2.2</f>
        <v>1980.0000000000002</v>
      </c>
      <c r="L1216" s="48"/>
      <c r="M1216" s="47"/>
      <c r="N1216" s="47"/>
      <c r="O1216" s="47"/>
      <c r="P1216" s="47"/>
      <c r="Q1216" s="47"/>
      <c r="R1216" s="47"/>
      <c r="S1216" s="48">
        <v>3</v>
      </c>
      <c r="T1216" s="47"/>
      <c r="U1216" s="47"/>
      <c r="V1216" s="47"/>
      <c r="W1216" s="47">
        <f>((2300+2800+2600)/3)*39.37/12</f>
        <v>8420.8055555555547</v>
      </c>
      <c r="X1216" s="47"/>
      <c r="Y1216" s="47" t="s">
        <v>51</v>
      </c>
      <c r="Z1216" s="47" t="s">
        <v>1846</v>
      </c>
      <c r="AA1216" s="49"/>
      <c r="AB1216" s="49"/>
      <c r="AC1216" s="49"/>
      <c r="AD1216" s="50">
        <f>2+20/60</f>
        <v>2.3333333333333335</v>
      </c>
      <c r="AE1216" s="47" t="s">
        <v>342</v>
      </c>
      <c r="AF1216" s="47">
        <v>75</v>
      </c>
      <c r="AG1216"/>
      <c r="AH1216"/>
      <c r="AI1216"/>
      <c r="AJ1216"/>
      <c r="AK1216" s="90">
        <f>3*30</f>
        <v>90</v>
      </c>
      <c r="AL1216"/>
      <c r="AM1216"/>
      <c r="AN1216"/>
      <c r="AO1216"/>
      <c r="AP1216"/>
      <c r="AQ1216" s="32" t="s">
        <v>2452</v>
      </c>
      <c r="AR1216" s="32" t="s">
        <v>2455</v>
      </c>
      <c r="AU1216">
        <v>1215</v>
      </c>
    </row>
    <row r="1217" spans="1:47" x14ac:dyDescent="0.2">
      <c r="A1217" s="37">
        <v>6272</v>
      </c>
      <c r="B1217" s="38" t="s">
        <v>45</v>
      </c>
      <c r="C1217" s="39" t="s">
        <v>1843</v>
      </c>
      <c r="D1217" s="29"/>
      <c r="E1217" s="38" t="s">
        <v>2207</v>
      </c>
      <c r="F1217" s="32" t="s">
        <v>967</v>
      </c>
      <c r="G1217" s="47" t="s">
        <v>481</v>
      </c>
      <c r="H1217"/>
      <c r="I1217" s="32" t="b">
        <v>0</v>
      </c>
      <c r="J1217" s="32" t="b">
        <v>0</v>
      </c>
      <c r="K1217" s="54">
        <f>30*10*2.2</f>
        <v>660</v>
      </c>
      <c r="L1217" s="48"/>
      <c r="M1217" s="47"/>
      <c r="N1217" s="47"/>
      <c r="O1217" s="47"/>
      <c r="P1217" s="47"/>
      <c r="Q1217" s="47"/>
      <c r="R1217" s="47"/>
      <c r="S1217" s="48">
        <v>1</v>
      </c>
      <c r="T1217" s="47"/>
      <c r="U1217" s="47"/>
      <c r="V1217" s="47"/>
      <c r="W1217" s="47">
        <f>2200*39.37/12</f>
        <v>7217.833333333333</v>
      </c>
      <c r="X1217" s="47"/>
      <c r="Y1217" s="47" t="s">
        <v>51</v>
      </c>
      <c r="Z1217" s="47" t="s">
        <v>1846</v>
      </c>
      <c r="AA1217" s="49"/>
      <c r="AB1217" s="49"/>
      <c r="AC1217" s="49"/>
      <c r="AD1217" s="50">
        <v>2.25</v>
      </c>
      <c r="AE1217" s="47" t="s">
        <v>342</v>
      </c>
      <c r="AF1217" s="47">
        <v>80</v>
      </c>
      <c r="AG1217"/>
      <c r="AH1217"/>
      <c r="AI1217"/>
      <c r="AJ1217"/>
      <c r="AK1217" s="90">
        <v>30</v>
      </c>
      <c r="AL1217"/>
      <c r="AM1217"/>
      <c r="AN1217"/>
      <c r="AO1217"/>
      <c r="AP1217"/>
      <c r="AQ1217" s="32" t="s">
        <v>2452</v>
      </c>
      <c r="AR1217" s="32" t="s">
        <v>2456</v>
      </c>
      <c r="AU1217">
        <v>1216</v>
      </c>
    </row>
    <row r="1218" spans="1:47" x14ac:dyDescent="0.2">
      <c r="A1218" s="37">
        <v>6272</v>
      </c>
      <c r="B1218" s="38" t="s">
        <v>45</v>
      </c>
      <c r="C1218" s="39" t="s">
        <v>1843</v>
      </c>
      <c r="D1218" s="29"/>
      <c r="E1218" s="38" t="s">
        <v>2457</v>
      </c>
      <c r="F1218" s="32" t="s">
        <v>220</v>
      </c>
      <c r="G1218" s="47" t="s">
        <v>49</v>
      </c>
      <c r="H1218"/>
      <c r="I1218" s="32" t="b">
        <v>0</v>
      </c>
      <c r="J1218" s="32" t="b">
        <v>0</v>
      </c>
      <c r="K1218" s="54">
        <f>30*10*2.2</f>
        <v>660</v>
      </c>
      <c r="L1218" s="48"/>
      <c r="M1218" s="47"/>
      <c r="N1218" s="47"/>
      <c r="O1218" s="47"/>
      <c r="P1218" s="47"/>
      <c r="Q1218" s="47"/>
      <c r="R1218" s="47"/>
      <c r="S1218" s="48">
        <v>1</v>
      </c>
      <c r="T1218" s="47"/>
      <c r="U1218" s="47"/>
      <c r="V1218" s="47"/>
      <c r="W1218" s="47">
        <f>2000*39.37/12</f>
        <v>6561.666666666667</v>
      </c>
      <c r="X1218" s="47"/>
      <c r="Y1218" s="47" t="s">
        <v>51</v>
      </c>
      <c r="Z1218" s="47" t="s">
        <v>1846</v>
      </c>
      <c r="AA1218" s="49"/>
      <c r="AB1218" s="49"/>
      <c r="AC1218" s="49"/>
      <c r="AD1218" s="50">
        <f>1+4/6</f>
        <v>1.6666666666666665</v>
      </c>
      <c r="AE1218" s="47" t="s">
        <v>342</v>
      </c>
      <c r="AF1218" s="47"/>
      <c r="AG1218"/>
      <c r="AH1218"/>
      <c r="AI1218"/>
      <c r="AJ1218"/>
      <c r="AK1218" s="90">
        <v>30</v>
      </c>
      <c r="AL1218"/>
      <c r="AM1218"/>
      <c r="AN1218"/>
      <c r="AO1218"/>
      <c r="AP1218"/>
      <c r="AQ1218" s="32" t="s">
        <v>2452</v>
      </c>
      <c r="AR1218" s="32" t="s">
        <v>2458</v>
      </c>
      <c r="AU1218">
        <v>1217</v>
      </c>
    </row>
    <row r="1219" spans="1:47" x14ac:dyDescent="0.2">
      <c r="A1219" s="133">
        <v>6273</v>
      </c>
      <c r="B1219" s="39" t="s">
        <v>85</v>
      </c>
      <c r="C1219" s="39" t="s">
        <v>1806</v>
      </c>
      <c r="D1219" s="29" t="b">
        <v>0</v>
      </c>
      <c r="E1219" s="39" t="s">
        <v>2419</v>
      </c>
      <c r="F1219" s="47" t="s">
        <v>2420</v>
      </c>
      <c r="G1219" s="47" t="s">
        <v>481</v>
      </c>
      <c r="H1219"/>
      <c r="I1219" s="134" t="s">
        <v>2459</v>
      </c>
      <c r="J1219" s="47" t="b">
        <v>1</v>
      </c>
      <c r="K1219" s="47">
        <v>2600</v>
      </c>
      <c r="L1219" s="48">
        <v>14</v>
      </c>
      <c r="M1219" s="47">
        <v>0</v>
      </c>
      <c r="N1219" s="47">
        <v>4</v>
      </c>
      <c r="O1219" s="47">
        <v>0</v>
      </c>
      <c r="P1219" s="47">
        <v>0</v>
      </c>
      <c r="Q1219" s="47">
        <v>1</v>
      </c>
      <c r="R1219" s="47">
        <v>0</v>
      </c>
      <c r="S1219" s="48">
        <v>9</v>
      </c>
      <c r="T1219" s="47">
        <v>0</v>
      </c>
      <c r="U1219" s="47">
        <v>0</v>
      </c>
      <c r="V1219" s="47">
        <v>0</v>
      </c>
      <c r="W1219" s="47">
        <v>10000</v>
      </c>
      <c r="X1219" s="47">
        <v>11</v>
      </c>
      <c r="Y1219" s="47" t="s">
        <v>120</v>
      </c>
      <c r="Z1219" s="47" t="s">
        <v>1809</v>
      </c>
      <c r="AA1219" s="49">
        <v>0.41666666666666669</v>
      </c>
      <c r="AB1219" s="49">
        <v>0.53125</v>
      </c>
      <c r="AC1219" s="49">
        <v>0.48958333333333331</v>
      </c>
      <c r="AD1219" s="50">
        <f>(AB1219-AA1219)*24</f>
        <v>2.7499999999999996</v>
      </c>
      <c r="AE1219" s="47" t="s">
        <v>1312</v>
      </c>
      <c r="AF1219" s="47">
        <v>105</v>
      </c>
      <c r="AG1219"/>
      <c r="AH1219"/>
      <c r="AI1219"/>
      <c r="AJ1219"/>
      <c r="AK1219">
        <v>40</v>
      </c>
      <c r="AL1219"/>
      <c r="AM1219"/>
      <c r="AN1219"/>
      <c r="AO1219"/>
      <c r="AP1219"/>
      <c r="AQ1219" t="s">
        <v>2166</v>
      </c>
      <c r="AR1219" s="32" t="s">
        <v>2460</v>
      </c>
      <c r="AU1219">
        <v>1218</v>
      </c>
    </row>
    <row r="1220" spans="1:47" x14ac:dyDescent="0.2">
      <c r="A1220" s="133">
        <v>6273</v>
      </c>
      <c r="B1220" s="39" t="s">
        <v>85</v>
      </c>
      <c r="C1220" s="43" t="s">
        <v>2050</v>
      </c>
      <c r="D1220" s="29"/>
      <c r="E1220" s="39" t="s">
        <v>2191</v>
      </c>
      <c r="F1220" s="47" t="s">
        <v>220</v>
      </c>
      <c r="G1220" s="47" t="s">
        <v>49</v>
      </c>
      <c r="H1220"/>
      <c r="I1220" s="32" t="s">
        <v>2415</v>
      </c>
      <c r="J1220" s="47"/>
      <c r="K1220" s="47"/>
      <c r="L1220" s="48"/>
      <c r="M1220" s="47"/>
      <c r="N1220" s="47"/>
      <c r="O1220" s="47"/>
      <c r="P1220" s="47"/>
      <c r="Q1220" s="47"/>
      <c r="R1220" s="47"/>
      <c r="S1220" s="48">
        <v>1</v>
      </c>
      <c r="T1220" s="47"/>
      <c r="U1220" s="47"/>
      <c r="V1220" s="47"/>
      <c r="W1220" s="47"/>
      <c r="X1220" s="47"/>
      <c r="Y1220" s="47"/>
      <c r="Z1220" s="31" t="s">
        <v>1809</v>
      </c>
      <c r="AA1220" s="49"/>
      <c r="AB1220" s="49"/>
      <c r="AC1220" s="49"/>
      <c r="AD1220" s="50"/>
      <c r="AE1220" s="31" t="s">
        <v>1736</v>
      </c>
      <c r="AF1220" s="47">
        <v>40</v>
      </c>
      <c r="AG1220"/>
      <c r="AH1220"/>
      <c r="AI1220"/>
      <c r="AJ1220"/>
      <c r="AK1220">
        <v>6</v>
      </c>
      <c r="AL1220"/>
      <c r="AM1220"/>
      <c r="AN1220"/>
      <c r="AO1220"/>
      <c r="AP1220"/>
      <c r="AQ1220" s="32" t="s">
        <v>2416</v>
      </c>
      <c r="AU1220">
        <v>1219</v>
      </c>
    </row>
    <row r="1221" spans="1:47" x14ac:dyDescent="0.2">
      <c r="A1221" s="133">
        <v>6273</v>
      </c>
      <c r="B1221" s="39" t="s">
        <v>85</v>
      </c>
      <c r="C1221" s="43" t="s">
        <v>2050</v>
      </c>
      <c r="D1221" s="29"/>
      <c r="E1221" s="39" t="s">
        <v>432</v>
      </c>
      <c r="F1221" s="47"/>
      <c r="G1221" s="47"/>
      <c r="H1221"/>
      <c r="I1221" s="32" t="s">
        <v>2415</v>
      </c>
      <c r="J1221" s="47"/>
      <c r="K1221" s="47"/>
      <c r="L1221" s="48"/>
      <c r="M1221" s="47"/>
      <c r="N1221" s="47"/>
      <c r="O1221" s="47"/>
      <c r="P1221" s="47"/>
      <c r="Q1221" s="47"/>
      <c r="R1221" s="47"/>
      <c r="S1221" s="48">
        <v>1</v>
      </c>
      <c r="T1221" s="47"/>
      <c r="U1221" s="47"/>
      <c r="V1221" s="47"/>
      <c r="W1221" s="47"/>
      <c r="X1221" s="47"/>
      <c r="Y1221" s="47"/>
      <c r="Z1221" s="31" t="s">
        <v>1809</v>
      </c>
      <c r="AA1221" s="49"/>
      <c r="AB1221" s="49"/>
      <c r="AC1221" s="49"/>
      <c r="AD1221" s="50"/>
      <c r="AE1221" s="31" t="s">
        <v>1736</v>
      </c>
      <c r="AF1221" s="47">
        <v>30</v>
      </c>
      <c r="AG1221"/>
      <c r="AH1221"/>
      <c r="AI1221"/>
      <c r="AJ1221"/>
      <c r="AK1221">
        <v>6</v>
      </c>
      <c r="AL1221"/>
      <c r="AM1221"/>
      <c r="AN1221"/>
      <c r="AO1221"/>
      <c r="AP1221"/>
      <c r="AQ1221" s="32" t="s">
        <v>2416</v>
      </c>
      <c r="AU1221">
        <v>1220</v>
      </c>
    </row>
    <row r="1222" spans="1:47" x14ac:dyDescent="0.2">
      <c r="A1222" s="26">
        <v>6273</v>
      </c>
      <c r="B1222" s="27">
        <v>0.50694444444444442</v>
      </c>
      <c r="C1222" s="28"/>
      <c r="D1222" s="29"/>
      <c r="E1222" s="30" t="s">
        <v>869</v>
      </c>
      <c r="H1222" s="32">
        <v>0</v>
      </c>
      <c r="I1222" s="32" t="s">
        <v>2461</v>
      </c>
      <c r="AG1222" s="32">
        <v>0</v>
      </c>
      <c r="AH1222" s="32">
        <v>0</v>
      </c>
      <c r="AI1222" s="32">
        <v>0</v>
      </c>
      <c r="AK1222" s="32">
        <v>0</v>
      </c>
      <c r="AL1222" s="32">
        <f>35/60</f>
        <v>0.58333333333333337</v>
      </c>
      <c r="AP1222" s="32">
        <f>35/60</f>
        <v>0.58333333333333337</v>
      </c>
      <c r="AQ1222" s="32" t="s">
        <v>589</v>
      </c>
      <c r="AU1222">
        <v>1221</v>
      </c>
    </row>
    <row r="1223" spans="1:47" x14ac:dyDescent="0.2">
      <c r="A1223" s="26">
        <v>6273</v>
      </c>
      <c r="B1223" s="27">
        <v>0.85416666666666663</v>
      </c>
      <c r="C1223" s="124"/>
      <c r="D1223" s="29"/>
      <c r="E1223" s="30" t="s">
        <v>869</v>
      </c>
      <c r="H1223" s="32">
        <v>0</v>
      </c>
      <c r="I1223" s="32" t="s">
        <v>2344</v>
      </c>
      <c r="AG1223" s="32">
        <v>0</v>
      </c>
      <c r="AH1223" s="32">
        <v>0</v>
      </c>
      <c r="AI1223" s="32">
        <v>0</v>
      </c>
      <c r="AK1223" s="32">
        <v>0</v>
      </c>
      <c r="AL1223" s="32">
        <f>25/60</f>
        <v>0.41666666666666669</v>
      </c>
      <c r="AP1223" s="32">
        <f>25/60</f>
        <v>0.41666666666666669</v>
      </c>
      <c r="AQ1223" s="32" t="s">
        <v>589</v>
      </c>
      <c r="AU1223">
        <v>1222</v>
      </c>
    </row>
    <row r="1224" spans="1:47" x14ac:dyDescent="0.2">
      <c r="A1224" s="37">
        <v>6274</v>
      </c>
      <c r="B1224" s="38" t="s">
        <v>45</v>
      </c>
      <c r="C1224" s="39" t="s">
        <v>253</v>
      </c>
      <c r="D1224" s="29"/>
      <c r="E1224" s="38" t="s">
        <v>2462</v>
      </c>
      <c r="F1224" s="32" t="s">
        <v>529</v>
      </c>
      <c r="G1224" s="47"/>
      <c r="H1224"/>
      <c r="I1224" s="32" t="s">
        <v>2463</v>
      </c>
      <c r="J1224" s="47"/>
      <c r="K1224" s="47"/>
      <c r="L1224" s="48"/>
      <c r="M1224" s="47"/>
      <c r="N1224" s="47"/>
      <c r="O1224" s="47"/>
      <c r="P1224" s="47"/>
      <c r="Q1224" s="47"/>
      <c r="R1224" s="47"/>
      <c r="S1224" s="48"/>
      <c r="T1224" s="47"/>
      <c r="U1224" s="47"/>
      <c r="V1224" s="47"/>
      <c r="W1224" s="47"/>
      <c r="X1224" s="47"/>
      <c r="Y1224" s="47"/>
      <c r="Z1224" s="47"/>
      <c r="AA1224" s="49"/>
      <c r="AB1224" s="49"/>
      <c r="AC1224" s="49"/>
      <c r="AD1224" s="50"/>
      <c r="AE1224" s="47"/>
      <c r="AF1224" s="47"/>
      <c r="AG1224"/>
      <c r="AH1224"/>
      <c r="AI1224"/>
      <c r="AJ1224"/>
      <c r="AK1224"/>
      <c r="AL1224"/>
      <c r="AM1224"/>
      <c r="AN1224"/>
      <c r="AO1224"/>
      <c r="AP1224"/>
      <c r="AQ1224" s="32" t="s">
        <v>2429</v>
      </c>
      <c r="AU1224">
        <v>1223</v>
      </c>
    </row>
    <row r="1225" spans="1:47" x14ac:dyDescent="0.2">
      <c r="A1225" s="26">
        <v>6280</v>
      </c>
      <c r="B1225" s="27">
        <v>0.375</v>
      </c>
      <c r="C1225" s="28"/>
      <c r="D1225" s="29"/>
      <c r="E1225" s="30" t="s">
        <v>869</v>
      </c>
      <c r="H1225" s="32">
        <v>0</v>
      </c>
      <c r="I1225" s="32" t="s">
        <v>2344</v>
      </c>
      <c r="AG1225" s="32">
        <v>0</v>
      </c>
      <c r="AH1225" s="32">
        <v>0</v>
      </c>
      <c r="AI1225" s="32">
        <v>0</v>
      </c>
      <c r="AK1225" s="32">
        <v>0</v>
      </c>
      <c r="AL1225" s="32">
        <v>0.75</v>
      </c>
      <c r="AP1225" s="32">
        <v>0.75</v>
      </c>
      <c r="AQ1225" s="32" t="s">
        <v>589</v>
      </c>
      <c r="AU1225">
        <v>1224</v>
      </c>
    </row>
    <row r="1226" spans="1:47" x14ac:dyDescent="0.2">
      <c r="A1226" s="37">
        <v>6282</v>
      </c>
      <c r="B1226" s="39" t="s">
        <v>45</v>
      </c>
      <c r="C1226" s="39" t="s">
        <v>156</v>
      </c>
      <c r="D1226" s="29"/>
      <c r="E1226" s="39" t="s">
        <v>2464</v>
      </c>
      <c r="F1226" s="47" t="s">
        <v>150</v>
      </c>
      <c r="G1226" s="47" t="s">
        <v>49</v>
      </c>
      <c r="H1226"/>
      <c r="I1226" s="47" t="s">
        <v>2465</v>
      </c>
      <c r="AE1226" s="31" t="s">
        <v>2188</v>
      </c>
      <c r="AF1226" s="31">
        <v>65</v>
      </c>
      <c r="AU1226">
        <v>1225</v>
      </c>
    </row>
    <row r="1227" spans="1:47" x14ac:dyDescent="0.2">
      <c r="A1227" s="133">
        <v>6284</v>
      </c>
      <c r="B1227" s="39" t="s">
        <v>45</v>
      </c>
      <c r="C1227" s="39" t="s">
        <v>1806</v>
      </c>
      <c r="D1227" s="29" t="b">
        <v>1</v>
      </c>
      <c r="E1227" s="39" t="s">
        <v>464</v>
      </c>
      <c r="F1227" s="47" t="s">
        <v>2420</v>
      </c>
      <c r="G1227" s="47" t="s">
        <v>481</v>
      </c>
      <c r="H1227"/>
      <c r="I1227" s="47" t="b">
        <v>0</v>
      </c>
      <c r="J1227" s="47" t="b">
        <v>1</v>
      </c>
      <c r="K1227" s="47">
        <v>0</v>
      </c>
      <c r="L1227" s="48">
        <v>1</v>
      </c>
      <c r="M1227" s="47">
        <v>1</v>
      </c>
      <c r="N1227" s="47">
        <v>0</v>
      </c>
      <c r="O1227" s="47">
        <v>0</v>
      </c>
      <c r="P1227" s="47">
        <v>0</v>
      </c>
      <c r="Q1227" s="47">
        <v>0</v>
      </c>
      <c r="R1227" s="47">
        <v>0</v>
      </c>
      <c r="S1227" s="48">
        <v>0</v>
      </c>
      <c r="T1227" s="47">
        <v>0</v>
      </c>
      <c r="U1227" s="47">
        <v>0</v>
      </c>
      <c r="V1227" s="47">
        <v>0</v>
      </c>
      <c r="W1227" s="47"/>
      <c r="X1227" s="47">
        <v>12</v>
      </c>
      <c r="Y1227" s="47" t="s">
        <v>51</v>
      </c>
      <c r="Z1227" s="47" t="s">
        <v>2466</v>
      </c>
      <c r="AA1227" s="49">
        <v>0.11458333333333333</v>
      </c>
      <c r="AB1227" s="49">
        <v>0.15972222222222224</v>
      </c>
      <c r="AC1227" s="49"/>
      <c r="AD1227" s="50">
        <f>(AB1227-AA1227)*24</f>
        <v>1.0833333333333339</v>
      </c>
      <c r="AE1227" s="47" t="s">
        <v>1312</v>
      </c>
      <c r="AF1227" s="47">
        <v>75</v>
      </c>
      <c r="AG1227"/>
      <c r="AH1227"/>
      <c r="AI1227"/>
      <c r="AJ1227"/>
      <c r="AK1227"/>
      <c r="AL1227"/>
      <c r="AM1227"/>
      <c r="AN1227"/>
      <c r="AO1227"/>
      <c r="AP1227"/>
      <c r="AQ1227"/>
      <c r="AU1227">
        <v>1226</v>
      </c>
    </row>
    <row r="1228" spans="1:47" x14ac:dyDescent="0.2">
      <c r="A1228" s="133">
        <v>6284</v>
      </c>
      <c r="B1228" s="39" t="s">
        <v>45</v>
      </c>
      <c r="C1228" s="39" t="s">
        <v>156</v>
      </c>
      <c r="D1228" s="29"/>
      <c r="E1228" s="39" t="s">
        <v>352</v>
      </c>
      <c r="F1228" s="47" t="s">
        <v>1663</v>
      </c>
      <c r="G1228" s="47" t="s">
        <v>459</v>
      </c>
      <c r="H1228"/>
      <c r="I1228" s="47" t="s">
        <v>156</v>
      </c>
      <c r="J1228" s="47"/>
      <c r="K1228" s="47"/>
      <c r="L1228" s="48"/>
      <c r="M1228" s="47"/>
      <c r="N1228" s="47"/>
      <c r="O1228" s="47"/>
      <c r="P1228" s="47"/>
      <c r="Q1228" s="47"/>
      <c r="R1228" s="47"/>
      <c r="S1228" s="48"/>
      <c r="T1228" s="47"/>
      <c r="U1228" s="47"/>
      <c r="V1228" s="47"/>
      <c r="W1228" s="47"/>
      <c r="X1228" s="47"/>
      <c r="Y1228" s="47"/>
      <c r="Z1228" s="47"/>
      <c r="AA1228" s="49"/>
      <c r="AB1228" s="49"/>
      <c r="AC1228" s="49"/>
      <c r="AD1228" s="50"/>
      <c r="AE1228" s="31" t="s">
        <v>2188</v>
      </c>
      <c r="AF1228" s="47">
        <v>55</v>
      </c>
      <c r="AG1228"/>
      <c r="AH1228"/>
      <c r="AI1228"/>
      <c r="AJ1228"/>
      <c r="AK1228"/>
      <c r="AL1228"/>
      <c r="AM1228"/>
      <c r="AN1228"/>
      <c r="AO1228"/>
      <c r="AP1228"/>
      <c r="AQ1228"/>
      <c r="AU1228">
        <v>1227</v>
      </c>
    </row>
    <row r="1229" spans="1:47" x14ac:dyDescent="0.2">
      <c r="A1229" s="133">
        <v>6284</v>
      </c>
      <c r="B1229" s="39" t="s">
        <v>45</v>
      </c>
      <c r="C1229" s="39" t="s">
        <v>2467</v>
      </c>
      <c r="D1229" s="29"/>
      <c r="E1229" s="39" t="s">
        <v>2468</v>
      </c>
      <c r="F1229" s="47" t="s">
        <v>1963</v>
      </c>
      <c r="G1229" s="47" t="s">
        <v>49</v>
      </c>
      <c r="H1229"/>
      <c r="I1229" s="47" t="s">
        <v>2469</v>
      </c>
      <c r="J1229" s="47"/>
      <c r="K1229" s="47">
        <f>664*2.2</f>
        <v>1460.8000000000002</v>
      </c>
      <c r="L1229" s="48">
        <v>7</v>
      </c>
      <c r="M1229" s="47">
        <v>1</v>
      </c>
      <c r="N1229" s="47"/>
      <c r="O1229" s="47"/>
      <c r="P1229" s="47"/>
      <c r="Q1229" s="47"/>
      <c r="R1229" s="47"/>
      <c r="S1229" s="48">
        <v>6</v>
      </c>
      <c r="T1229" s="47">
        <v>0</v>
      </c>
      <c r="U1229" s="47">
        <v>0</v>
      </c>
      <c r="V1229" s="47">
        <v>0</v>
      </c>
      <c r="W1229" s="47"/>
      <c r="X1229" s="47"/>
      <c r="Y1229" s="47" t="s">
        <v>51</v>
      </c>
      <c r="Z1229" s="47" t="s">
        <v>2203</v>
      </c>
      <c r="AA1229" s="49">
        <v>0.90625</v>
      </c>
      <c r="AB1229" s="49"/>
      <c r="AC1229" s="49"/>
      <c r="AD1229" s="50"/>
      <c r="AE1229" s="47" t="s">
        <v>2470</v>
      </c>
      <c r="AF1229" s="47"/>
      <c r="AG1229"/>
      <c r="AH1229"/>
      <c r="AI1229"/>
      <c r="AJ1229"/>
      <c r="AK1229">
        <f>48+8</f>
        <v>56</v>
      </c>
      <c r="AL1229"/>
      <c r="AM1229"/>
      <c r="AN1229"/>
      <c r="AO1229"/>
      <c r="AP1229"/>
      <c r="AQ1229" s="32" t="s">
        <v>2471</v>
      </c>
      <c r="AU1229">
        <v>1228</v>
      </c>
    </row>
    <row r="1230" spans="1:47" x14ac:dyDescent="0.2">
      <c r="A1230" s="26">
        <v>6284</v>
      </c>
      <c r="B1230" s="27">
        <v>0.91319444444444453</v>
      </c>
      <c r="C1230" s="28"/>
      <c r="D1230" s="29"/>
      <c r="E1230" s="30" t="s">
        <v>1282</v>
      </c>
      <c r="H1230" s="32">
        <v>0</v>
      </c>
      <c r="I1230" s="32" t="s">
        <v>2472</v>
      </c>
      <c r="AG1230" s="32">
        <v>0</v>
      </c>
      <c r="AH1230" s="32">
        <v>0</v>
      </c>
      <c r="AI1230" s="32">
        <v>0</v>
      </c>
      <c r="AK1230" s="32">
        <v>0</v>
      </c>
      <c r="AL1230" s="32">
        <f>2+55/60</f>
        <v>2.9166666666666665</v>
      </c>
      <c r="AP1230" s="32">
        <f>2+55/60</f>
        <v>2.9166666666666665</v>
      </c>
      <c r="AQ1230" s="32" t="s">
        <v>1101</v>
      </c>
      <c r="AU1230">
        <v>1229</v>
      </c>
    </row>
    <row r="1231" spans="1:47" x14ac:dyDescent="0.2">
      <c r="A1231" s="26">
        <v>6284</v>
      </c>
      <c r="B1231" s="27" t="s">
        <v>45</v>
      </c>
      <c r="C1231" s="28"/>
      <c r="D1231" s="29"/>
      <c r="E1231" s="30" t="s">
        <v>1531</v>
      </c>
      <c r="H1231" s="32">
        <v>0</v>
      </c>
      <c r="I1231" s="32" t="s">
        <v>1532</v>
      </c>
      <c r="AG1231" s="32">
        <v>0</v>
      </c>
      <c r="AH1231" s="32">
        <v>0</v>
      </c>
      <c r="AI1231" s="32">
        <v>0</v>
      </c>
      <c r="AK1231" s="32">
        <v>0</v>
      </c>
      <c r="AM1231" s="32">
        <f>498*60</f>
        <v>29880</v>
      </c>
      <c r="AO1231" s="32" t="s">
        <v>1533</v>
      </c>
      <c r="AQ1231" s="32" t="s">
        <v>1101</v>
      </c>
      <c r="AU1231">
        <v>1230</v>
      </c>
    </row>
    <row r="1232" spans="1:47" x14ac:dyDescent="0.2">
      <c r="A1232" s="26">
        <v>6284</v>
      </c>
      <c r="B1232" s="27" t="s">
        <v>45</v>
      </c>
      <c r="C1232" s="28"/>
      <c r="D1232" s="29"/>
      <c r="E1232" s="150" t="s">
        <v>2286</v>
      </c>
      <c r="H1232" s="32">
        <v>0</v>
      </c>
      <c r="I1232" s="32" t="s">
        <v>1824</v>
      </c>
      <c r="AG1232" s="32">
        <v>0</v>
      </c>
      <c r="AH1232" s="32">
        <v>0</v>
      </c>
      <c r="AI1232" s="32">
        <v>0</v>
      </c>
      <c r="AK1232" s="32">
        <v>0</v>
      </c>
      <c r="AM1232" s="32">
        <f>23*500</f>
        <v>11500</v>
      </c>
      <c r="AO1232" s="73" t="s">
        <v>75</v>
      </c>
      <c r="AQ1232" s="32" t="s">
        <v>589</v>
      </c>
      <c r="AU1232">
        <v>1231</v>
      </c>
    </row>
    <row r="1233" spans="1:47" x14ac:dyDescent="0.2">
      <c r="A1233" s="133">
        <v>6285</v>
      </c>
      <c r="B1233" s="39" t="s">
        <v>85</v>
      </c>
      <c r="C1233" s="85" t="s">
        <v>1806</v>
      </c>
      <c r="D1233" s="29" t="b">
        <v>0</v>
      </c>
      <c r="E1233" s="39" t="s">
        <v>2473</v>
      </c>
      <c r="F1233" s="47" t="s">
        <v>529</v>
      </c>
      <c r="G1233" s="47" t="s">
        <v>205</v>
      </c>
      <c r="H1233"/>
      <c r="I1233" s="134" t="s">
        <v>2474</v>
      </c>
      <c r="J1233" s="47" t="b">
        <v>1</v>
      </c>
      <c r="K1233" s="47">
        <v>1560</v>
      </c>
      <c r="L1233" s="48">
        <v>7</v>
      </c>
      <c r="M1233" s="47">
        <v>0</v>
      </c>
      <c r="N1233" s="47">
        <v>1</v>
      </c>
      <c r="O1233" s="47">
        <v>0</v>
      </c>
      <c r="P1233" s="47">
        <v>6</v>
      </c>
      <c r="Q1233" s="47">
        <v>0</v>
      </c>
      <c r="R1233" s="47">
        <v>0</v>
      </c>
      <c r="S1233" s="48">
        <v>6</v>
      </c>
      <c r="T1233" s="47">
        <v>0</v>
      </c>
      <c r="U1233" s="47">
        <v>0</v>
      </c>
      <c r="V1233" s="47">
        <v>0</v>
      </c>
      <c r="W1233" s="47">
        <v>9700</v>
      </c>
      <c r="X1233" s="47">
        <v>13</v>
      </c>
      <c r="Y1233" s="47" t="s">
        <v>120</v>
      </c>
      <c r="Z1233" s="47" t="s">
        <v>1809</v>
      </c>
      <c r="AA1233" s="49">
        <v>0.31944444444444448</v>
      </c>
      <c r="AB1233" s="49">
        <v>0.41666666666666669</v>
      </c>
      <c r="AC1233" s="49">
        <v>0.38194444444444442</v>
      </c>
      <c r="AD1233" s="50">
        <f>(AB1233-AA1233)*24</f>
        <v>2.333333333333333</v>
      </c>
      <c r="AE1233" s="47" t="s">
        <v>1312</v>
      </c>
      <c r="AF1233" s="47">
        <v>60</v>
      </c>
      <c r="AG1233"/>
      <c r="AH1233"/>
      <c r="AI1233"/>
      <c r="AJ1233"/>
      <c r="AK1233">
        <v>24</v>
      </c>
      <c r="AL1233"/>
      <c r="AM1233"/>
      <c r="AN1233"/>
      <c r="AO1233"/>
      <c r="AP1233"/>
      <c r="AQ1233" t="s">
        <v>2166</v>
      </c>
      <c r="AU1233">
        <v>1232</v>
      </c>
    </row>
    <row r="1234" spans="1:47" x14ac:dyDescent="0.2">
      <c r="A1234" s="151">
        <v>6285</v>
      </c>
      <c r="B1234" s="61" t="s">
        <v>85</v>
      </c>
      <c r="C1234" s="61" t="s">
        <v>2423</v>
      </c>
      <c r="D1234" s="62"/>
      <c r="E1234" s="61" t="s">
        <v>2475</v>
      </c>
      <c r="F1234" s="47"/>
      <c r="G1234" s="47"/>
      <c r="H1234"/>
      <c r="I1234" s="152" t="s">
        <v>2476</v>
      </c>
      <c r="J1234" s="47"/>
      <c r="K1234" s="47"/>
      <c r="L1234" s="48"/>
      <c r="M1234" s="47"/>
      <c r="N1234" s="47"/>
      <c r="O1234" s="47"/>
      <c r="P1234" s="47"/>
      <c r="Q1234" s="47"/>
      <c r="R1234" s="47"/>
      <c r="S1234" s="48"/>
      <c r="T1234" s="47"/>
      <c r="U1234" s="47"/>
      <c r="V1234" s="47"/>
      <c r="W1234" s="47"/>
      <c r="X1234" s="47"/>
      <c r="Y1234" s="31" t="s">
        <v>51</v>
      </c>
      <c r="Z1234" s="47"/>
      <c r="AA1234" s="49"/>
      <c r="AB1234" s="49"/>
      <c r="AC1234" s="49"/>
      <c r="AD1234" s="50"/>
      <c r="AE1234" s="47"/>
      <c r="AF1234" s="47"/>
      <c r="AG1234"/>
      <c r="AH1234"/>
      <c r="AI1234"/>
      <c r="AJ1234"/>
      <c r="AK1234"/>
      <c r="AL1234"/>
      <c r="AM1234"/>
      <c r="AN1234"/>
      <c r="AO1234"/>
      <c r="AP1234"/>
      <c r="AQ1234" t="s">
        <v>2477</v>
      </c>
      <c r="AU1234">
        <v>1233</v>
      </c>
    </row>
    <row r="1235" spans="1:47" x14ac:dyDescent="0.2">
      <c r="A1235" s="133">
        <v>6285</v>
      </c>
      <c r="B1235" s="39" t="s">
        <v>85</v>
      </c>
      <c r="C1235" s="43" t="s">
        <v>2050</v>
      </c>
      <c r="D1235" s="29"/>
      <c r="E1235" s="39" t="s">
        <v>2478</v>
      </c>
      <c r="F1235" s="47"/>
      <c r="G1235" s="47"/>
      <c r="H1235"/>
      <c r="I1235" s="134" t="s">
        <v>2479</v>
      </c>
      <c r="J1235" s="47"/>
      <c r="K1235" s="114">
        <f>6*10*2.2</f>
        <v>132</v>
      </c>
      <c r="L1235" s="48"/>
      <c r="M1235" s="47"/>
      <c r="N1235" s="47"/>
      <c r="O1235" s="47"/>
      <c r="P1235" s="47"/>
      <c r="Q1235" s="47"/>
      <c r="R1235" s="47"/>
      <c r="S1235" s="48">
        <v>1</v>
      </c>
      <c r="T1235" s="47"/>
      <c r="U1235" s="47"/>
      <c r="V1235" s="47"/>
      <c r="W1235" s="47"/>
      <c r="X1235" s="47"/>
      <c r="Y1235" s="47"/>
      <c r="Z1235" s="31" t="s">
        <v>1809</v>
      </c>
      <c r="AA1235" s="49"/>
      <c r="AB1235" s="49"/>
      <c r="AC1235" s="49"/>
      <c r="AD1235" s="50"/>
      <c r="AE1235" s="31" t="s">
        <v>1736</v>
      </c>
      <c r="AF1235" s="47">
        <v>140</v>
      </c>
      <c r="AG1235"/>
      <c r="AH1235"/>
      <c r="AI1235"/>
      <c r="AJ1235"/>
      <c r="AK1235">
        <v>6</v>
      </c>
      <c r="AL1235"/>
      <c r="AM1235"/>
      <c r="AN1235"/>
      <c r="AO1235"/>
      <c r="AP1235"/>
      <c r="AQ1235" s="32" t="s">
        <v>2416</v>
      </c>
      <c r="AU1235">
        <v>1234</v>
      </c>
    </row>
    <row r="1236" spans="1:47" x14ac:dyDescent="0.2">
      <c r="A1236" s="133">
        <v>6285</v>
      </c>
      <c r="B1236" s="39" t="s">
        <v>45</v>
      </c>
      <c r="C1236" s="85" t="s">
        <v>156</v>
      </c>
      <c r="D1236" s="29"/>
      <c r="E1236" s="39" t="s">
        <v>352</v>
      </c>
      <c r="F1236" s="47" t="s">
        <v>1663</v>
      </c>
      <c r="G1236" s="47"/>
      <c r="H1236"/>
      <c r="J1236" s="47"/>
      <c r="K1236" s="47"/>
      <c r="L1236" s="48"/>
      <c r="M1236" s="47"/>
      <c r="N1236" s="47"/>
      <c r="O1236" s="47"/>
      <c r="P1236" s="47"/>
      <c r="Q1236" s="47"/>
      <c r="R1236" s="47"/>
      <c r="S1236" s="48"/>
      <c r="T1236" s="47"/>
      <c r="U1236" s="47"/>
      <c r="V1236" s="47"/>
      <c r="W1236" s="47"/>
      <c r="X1236" s="47"/>
      <c r="Y1236" s="47"/>
      <c r="Z1236" s="47"/>
      <c r="AA1236" s="49"/>
      <c r="AB1236" s="49"/>
      <c r="AC1236" s="49"/>
      <c r="AD1236" s="50"/>
      <c r="AE1236" s="31" t="s">
        <v>2188</v>
      </c>
      <c r="AF1236" s="47">
        <v>55</v>
      </c>
      <c r="AG1236"/>
      <c r="AH1236"/>
      <c r="AI1236"/>
      <c r="AJ1236"/>
      <c r="AK1236"/>
      <c r="AL1236"/>
      <c r="AM1236"/>
      <c r="AN1236"/>
      <c r="AO1236"/>
      <c r="AP1236"/>
      <c r="AQ1236"/>
      <c r="AU1236">
        <v>1235</v>
      </c>
    </row>
    <row r="1237" spans="1:47" x14ac:dyDescent="0.2">
      <c r="A1237" s="133">
        <v>6285</v>
      </c>
      <c r="B1237" s="39" t="s">
        <v>45</v>
      </c>
      <c r="C1237" s="39" t="s">
        <v>1806</v>
      </c>
      <c r="D1237" s="29" t="b">
        <v>0</v>
      </c>
      <c r="E1237" s="39" t="s">
        <v>2480</v>
      </c>
      <c r="F1237" s="47" t="s">
        <v>48</v>
      </c>
      <c r="G1237" s="47" t="s">
        <v>49</v>
      </c>
      <c r="H1237"/>
      <c r="I1237" s="134" t="s">
        <v>2481</v>
      </c>
      <c r="J1237" s="47" t="b">
        <v>1</v>
      </c>
      <c r="K1237" s="47">
        <v>1200</v>
      </c>
      <c r="L1237" s="48">
        <v>1</v>
      </c>
      <c r="M1237" s="47">
        <v>0</v>
      </c>
      <c r="N1237" s="47">
        <v>0</v>
      </c>
      <c r="O1237" s="47">
        <v>0</v>
      </c>
      <c r="P1237" s="47">
        <v>1</v>
      </c>
      <c r="Q1237" s="47">
        <v>0</v>
      </c>
      <c r="R1237" s="47">
        <v>0</v>
      </c>
      <c r="S1237" s="48">
        <v>1</v>
      </c>
      <c r="T1237" s="47">
        <v>0</v>
      </c>
      <c r="U1237" s="47">
        <v>0</v>
      </c>
      <c r="V1237" s="47">
        <v>0</v>
      </c>
      <c r="W1237" s="47">
        <v>6000</v>
      </c>
      <c r="X1237" s="47">
        <v>14</v>
      </c>
      <c r="Y1237" s="47" t="s">
        <v>51</v>
      </c>
      <c r="Z1237" s="47" t="s">
        <v>2466</v>
      </c>
      <c r="AA1237" s="49">
        <v>0.93402777777777779</v>
      </c>
      <c r="AB1237" s="34">
        <v>0.98263888888888884</v>
      </c>
      <c r="AC1237" s="49">
        <v>0.96875</v>
      </c>
      <c r="AD1237" s="50">
        <f>(AB1237-AA1237)*24</f>
        <v>1.1666666666666652</v>
      </c>
      <c r="AE1237" s="47" t="s">
        <v>1312</v>
      </c>
      <c r="AF1237" s="47">
        <v>60</v>
      </c>
      <c r="AG1237"/>
      <c r="AH1237"/>
      <c r="AI1237"/>
      <c r="AJ1237"/>
      <c r="AK1237">
        <v>12</v>
      </c>
      <c r="AL1237"/>
      <c r="AM1237"/>
      <c r="AN1237"/>
      <c r="AO1237"/>
      <c r="AP1237"/>
      <c r="AQ1237" t="s">
        <v>2166</v>
      </c>
      <c r="AU1237">
        <v>1236</v>
      </c>
    </row>
    <row r="1238" spans="1:47" x14ac:dyDescent="0.2">
      <c r="A1238" s="37">
        <v>6285</v>
      </c>
      <c r="B1238" s="38" t="s">
        <v>45</v>
      </c>
      <c r="C1238" s="39" t="s">
        <v>1843</v>
      </c>
      <c r="D1238" s="29"/>
      <c r="E1238" s="38" t="s">
        <v>2482</v>
      </c>
      <c r="F1238" s="32" t="s">
        <v>2483</v>
      </c>
      <c r="G1238" s="47" t="s">
        <v>481</v>
      </c>
      <c r="H1238"/>
      <c r="I1238" s="32" t="b">
        <v>1</v>
      </c>
      <c r="J1238" s="32" t="b">
        <v>1</v>
      </c>
      <c r="K1238" s="47">
        <f>10*30*10*2.2</f>
        <v>6600.0000000000009</v>
      </c>
      <c r="L1238" s="48">
        <v>10</v>
      </c>
      <c r="M1238" s="47"/>
      <c r="N1238" s="47"/>
      <c r="O1238" s="47"/>
      <c r="P1238" s="47"/>
      <c r="Q1238" s="47"/>
      <c r="R1238" s="47"/>
      <c r="S1238" s="48">
        <v>10</v>
      </c>
      <c r="T1238" s="47">
        <v>0</v>
      </c>
      <c r="U1238" s="47">
        <v>0</v>
      </c>
      <c r="V1238" s="47">
        <v>1</v>
      </c>
      <c r="W1238" s="47">
        <f>((2400+2900+2400+2500+2000+1800+2400+2800+2500+2400)/10)*39.37/12</f>
        <v>7906.8083333333334</v>
      </c>
      <c r="X1238" s="47"/>
      <c r="Y1238" s="47" t="s">
        <v>51</v>
      </c>
      <c r="Z1238" s="47" t="s">
        <v>1846</v>
      </c>
      <c r="AA1238" s="49"/>
      <c r="AB1238" s="49"/>
      <c r="AC1238" s="49"/>
      <c r="AD1238" s="50">
        <f>3+25/60</f>
        <v>3.4166666666666665</v>
      </c>
      <c r="AE1238" s="47" t="s">
        <v>342</v>
      </c>
      <c r="AF1238" s="47">
        <v>75</v>
      </c>
      <c r="AG1238"/>
      <c r="AH1238"/>
      <c r="AI1238"/>
      <c r="AJ1238"/>
      <c r="AK1238">
        <f>10*30</f>
        <v>300</v>
      </c>
      <c r="AL1238"/>
      <c r="AM1238"/>
      <c r="AN1238"/>
      <c r="AO1238"/>
      <c r="AP1238"/>
      <c r="AQ1238" s="32" t="s">
        <v>2484</v>
      </c>
      <c r="AR1238" s="32" t="s">
        <v>2485</v>
      </c>
      <c r="AU1238">
        <v>1237</v>
      </c>
    </row>
    <row r="1239" spans="1:47" x14ac:dyDescent="0.2">
      <c r="A1239" s="37">
        <v>6285</v>
      </c>
      <c r="B1239" s="38" t="s">
        <v>45</v>
      </c>
      <c r="C1239" s="39" t="s">
        <v>1843</v>
      </c>
      <c r="D1239" s="29"/>
      <c r="E1239" s="38" t="s">
        <v>2440</v>
      </c>
      <c r="F1239" s="31" t="s">
        <v>967</v>
      </c>
      <c r="G1239" s="47" t="s">
        <v>481</v>
      </c>
      <c r="H1239"/>
      <c r="I1239" s="32" t="b">
        <v>0</v>
      </c>
      <c r="J1239" s="32" t="b">
        <v>0</v>
      </c>
      <c r="K1239" s="47">
        <f>4*30*10*2.2</f>
        <v>2640</v>
      </c>
      <c r="L1239" s="48"/>
      <c r="M1239" s="47"/>
      <c r="N1239" s="47"/>
      <c r="O1239" s="47"/>
      <c r="P1239" s="47"/>
      <c r="Q1239" s="47"/>
      <c r="R1239" s="47"/>
      <c r="S1239" s="48">
        <v>4</v>
      </c>
      <c r="T1239" s="47"/>
      <c r="U1239" s="47"/>
      <c r="V1239" s="47"/>
      <c r="W1239" s="47">
        <f>((2400+2900+2400+2500)/4)*39.37/12</f>
        <v>8366.125</v>
      </c>
      <c r="X1239" s="47"/>
      <c r="Y1239" s="47" t="s">
        <v>51</v>
      </c>
      <c r="Z1239" s="47" t="s">
        <v>1846</v>
      </c>
      <c r="AA1239" s="49"/>
      <c r="AB1239" s="49"/>
      <c r="AC1239" s="49"/>
      <c r="AD1239" s="50">
        <f>2+35/60</f>
        <v>2.5833333333333335</v>
      </c>
      <c r="AE1239" s="47" t="s">
        <v>342</v>
      </c>
      <c r="AF1239" s="47">
        <v>75</v>
      </c>
      <c r="AG1239"/>
      <c r="AH1239"/>
      <c r="AI1239"/>
      <c r="AJ1239"/>
      <c r="AK1239">
        <f>4*30</f>
        <v>120</v>
      </c>
      <c r="AL1239"/>
      <c r="AM1239"/>
      <c r="AN1239"/>
      <c r="AO1239"/>
      <c r="AP1239"/>
      <c r="AQ1239" s="32" t="s">
        <v>2484</v>
      </c>
      <c r="AR1239" s="32" t="s">
        <v>2486</v>
      </c>
      <c r="AU1239">
        <v>1238</v>
      </c>
    </row>
    <row r="1240" spans="1:47" x14ac:dyDescent="0.2">
      <c r="A1240" s="37">
        <v>6285</v>
      </c>
      <c r="B1240" s="38" t="s">
        <v>45</v>
      </c>
      <c r="C1240" s="39" t="s">
        <v>1843</v>
      </c>
      <c r="D1240" s="29"/>
      <c r="E1240" s="38" t="s">
        <v>2207</v>
      </c>
      <c r="F1240" s="31" t="s">
        <v>967</v>
      </c>
      <c r="G1240" s="47" t="s">
        <v>481</v>
      </c>
      <c r="H1240"/>
      <c r="I1240" s="32" t="b">
        <v>0</v>
      </c>
      <c r="J1240" s="32" t="b">
        <v>0</v>
      </c>
      <c r="K1240" s="47">
        <f>5*30*10*2.2</f>
        <v>3300.0000000000005</v>
      </c>
      <c r="L1240" s="48"/>
      <c r="M1240" s="47"/>
      <c r="N1240" s="47"/>
      <c r="O1240" s="47"/>
      <c r="P1240" s="47"/>
      <c r="Q1240" s="47"/>
      <c r="R1240" s="47"/>
      <c r="S1240" s="48">
        <v>5</v>
      </c>
      <c r="T1240" s="47"/>
      <c r="U1240" s="47"/>
      <c r="V1240" s="47"/>
      <c r="W1240" s="47">
        <f>((2000+1800+2400+2800+2500)/5)*39.37/12</f>
        <v>7545.916666666667</v>
      </c>
      <c r="X1240" s="47"/>
      <c r="Y1240" s="47" t="s">
        <v>51</v>
      </c>
      <c r="Z1240" s="47" t="s">
        <v>1846</v>
      </c>
      <c r="AA1240" s="49"/>
      <c r="AB1240" s="49"/>
      <c r="AC1240" s="49"/>
      <c r="AD1240" s="50">
        <f>3+25/60</f>
        <v>3.4166666666666665</v>
      </c>
      <c r="AE1240" s="47" t="s">
        <v>342</v>
      </c>
      <c r="AF1240" s="47">
        <v>80</v>
      </c>
      <c r="AG1240"/>
      <c r="AH1240"/>
      <c r="AI1240"/>
      <c r="AJ1240"/>
      <c r="AK1240">
        <f>5*30</f>
        <v>150</v>
      </c>
      <c r="AL1240"/>
      <c r="AM1240"/>
      <c r="AN1240"/>
      <c r="AO1240"/>
      <c r="AP1240"/>
      <c r="AQ1240" s="32" t="s">
        <v>2484</v>
      </c>
      <c r="AR1240" s="32" t="s">
        <v>2487</v>
      </c>
      <c r="AU1240">
        <v>1239</v>
      </c>
    </row>
    <row r="1241" spans="1:47" x14ac:dyDescent="0.2">
      <c r="A1241" s="37">
        <v>6285</v>
      </c>
      <c r="B1241" s="38" t="s">
        <v>45</v>
      </c>
      <c r="C1241" s="39" t="s">
        <v>1843</v>
      </c>
      <c r="D1241" s="29"/>
      <c r="E1241" s="38" t="s">
        <v>2488</v>
      </c>
      <c r="F1241" s="31" t="s">
        <v>220</v>
      </c>
      <c r="G1241" s="47" t="s">
        <v>49</v>
      </c>
      <c r="H1241"/>
      <c r="I1241" s="32" t="b">
        <v>0</v>
      </c>
      <c r="J1241" s="32" t="b">
        <v>0</v>
      </c>
      <c r="K1241" s="47">
        <f>30*10*2.2</f>
        <v>660</v>
      </c>
      <c r="L1241" s="48"/>
      <c r="M1241" s="47"/>
      <c r="N1241" s="47"/>
      <c r="O1241" s="47"/>
      <c r="P1241" s="47"/>
      <c r="Q1241" s="47"/>
      <c r="R1241" s="47"/>
      <c r="S1241" s="48">
        <v>1</v>
      </c>
      <c r="T1241" s="47"/>
      <c r="U1241" s="47"/>
      <c r="V1241" s="47"/>
      <c r="W1241" s="47">
        <f>((2400)/1)*39.37/12</f>
        <v>7874</v>
      </c>
      <c r="X1241" s="47"/>
      <c r="Y1241" s="47" t="s">
        <v>51</v>
      </c>
      <c r="Z1241" s="47" t="s">
        <v>1846</v>
      </c>
      <c r="AA1241" s="49"/>
      <c r="AB1241" s="49"/>
      <c r="AC1241" s="49"/>
      <c r="AD1241" s="50">
        <v>1.75</v>
      </c>
      <c r="AE1241" s="47" t="s">
        <v>342</v>
      </c>
      <c r="AF1241" s="47"/>
      <c r="AG1241"/>
      <c r="AH1241"/>
      <c r="AI1241"/>
      <c r="AJ1241"/>
      <c r="AK1241">
        <v>30</v>
      </c>
      <c r="AL1241"/>
      <c r="AM1241"/>
      <c r="AN1241"/>
      <c r="AO1241"/>
      <c r="AP1241"/>
      <c r="AQ1241" s="32" t="s">
        <v>2484</v>
      </c>
      <c r="AR1241" s="32" t="s">
        <v>2489</v>
      </c>
      <c r="AU1241">
        <v>1240</v>
      </c>
    </row>
    <row r="1242" spans="1:47" x14ac:dyDescent="0.2">
      <c r="A1242" s="37">
        <v>6285</v>
      </c>
      <c r="B1242" s="38" t="s">
        <v>45</v>
      </c>
      <c r="C1242" s="39" t="s">
        <v>2467</v>
      </c>
      <c r="D1242" s="29"/>
      <c r="E1242" s="38" t="s">
        <v>2490</v>
      </c>
      <c r="F1242" s="31" t="s">
        <v>2491</v>
      </c>
      <c r="G1242" s="47" t="s">
        <v>73</v>
      </c>
      <c r="H1242"/>
      <c r="I1242" s="32" t="s">
        <v>2492</v>
      </c>
      <c r="J1242" s="47"/>
      <c r="K1242" s="47">
        <f>(60*10+12*25)*2.2</f>
        <v>1980.0000000000002</v>
      </c>
      <c r="L1242" s="48"/>
      <c r="M1242" s="47"/>
      <c r="N1242" s="47"/>
      <c r="O1242" s="47"/>
      <c r="P1242" s="47"/>
      <c r="Q1242" s="47"/>
      <c r="R1242" s="47"/>
      <c r="S1242" s="48">
        <v>8</v>
      </c>
      <c r="T1242" s="47">
        <v>0</v>
      </c>
      <c r="U1242" s="47">
        <v>0</v>
      </c>
      <c r="V1242" s="47">
        <v>0</v>
      </c>
      <c r="W1242" s="47"/>
      <c r="X1242" s="47"/>
      <c r="Y1242" s="47" t="s">
        <v>51</v>
      </c>
      <c r="Z1242" s="47" t="s">
        <v>2203</v>
      </c>
      <c r="AA1242" s="49"/>
      <c r="AB1242" s="49"/>
      <c r="AC1242" s="49">
        <v>0.9375</v>
      </c>
      <c r="AD1242" s="50"/>
      <c r="AE1242" s="47" t="s">
        <v>2470</v>
      </c>
      <c r="AF1242" s="47"/>
      <c r="AG1242"/>
      <c r="AH1242"/>
      <c r="AI1242"/>
      <c r="AJ1242"/>
      <c r="AK1242">
        <v>72</v>
      </c>
      <c r="AL1242"/>
      <c r="AM1242"/>
      <c r="AN1242"/>
      <c r="AO1242"/>
      <c r="AP1242"/>
      <c r="AQ1242" s="32" t="s">
        <v>2471</v>
      </c>
      <c r="AU1242">
        <v>1241</v>
      </c>
    </row>
    <row r="1243" spans="1:47" x14ac:dyDescent="0.2">
      <c r="A1243" s="26">
        <v>6285</v>
      </c>
      <c r="B1243" s="27">
        <v>0.90625</v>
      </c>
      <c r="C1243" s="28"/>
      <c r="D1243" s="29"/>
      <c r="E1243" s="30" t="s">
        <v>869</v>
      </c>
      <c r="H1243" s="32">
        <v>0</v>
      </c>
      <c r="I1243" s="32" t="s">
        <v>2344</v>
      </c>
      <c r="AG1243" s="32">
        <v>0</v>
      </c>
      <c r="AH1243" s="32">
        <v>0</v>
      </c>
      <c r="AI1243" s="32">
        <v>0</v>
      </c>
      <c r="AK1243" s="32">
        <v>0</v>
      </c>
      <c r="AL1243" s="32">
        <f>155/60</f>
        <v>2.5833333333333335</v>
      </c>
      <c r="AP1243" s="32">
        <f>155/60</f>
        <v>2.5833333333333335</v>
      </c>
      <c r="AQ1243" s="32" t="s">
        <v>589</v>
      </c>
      <c r="AU1243">
        <v>1242</v>
      </c>
    </row>
    <row r="1244" spans="1:47" x14ac:dyDescent="0.2">
      <c r="A1244" s="26">
        <v>6285</v>
      </c>
      <c r="B1244" s="27" t="s">
        <v>85</v>
      </c>
      <c r="C1244" s="28"/>
      <c r="D1244" s="29"/>
      <c r="E1244" s="30" t="s">
        <v>858</v>
      </c>
      <c r="H1244" s="32">
        <v>1</v>
      </c>
      <c r="I1244" s="32"/>
      <c r="AG1244" s="32">
        <v>1</v>
      </c>
      <c r="AH1244" s="32">
        <v>0</v>
      </c>
      <c r="AI1244" s="32">
        <v>19500</v>
      </c>
      <c r="AQ1244" s="32">
        <v>438</v>
      </c>
      <c r="AU1244">
        <v>1243</v>
      </c>
    </row>
    <row r="1245" spans="1:47" x14ac:dyDescent="0.2">
      <c r="A1245" s="26">
        <v>6285</v>
      </c>
      <c r="B1245" s="27" t="s">
        <v>45</v>
      </c>
      <c r="C1245" s="28"/>
      <c r="D1245" s="29"/>
      <c r="E1245" s="30" t="s">
        <v>586</v>
      </c>
      <c r="H1245" s="32">
        <v>1</v>
      </c>
      <c r="I1245" s="32" t="s">
        <v>2493</v>
      </c>
      <c r="AI1245" s="32">
        <v>5393</v>
      </c>
      <c r="AO1245" s="46" t="s">
        <v>588</v>
      </c>
      <c r="AQ1245" s="32" t="s">
        <v>589</v>
      </c>
      <c r="AU1245">
        <v>1244</v>
      </c>
    </row>
    <row r="1246" spans="1:47" x14ac:dyDescent="0.2">
      <c r="A1246" s="26">
        <v>6285</v>
      </c>
      <c r="B1246" s="27" t="s">
        <v>45</v>
      </c>
      <c r="C1246" s="28"/>
      <c r="D1246" s="29"/>
      <c r="E1246" s="30" t="s">
        <v>1531</v>
      </c>
      <c r="H1246" s="32">
        <v>0</v>
      </c>
      <c r="I1246" s="32" t="s">
        <v>1706</v>
      </c>
      <c r="AG1246" s="32">
        <v>0</v>
      </c>
      <c r="AH1246" s="32">
        <v>0</v>
      </c>
      <c r="AI1246" s="32">
        <v>0</v>
      </c>
      <c r="AK1246" s="32">
        <v>0</v>
      </c>
      <c r="AM1246" s="32">
        <f>498*73</f>
        <v>36354</v>
      </c>
      <c r="AO1246" s="32" t="s">
        <v>1533</v>
      </c>
      <c r="AQ1246" s="32" t="s">
        <v>1101</v>
      </c>
      <c r="AU1246">
        <v>1245</v>
      </c>
    </row>
    <row r="1247" spans="1:47" x14ac:dyDescent="0.2">
      <c r="A1247" s="26">
        <v>6285</v>
      </c>
      <c r="B1247" s="27" t="s">
        <v>45</v>
      </c>
      <c r="C1247" s="28"/>
      <c r="D1247" s="29"/>
      <c r="E1247" s="150" t="s">
        <v>2286</v>
      </c>
      <c r="H1247" s="32">
        <v>0</v>
      </c>
      <c r="I1247" s="32" t="s">
        <v>1824</v>
      </c>
      <c r="AG1247" s="32">
        <v>0</v>
      </c>
      <c r="AH1247" s="32">
        <v>0</v>
      </c>
      <c r="AI1247" s="32">
        <v>0</v>
      </c>
      <c r="AK1247" s="32">
        <v>0</v>
      </c>
      <c r="AM1247" s="32">
        <f>36*500</f>
        <v>18000</v>
      </c>
      <c r="AO1247" s="73" t="s">
        <v>75</v>
      </c>
      <c r="AQ1247" s="32" t="s">
        <v>589</v>
      </c>
      <c r="AU1247">
        <v>1246</v>
      </c>
    </row>
    <row r="1248" spans="1:47" x14ac:dyDescent="0.2">
      <c r="A1248" s="26">
        <v>6285</v>
      </c>
      <c r="B1248" s="27"/>
      <c r="C1248" s="28"/>
      <c r="D1248" s="29"/>
      <c r="E1248" s="30" t="s">
        <v>153</v>
      </c>
      <c r="H1248" s="32">
        <v>1</v>
      </c>
      <c r="I1248" s="32" t="s">
        <v>2494</v>
      </c>
      <c r="AG1248" s="32">
        <v>0</v>
      </c>
      <c r="AH1248" s="32">
        <v>2</v>
      </c>
      <c r="AK1248" s="32">
        <v>16</v>
      </c>
      <c r="AO1248" s="46" t="s">
        <v>155</v>
      </c>
      <c r="AP1248" s="46"/>
      <c r="AQ1248" s="32">
        <v>448</v>
      </c>
      <c r="AU1248">
        <v>1247</v>
      </c>
    </row>
    <row r="1249" spans="1:47" x14ac:dyDescent="0.2">
      <c r="A1249" s="26">
        <v>6285</v>
      </c>
      <c r="B1249" s="27"/>
      <c r="C1249" s="28"/>
      <c r="D1249" s="29"/>
      <c r="E1249" s="30" t="s">
        <v>2478</v>
      </c>
      <c r="H1249" s="32">
        <v>1</v>
      </c>
      <c r="I1249" s="32" t="s">
        <v>2495</v>
      </c>
      <c r="AG1249" s="32">
        <v>0</v>
      </c>
      <c r="AH1249" s="32">
        <v>1</v>
      </c>
      <c r="AI1249" s="32">
        <f>10000+300000*10/1342</f>
        <v>12235.469448584203</v>
      </c>
      <c r="AK1249" s="32">
        <v>6</v>
      </c>
      <c r="AQ1249" s="32" t="s">
        <v>2496</v>
      </c>
      <c r="AU1249">
        <v>1248</v>
      </c>
    </row>
    <row r="1250" spans="1:47" x14ac:dyDescent="0.2">
      <c r="A1250" s="37">
        <v>6286</v>
      </c>
      <c r="B1250" s="38" t="s">
        <v>45</v>
      </c>
      <c r="C1250" s="43" t="s">
        <v>2149</v>
      </c>
      <c r="D1250" s="29"/>
      <c r="E1250" s="36" t="s">
        <v>528</v>
      </c>
      <c r="F1250" s="31" t="s">
        <v>204</v>
      </c>
      <c r="G1250" s="31" t="s">
        <v>205</v>
      </c>
      <c r="H1250" s="32"/>
      <c r="I1250" s="32" t="s">
        <v>2497</v>
      </c>
      <c r="K1250" s="31">
        <f>96*8*2.2</f>
        <v>1689.6000000000001</v>
      </c>
      <c r="L1250" s="33">
        <v>4</v>
      </c>
      <c r="O1250" s="31">
        <v>1</v>
      </c>
      <c r="S1250" s="33">
        <v>3</v>
      </c>
      <c r="T1250" s="31">
        <v>0</v>
      </c>
      <c r="U1250" s="31">
        <v>0</v>
      </c>
      <c r="V1250" s="31">
        <v>1</v>
      </c>
      <c r="Y1250" s="31" t="s">
        <v>51</v>
      </c>
      <c r="Z1250" s="31" t="s">
        <v>1080</v>
      </c>
      <c r="AC1250" s="34">
        <v>0.79861111111111116</v>
      </c>
      <c r="AE1250" s="31" t="s">
        <v>1810</v>
      </c>
      <c r="AF1250" s="31">
        <v>75</v>
      </c>
      <c r="AK1250" s="32">
        <v>96</v>
      </c>
      <c r="AQ1250" t="s">
        <v>2477</v>
      </c>
      <c r="AU1250">
        <v>1249</v>
      </c>
    </row>
    <row r="1251" spans="1:47" x14ac:dyDescent="0.2">
      <c r="A1251" s="37">
        <v>6286</v>
      </c>
      <c r="B1251" s="38" t="s">
        <v>45</v>
      </c>
      <c r="C1251" s="43" t="s">
        <v>2498</v>
      </c>
      <c r="D1251" s="29"/>
      <c r="E1251" s="36" t="s">
        <v>2499</v>
      </c>
      <c r="F1251" s="31" t="s">
        <v>714</v>
      </c>
      <c r="G1251" s="31" t="s">
        <v>49</v>
      </c>
      <c r="H1251" s="32"/>
      <c r="I1251" s="32" t="s">
        <v>2500</v>
      </c>
      <c r="K1251" s="31">
        <f>528*2.2</f>
        <v>1161.6000000000001</v>
      </c>
      <c r="L1251" s="33">
        <v>4</v>
      </c>
      <c r="S1251" s="33">
        <v>4</v>
      </c>
      <c r="T1251" s="31">
        <v>0</v>
      </c>
      <c r="U1251" s="31">
        <v>0</v>
      </c>
      <c r="V1251" s="31">
        <v>0</v>
      </c>
      <c r="Y1251" s="31" t="s">
        <v>51</v>
      </c>
      <c r="Z1251" s="47" t="s">
        <v>1652</v>
      </c>
      <c r="AK1251" s="32">
        <v>24</v>
      </c>
      <c r="AQ1251" t="s">
        <v>2501</v>
      </c>
      <c r="AU1251">
        <v>1250</v>
      </c>
    </row>
    <row r="1252" spans="1:47" x14ac:dyDescent="0.2">
      <c r="A1252" s="26">
        <v>6286</v>
      </c>
      <c r="B1252" s="27">
        <v>0.375</v>
      </c>
      <c r="C1252" s="28"/>
      <c r="D1252" s="29"/>
      <c r="E1252" s="30" t="s">
        <v>1282</v>
      </c>
      <c r="H1252" s="32">
        <v>0</v>
      </c>
      <c r="I1252" s="32" t="s">
        <v>2502</v>
      </c>
      <c r="AG1252" s="32">
        <v>0</v>
      </c>
      <c r="AH1252" s="32">
        <v>0</v>
      </c>
      <c r="AI1252" s="32">
        <v>0</v>
      </c>
      <c r="AK1252" s="32">
        <v>0</v>
      </c>
      <c r="AL1252" s="32">
        <f>(18+35+15+35+25)/60</f>
        <v>2.1333333333333333</v>
      </c>
      <c r="AP1252" s="32">
        <f>(18+35+15+35+25)/60</f>
        <v>2.1333333333333333</v>
      </c>
      <c r="AQ1252" s="32" t="s">
        <v>1101</v>
      </c>
      <c r="AU1252">
        <v>1251</v>
      </c>
    </row>
    <row r="1253" spans="1:47" x14ac:dyDescent="0.2">
      <c r="A1253" s="26">
        <v>6286</v>
      </c>
      <c r="B1253" s="27" t="s">
        <v>45</v>
      </c>
      <c r="C1253" s="28"/>
      <c r="D1253" s="29"/>
      <c r="E1253" s="30" t="s">
        <v>1531</v>
      </c>
      <c r="H1253" s="32">
        <v>1</v>
      </c>
      <c r="I1253" s="32" t="s">
        <v>2503</v>
      </c>
      <c r="AM1253" s="32">
        <f>498*170</f>
        <v>84660</v>
      </c>
      <c r="AO1253" s="32" t="s">
        <v>1533</v>
      </c>
      <c r="AQ1253" s="32" t="s">
        <v>1101</v>
      </c>
      <c r="AU1253">
        <v>1252</v>
      </c>
    </row>
    <row r="1254" spans="1:47" x14ac:dyDescent="0.2">
      <c r="A1254" s="26">
        <v>6286</v>
      </c>
      <c r="B1254" s="27" t="s">
        <v>45</v>
      </c>
      <c r="C1254" s="28"/>
      <c r="D1254" s="29"/>
      <c r="E1254" s="150" t="s">
        <v>2286</v>
      </c>
      <c r="H1254" s="32">
        <v>0</v>
      </c>
      <c r="I1254" s="32" t="s">
        <v>1824</v>
      </c>
      <c r="AG1254" s="32">
        <v>0</v>
      </c>
      <c r="AH1254" s="32">
        <v>0</v>
      </c>
      <c r="AI1254" s="32">
        <v>0</v>
      </c>
      <c r="AK1254" s="32">
        <v>0</v>
      </c>
      <c r="AM1254" s="32">
        <f>62*500</f>
        <v>31000</v>
      </c>
      <c r="AO1254" s="73" t="s">
        <v>75</v>
      </c>
      <c r="AQ1254" s="32" t="s">
        <v>589</v>
      </c>
      <c r="AU1254">
        <v>1253</v>
      </c>
    </row>
    <row r="1255" spans="1:47" x14ac:dyDescent="0.2">
      <c r="A1255" s="37">
        <v>6287</v>
      </c>
      <c r="B1255" s="38" t="s">
        <v>45</v>
      </c>
      <c r="C1255" s="39" t="s">
        <v>253</v>
      </c>
      <c r="D1255" s="29"/>
      <c r="E1255" s="38" t="s">
        <v>1764</v>
      </c>
      <c r="F1255" s="32" t="s">
        <v>2504</v>
      </c>
      <c r="G1255" s="47"/>
      <c r="H1255"/>
      <c r="I1255" s="32" t="s">
        <v>2505</v>
      </c>
      <c r="J1255" s="47"/>
      <c r="K1255" s="47"/>
      <c r="L1255" s="48"/>
      <c r="M1255" s="47"/>
      <c r="N1255" s="47"/>
      <c r="O1255" s="47"/>
      <c r="P1255" s="47"/>
      <c r="Q1255" s="47"/>
      <c r="R1255" s="47"/>
      <c r="S1255" s="48"/>
      <c r="T1255" s="47"/>
      <c r="U1255" s="47"/>
      <c r="V1255" s="47"/>
      <c r="W1255" s="47"/>
      <c r="X1255" s="47"/>
      <c r="Y1255" s="47"/>
      <c r="Z1255" s="47"/>
      <c r="AA1255" s="49"/>
      <c r="AB1255" s="49"/>
      <c r="AC1255" s="49"/>
      <c r="AD1255" s="50"/>
      <c r="AE1255" s="47"/>
      <c r="AF1255" s="47"/>
      <c r="AG1255"/>
      <c r="AH1255"/>
      <c r="AI1255"/>
      <c r="AJ1255"/>
      <c r="AK1255"/>
      <c r="AL1255"/>
      <c r="AM1255"/>
      <c r="AN1255"/>
      <c r="AO1255"/>
      <c r="AP1255"/>
      <c r="AQ1255" s="32" t="s">
        <v>2429</v>
      </c>
      <c r="AU1255">
        <v>1254</v>
      </c>
    </row>
    <row r="1256" spans="1:47" x14ac:dyDescent="0.2">
      <c r="A1256" s="26">
        <v>6290</v>
      </c>
      <c r="B1256" s="27">
        <v>0.88888888888888884</v>
      </c>
      <c r="C1256" s="28"/>
      <c r="D1256" s="29"/>
      <c r="E1256" s="30" t="s">
        <v>1282</v>
      </c>
      <c r="H1256" s="32">
        <v>0</v>
      </c>
      <c r="I1256" s="32" t="s">
        <v>2506</v>
      </c>
      <c r="AG1256" s="32">
        <v>0</v>
      </c>
      <c r="AH1256" s="32">
        <v>0</v>
      </c>
      <c r="AI1256" s="32">
        <v>0</v>
      </c>
      <c r="AK1256" s="32">
        <v>0</v>
      </c>
      <c r="AL1256" s="32">
        <f>55/60</f>
        <v>0.91666666666666663</v>
      </c>
      <c r="AP1256" s="32">
        <v>1</v>
      </c>
      <c r="AQ1256" s="32" t="s">
        <v>1101</v>
      </c>
      <c r="AU1256">
        <v>1255</v>
      </c>
    </row>
    <row r="1257" spans="1:47" x14ac:dyDescent="0.2">
      <c r="A1257" s="26">
        <v>6290</v>
      </c>
      <c r="B1257" s="27" t="s">
        <v>45</v>
      </c>
      <c r="C1257" s="28"/>
      <c r="D1257" s="29"/>
      <c r="E1257" s="30" t="s">
        <v>1531</v>
      </c>
      <c r="H1257" s="32">
        <v>0</v>
      </c>
      <c r="I1257" s="32" t="s">
        <v>1706</v>
      </c>
      <c r="AG1257" s="32">
        <v>0</v>
      </c>
      <c r="AH1257" s="32">
        <v>0</v>
      </c>
      <c r="AI1257" s="32">
        <v>0</v>
      </c>
      <c r="AK1257" s="32">
        <v>0</v>
      </c>
      <c r="AM1257" s="32">
        <f>498*60</f>
        <v>29880</v>
      </c>
      <c r="AO1257" s="32" t="s">
        <v>1533</v>
      </c>
      <c r="AQ1257" s="32" t="s">
        <v>1101</v>
      </c>
      <c r="AU1257">
        <v>1256</v>
      </c>
    </row>
    <row r="1258" spans="1:47" x14ac:dyDescent="0.2">
      <c r="A1258" s="26">
        <v>6290</v>
      </c>
      <c r="B1258" s="27" t="s">
        <v>45</v>
      </c>
      <c r="C1258" s="28"/>
      <c r="D1258" s="29"/>
      <c r="E1258" s="150" t="s">
        <v>2286</v>
      </c>
      <c r="H1258" s="32">
        <v>0</v>
      </c>
      <c r="I1258" s="32" t="s">
        <v>1824</v>
      </c>
      <c r="AG1258" s="32">
        <v>0</v>
      </c>
      <c r="AH1258" s="32">
        <v>0</v>
      </c>
      <c r="AI1258" s="32">
        <v>0</v>
      </c>
      <c r="AK1258" s="32">
        <v>0</v>
      </c>
      <c r="AM1258" s="32">
        <f>24*500</f>
        <v>12000</v>
      </c>
      <c r="AO1258" s="73" t="s">
        <v>75</v>
      </c>
      <c r="AQ1258" s="32" t="s">
        <v>589</v>
      </c>
      <c r="AU1258">
        <v>1257</v>
      </c>
    </row>
    <row r="1259" spans="1:47" x14ac:dyDescent="0.2">
      <c r="A1259" s="133">
        <v>6291</v>
      </c>
      <c r="B1259" s="39" t="s">
        <v>85</v>
      </c>
      <c r="C1259" s="39" t="s">
        <v>1806</v>
      </c>
      <c r="D1259" s="29" t="b">
        <v>0</v>
      </c>
      <c r="E1259" s="39" t="s">
        <v>2345</v>
      </c>
      <c r="F1259" s="47" t="s">
        <v>1972</v>
      </c>
      <c r="G1259" s="47" t="s">
        <v>481</v>
      </c>
      <c r="H1259"/>
      <c r="I1259" s="47" t="s">
        <v>2507</v>
      </c>
      <c r="J1259" s="47" t="b">
        <v>1</v>
      </c>
      <c r="K1259" s="47">
        <v>1560</v>
      </c>
      <c r="L1259" s="48">
        <v>7</v>
      </c>
      <c r="M1259" s="47">
        <v>0</v>
      </c>
      <c r="N1259" s="47">
        <v>1</v>
      </c>
      <c r="O1259" s="47">
        <v>0</v>
      </c>
      <c r="P1259" s="47">
        <v>6</v>
      </c>
      <c r="Q1259" s="47">
        <v>0</v>
      </c>
      <c r="R1259" s="47">
        <v>0</v>
      </c>
      <c r="S1259" s="48">
        <v>6</v>
      </c>
      <c r="T1259" s="47">
        <v>0</v>
      </c>
      <c r="U1259" s="47">
        <v>0</v>
      </c>
      <c r="V1259" s="47">
        <v>0</v>
      </c>
      <c r="W1259" s="47">
        <v>6500</v>
      </c>
      <c r="X1259" s="47">
        <v>15</v>
      </c>
      <c r="Y1259" s="47" t="s">
        <v>51</v>
      </c>
      <c r="Z1259" s="47" t="s">
        <v>1809</v>
      </c>
      <c r="AA1259" s="49">
        <v>0.32291666666666669</v>
      </c>
      <c r="AB1259" s="49">
        <v>0.44791666666666669</v>
      </c>
      <c r="AC1259" s="49">
        <v>0.38541666666666669</v>
      </c>
      <c r="AD1259" s="50">
        <f>(AB1259-AA1259)*24</f>
        <v>3</v>
      </c>
      <c r="AE1259" s="47" t="s">
        <v>1312</v>
      </c>
      <c r="AF1259" s="47">
        <v>90</v>
      </c>
      <c r="AG1259"/>
      <c r="AH1259"/>
      <c r="AI1259"/>
      <c r="AJ1259"/>
      <c r="AK1259">
        <v>24</v>
      </c>
      <c r="AL1259"/>
      <c r="AM1259"/>
      <c r="AN1259"/>
      <c r="AO1259"/>
      <c r="AP1259"/>
      <c r="AQ1259"/>
      <c r="AU1259">
        <v>1258</v>
      </c>
    </row>
    <row r="1260" spans="1:47" x14ac:dyDescent="0.2">
      <c r="A1260" s="133">
        <v>6291</v>
      </c>
      <c r="B1260" s="39" t="s">
        <v>85</v>
      </c>
      <c r="C1260" s="43" t="s">
        <v>2050</v>
      </c>
      <c r="D1260" s="29"/>
      <c r="E1260" s="39" t="s">
        <v>2508</v>
      </c>
      <c r="F1260" s="47" t="s">
        <v>1900</v>
      </c>
      <c r="G1260" s="47" t="s">
        <v>69</v>
      </c>
      <c r="H1260"/>
      <c r="I1260" s="32" t="s">
        <v>2415</v>
      </c>
      <c r="J1260" s="47"/>
      <c r="K1260" s="47"/>
      <c r="L1260" s="48"/>
      <c r="M1260" s="47"/>
      <c r="N1260" s="47"/>
      <c r="O1260" s="47"/>
      <c r="P1260" s="47"/>
      <c r="Q1260" s="47"/>
      <c r="R1260" s="47"/>
      <c r="S1260" s="48">
        <v>1</v>
      </c>
      <c r="T1260" s="47"/>
      <c r="U1260" s="47"/>
      <c r="V1260" s="47"/>
      <c r="W1260" s="47"/>
      <c r="X1260" s="47"/>
      <c r="Y1260" s="47"/>
      <c r="Z1260" s="31" t="s">
        <v>1809</v>
      </c>
      <c r="AA1260" s="49"/>
      <c r="AB1260" s="49"/>
      <c r="AC1260" s="49"/>
      <c r="AD1260" s="50"/>
      <c r="AE1260" s="31" t="s">
        <v>1736</v>
      </c>
      <c r="AF1260" s="47">
        <v>30</v>
      </c>
      <c r="AG1260"/>
      <c r="AH1260"/>
      <c r="AI1260"/>
      <c r="AJ1260"/>
      <c r="AK1260">
        <v>6</v>
      </c>
      <c r="AL1260"/>
      <c r="AM1260"/>
      <c r="AN1260"/>
      <c r="AO1260"/>
      <c r="AP1260"/>
      <c r="AQ1260" s="32" t="s">
        <v>2416</v>
      </c>
      <c r="AU1260">
        <v>1259</v>
      </c>
    </row>
    <row r="1261" spans="1:47" x14ac:dyDescent="0.2">
      <c r="A1261" s="37">
        <v>6291</v>
      </c>
      <c r="B1261" s="38" t="s">
        <v>45</v>
      </c>
      <c r="C1261" s="39" t="s">
        <v>253</v>
      </c>
      <c r="D1261" s="29"/>
      <c r="E1261" s="38" t="s">
        <v>1764</v>
      </c>
      <c r="F1261" s="32" t="s">
        <v>1663</v>
      </c>
      <c r="G1261" s="47"/>
      <c r="H1261"/>
      <c r="I1261" s="32" t="s">
        <v>2509</v>
      </c>
      <c r="J1261" s="47"/>
      <c r="K1261" s="47"/>
      <c r="L1261" s="48"/>
      <c r="M1261" s="47"/>
      <c r="N1261" s="47"/>
      <c r="O1261" s="47"/>
      <c r="P1261" s="47"/>
      <c r="Q1261" s="47"/>
      <c r="R1261" s="47"/>
      <c r="S1261" s="48"/>
      <c r="T1261" s="47"/>
      <c r="U1261" s="47"/>
      <c r="V1261" s="47"/>
      <c r="W1261" s="47"/>
      <c r="X1261" s="47"/>
      <c r="Y1261" s="47"/>
      <c r="Z1261" s="47"/>
      <c r="AA1261" s="49"/>
      <c r="AB1261" s="49"/>
      <c r="AC1261" s="49"/>
      <c r="AD1261" s="50"/>
      <c r="AE1261" s="47"/>
      <c r="AF1261" s="47"/>
      <c r="AG1261"/>
      <c r="AH1261"/>
      <c r="AI1261"/>
      <c r="AJ1261"/>
      <c r="AK1261"/>
      <c r="AL1261"/>
      <c r="AM1261"/>
      <c r="AN1261"/>
      <c r="AO1261"/>
      <c r="AP1261"/>
      <c r="AQ1261" s="32" t="s">
        <v>2429</v>
      </c>
      <c r="AU1261">
        <v>1260</v>
      </c>
    </row>
    <row r="1262" spans="1:47" x14ac:dyDescent="0.2">
      <c r="A1262" s="133">
        <v>6292</v>
      </c>
      <c r="B1262" s="39" t="s">
        <v>85</v>
      </c>
      <c r="C1262" s="43" t="s">
        <v>2050</v>
      </c>
      <c r="D1262" s="29"/>
      <c r="E1262" s="39" t="s">
        <v>2510</v>
      </c>
      <c r="F1262" s="47"/>
      <c r="G1262" s="47" t="s">
        <v>69</v>
      </c>
      <c r="H1262"/>
      <c r="I1262" s="32" t="s">
        <v>2415</v>
      </c>
      <c r="J1262" s="47"/>
      <c r="K1262" s="47"/>
      <c r="L1262" s="48"/>
      <c r="M1262" s="47"/>
      <c r="N1262" s="47"/>
      <c r="O1262" s="47"/>
      <c r="P1262" s="47"/>
      <c r="Q1262" s="47"/>
      <c r="R1262" s="47"/>
      <c r="S1262" s="48">
        <v>1</v>
      </c>
      <c r="T1262" s="47"/>
      <c r="U1262" s="47"/>
      <c r="V1262" s="47"/>
      <c r="W1262" s="47"/>
      <c r="X1262" s="47"/>
      <c r="Y1262" s="47"/>
      <c r="Z1262" s="31" t="s">
        <v>1809</v>
      </c>
      <c r="AA1262" s="49"/>
      <c r="AB1262" s="49"/>
      <c r="AC1262" s="49"/>
      <c r="AD1262" s="50"/>
      <c r="AE1262" s="31" t="s">
        <v>1736</v>
      </c>
      <c r="AF1262" s="47">
        <v>30</v>
      </c>
      <c r="AG1262"/>
      <c r="AH1262"/>
      <c r="AI1262"/>
      <c r="AJ1262"/>
      <c r="AK1262">
        <v>6</v>
      </c>
      <c r="AL1262"/>
      <c r="AM1262"/>
      <c r="AN1262"/>
      <c r="AO1262"/>
      <c r="AP1262"/>
      <c r="AQ1262" s="32" t="s">
        <v>2416</v>
      </c>
      <c r="AU1262">
        <v>1261</v>
      </c>
    </row>
    <row r="1263" spans="1:47" x14ac:dyDescent="0.2">
      <c r="A1263" s="37">
        <v>6292</v>
      </c>
      <c r="B1263" s="39" t="s">
        <v>45</v>
      </c>
      <c r="C1263" s="39" t="s">
        <v>156</v>
      </c>
      <c r="D1263" s="29"/>
      <c r="E1263" s="39" t="s">
        <v>352</v>
      </c>
      <c r="F1263" s="47" t="s">
        <v>1663</v>
      </c>
      <c r="G1263" s="47"/>
      <c r="H1263"/>
      <c r="J1263" s="47"/>
      <c r="K1263" s="47"/>
      <c r="L1263" s="48"/>
      <c r="M1263" s="47"/>
      <c r="N1263" s="47"/>
      <c r="O1263" s="47"/>
      <c r="P1263" s="47"/>
      <c r="Q1263" s="47"/>
      <c r="R1263" s="47"/>
      <c r="S1263" s="48"/>
      <c r="T1263" s="47"/>
      <c r="U1263" s="47"/>
      <c r="V1263" s="47"/>
      <c r="W1263" s="47"/>
      <c r="X1263" s="47"/>
      <c r="Y1263" s="47"/>
      <c r="Z1263" s="47"/>
      <c r="AA1263" s="49"/>
      <c r="AB1263" s="49"/>
      <c r="AC1263" s="49"/>
      <c r="AD1263" s="50"/>
      <c r="AE1263" s="31" t="s">
        <v>2188</v>
      </c>
      <c r="AF1263" s="47">
        <v>55</v>
      </c>
      <c r="AG1263"/>
      <c r="AH1263"/>
      <c r="AI1263"/>
      <c r="AJ1263"/>
      <c r="AK1263"/>
      <c r="AL1263"/>
      <c r="AM1263"/>
      <c r="AN1263"/>
      <c r="AO1263"/>
      <c r="AP1263"/>
      <c r="AQ1263"/>
      <c r="AU1263">
        <v>1262</v>
      </c>
    </row>
    <row r="1264" spans="1:47" x14ac:dyDescent="0.2">
      <c r="A1264" s="26">
        <v>6292</v>
      </c>
      <c r="B1264" s="27" t="s">
        <v>45</v>
      </c>
      <c r="C1264" s="28"/>
      <c r="D1264" s="29"/>
      <c r="E1264" s="30" t="s">
        <v>1531</v>
      </c>
      <c r="H1264" s="32">
        <v>0</v>
      </c>
      <c r="I1264" s="32" t="s">
        <v>1532</v>
      </c>
      <c r="AG1264" s="32">
        <v>0</v>
      </c>
      <c r="AH1264" s="32">
        <v>0</v>
      </c>
      <c r="AI1264" s="32">
        <v>0</v>
      </c>
      <c r="AK1264" s="32">
        <v>0</v>
      </c>
      <c r="AM1264" s="32">
        <f>498*94</f>
        <v>46812</v>
      </c>
      <c r="AO1264" s="32" t="s">
        <v>1533</v>
      </c>
      <c r="AQ1264" s="32" t="s">
        <v>1101</v>
      </c>
      <c r="AU1264">
        <v>1263</v>
      </c>
    </row>
    <row r="1265" spans="1:47" x14ac:dyDescent="0.2">
      <c r="A1265" s="26">
        <v>6292</v>
      </c>
      <c r="B1265" s="27" t="s">
        <v>45</v>
      </c>
      <c r="C1265" s="28"/>
      <c r="D1265" s="29"/>
      <c r="E1265" s="150" t="s">
        <v>2286</v>
      </c>
      <c r="H1265" s="32">
        <v>0</v>
      </c>
      <c r="I1265" s="32" t="s">
        <v>1824</v>
      </c>
      <c r="AG1265" s="32">
        <v>0</v>
      </c>
      <c r="AH1265" s="32">
        <v>0</v>
      </c>
      <c r="AI1265" s="32">
        <v>0</v>
      </c>
      <c r="AK1265" s="32">
        <v>0</v>
      </c>
      <c r="AM1265" s="32">
        <f>27*500</f>
        <v>13500</v>
      </c>
      <c r="AO1265" s="73" t="s">
        <v>75</v>
      </c>
      <c r="AQ1265" s="32" t="s">
        <v>589</v>
      </c>
      <c r="AU1265">
        <v>1264</v>
      </c>
    </row>
    <row r="1266" spans="1:47" x14ac:dyDescent="0.2">
      <c r="A1266" s="133">
        <v>6293</v>
      </c>
      <c r="B1266" s="39" t="s">
        <v>85</v>
      </c>
      <c r="C1266" s="43" t="s">
        <v>2050</v>
      </c>
      <c r="D1266" s="29"/>
      <c r="E1266" s="39" t="s">
        <v>2511</v>
      </c>
      <c r="G1266" s="31" t="s">
        <v>69</v>
      </c>
      <c r="H1266" s="32"/>
      <c r="I1266" s="32" t="s">
        <v>2415</v>
      </c>
      <c r="S1266" s="33">
        <v>2</v>
      </c>
      <c r="Z1266" s="31" t="s">
        <v>1809</v>
      </c>
      <c r="AE1266" s="31" t="s">
        <v>1736</v>
      </c>
      <c r="AF1266" s="31">
        <v>30</v>
      </c>
      <c r="AK1266" s="32">
        <v>12</v>
      </c>
      <c r="AO1266" s="73"/>
      <c r="AQ1266" s="32" t="s">
        <v>2416</v>
      </c>
      <c r="AU1266">
        <v>1265</v>
      </c>
    </row>
    <row r="1267" spans="1:47" x14ac:dyDescent="0.2">
      <c r="A1267" s="37">
        <v>6294</v>
      </c>
      <c r="B1267" s="39" t="s">
        <v>85</v>
      </c>
      <c r="C1267" s="43" t="s">
        <v>2050</v>
      </c>
      <c r="D1267" s="29"/>
      <c r="E1267" s="39" t="s">
        <v>2512</v>
      </c>
      <c r="F1267" s="47"/>
      <c r="G1267" s="47"/>
      <c r="H1267"/>
      <c r="I1267" s="32" t="s">
        <v>2415</v>
      </c>
      <c r="J1267" s="47"/>
      <c r="K1267" s="47"/>
      <c r="L1267" s="48"/>
      <c r="M1267" s="47"/>
      <c r="N1267" s="47"/>
      <c r="O1267" s="47"/>
      <c r="P1267" s="47"/>
      <c r="Q1267" s="47"/>
      <c r="R1267" s="47"/>
      <c r="S1267" s="48">
        <v>1</v>
      </c>
      <c r="T1267" s="47"/>
      <c r="U1267" s="47"/>
      <c r="V1267" s="47"/>
      <c r="W1267" s="47"/>
      <c r="X1267" s="47"/>
      <c r="Y1267" s="47"/>
      <c r="Z1267" s="31" t="s">
        <v>1809</v>
      </c>
      <c r="AA1267" s="49"/>
      <c r="AB1267" s="49"/>
      <c r="AC1267" s="49"/>
      <c r="AD1267" s="50"/>
      <c r="AE1267" s="31" t="s">
        <v>1736</v>
      </c>
      <c r="AF1267" s="47">
        <v>30</v>
      </c>
      <c r="AG1267"/>
      <c r="AH1267"/>
      <c r="AI1267"/>
      <c r="AJ1267"/>
      <c r="AK1267">
        <v>6</v>
      </c>
      <c r="AL1267"/>
      <c r="AM1267"/>
      <c r="AN1267"/>
      <c r="AO1267"/>
      <c r="AP1267"/>
      <c r="AQ1267" s="32" t="s">
        <v>2416</v>
      </c>
      <c r="AU1267">
        <v>1266</v>
      </c>
    </row>
    <row r="1268" spans="1:47" x14ac:dyDescent="0.2">
      <c r="A1268" s="37">
        <v>6294</v>
      </c>
      <c r="B1268" s="38" t="s">
        <v>45</v>
      </c>
      <c r="C1268" s="39" t="s">
        <v>2513</v>
      </c>
      <c r="D1268" s="29"/>
      <c r="E1268" s="38" t="s">
        <v>2514</v>
      </c>
      <c r="F1268" s="32" t="s">
        <v>2515</v>
      </c>
      <c r="G1268" s="47"/>
      <c r="H1268"/>
      <c r="I1268" s="32" t="s">
        <v>2516</v>
      </c>
      <c r="J1268" s="47"/>
      <c r="K1268" s="47"/>
      <c r="L1268" s="48"/>
      <c r="M1268" s="47"/>
      <c r="N1268" s="47"/>
      <c r="O1268" s="47"/>
      <c r="P1268" s="47"/>
      <c r="Q1268" s="47"/>
      <c r="R1268" s="47"/>
      <c r="S1268" s="48"/>
      <c r="T1268" s="47"/>
      <c r="U1268" s="47"/>
      <c r="V1268" s="47"/>
      <c r="W1268" s="47"/>
      <c r="X1268" s="47"/>
      <c r="Y1268" s="47"/>
      <c r="Z1268" s="47"/>
      <c r="AA1268" s="49"/>
      <c r="AB1268" s="49"/>
      <c r="AC1268" s="49"/>
      <c r="AD1268" s="50"/>
      <c r="AE1268" s="47"/>
      <c r="AF1268" s="47"/>
      <c r="AG1268"/>
      <c r="AH1268"/>
      <c r="AI1268"/>
      <c r="AJ1268"/>
      <c r="AK1268"/>
      <c r="AL1268"/>
      <c r="AM1268"/>
      <c r="AN1268"/>
      <c r="AO1268"/>
      <c r="AP1268"/>
      <c r="AQ1268" s="32" t="s">
        <v>2517</v>
      </c>
      <c r="AU1268">
        <v>1267</v>
      </c>
    </row>
    <row r="1269" spans="1:47" x14ac:dyDescent="0.2">
      <c r="A1269" s="26">
        <v>6294</v>
      </c>
      <c r="B1269" s="27">
        <v>0.88888888888888884</v>
      </c>
      <c r="C1269" s="28"/>
      <c r="D1269" s="29"/>
      <c r="E1269" s="30" t="s">
        <v>1282</v>
      </c>
      <c r="H1269" s="32">
        <v>0</v>
      </c>
      <c r="I1269" s="32" t="s">
        <v>2518</v>
      </c>
      <c r="AG1269" s="32">
        <v>0</v>
      </c>
      <c r="AH1269" s="32">
        <v>0</v>
      </c>
      <c r="AI1269" s="32">
        <v>0</v>
      </c>
      <c r="AK1269" s="32">
        <v>0</v>
      </c>
      <c r="AL1269" s="32">
        <f>4+5/60</f>
        <v>4.083333333333333</v>
      </c>
      <c r="AP1269" s="32">
        <f>4+5/60</f>
        <v>4.083333333333333</v>
      </c>
      <c r="AQ1269" s="32" t="s">
        <v>1101</v>
      </c>
      <c r="AU1269">
        <v>1268</v>
      </c>
    </row>
    <row r="1270" spans="1:47" x14ac:dyDescent="0.2">
      <c r="A1270" s="26">
        <v>6294</v>
      </c>
      <c r="B1270" s="27" t="s">
        <v>45</v>
      </c>
      <c r="C1270" s="124"/>
      <c r="D1270" s="29"/>
      <c r="E1270" s="30" t="s">
        <v>1531</v>
      </c>
      <c r="H1270" s="32">
        <v>0</v>
      </c>
      <c r="I1270" s="32" t="s">
        <v>2519</v>
      </c>
      <c r="AG1270" s="32">
        <v>0</v>
      </c>
      <c r="AH1270" s="32">
        <v>0</v>
      </c>
      <c r="AI1270" s="32">
        <v>0</v>
      </c>
      <c r="AK1270" s="32">
        <v>0</v>
      </c>
      <c r="AM1270" s="32">
        <f>498*234</f>
        <v>116532</v>
      </c>
      <c r="AO1270" s="32" t="s">
        <v>1533</v>
      </c>
      <c r="AQ1270" s="32" t="s">
        <v>1101</v>
      </c>
      <c r="AU1270">
        <v>1269</v>
      </c>
    </row>
    <row r="1271" spans="1:47" x14ac:dyDescent="0.2">
      <c r="A1271" s="26">
        <v>6294</v>
      </c>
      <c r="B1271" s="27" t="s">
        <v>45</v>
      </c>
      <c r="C1271" s="28"/>
      <c r="D1271" s="29"/>
      <c r="E1271" s="150" t="s">
        <v>2286</v>
      </c>
      <c r="H1271" s="32">
        <v>0</v>
      </c>
      <c r="I1271" s="32" t="s">
        <v>1824</v>
      </c>
      <c r="AG1271" s="32">
        <v>0</v>
      </c>
      <c r="AH1271" s="32">
        <v>0</v>
      </c>
      <c r="AI1271" s="32">
        <v>0</v>
      </c>
      <c r="AK1271" s="32">
        <v>0</v>
      </c>
      <c r="AM1271" s="32">
        <f>75*500</f>
        <v>37500</v>
      </c>
      <c r="AO1271" s="73" t="s">
        <v>75</v>
      </c>
      <c r="AQ1271" s="32" t="s">
        <v>589</v>
      </c>
      <c r="AU1271">
        <v>1270</v>
      </c>
    </row>
    <row r="1272" spans="1:47" x14ac:dyDescent="0.2">
      <c r="A1272" s="37">
        <v>6295</v>
      </c>
      <c r="B1272" s="39" t="s">
        <v>45</v>
      </c>
      <c r="C1272" s="39" t="s">
        <v>156</v>
      </c>
      <c r="D1272" s="29"/>
      <c r="E1272" s="39" t="s">
        <v>2464</v>
      </c>
      <c r="F1272" s="47" t="s">
        <v>150</v>
      </c>
      <c r="G1272" s="47"/>
      <c r="H1272"/>
      <c r="I1272" s="31" t="s">
        <v>2520</v>
      </c>
      <c r="AE1272" s="31" t="s">
        <v>2188</v>
      </c>
      <c r="AF1272" s="31">
        <v>65</v>
      </c>
      <c r="AO1272" s="73"/>
      <c r="AU1272">
        <v>1271</v>
      </c>
    </row>
    <row r="1273" spans="1:47" x14ac:dyDescent="0.2">
      <c r="A1273" s="26">
        <v>6295</v>
      </c>
      <c r="B1273" s="27">
        <v>0.89583333333333337</v>
      </c>
      <c r="C1273" s="28"/>
      <c r="D1273" s="29"/>
      <c r="E1273" s="30" t="s">
        <v>2087</v>
      </c>
      <c r="H1273" s="32">
        <v>0</v>
      </c>
      <c r="I1273" s="32" t="s">
        <v>2521</v>
      </c>
      <c r="AG1273" s="32">
        <v>0</v>
      </c>
      <c r="AH1273" s="32">
        <v>0</v>
      </c>
      <c r="AI1273" s="32">
        <v>0</v>
      </c>
      <c r="AK1273" s="32">
        <v>0</v>
      </c>
      <c r="AL1273" s="32">
        <v>0</v>
      </c>
      <c r="AP1273" s="32">
        <v>0.33300000000000002</v>
      </c>
      <c r="AQ1273" s="32" t="s">
        <v>1101</v>
      </c>
      <c r="AU1273">
        <v>1272</v>
      </c>
    </row>
    <row r="1274" spans="1:47" x14ac:dyDescent="0.2">
      <c r="A1274" s="26">
        <v>6296</v>
      </c>
      <c r="B1274" s="27"/>
      <c r="C1274" s="28"/>
      <c r="D1274" s="29"/>
      <c r="E1274" s="30" t="s">
        <v>153</v>
      </c>
      <c r="H1274" s="32">
        <v>1</v>
      </c>
      <c r="I1274" s="32" t="s">
        <v>2522</v>
      </c>
      <c r="AG1274" s="32">
        <v>0</v>
      </c>
      <c r="AH1274" s="32">
        <v>0</v>
      </c>
      <c r="AJ1274" s="32">
        <v>1500</v>
      </c>
      <c r="AK1274" s="32">
        <v>17</v>
      </c>
      <c r="AO1274" s="46" t="s">
        <v>155</v>
      </c>
      <c r="AP1274" s="46"/>
      <c r="AQ1274" s="32">
        <v>448</v>
      </c>
      <c r="AU1274">
        <v>1273</v>
      </c>
    </row>
    <row r="1275" spans="1:47" x14ac:dyDescent="0.2">
      <c r="A1275" s="26">
        <v>6302</v>
      </c>
      <c r="B1275" s="27" t="s">
        <v>45</v>
      </c>
      <c r="C1275" s="28"/>
      <c r="D1275" s="29"/>
      <c r="E1275" s="30" t="s">
        <v>1531</v>
      </c>
      <c r="H1275" s="32">
        <v>0</v>
      </c>
      <c r="I1275" s="32" t="s">
        <v>1532</v>
      </c>
      <c r="AG1275" s="32">
        <v>0</v>
      </c>
      <c r="AH1275" s="32">
        <v>0</v>
      </c>
      <c r="AI1275" s="32">
        <v>0</v>
      </c>
      <c r="AK1275" s="32">
        <v>0</v>
      </c>
      <c r="AM1275" s="32">
        <f>498*24</f>
        <v>11952</v>
      </c>
      <c r="AO1275" s="32" t="s">
        <v>1533</v>
      </c>
      <c r="AQ1275" s="32" t="s">
        <v>1101</v>
      </c>
      <c r="AU1275">
        <v>1274</v>
      </c>
    </row>
    <row r="1276" spans="1:47" x14ac:dyDescent="0.2">
      <c r="A1276" s="26">
        <v>6302</v>
      </c>
      <c r="B1276" s="27" t="s">
        <v>45</v>
      </c>
      <c r="C1276" s="28"/>
      <c r="D1276" s="29"/>
      <c r="E1276" s="150" t="s">
        <v>2286</v>
      </c>
      <c r="H1276" s="32">
        <v>0</v>
      </c>
      <c r="I1276" s="32" t="s">
        <v>1824</v>
      </c>
      <c r="AG1276" s="32">
        <v>0</v>
      </c>
      <c r="AH1276" s="32">
        <v>0</v>
      </c>
      <c r="AI1276" s="32">
        <v>0</v>
      </c>
      <c r="AK1276" s="32">
        <v>0</v>
      </c>
      <c r="AM1276" s="32">
        <v>7000</v>
      </c>
      <c r="AO1276" s="73" t="s">
        <v>75</v>
      </c>
      <c r="AQ1276" s="32" t="s">
        <v>589</v>
      </c>
      <c r="AU1276">
        <v>1275</v>
      </c>
    </row>
    <row r="1277" spans="1:47" x14ac:dyDescent="0.2">
      <c r="A1277" s="26">
        <v>6303</v>
      </c>
      <c r="B1277" s="27">
        <v>0.48958333333333331</v>
      </c>
      <c r="C1277" s="28"/>
      <c r="D1277" s="29"/>
      <c r="E1277" s="30" t="s">
        <v>869</v>
      </c>
      <c r="H1277" s="32">
        <v>0</v>
      </c>
      <c r="I1277" s="32" t="s">
        <v>2344</v>
      </c>
      <c r="AG1277" s="32">
        <v>0</v>
      </c>
      <c r="AH1277" s="32">
        <v>0</v>
      </c>
      <c r="AI1277" s="32">
        <v>0</v>
      </c>
      <c r="AK1277" s="32">
        <v>0</v>
      </c>
      <c r="AQ1277" s="32" t="s">
        <v>589</v>
      </c>
      <c r="AU1277">
        <v>1276</v>
      </c>
    </row>
    <row r="1278" spans="1:47" x14ac:dyDescent="0.2">
      <c r="A1278" s="26">
        <v>6303</v>
      </c>
      <c r="B1278" s="27" t="s">
        <v>45</v>
      </c>
      <c r="C1278" s="28"/>
      <c r="D1278" s="29"/>
      <c r="E1278" s="30" t="s">
        <v>1531</v>
      </c>
      <c r="H1278" s="32">
        <v>0</v>
      </c>
      <c r="I1278" s="32" t="s">
        <v>1532</v>
      </c>
      <c r="AG1278" s="32">
        <v>0</v>
      </c>
      <c r="AH1278" s="32">
        <v>0</v>
      </c>
      <c r="AI1278" s="32">
        <v>0</v>
      </c>
      <c r="AK1278" s="32">
        <v>0</v>
      </c>
      <c r="AM1278" s="32">
        <f>498*48</f>
        <v>23904</v>
      </c>
      <c r="AO1278" s="32" t="s">
        <v>1533</v>
      </c>
      <c r="AQ1278" s="32" t="s">
        <v>1101</v>
      </c>
      <c r="AU1278">
        <v>1277</v>
      </c>
    </row>
    <row r="1279" spans="1:47" x14ac:dyDescent="0.2">
      <c r="A1279" s="133">
        <v>6305</v>
      </c>
      <c r="B1279" s="39" t="s">
        <v>45</v>
      </c>
      <c r="C1279" s="85" t="s">
        <v>1806</v>
      </c>
      <c r="D1279" s="29" t="b">
        <v>0</v>
      </c>
      <c r="E1279" s="39" t="s">
        <v>512</v>
      </c>
      <c r="F1279" s="47" t="s">
        <v>1743</v>
      </c>
      <c r="G1279" s="47" t="s">
        <v>49</v>
      </c>
      <c r="H1279"/>
      <c r="I1279" s="47" t="s">
        <v>2523</v>
      </c>
      <c r="J1279" s="47" t="b">
        <v>1</v>
      </c>
      <c r="K1279" s="47">
        <v>1200</v>
      </c>
      <c r="L1279" s="48">
        <v>2</v>
      </c>
      <c r="M1279" s="47">
        <v>1</v>
      </c>
      <c r="N1279" s="47">
        <v>0</v>
      </c>
      <c r="O1279" s="47">
        <v>0</v>
      </c>
      <c r="P1279" s="47">
        <v>0</v>
      </c>
      <c r="Q1279" s="47">
        <v>0</v>
      </c>
      <c r="R1279" s="47">
        <v>0</v>
      </c>
      <c r="S1279" s="48">
        <v>1</v>
      </c>
      <c r="T1279" s="47">
        <v>0</v>
      </c>
      <c r="U1279" s="47">
        <v>0</v>
      </c>
      <c r="V1279" s="47">
        <v>0</v>
      </c>
      <c r="W1279" s="47"/>
      <c r="X1279" s="47">
        <v>17</v>
      </c>
      <c r="Y1279" s="47" t="s">
        <v>51</v>
      </c>
      <c r="Z1279" s="47" t="s">
        <v>2466</v>
      </c>
      <c r="AA1279" s="49">
        <v>0.98611111111111116</v>
      </c>
      <c r="AB1279" s="49">
        <v>5.5555555555555552E-2</v>
      </c>
      <c r="AC1279" s="49">
        <v>3.125E-2</v>
      </c>
      <c r="AD1279" s="50">
        <v>1.7</v>
      </c>
      <c r="AE1279" s="47" t="s">
        <v>1312</v>
      </c>
      <c r="AF1279" s="47">
        <v>45</v>
      </c>
      <c r="AG1279"/>
      <c r="AH1279"/>
      <c r="AI1279"/>
      <c r="AJ1279"/>
      <c r="AK1279">
        <v>12</v>
      </c>
      <c r="AL1279"/>
      <c r="AM1279"/>
      <c r="AN1279"/>
      <c r="AO1279"/>
      <c r="AP1279"/>
      <c r="AQ1279" t="s">
        <v>2166</v>
      </c>
      <c r="AU1279">
        <v>1278</v>
      </c>
    </row>
    <row r="1280" spans="1:47" x14ac:dyDescent="0.2">
      <c r="A1280" s="133">
        <v>6305</v>
      </c>
      <c r="B1280" s="39" t="s">
        <v>45</v>
      </c>
      <c r="C1280" s="39">
        <v>100</v>
      </c>
      <c r="D1280" s="29" t="b">
        <v>0</v>
      </c>
      <c r="E1280" s="39" t="s">
        <v>564</v>
      </c>
      <c r="F1280" s="47" t="s">
        <v>529</v>
      </c>
      <c r="G1280" s="47" t="s">
        <v>205</v>
      </c>
      <c r="H1280"/>
      <c r="I1280" s="47" t="b">
        <v>0</v>
      </c>
      <c r="J1280" s="47" t="b">
        <v>1</v>
      </c>
      <c r="K1280" s="47">
        <v>2640</v>
      </c>
      <c r="L1280" s="48">
        <v>11</v>
      </c>
      <c r="M1280" s="47">
        <v>-1</v>
      </c>
      <c r="N1280" s="47">
        <v>-1</v>
      </c>
      <c r="O1280" s="47">
        <v>-1</v>
      </c>
      <c r="P1280" s="47">
        <v>-1</v>
      </c>
      <c r="Q1280" s="47">
        <v>-1</v>
      </c>
      <c r="R1280" s="47">
        <v>-1</v>
      </c>
      <c r="S1280" s="48">
        <v>11</v>
      </c>
      <c r="T1280" s="47">
        <v>1</v>
      </c>
      <c r="U1280" s="47">
        <v>0</v>
      </c>
      <c r="V1280" s="47">
        <v>0</v>
      </c>
      <c r="W1280" s="47"/>
      <c r="X1280" s="47">
        <v>16</v>
      </c>
      <c r="Y1280" s="47"/>
      <c r="Z1280" s="47" t="s">
        <v>2524</v>
      </c>
      <c r="AA1280" s="49"/>
      <c r="AB1280" s="49"/>
      <c r="AC1280" s="49"/>
      <c r="AD1280" s="50"/>
      <c r="AE1280" s="47" t="s">
        <v>2525</v>
      </c>
      <c r="AF1280" s="47">
        <v>40</v>
      </c>
      <c r="AG1280"/>
      <c r="AH1280"/>
      <c r="AI1280"/>
      <c r="AJ1280"/>
      <c r="AK1280"/>
      <c r="AL1280"/>
      <c r="AM1280"/>
      <c r="AN1280"/>
      <c r="AO1280"/>
      <c r="AP1280"/>
      <c r="AQ1280" t="s">
        <v>2526</v>
      </c>
      <c r="AU1280">
        <v>1279</v>
      </c>
    </row>
    <row r="1281" spans="1:47" x14ac:dyDescent="0.2">
      <c r="A1281" s="26">
        <v>6305</v>
      </c>
      <c r="B1281" s="27">
        <v>0.4770833333333333</v>
      </c>
      <c r="C1281" s="28"/>
      <c r="D1281" s="29"/>
      <c r="E1281" s="30" t="s">
        <v>1282</v>
      </c>
      <c r="H1281" s="32">
        <v>0</v>
      </c>
      <c r="I1281" s="32" t="s">
        <v>2527</v>
      </c>
      <c r="AG1281" s="32">
        <v>0</v>
      </c>
      <c r="AH1281" s="32">
        <v>0</v>
      </c>
      <c r="AI1281" s="32">
        <v>0</v>
      </c>
      <c r="AK1281" s="32">
        <v>0</v>
      </c>
      <c r="AL1281" s="32">
        <f>28/60</f>
        <v>0.46666666666666667</v>
      </c>
      <c r="AP1281" s="32">
        <f>28/60</f>
        <v>0.46666666666666667</v>
      </c>
      <c r="AQ1281" s="32" t="s">
        <v>1101</v>
      </c>
      <c r="AU1281">
        <v>1280</v>
      </c>
    </row>
    <row r="1282" spans="1:47" x14ac:dyDescent="0.2">
      <c r="A1282" s="26">
        <v>6306</v>
      </c>
      <c r="B1282" s="27" t="s">
        <v>45</v>
      </c>
      <c r="C1282" s="28"/>
      <c r="D1282" s="29"/>
      <c r="E1282" s="30" t="s">
        <v>1531</v>
      </c>
      <c r="H1282" s="32">
        <v>0</v>
      </c>
      <c r="I1282" s="32" t="s">
        <v>1532</v>
      </c>
      <c r="AG1282" s="32">
        <v>0</v>
      </c>
      <c r="AH1282" s="32">
        <v>0</v>
      </c>
      <c r="AI1282" s="32">
        <v>0</v>
      </c>
      <c r="AK1282" s="32">
        <v>0</v>
      </c>
      <c r="AM1282" s="32">
        <f>498*64</f>
        <v>31872</v>
      </c>
      <c r="AO1282" s="32" t="s">
        <v>1533</v>
      </c>
      <c r="AQ1282" s="32" t="s">
        <v>1101</v>
      </c>
      <c r="AU1282">
        <v>1281</v>
      </c>
    </row>
    <row r="1283" spans="1:47" x14ac:dyDescent="0.2">
      <c r="A1283" s="26">
        <v>6306</v>
      </c>
      <c r="B1283" s="27" t="s">
        <v>45</v>
      </c>
      <c r="C1283" s="28"/>
      <c r="D1283" s="29"/>
      <c r="E1283" s="150" t="s">
        <v>2286</v>
      </c>
      <c r="H1283" s="32">
        <v>0</v>
      </c>
      <c r="I1283" s="32" t="s">
        <v>1824</v>
      </c>
      <c r="AG1283" s="32">
        <v>0</v>
      </c>
      <c r="AH1283" s="32">
        <v>0</v>
      </c>
      <c r="AI1283" s="32">
        <v>0</v>
      </c>
      <c r="AK1283" s="32">
        <v>0</v>
      </c>
      <c r="AM1283" s="32">
        <f>45*500</f>
        <v>22500</v>
      </c>
      <c r="AO1283" s="73" t="s">
        <v>75</v>
      </c>
      <c r="AQ1283" s="32" t="s">
        <v>589</v>
      </c>
      <c r="AU1283">
        <v>1282</v>
      </c>
    </row>
    <row r="1284" spans="1:47" x14ac:dyDescent="0.2">
      <c r="A1284" s="133">
        <v>6307</v>
      </c>
      <c r="B1284" s="39" t="s">
        <v>45</v>
      </c>
      <c r="C1284" s="39">
        <v>100</v>
      </c>
      <c r="D1284" s="29" t="b">
        <v>0</v>
      </c>
      <c r="E1284" s="39" t="s">
        <v>564</v>
      </c>
      <c r="F1284" s="47" t="s">
        <v>2528</v>
      </c>
      <c r="G1284" s="47" t="s">
        <v>205</v>
      </c>
      <c r="H1284"/>
      <c r="I1284" s="47" t="b">
        <v>1</v>
      </c>
      <c r="J1284" s="47" t="b">
        <v>1</v>
      </c>
      <c r="K1284" s="47">
        <v>2000</v>
      </c>
      <c r="L1284" s="48">
        <v>9</v>
      </c>
      <c r="M1284" s="47">
        <v>-1</v>
      </c>
      <c r="N1284" s="47">
        <v>-1</v>
      </c>
      <c r="O1284" s="47">
        <v>-1</v>
      </c>
      <c r="P1284" s="47">
        <v>-1</v>
      </c>
      <c r="Q1284" s="47">
        <v>-1</v>
      </c>
      <c r="R1284" s="47">
        <v>-1</v>
      </c>
      <c r="S1284" s="48">
        <v>9</v>
      </c>
      <c r="T1284" s="47">
        <v>1</v>
      </c>
      <c r="U1284" s="47">
        <v>0</v>
      </c>
      <c r="V1284" s="47">
        <v>0</v>
      </c>
      <c r="W1284" s="47"/>
      <c r="X1284" s="47">
        <v>18</v>
      </c>
      <c r="Y1284" s="47"/>
      <c r="Z1284" s="47" t="s">
        <v>2524</v>
      </c>
      <c r="AA1284" s="49"/>
      <c r="AB1284" s="49"/>
      <c r="AC1284" s="49"/>
      <c r="AD1284" s="50"/>
      <c r="AE1284" s="47" t="s">
        <v>2525</v>
      </c>
      <c r="AF1284" s="47">
        <v>40</v>
      </c>
      <c r="AG1284"/>
      <c r="AH1284"/>
      <c r="AI1284"/>
      <c r="AJ1284"/>
      <c r="AK1284"/>
      <c r="AL1284"/>
      <c r="AM1284"/>
      <c r="AN1284"/>
      <c r="AO1284"/>
      <c r="AP1284"/>
      <c r="AQ1284" t="s">
        <v>2526</v>
      </c>
      <c r="AU1284">
        <v>1283</v>
      </c>
    </row>
    <row r="1285" spans="1:47" x14ac:dyDescent="0.2">
      <c r="A1285" s="133">
        <v>6307</v>
      </c>
      <c r="B1285" s="39" t="s">
        <v>45</v>
      </c>
      <c r="C1285" s="39">
        <v>100</v>
      </c>
      <c r="D1285" s="29" t="b">
        <v>0</v>
      </c>
      <c r="E1285" s="39" t="s">
        <v>564</v>
      </c>
      <c r="F1285" s="47" t="s">
        <v>2529</v>
      </c>
      <c r="G1285" s="47" t="s">
        <v>49</v>
      </c>
      <c r="H1285"/>
      <c r="I1285" s="47" t="b">
        <v>0</v>
      </c>
      <c r="J1285" s="47" t="b">
        <v>0</v>
      </c>
      <c r="K1285" s="47">
        <v>280</v>
      </c>
      <c r="L1285" s="48">
        <v>9</v>
      </c>
      <c r="M1285" s="47">
        <v>-1</v>
      </c>
      <c r="N1285" s="47">
        <v>-1</v>
      </c>
      <c r="O1285" s="47">
        <v>-1</v>
      </c>
      <c r="P1285" s="47">
        <v>-1</v>
      </c>
      <c r="Q1285" s="47">
        <v>-1</v>
      </c>
      <c r="R1285" s="47">
        <v>-1</v>
      </c>
      <c r="S1285" s="48">
        <v>9</v>
      </c>
      <c r="T1285" s="47">
        <v>1</v>
      </c>
      <c r="U1285" s="47">
        <v>0</v>
      </c>
      <c r="V1285" s="47">
        <v>0</v>
      </c>
      <c r="W1285" s="47"/>
      <c r="X1285" s="47">
        <v>19</v>
      </c>
      <c r="Y1285" s="47"/>
      <c r="Z1285" s="47" t="s">
        <v>2524</v>
      </c>
      <c r="AA1285" s="49"/>
      <c r="AB1285" s="49"/>
      <c r="AC1285" s="49"/>
      <c r="AD1285" s="50"/>
      <c r="AE1285" s="47" t="s">
        <v>2525</v>
      </c>
      <c r="AF1285" s="47">
        <v>40</v>
      </c>
      <c r="AG1285"/>
      <c r="AH1285"/>
      <c r="AI1285"/>
      <c r="AJ1285"/>
      <c r="AK1285"/>
      <c r="AL1285"/>
      <c r="AM1285"/>
      <c r="AN1285"/>
      <c r="AO1285"/>
      <c r="AP1285"/>
      <c r="AQ1285" t="s">
        <v>2526</v>
      </c>
      <c r="AU1285">
        <v>1284</v>
      </c>
    </row>
    <row r="1286" spans="1:47" x14ac:dyDescent="0.2">
      <c r="A1286" s="133">
        <v>6307</v>
      </c>
      <c r="B1286" s="39" t="s">
        <v>45</v>
      </c>
      <c r="C1286" s="39">
        <v>100</v>
      </c>
      <c r="D1286" s="29" t="b">
        <v>0</v>
      </c>
      <c r="E1286" s="39" t="s">
        <v>564</v>
      </c>
      <c r="F1286" s="47" t="s">
        <v>529</v>
      </c>
      <c r="G1286" s="47" t="s">
        <v>205</v>
      </c>
      <c r="H1286"/>
      <c r="I1286" s="47" t="b">
        <v>0</v>
      </c>
      <c r="J1286" s="47" t="b">
        <v>0</v>
      </c>
      <c r="K1286" s="47">
        <v>1720</v>
      </c>
      <c r="L1286" s="48">
        <v>9</v>
      </c>
      <c r="M1286" s="47">
        <v>-1</v>
      </c>
      <c r="N1286" s="47">
        <v>-1</v>
      </c>
      <c r="O1286" s="47">
        <v>-1</v>
      </c>
      <c r="P1286" s="47">
        <v>-1</v>
      </c>
      <c r="Q1286" s="47">
        <v>-1</v>
      </c>
      <c r="R1286" s="47">
        <v>-1</v>
      </c>
      <c r="S1286" s="48">
        <v>9</v>
      </c>
      <c r="T1286" s="47">
        <v>1</v>
      </c>
      <c r="U1286" s="47">
        <v>0</v>
      </c>
      <c r="V1286" s="47">
        <v>0</v>
      </c>
      <c r="W1286" s="47"/>
      <c r="X1286" s="47">
        <v>20</v>
      </c>
      <c r="Y1286" s="47"/>
      <c r="Z1286" s="47" t="s">
        <v>2524</v>
      </c>
      <c r="AA1286" s="49"/>
      <c r="AB1286" s="49"/>
      <c r="AC1286" s="49"/>
      <c r="AD1286" s="50"/>
      <c r="AE1286" s="47" t="s">
        <v>2525</v>
      </c>
      <c r="AF1286" s="47">
        <v>40</v>
      </c>
      <c r="AG1286"/>
      <c r="AH1286"/>
      <c r="AI1286"/>
      <c r="AJ1286"/>
      <c r="AK1286"/>
      <c r="AL1286"/>
      <c r="AM1286"/>
      <c r="AN1286"/>
      <c r="AO1286"/>
      <c r="AP1286"/>
      <c r="AQ1286" t="s">
        <v>2526</v>
      </c>
      <c r="AU1286">
        <v>1285</v>
      </c>
    </row>
    <row r="1287" spans="1:47" x14ac:dyDescent="0.2">
      <c r="A1287" s="26">
        <v>6307</v>
      </c>
      <c r="B1287" s="27">
        <v>0.86944444444444446</v>
      </c>
      <c r="C1287" s="28"/>
      <c r="D1287" s="29"/>
      <c r="E1287" s="30" t="s">
        <v>869</v>
      </c>
      <c r="H1287" s="32">
        <v>0</v>
      </c>
      <c r="I1287" s="32" t="s">
        <v>2344</v>
      </c>
      <c r="AG1287" s="32">
        <v>0</v>
      </c>
      <c r="AH1287" s="32">
        <v>0</v>
      </c>
      <c r="AI1287" s="32">
        <v>0</v>
      </c>
      <c r="AK1287" s="32">
        <v>0</v>
      </c>
      <c r="AL1287" s="32">
        <f>33/60</f>
        <v>0.55000000000000004</v>
      </c>
      <c r="AP1287" s="32">
        <f>33/60</f>
        <v>0.55000000000000004</v>
      </c>
      <c r="AQ1287" s="32" t="s">
        <v>589</v>
      </c>
      <c r="AU1287">
        <v>1286</v>
      </c>
    </row>
    <row r="1288" spans="1:47" x14ac:dyDescent="0.2">
      <c r="A1288" s="133">
        <v>6308</v>
      </c>
      <c r="B1288" s="39" t="s">
        <v>45</v>
      </c>
      <c r="C1288" s="39">
        <v>100</v>
      </c>
      <c r="D1288" s="29" t="b">
        <v>0</v>
      </c>
      <c r="E1288" s="39" t="s">
        <v>564</v>
      </c>
      <c r="F1288" s="47" t="s">
        <v>2530</v>
      </c>
      <c r="G1288" s="47" t="s">
        <v>49</v>
      </c>
      <c r="H1288"/>
      <c r="I1288" s="47" t="b">
        <v>0</v>
      </c>
      <c r="J1288" s="47" t="b">
        <v>1</v>
      </c>
      <c r="K1288" s="47">
        <v>160</v>
      </c>
      <c r="L1288" s="48">
        <v>1</v>
      </c>
      <c r="M1288" s="47">
        <v>-1</v>
      </c>
      <c r="N1288" s="47">
        <v>-1</v>
      </c>
      <c r="O1288" s="47">
        <v>-1</v>
      </c>
      <c r="P1288" s="47">
        <v>-1</v>
      </c>
      <c r="Q1288" s="47">
        <v>-1</v>
      </c>
      <c r="R1288" s="47">
        <v>-1</v>
      </c>
      <c r="S1288" s="48">
        <v>1</v>
      </c>
      <c r="T1288" s="47">
        <v>0</v>
      </c>
      <c r="U1288" s="47">
        <v>0</v>
      </c>
      <c r="V1288" s="47">
        <v>0</v>
      </c>
      <c r="W1288" s="47"/>
      <c r="X1288" s="47">
        <v>21</v>
      </c>
      <c r="Y1288" s="47"/>
      <c r="Z1288" s="47" t="s">
        <v>2524</v>
      </c>
      <c r="AA1288" s="49"/>
      <c r="AB1288" s="49"/>
      <c r="AC1288" s="49"/>
      <c r="AD1288" s="50"/>
      <c r="AE1288" s="47" t="s">
        <v>2525</v>
      </c>
      <c r="AF1288" s="47">
        <v>40</v>
      </c>
      <c r="AG1288"/>
      <c r="AH1288"/>
      <c r="AI1288"/>
      <c r="AJ1288"/>
      <c r="AK1288"/>
      <c r="AL1288"/>
      <c r="AM1288"/>
      <c r="AN1288"/>
      <c r="AO1288"/>
      <c r="AP1288"/>
      <c r="AQ1288" t="s">
        <v>2526</v>
      </c>
      <c r="AU1288">
        <v>1287</v>
      </c>
    </row>
    <row r="1289" spans="1:47" x14ac:dyDescent="0.2">
      <c r="A1289" s="26">
        <v>6308</v>
      </c>
      <c r="B1289" s="27" t="s">
        <v>45</v>
      </c>
      <c r="C1289" s="28"/>
      <c r="D1289" s="29"/>
      <c r="E1289" s="30" t="s">
        <v>1531</v>
      </c>
      <c r="H1289" s="32">
        <v>0</v>
      </c>
      <c r="I1289" s="32" t="s">
        <v>1532</v>
      </c>
      <c r="AG1289" s="32">
        <v>0</v>
      </c>
      <c r="AH1289" s="32">
        <v>0</v>
      </c>
      <c r="AI1289" s="32">
        <v>0</v>
      </c>
      <c r="AK1289" s="32">
        <v>0</v>
      </c>
      <c r="AM1289" s="32">
        <f>498*64</f>
        <v>31872</v>
      </c>
      <c r="AO1289" s="32" t="s">
        <v>1533</v>
      </c>
      <c r="AQ1289" s="32" t="s">
        <v>1101</v>
      </c>
      <c r="AU1289">
        <v>1288</v>
      </c>
    </row>
    <row r="1290" spans="1:47" x14ac:dyDescent="0.2">
      <c r="A1290" s="26">
        <v>6308</v>
      </c>
      <c r="B1290" s="27" t="s">
        <v>45</v>
      </c>
      <c r="C1290" s="28"/>
      <c r="D1290" s="29"/>
      <c r="E1290" s="150" t="s">
        <v>2286</v>
      </c>
      <c r="H1290" s="32">
        <v>0</v>
      </c>
      <c r="I1290" s="32" t="s">
        <v>1824</v>
      </c>
      <c r="AG1290" s="32">
        <v>0</v>
      </c>
      <c r="AH1290" s="32">
        <v>0</v>
      </c>
      <c r="AI1290" s="32">
        <v>0</v>
      </c>
      <c r="AK1290" s="32">
        <v>0</v>
      </c>
      <c r="AM1290" s="32">
        <f>25*500</f>
        <v>12500</v>
      </c>
      <c r="AO1290" s="73" t="s">
        <v>75</v>
      </c>
      <c r="AQ1290" s="32" t="s">
        <v>589</v>
      </c>
      <c r="AU1290">
        <v>1289</v>
      </c>
    </row>
    <row r="1291" spans="1:47" x14ac:dyDescent="0.2">
      <c r="A1291" s="133">
        <v>6309</v>
      </c>
      <c r="B1291" s="39" t="s">
        <v>45</v>
      </c>
      <c r="C1291" s="39">
        <v>100</v>
      </c>
      <c r="D1291" s="29" t="b">
        <v>0</v>
      </c>
      <c r="E1291" s="39" t="s">
        <v>564</v>
      </c>
      <c r="F1291" s="47" t="s">
        <v>2531</v>
      </c>
      <c r="G1291" s="47" t="s">
        <v>49</v>
      </c>
      <c r="H1291"/>
      <c r="I1291" s="47" t="b">
        <v>0</v>
      </c>
      <c r="J1291" s="47" t="b">
        <v>1</v>
      </c>
      <c r="K1291" s="47">
        <v>800</v>
      </c>
      <c r="L1291" s="48">
        <v>6</v>
      </c>
      <c r="M1291" s="47">
        <v>-1</v>
      </c>
      <c r="N1291" s="47">
        <v>-1</v>
      </c>
      <c r="O1291" s="47">
        <v>-1</v>
      </c>
      <c r="P1291" s="47">
        <v>-1</v>
      </c>
      <c r="Q1291" s="47">
        <v>-1</v>
      </c>
      <c r="R1291" s="47">
        <v>-1</v>
      </c>
      <c r="S1291" s="48">
        <v>5</v>
      </c>
      <c r="T1291" s="47">
        <v>0</v>
      </c>
      <c r="U1291" s="47">
        <v>3</v>
      </c>
      <c r="V1291" s="47">
        <v>0</v>
      </c>
      <c r="W1291" s="47"/>
      <c r="X1291" s="47">
        <v>22</v>
      </c>
      <c r="Y1291" s="47"/>
      <c r="Z1291" s="47" t="s">
        <v>2524</v>
      </c>
      <c r="AA1291" s="49"/>
      <c r="AB1291" s="49"/>
      <c r="AC1291" s="49"/>
      <c r="AD1291" s="50"/>
      <c r="AE1291" s="47" t="s">
        <v>2525</v>
      </c>
      <c r="AF1291" s="47">
        <v>40</v>
      </c>
      <c r="AG1291"/>
      <c r="AH1291"/>
      <c r="AI1291"/>
      <c r="AJ1291"/>
      <c r="AK1291"/>
      <c r="AL1291"/>
      <c r="AM1291"/>
      <c r="AN1291"/>
      <c r="AO1291"/>
      <c r="AP1291"/>
      <c r="AQ1291" t="s">
        <v>2526</v>
      </c>
      <c r="AU1291">
        <v>1290</v>
      </c>
    </row>
    <row r="1292" spans="1:47" x14ac:dyDescent="0.2">
      <c r="A1292" s="26">
        <v>6309</v>
      </c>
      <c r="B1292" s="27">
        <v>0.92847222222222225</v>
      </c>
      <c r="C1292" s="28"/>
      <c r="D1292" s="29"/>
      <c r="E1292" s="30" t="s">
        <v>1282</v>
      </c>
      <c r="H1292" s="32">
        <v>0</v>
      </c>
      <c r="I1292" s="32" t="s">
        <v>2532</v>
      </c>
      <c r="AG1292" s="32">
        <v>0</v>
      </c>
      <c r="AH1292" s="32">
        <v>0</v>
      </c>
      <c r="AI1292" s="32">
        <v>0</v>
      </c>
      <c r="AK1292" s="32">
        <v>0</v>
      </c>
      <c r="AL1292" s="32">
        <f>(23+15+40)/60</f>
        <v>1.3</v>
      </c>
      <c r="AP1292" s="32">
        <f>(23+15+40)/60</f>
        <v>1.3</v>
      </c>
      <c r="AQ1292" s="32" t="s">
        <v>1101</v>
      </c>
      <c r="AU1292">
        <v>1291</v>
      </c>
    </row>
    <row r="1293" spans="1:47" x14ac:dyDescent="0.2">
      <c r="A1293" s="26">
        <v>6309</v>
      </c>
      <c r="B1293" s="27" t="s">
        <v>45</v>
      </c>
      <c r="C1293" s="28"/>
      <c r="D1293" s="29"/>
      <c r="E1293" s="30" t="s">
        <v>1531</v>
      </c>
      <c r="H1293" s="32">
        <v>0</v>
      </c>
      <c r="I1293" s="32" t="s">
        <v>1706</v>
      </c>
      <c r="AG1293" s="32">
        <v>0</v>
      </c>
      <c r="AH1293" s="32">
        <v>0</v>
      </c>
      <c r="AI1293" s="32">
        <v>0</v>
      </c>
      <c r="AK1293" s="32">
        <v>0</v>
      </c>
      <c r="AM1293" s="32">
        <f>498*110</f>
        <v>54780</v>
      </c>
      <c r="AO1293" s="32" t="s">
        <v>1533</v>
      </c>
      <c r="AQ1293" s="32" t="s">
        <v>1101</v>
      </c>
      <c r="AU1293">
        <v>1292</v>
      </c>
    </row>
    <row r="1294" spans="1:47" x14ac:dyDescent="0.2">
      <c r="A1294" s="26">
        <v>6309</v>
      </c>
      <c r="B1294" s="27" t="s">
        <v>45</v>
      </c>
      <c r="C1294" s="28"/>
      <c r="D1294" s="29"/>
      <c r="E1294" s="150" t="s">
        <v>2286</v>
      </c>
      <c r="H1294" s="32">
        <v>0</v>
      </c>
      <c r="I1294" s="32" t="s">
        <v>1824</v>
      </c>
      <c r="AG1294" s="32">
        <v>0</v>
      </c>
      <c r="AH1294" s="32">
        <v>0</v>
      </c>
      <c r="AI1294" s="32">
        <v>0</v>
      </c>
      <c r="AK1294" s="32">
        <v>0</v>
      </c>
      <c r="AM1294" s="32">
        <v>20000</v>
      </c>
      <c r="AO1294" s="73" t="s">
        <v>75</v>
      </c>
      <c r="AQ1294" s="32" t="s">
        <v>589</v>
      </c>
      <c r="AU1294">
        <v>1293</v>
      </c>
    </row>
    <row r="1295" spans="1:47" x14ac:dyDescent="0.2">
      <c r="A1295" s="26">
        <v>6311</v>
      </c>
      <c r="B1295" s="27">
        <v>0.91666666666666663</v>
      </c>
      <c r="C1295" s="28"/>
      <c r="D1295" s="29"/>
      <c r="E1295" s="30" t="s">
        <v>1282</v>
      </c>
      <c r="H1295" s="32">
        <v>0</v>
      </c>
      <c r="I1295" s="32" t="s">
        <v>2244</v>
      </c>
      <c r="AG1295" s="32">
        <v>0</v>
      </c>
      <c r="AH1295" s="32">
        <v>0</v>
      </c>
      <c r="AI1295" s="32">
        <v>0</v>
      </c>
      <c r="AK1295" s="32">
        <v>0</v>
      </c>
      <c r="AL1295" s="32">
        <f>80/60</f>
        <v>1.3333333333333333</v>
      </c>
      <c r="AP1295" s="32">
        <f>80/60</f>
        <v>1.3333333333333333</v>
      </c>
      <c r="AQ1295" s="32" t="s">
        <v>1101</v>
      </c>
      <c r="AU1295">
        <v>1294</v>
      </c>
    </row>
    <row r="1296" spans="1:47" x14ac:dyDescent="0.2">
      <c r="A1296" s="133">
        <v>6313</v>
      </c>
      <c r="B1296" s="39" t="s">
        <v>45</v>
      </c>
      <c r="C1296" s="39" t="s">
        <v>1806</v>
      </c>
      <c r="D1296" s="29" t="b">
        <v>0</v>
      </c>
      <c r="E1296" s="39" t="s">
        <v>464</v>
      </c>
      <c r="F1296" s="47" t="s">
        <v>2533</v>
      </c>
      <c r="G1296" s="47" t="s">
        <v>481</v>
      </c>
      <c r="H1296"/>
      <c r="I1296" s="47" t="s">
        <v>2534</v>
      </c>
      <c r="J1296" s="47" t="b">
        <v>1</v>
      </c>
      <c r="K1296" s="47">
        <v>1200</v>
      </c>
      <c r="L1296" s="48">
        <v>1</v>
      </c>
      <c r="M1296" s="47">
        <v>0</v>
      </c>
      <c r="N1296" s="47">
        <v>0</v>
      </c>
      <c r="O1296" s="47">
        <v>0</v>
      </c>
      <c r="P1296" s="47">
        <v>0</v>
      </c>
      <c r="Q1296" s="47">
        <v>0</v>
      </c>
      <c r="R1296" s="47">
        <v>0</v>
      </c>
      <c r="S1296" s="48">
        <v>1</v>
      </c>
      <c r="T1296" s="47">
        <v>0</v>
      </c>
      <c r="U1296" s="47">
        <v>0</v>
      </c>
      <c r="V1296" s="47">
        <v>0</v>
      </c>
      <c r="W1296" s="47">
        <v>7000</v>
      </c>
      <c r="X1296" s="47">
        <v>24</v>
      </c>
      <c r="Y1296" s="47" t="s">
        <v>51</v>
      </c>
      <c r="Z1296" s="47" t="s">
        <v>2466</v>
      </c>
      <c r="AA1296" s="49">
        <v>9.5138888888888884E-2</v>
      </c>
      <c r="AB1296" s="49">
        <v>0.16666666666666666</v>
      </c>
      <c r="AC1296" s="49">
        <v>0.13333333333333333</v>
      </c>
      <c r="AD1296" s="50">
        <f>(AB1296-AA1296)*24</f>
        <v>1.7166666666666666</v>
      </c>
      <c r="AE1296" s="47" t="s">
        <v>1312</v>
      </c>
      <c r="AF1296" s="47">
        <v>75</v>
      </c>
      <c r="AG1296"/>
      <c r="AH1296"/>
      <c r="AI1296"/>
      <c r="AJ1296"/>
      <c r="AK1296">
        <v>12</v>
      </c>
      <c r="AL1296"/>
      <c r="AM1296"/>
      <c r="AN1296"/>
      <c r="AO1296"/>
      <c r="AP1296"/>
      <c r="AQ1296" t="s">
        <v>2298</v>
      </c>
      <c r="AU1296">
        <v>1295</v>
      </c>
    </row>
    <row r="1297" spans="1:47" x14ac:dyDescent="0.2">
      <c r="A1297" s="133">
        <v>6313</v>
      </c>
      <c r="B1297" s="39" t="s">
        <v>45</v>
      </c>
      <c r="C1297" s="39" t="s">
        <v>1806</v>
      </c>
      <c r="D1297" s="29" t="b">
        <v>0</v>
      </c>
      <c r="E1297" s="39" t="s">
        <v>175</v>
      </c>
      <c r="F1297" s="47" t="s">
        <v>2535</v>
      </c>
      <c r="G1297" s="47" t="s">
        <v>73</v>
      </c>
      <c r="H1297"/>
      <c r="I1297" s="47" t="s">
        <v>2536</v>
      </c>
      <c r="J1297" s="47" t="b">
        <v>1</v>
      </c>
      <c r="K1297" s="47">
        <v>1200</v>
      </c>
      <c r="L1297" s="48">
        <v>1</v>
      </c>
      <c r="M1297" s="47">
        <v>0</v>
      </c>
      <c r="N1297" s="47">
        <v>0</v>
      </c>
      <c r="O1297" s="47">
        <v>0</v>
      </c>
      <c r="P1297" s="47">
        <v>0</v>
      </c>
      <c r="Q1297" s="47">
        <v>1</v>
      </c>
      <c r="R1297" s="47">
        <v>0</v>
      </c>
      <c r="S1297" s="48">
        <v>1</v>
      </c>
      <c r="T1297" s="47">
        <v>0</v>
      </c>
      <c r="U1297" s="47">
        <v>0</v>
      </c>
      <c r="V1297" s="47">
        <v>0</v>
      </c>
      <c r="W1297" s="47">
        <v>8000</v>
      </c>
      <c r="X1297" s="47">
        <v>24</v>
      </c>
      <c r="Y1297" s="47" t="s">
        <v>51</v>
      </c>
      <c r="Z1297" s="47" t="s">
        <v>2466</v>
      </c>
      <c r="AA1297" s="49">
        <v>0.12152777777777778</v>
      </c>
      <c r="AB1297" s="49">
        <v>0.18472222222222223</v>
      </c>
      <c r="AC1297" s="49">
        <v>0.16319444444444445</v>
      </c>
      <c r="AD1297" s="50">
        <f>(AB1297-AA1297)*24</f>
        <v>1.5166666666666671</v>
      </c>
      <c r="AE1297" s="47" t="s">
        <v>1312</v>
      </c>
      <c r="AF1297" s="47">
        <v>50</v>
      </c>
      <c r="AG1297"/>
      <c r="AH1297"/>
      <c r="AI1297"/>
      <c r="AJ1297"/>
      <c r="AK1297">
        <v>12</v>
      </c>
      <c r="AL1297"/>
      <c r="AM1297"/>
      <c r="AN1297"/>
      <c r="AO1297"/>
      <c r="AP1297"/>
      <c r="AQ1297" t="s">
        <v>2298</v>
      </c>
      <c r="AU1297">
        <v>1296</v>
      </c>
    </row>
    <row r="1298" spans="1:47" x14ac:dyDescent="0.2">
      <c r="A1298" s="133">
        <v>6313</v>
      </c>
      <c r="B1298" s="39" t="s">
        <v>45</v>
      </c>
      <c r="C1298" s="39">
        <v>100</v>
      </c>
      <c r="D1298" s="29" t="b">
        <v>0</v>
      </c>
      <c r="E1298" s="39" t="s">
        <v>564</v>
      </c>
      <c r="F1298" s="47" t="s">
        <v>2537</v>
      </c>
      <c r="G1298" s="47" t="s">
        <v>49</v>
      </c>
      <c r="H1298"/>
      <c r="I1298" s="47" t="b">
        <v>0</v>
      </c>
      <c r="J1298" s="47" t="b">
        <v>1</v>
      </c>
      <c r="K1298" s="47">
        <v>740</v>
      </c>
      <c r="L1298" s="48">
        <v>6</v>
      </c>
      <c r="M1298" s="47">
        <v>-1</v>
      </c>
      <c r="N1298" s="47">
        <v>-1</v>
      </c>
      <c r="O1298" s="47">
        <v>-1</v>
      </c>
      <c r="P1298" s="47">
        <v>-1</v>
      </c>
      <c r="Q1298" s="47">
        <v>-1</v>
      </c>
      <c r="R1298" s="47">
        <v>-1</v>
      </c>
      <c r="S1298" s="48">
        <v>6</v>
      </c>
      <c r="T1298" s="47">
        <v>0</v>
      </c>
      <c r="U1298" s="47">
        <v>0</v>
      </c>
      <c r="V1298" s="47">
        <v>0</v>
      </c>
      <c r="W1298" s="47"/>
      <c r="X1298" s="47">
        <v>23</v>
      </c>
      <c r="Y1298" s="47"/>
      <c r="Z1298" s="47" t="s">
        <v>2524</v>
      </c>
      <c r="AA1298" s="49"/>
      <c r="AB1298" s="49"/>
      <c r="AC1298" s="49"/>
      <c r="AD1298" s="50"/>
      <c r="AE1298" s="47" t="s">
        <v>2525</v>
      </c>
      <c r="AF1298" s="47">
        <v>40</v>
      </c>
      <c r="AG1298"/>
      <c r="AH1298"/>
      <c r="AI1298"/>
      <c r="AJ1298"/>
      <c r="AK1298"/>
      <c r="AL1298"/>
      <c r="AM1298"/>
      <c r="AN1298"/>
      <c r="AO1298"/>
      <c r="AP1298"/>
      <c r="AQ1298" t="s">
        <v>2526</v>
      </c>
      <c r="AU1298">
        <v>1297</v>
      </c>
    </row>
    <row r="1299" spans="1:47" x14ac:dyDescent="0.2">
      <c r="A1299" s="133">
        <v>6313</v>
      </c>
      <c r="B1299" s="39" t="s">
        <v>45</v>
      </c>
      <c r="C1299" s="39" t="s">
        <v>142</v>
      </c>
      <c r="D1299" s="29"/>
      <c r="E1299" s="39" t="s">
        <v>2538</v>
      </c>
      <c r="F1299" s="47" t="s">
        <v>2539</v>
      </c>
      <c r="G1299" s="47" t="s">
        <v>49</v>
      </c>
      <c r="H1299"/>
      <c r="I1299" s="47" t="s">
        <v>2540</v>
      </c>
      <c r="J1299" s="47"/>
      <c r="K1299" s="47">
        <f>1833*2.2</f>
        <v>4032.6000000000004</v>
      </c>
      <c r="L1299" s="48">
        <v>11</v>
      </c>
      <c r="M1299" s="47"/>
      <c r="N1299" s="47"/>
      <c r="O1299" s="47"/>
      <c r="P1299" s="47"/>
      <c r="Q1299" s="47"/>
      <c r="R1299" s="47"/>
      <c r="S1299" s="48">
        <v>11</v>
      </c>
      <c r="T1299" s="47">
        <v>0</v>
      </c>
      <c r="U1299" s="47">
        <v>0</v>
      </c>
      <c r="V1299" s="47">
        <v>3</v>
      </c>
      <c r="W1299" s="47"/>
      <c r="X1299" s="47"/>
      <c r="Y1299" s="47" t="s">
        <v>51</v>
      </c>
      <c r="Z1299" s="47" t="s">
        <v>2203</v>
      </c>
      <c r="AA1299" s="49">
        <v>0.89583333333333337</v>
      </c>
      <c r="AB1299" s="49"/>
      <c r="AC1299" s="49"/>
      <c r="AD1299" s="50"/>
      <c r="AE1299" s="47" t="s">
        <v>2470</v>
      </c>
      <c r="AF1299" s="47"/>
      <c r="AG1299"/>
      <c r="AH1299"/>
      <c r="AI1299"/>
      <c r="AJ1299"/>
      <c r="AK1299">
        <f>102+31+10</f>
        <v>143</v>
      </c>
      <c r="AL1299"/>
      <c r="AM1299"/>
      <c r="AN1299"/>
      <c r="AO1299"/>
      <c r="AP1299"/>
      <c r="AQ1299" s="32" t="s">
        <v>2541</v>
      </c>
      <c r="AU1299">
        <v>1298</v>
      </c>
    </row>
    <row r="1300" spans="1:47" x14ac:dyDescent="0.2">
      <c r="A1300" s="133">
        <v>6313</v>
      </c>
      <c r="B1300" s="39" t="s">
        <v>45</v>
      </c>
      <c r="C1300" s="39" t="s">
        <v>2542</v>
      </c>
      <c r="D1300" s="29"/>
      <c r="E1300" s="39" t="s">
        <v>2543</v>
      </c>
      <c r="F1300" s="47" t="s">
        <v>2544</v>
      </c>
      <c r="G1300" s="47" t="s">
        <v>49</v>
      </c>
      <c r="H1300"/>
      <c r="I1300" s="47" t="b">
        <v>1</v>
      </c>
      <c r="J1300" s="47" t="b">
        <v>1</v>
      </c>
      <c r="K1300" s="47">
        <f>((150*10)+9*50)*2.2</f>
        <v>4290</v>
      </c>
      <c r="L1300" s="48">
        <v>8</v>
      </c>
      <c r="M1300" s="47">
        <v>3</v>
      </c>
      <c r="N1300" s="47"/>
      <c r="O1300" s="47"/>
      <c r="P1300" s="47"/>
      <c r="Q1300" s="47"/>
      <c r="R1300" s="47"/>
      <c r="S1300" s="48">
        <v>5</v>
      </c>
      <c r="T1300" s="47">
        <v>0</v>
      </c>
      <c r="U1300" s="47">
        <v>0</v>
      </c>
      <c r="V1300" s="47">
        <v>0</v>
      </c>
      <c r="W1300" s="47">
        <f>((1400+1600+1400+1200+2100)/5)*39.37/12</f>
        <v>5052.4833333333327</v>
      </c>
      <c r="X1300" s="47"/>
      <c r="Y1300" s="47" t="s">
        <v>51</v>
      </c>
      <c r="Z1300" s="47" t="s">
        <v>1846</v>
      </c>
      <c r="AA1300" s="49"/>
      <c r="AB1300" s="49"/>
      <c r="AC1300" s="49"/>
      <c r="AD1300" s="50">
        <v>1.75</v>
      </c>
      <c r="AE1300" s="47" t="s">
        <v>342</v>
      </c>
      <c r="AF1300" s="31">
        <v>40</v>
      </c>
      <c r="AG1300"/>
      <c r="AH1300"/>
      <c r="AI1300"/>
      <c r="AJ1300"/>
      <c r="AK1300">
        <f>5*30+1+2+2+2+2</f>
        <v>159</v>
      </c>
      <c r="AL1300"/>
      <c r="AM1300"/>
      <c r="AN1300"/>
      <c r="AO1300"/>
      <c r="AP1300"/>
      <c r="AQ1300" s="32" t="s">
        <v>2545</v>
      </c>
      <c r="AR1300" s="32" t="s">
        <v>2546</v>
      </c>
      <c r="AU1300">
        <v>1299</v>
      </c>
    </row>
    <row r="1301" spans="1:47" x14ac:dyDescent="0.2">
      <c r="A1301" s="133">
        <v>6313</v>
      </c>
      <c r="B1301" s="39" t="s">
        <v>45</v>
      </c>
      <c r="C1301" s="39" t="s">
        <v>2542</v>
      </c>
      <c r="D1301" s="29"/>
      <c r="E1301" s="39" t="s">
        <v>2547</v>
      </c>
      <c r="F1301" s="47" t="s">
        <v>2548</v>
      </c>
      <c r="G1301" s="47" t="s">
        <v>49</v>
      </c>
      <c r="H1301"/>
      <c r="I1301" s="47" t="b">
        <v>0</v>
      </c>
      <c r="J1301" s="47" t="b">
        <v>0</v>
      </c>
      <c r="K1301" s="47">
        <f>((3*30*10)+(1+2+2)*50)*2.2</f>
        <v>2530</v>
      </c>
      <c r="L1301" s="48"/>
      <c r="M1301" s="47"/>
      <c r="N1301" s="47"/>
      <c r="O1301" s="47"/>
      <c r="P1301" s="47"/>
      <c r="Q1301" s="47"/>
      <c r="R1301" s="47"/>
      <c r="S1301" s="48">
        <v>3</v>
      </c>
      <c r="T1301" s="47"/>
      <c r="U1301" s="47"/>
      <c r="V1301" s="47"/>
      <c r="W1301" s="47">
        <f>((1400+1600+1400)/3)*39.37/12</f>
        <v>4811.8888888888887</v>
      </c>
      <c r="X1301" s="47"/>
      <c r="Y1301" s="47" t="s">
        <v>51</v>
      </c>
      <c r="Z1301" s="47" t="s">
        <v>1846</v>
      </c>
      <c r="AA1301" s="49"/>
      <c r="AB1301" s="49"/>
      <c r="AC1301" s="49"/>
      <c r="AD1301" s="50">
        <v>1.5</v>
      </c>
      <c r="AE1301" s="47" t="s">
        <v>342</v>
      </c>
      <c r="AF1301" s="31">
        <v>40</v>
      </c>
      <c r="AG1301"/>
      <c r="AH1301"/>
      <c r="AI1301"/>
      <c r="AJ1301"/>
      <c r="AK1301">
        <f>3*30+1+2+2</f>
        <v>95</v>
      </c>
      <c r="AL1301"/>
      <c r="AM1301"/>
      <c r="AN1301"/>
      <c r="AO1301"/>
      <c r="AP1301"/>
      <c r="AQ1301" s="32" t="s">
        <v>2545</v>
      </c>
      <c r="AR1301" s="32" t="s">
        <v>2549</v>
      </c>
      <c r="AU1301">
        <v>1300</v>
      </c>
    </row>
    <row r="1302" spans="1:47" x14ac:dyDescent="0.2">
      <c r="A1302" s="133">
        <v>6313</v>
      </c>
      <c r="B1302" s="39" t="s">
        <v>45</v>
      </c>
      <c r="C1302" s="39" t="s">
        <v>2542</v>
      </c>
      <c r="D1302" s="29"/>
      <c r="E1302" s="39" t="s">
        <v>153</v>
      </c>
      <c r="F1302" s="47" t="s">
        <v>1900</v>
      </c>
      <c r="G1302" s="47" t="s">
        <v>69</v>
      </c>
      <c r="H1302"/>
      <c r="I1302" s="47" t="b">
        <v>0</v>
      </c>
      <c r="J1302" s="47" t="b">
        <v>0</v>
      </c>
      <c r="K1302" s="47">
        <f>((2*30*10)+(2+2)*50)*2.2</f>
        <v>1760.0000000000002</v>
      </c>
      <c r="L1302" s="48"/>
      <c r="M1302" s="47"/>
      <c r="N1302" s="47"/>
      <c r="O1302" s="47"/>
      <c r="P1302" s="47"/>
      <c r="Q1302" s="47"/>
      <c r="R1302" s="47"/>
      <c r="S1302" s="48">
        <v>2</v>
      </c>
      <c r="T1302" s="47"/>
      <c r="U1302" s="47"/>
      <c r="V1302" s="47"/>
      <c r="W1302" s="47">
        <f>((1200+2100)/2)*39.37/12</f>
        <v>5413.3749999999991</v>
      </c>
      <c r="X1302" s="47"/>
      <c r="Y1302" s="47" t="s">
        <v>51</v>
      </c>
      <c r="Z1302" s="47" t="s">
        <v>1846</v>
      </c>
      <c r="AA1302" s="49"/>
      <c r="AB1302" s="49"/>
      <c r="AC1302" s="49"/>
      <c r="AD1302" s="50">
        <v>1.75</v>
      </c>
      <c r="AE1302" s="47" t="s">
        <v>342</v>
      </c>
      <c r="AF1302" s="47">
        <v>40</v>
      </c>
      <c r="AG1302"/>
      <c r="AH1302"/>
      <c r="AI1302"/>
      <c r="AJ1302"/>
      <c r="AK1302">
        <f>2*30+2+2</f>
        <v>64</v>
      </c>
      <c r="AL1302"/>
      <c r="AM1302"/>
      <c r="AN1302"/>
      <c r="AO1302"/>
      <c r="AP1302"/>
      <c r="AQ1302" s="32" t="s">
        <v>2545</v>
      </c>
      <c r="AR1302" s="32" t="s">
        <v>2550</v>
      </c>
      <c r="AU1302">
        <v>1301</v>
      </c>
    </row>
    <row r="1303" spans="1:47" x14ac:dyDescent="0.2">
      <c r="A1303" s="26">
        <v>6313</v>
      </c>
      <c r="B1303" s="27">
        <v>0.88055555555555554</v>
      </c>
      <c r="C1303" s="28"/>
      <c r="D1303" s="29"/>
      <c r="E1303" s="30" t="s">
        <v>1282</v>
      </c>
      <c r="H1303" s="32">
        <v>0</v>
      </c>
      <c r="I1303" s="32" t="s">
        <v>2551</v>
      </c>
      <c r="AG1303" s="32">
        <v>0</v>
      </c>
      <c r="AH1303" s="32">
        <v>1</v>
      </c>
      <c r="AI1303" s="32">
        <v>0</v>
      </c>
      <c r="AK1303" s="32">
        <v>0</v>
      </c>
      <c r="AL1303" s="32">
        <f>7+10/60</f>
        <v>7.166666666666667</v>
      </c>
      <c r="AP1303" s="32">
        <f>7+12/60</f>
        <v>7.2</v>
      </c>
      <c r="AQ1303" s="32" t="s">
        <v>1101</v>
      </c>
      <c r="AU1303">
        <v>1302</v>
      </c>
    </row>
    <row r="1304" spans="1:47" x14ac:dyDescent="0.2">
      <c r="A1304" s="26">
        <v>6313</v>
      </c>
      <c r="B1304" s="27" t="s">
        <v>45</v>
      </c>
      <c r="C1304" s="28"/>
      <c r="D1304" s="29"/>
      <c r="E1304" s="30" t="s">
        <v>464</v>
      </c>
      <c r="H1304" s="32">
        <v>1</v>
      </c>
      <c r="I1304" s="32" t="s">
        <v>2552</v>
      </c>
      <c r="AG1304" s="32">
        <v>0</v>
      </c>
      <c r="AH1304" s="32">
        <v>0</v>
      </c>
      <c r="AI1304" s="32">
        <v>0</v>
      </c>
      <c r="AJ1304" s="32">
        <v>0</v>
      </c>
      <c r="AK1304" s="32">
        <v>9</v>
      </c>
      <c r="AL1304" s="32">
        <v>0</v>
      </c>
      <c r="AM1304" s="32">
        <v>0</v>
      </c>
      <c r="AO1304" s="32" t="s">
        <v>487</v>
      </c>
      <c r="AQ1304" s="32">
        <v>388</v>
      </c>
      <c r="AU1304">
        <v>1303</v>
      </c>
    </row>
    <row r="1305" spans="1:47" x14ac:dyDescent="0.2">
      <c r="A1305" s="26">
        <v>6313</v>
      </c>
      <c r="B1305" s="27" t="s">
        <v>45</v>
      </c>
      <c r="C1305" s="28"/>
      <c r="D1305" s="29"/>
      <c r="E1305" s="30" t="s">
        <v>1531</v>
      </c>
      <c r="H1305" s="32">
        <v>0</v>
      </c>
      <c r="I1305" s="32" t="s">
        <v>2553</v>
      </c>
      <c r="AG1305" s="32">
        <v>0</v>
      </c>
      <c r="AH1305" s="32">
        <v>0</v>
      </c>
      <c r="AI1305" s="32">
        <v>0</v>
      </c>
      <c r="AK1305" s="32">
        <v>0</v>
      </c>
      <c r="AM1305" s="32">
        <f>498*280</f>
        <v>139440</v>
      </c>
      <c r="AO1305" s="32" t="s">
        <v>1533</v>
      </c>
      <c r="AQ1305" s="32" t="s">
        <v>1101</v>
      </c>
      <c r="AU1305">
        <v>1304</v>
      </c>
    </row>
    <row r="1306" spans="1:47" x14ac:dyDescent="0.2">
      <c r="A1306" s="26">
        <v>6313</v>
      </c>
      <c r="B1306" s="27" t="s">
        <v>45</v>
      </c>
      <c r="C1306" s="28"/>
      <c r="D1306" s="29"/>
      <c r="E1306" s="150" t="s">
        <v>2286</v>
      </c>
      <c r="H1306" s="32">
        <v>0</v>
      </c>
      <c r="I1306" s="32" t="s">
        <v>1824</v>
      </c>
      <c r="AG1306" s="32">
        <v>0</v>
      </c>
      <c r="AH1306" s="32">
        <v>0</v>
      </c>
      <c r="AI1306" s="32">
        <v>0</v>
      </c>
      <c r="AK1306" s="32">
        <v>0</v>
      </c>
      <c r="AM1306" s="32">
        <f>55*500</f>
        <v>27500</v>
      </c>
      <c r="AO1306" s="73" t="s">
        <v>75</v>
      </c>
      <c r="AQ1306" s="32" t="s">
        <v>589</v>
      </c>
      <c r="AU1306">
        <v>1305</v>
      </c>
    </row>
    <row r="1307" spans="1:47" x14ac:dyDescent="0.2">
      <c r="A1307" s="133">
        <v>6314</v>
      </c>
      <c r="B1307" s="39" t="s">
        <v>85</v>
      </c>
      <c r="C1307" s="39" t="s">
        <v>1806</v>
      </c>
      <c r="D1307" s="29" t="b">
        <v>0</v>
      </c>
      <c r="E1307" s="39" t="s">
        <v>325</v>
      </c>
      <c r="F1307" s="47" t="s">
        <v>748</v>
      </c>
      <c r="G1307" s="47" t="s">
        <v>722</v>
      </c>
      <c r="H1307"/>
      <c r="I1307" s="47" t="b">
        <v>0</v>
      </c>
      <c r="J1307" s="47" t="b">
        <v>1</v>
      </c>
      <c r="K1307" s="47">
        <v>2080</v>
      </c>
      <c r="L1307" s="48">
        <v>8</v>
      </c>
      <c r="M1307" s="47">
        <v>0</v>
      </c>
      <c r="N1307" s="47">
        <v>0</v>
      </c>
      <c r="O1307" s="47">
        <v>0</v>
      </c>
      <c r="P1307" s="47">
        <v>0</v>
      </c>
      <c r="Q1307" s="47">
        <v>0</v>
      </c>
      <c r="R1307" s="47">
        <v>0</v>
      </c>
      <c r="S1307" s="48">
        <v>8</v>
      </c>
      <c r="T1307" s="47">
        <v>0</v>
      </c>
      <c r="U1307" s="47">
        <v>0</v>
      </c>
      <c r="V1307" s="47">
        <v>0</v>
      </c>
      <c r="W1307" s="47">
        <v>11000</v>
      </c>
      <c r="X1307" s="47">
        <v>25</v>
      </c>
      <c r="Y1307" s="47"/>
      <c r="Z1307" s="47" t="s">
        <v>1809</v>
      </c>
      <c r="AA1307" s="49">
        <v>0.46180555555555558</v>
      </c>
      <c r="AB1307" s="49">
        <v>0.57291666666666663</v>
      </c>
      <c r="AC1307" s="49">
        <f>AVERAGE(AA1307:AB1307)</f>
        <v>0.51736111111111116</v>
      </c>
      <c r="AD1307" s="50">
        <f>(AB1307-AA1307)*24</f>
        <v>2.6666666666666652</v>
      </c>
      <c r="AE1307" s="47" t="s">
        <v>1810</v>
      </c>
      <c r="AF1307" s="47">
        <v>110</v>
      </c>
      <c r="AG1307"/>
      <c r="AH1307"/>
      <c r="AI1307"/>
      <c r="AJ1307"/>
      <c r="AK1307" s="32">
        <v>32</v>
      </c>
      <c r="AL1307"/>
      <c r="AM1307"/>
      <c r="AN1307"/>
      <c r="AO1307"/>
      <c r="AP1307"/>
      <c r="AQ1307" t="s">
        <v>2298</v>
      </c>
      <c r="AR1307" s="32" t="s">
        <v>2554</v>
      </c>
      <c r="AU1307">
        <v>1306</v>
      </c>
    </row>
    <row r="1308" spans="1:47" x14ac:dyDescent="0.2">
      <c r="A1308" s="133">
        <v>6314</v>
      </c>
      <c r="B1308" s="39" t="s">
        <v>85</v>
      </c>
      <c r="C1308" s="39" t="s">
        <v>1806</v>
      </c>
      <c r="D1308" s="29" t="b">
        <v>0</v>
      </c>
      <c r="E1308" s="39" t="s">
        <v>325</v>
      </c>
      <c r="F1308" s="47" t="s">
        <v>748</v>
      </c>
      <c r="G1308" s="47" t="s">
        <v>722</v>
      </c>
      <c r="H1308"/>
      <c r="I1308" s="47" t="b">
        <v>0</v>
      </c>
      <c r="J1308" s="47" t="b">
        <v>1</v>
      </c>
      <c r="K1308" s="47">
        <v>1820</v>
      </c>
      <c r="L1308" s="48">
        <v>7</v>
      </c>
      <c r="M1308" s="47">
        <v>0</v>
      </c>
      <c r="N1308" s="47">
        <v>0</v>
      </c>
      <c r="O1308" s="47">
        <v>0</v>
      </c>
      <c r="P1308" s="47">
        <v>0</v>
      </c>
      <c r="Q1308" s="47">
        <v>0</v>
      </c>
      <c r="R1308" s="47">
        <v>0</v>
      </c>
      <c r="S1308" s="48">
        <v>7</v>
      </c>
      <c r="T1308" s="47">
        <v>0</v>
      </c>
      <c r="U1308" s="47">
        <v>0</v>
      </c>
      <c r="V1308" s="47">
        <v>1</v>
      </c>
      <c r="W1308" s="47"/>
      <c r="X1308" s="47">
        <v>26</v>
      </c>
      <c r="Y1308" s="47"/>
      <c r="Z1308" s="47" t="s">
        <v>1809</v>
      </c>
      <c r="AA1308" s="49">
        <v>0.64583333333333337</v>
      </c>
      <c r="AB1308" s="49">
        <v>0.76388888888888884</v>
      </c>
      <c r="AC1308" s="49">
        <f>AVERAGE(AA1308:AB1308)</f>
        <v>0.70486111111111116</v>
      </c>
      <c r="AD1308" s="50">
        <f>(AB1308-AA1308)*24</f>
        <v>2.8333333333333313</v>
      </c>
      <c r="AE1308" s="47" t="s">
        <v>1810</v>
      </c>
      <c r="AF1308" s="47">
        <v>110</v>
      </c>
      <c r="AG1308"/>
      <c r="AH1308"/>
      <c r="AI1308"/>
      <c r="AJ1308"/>
      <c r="AK1308" s="32">
        <v>28</v>
      </c>
      <c r="AL1308"/>
      <c r="AM1308"/>
      <c r="AN1308"/>
      <c r="AO1308"/>
      <c r="AP1308"/>
      <c r="AQ1308" t="s">
        <v>2298</v>
      </c>
      <c r="AR1308" s="32" t="s">
        <v>2555</v>
      </c>
      <c r="AU1308">
        <v>1307</v>
      </c>
    </row>
    <row r="1309" spans="1:47" x14ac:dyDescent="0.2">
      <c r="A1309" s="133">
        <v>6314</v>
      </c>
      <c r="B1309" s="39" t="s">
        <v>85</v>
      </c>
      <c r="C1309" s="39" t="s">
        <v>2423</v>
      </c>
      <c r="D1309" s="29" t="b">
        <v>0</v>
      </c>
      <c r="E1309" s="39" t="s">
        <v>325</v>
      </c>
      <c r="F1309" s="47" t="s">
        <v>748</v>
      </c>
      <c r="G1309" s="47" t="s">
        <v>722</v>
      </c>
      <c r="H1309"/>
      <c r="I1309" s="47" t="s">
        <v>2556</v>
      </c>
      <c r="J1309" s="47"/>
      <c r="K1309" s="47">
        <f>22*65</f>
        <v>1430</v>
      </c>
      <c r="L1309" s="48">
        <v>6</v>
      </c>
      <c r="M1309" s="47"/>
      <c r="N1309" s="47"/>
      <c r="O1309" s="47"/>
      <c r="P1309" s="47"/>
      <c r="Q1309" s="47"/>
      <c r="R1309" s="47"/>
      <c r="S1309" s="48">
        <v>6</v>
      </c>
      <c r="T1309" s="47">
        <v>0</v>
      </c>
      <c r="U1309" s="47">
        <v>0</v>
      </c>
      <c r="V1309" s="47">
        <v>0</v>
      </c>
      <c r="W1309" s="47"/>
      <c r="X1309" s="47"/>
      <c r="Y1309" s="31" t="s">
        <v>120</v>
      </c>
      <c r="Z1309" s="47" t="s">
        <v>1809</v>
      </c>
      <c r="AA1309" s="49"/>
      <c r="AB1309" s="49"/>
      <c r="AC1309" s="49"/>
      <c r="AD1309" s="50"/>
      <c r="AE1309" s="47" t="s">
        <v>1653</v>
      </c>
      <c r="AF1309" s="47">
        <v>110</v>
      </c>
      <c r="AG1309"/>
      <c r="AH1309"/>
      <c r="AI1309"/>
      <c r="AJ1309"/>
      <c r="AK1309">
        <v>22</v>
      </c>
      <c r="AL1309"/>
      <c r="AM1309"/>
      <c r="AN1309"/>
      <c r="AO1309"/>
      <c r="AP1309"/>
      <c r="AQ1309" t="s">
        <v>2557</v>
      </c>
      <c r="AU1309">
        <v>1308</v>
      </c>
    </row>
    <row r="1310" spans="1:47" x14ac:dyDescent="0.2">
      <c r="A1310" s="133">
        <v>6314</v>
      </c>
      <c r="B1310" s="39" t="s">
        <v>45</v>
      </c>
      <c r="C1310" s="39" t="s">
        <v>1262</v>
      </c>
      <c r="D1310" s="29"/>
      <c r="E1310" s="39" t="s">
        <v>2558</v>
      </c>
      <c r="F1310" s="47" t="s">
        <v>150</v>
      </c>
      <c r="G1310" s="47" t="s">
        <v>49</v>
      </c>
      <c r="H1310"/>
      <c r="I1310" s="47" t="s">
        <v>2559</v>
      </c>
      <c r="J1310" s="47"/>
      <c r="K1310" s="47">
        <f>169*2.2</f>
        <v>371.8</v>
      </c>
      <c r="L1310" s="48">
        <v>1</v>
      </c>
      <c r="M1310" s="47"/>
      <c r="N1310" s="47"/>
      <c r="O1310" s="47"/>
      <c r="P1310" s="47"/>
      <c r="Q1310" s="47"/>
      <c r="R1310" s="47"/>
      <c r="S1310" s="48">
        <v>1</v>
      </c>
      <c r="T1310" s="47">
        <v>0</v>
      </c>
      <c r="U1310" s="47">
        <v>0</v>
      </c>
      <c r="V1310" s="47">
        <v>0</v>
      </c>
      <c r="W1310" s="47"/>
      <c r="X1310" s="47"/>
      <c r="Y1310" s="47" t="s">
        <v>51</v>
      </c>
      <c r="Z1310" s="47" t="s">
        <v>2203</v>
      </c>
      <c r="AA1310" s="49">
        <v>0.90625</v>
      </c>
      <c r="AB1310" s="49"/>
      <c r="AC1310" s="49"/>
      <c r="AD1310" s="50"/>
      <c r="AE1310" s="47" t="s">
        <v>2470</v>
      </c>
      <c r="AF1310" s="47">
        <v>50</v>
      </c>
      <c r="AG1310"/>
      <c r="AH1310"/>
      <c r="AI1310"/>
      <c r="AJ1310"/>
      <c r="AK1310">
        <v>13</v>
      </c>
      <c r="AL1310"/>
      <c r="AM1310"/>
      <c r="AN1310"/>
      <c r="AO1310"/>
      <c r="AP1310"/>
      <c r="AQ1310" s="32" t="s">
        <v>2541</v>
      </c>
      <c r="AU1310">
        <v>1309</v>
      </c>
    </row>
    <row r="1311" spans="1:47" x14ac:dyDescent="0.2">
      <c r="A1311" s="26">
        <v>6314</v>
      </c>
      <c r="B1311" s="27" t="s">
        <v>85</v>
      </c>
      <c r="C1311" s="28"/>
      <c r="D1311" s="29"/>
      <c r="E1311" s="30" t="s">
        <v>1285</v>
      </c>
      <c r="H1311" s="32">
        <v>1</v>
      </c>
      <c r="I1311" s="32" t="s">
        <v>2560</v>
      </c>
      <c r="AI1311" s="32">
        <v>36085</v>
      </c>
      <c r="AO1311" s="32" t="s">
        <v>472</v>
      </c>
      <c r="AQ1311" s="32" t="s">
        <v>589</v>
      </c>
      <c r="AU1311">
        <v>1310</v>
      </c>
    </row>
    <row r="1312" spans="1:47" x14ac:dyDescent="0.2">
      <c r="A1312" s="26">
        <v>6315</v>
      </c>
      <c r="B1312" s="27">
        <v>0.96180555555555547</v>
      </c>
      <c r="C1312" s="28"/>
      <c r="D1312" s="29"/>
      <c r="E1312" s="30" t="s">
        <v>1282</v>
      </c>
      <c r="H1312" s="32">
        <v>0</v>
      </c>
      <c r="I1312" s="32" t="s">
        <v>2561</v>
      </c>
      <c r="AG1312" s="32">
        <v>0</v>
      </c>
      <c r="AH1312" s="32">
        <v>0</v>
      </c>
      <c r="AI1312" s="32">
        <v>0</v>
      </c>
      <c r="AK1312" s="32">
        <v>0</v>
      </c>
      <c r="AL1312" s="32">
        <f>55/60</f>
        <v>0.91666666666666663</v>
      </c>
      <c r="AP1312" s="32">
        <f>55/60</f>
        <v>0.91666666666666663</v>
      </c>
      <c r="AQ1312" s="32" t="s">
        <v>1101</v>
      </c>
      <c r="AU1312">
        <v>1311</v>
      </c>
    </row>
    <row r="1313" spans="1:47" x14ac:dyDescent="0.2">
      <c r="A1313" s="133">
        <v>6317</v>
      </c>
      <c r="B1313" s="39" t="s">
        <v>45</v>
      </c>
      <c r="C1313" s="39">
        <v>100</v>
      </c>
      <c r="D1313" s="29" t="b">
        <v>0</v>
      </c>
      <c r="E1313" s="39" t="s">
        <v>564</v>
      </c>
      <c r="F1313" s="47" t="s">
        <v>2562</v>
      </c>
      <c r="G1313" s="47" t="s">
        <v>49</v>
      </c>
      <c r="H1313"/>
      <c r="I1313" s="47" t="b">
        <v>0</v>
      </c>
      <c r="J1313" s="47" t="b">
        <v>1</v>
      </c>
      <c r="K1313" s="47">
        <v>500</v>
      </c>
      <c r="L1313" s="48">
        <v>3</v>
      </c>
      <c r="M1313" s="47">
        <v>-1</v>
      </c>
      <c r="N1313" s="47">
        <v>-1</v>
      </c>
      <c r="O1313" s="47">
        <v>-1</v>
      </c>
      <c r="P1313" s="47">
        <v>-1</v>
      </c>
      <c r="Q1313" s="47">
        <v>-1</v>
      </c>
      <c r="R1313" s="47">
        <v>-1</v>
      </c>
      <c r="S1313" s="48">
        <v>3</v>
      </c>
      <c r="T1313" s="47">
        <v>0</v>
      </c>
      <c r="U1313" s="47">
        <v>0</v>
      </c>
      <c r="V1313" s="47">
        <v>0</v>
      </c>
      <c r="W1313" s="47"/>
      <c r="X1313" s="47">
        <v>27</v>
      </c>
      <c r="Y1313" s="47"/>
      <c r="Z1313" s="47" t="s">
        <v>2524</v>
      </c>
      <c r="AA1313" s="49"/>
      <c r="AB1313" s="49"/>
      <c r="AC1313" s="49"/>
      <c r="AD1313" s="50"/>
      <c r="AE1313" s="47" t="s">
        <v>2525</v>
      </c>
      <c r="AF1313" s="47">
        <v>40</v>
      </c>
      <c r="AG1313"/>
      <c r="AH1313"/>
      <c r="AI1313"/>
      <c r="AJ1313"/>
      <c r="AK1313"/>
      <c r="AL1313"/>
      <c r="AM1313"/>
      <c r="AN1313"/>
      <c r="AO1313"/>
      <c r="AP1313"/>
      <c r="AQ1313" t="s">
        <v>2526</v>
      </c>
      <c r="AU1313">
        <v>1312</v>
      </c>
    </row>
    <row r="1314" spans="1:47" x14ac:dyDescent="0.2">
      <c r="A1314" s="133">
        <v>6318</v>
      </c>
      <c r="B1314" s="39" t="s">
        <v>45</v>
      </c>
      <c r="C1314" s="39" t="s">
        <v>1262</v>
      </c>
      <c r="D1314" s="29" t="s">
        <v>120</v>
      </c>
      <c r="E1314" s="39" t="s">
        <v>688</v>
      </c>
      <c r="F1314" s="47" t="s">
        <v>688</v>
      </c>
      <c r="G1314" s="47"/>
      <c r="H1314"/>
      <c r="I1314" s="47" t="s">
        <v>2563</v>
      </c>
      <c r="J1314" s="47"/>
      <c r="K1314" s="47">
        <v>0</v>
      </c>
      <c r="L1314" s="48">
        <v>2</v>
      </c>
      <c r="M1314" s="47">
        <v>2</v>
      </c>
      <c r="N1314" s="47"/>
      <c r="O1314" s="47"/>
      <c r="P1314" s="47"/>
      <c r="Q1314" s="47"/>
      <c r="R1314" s="47"/>
      <c r="S1314" s="48">
        <v>0</v>
      </c>
      <c r="T1314" s="47">
        <v>0</v>
      </c>
      <c r="U1314" s="47">
        <v>0</v>
      </c>
      <c r="V1314" s="47">
        <v>1</v>
      </c>
      <c r="W1314" s="47"/>
      <c r="X1314" s="47"/>
      <c r="Y1314" s="47"/>
      <c r="Z1314" s="47" t="s">
        <v>2203</v>
      </c>
      <c r="AA1314" s="49"/>
      <c r="AB1314" s="49"/>
      <c r="AC1314" s="49"/>
      <c r="AD1314" s="50"/>
      <c r="AE1314" s="47" t="s">
        <v>2470</v>
      </c>
      <c r="AF1314" s="47"/>
      <c r="AG1314"/>
      <c r="AH1314"/>
      <c r="AI1314"/>
      <c r="AJ1314"/>
      <c r="AK1314">
        <v>0</v>
      </c>
      <c r="AL1314"/>
      <c r="AM1314"/>
      <c r="AN1314"/>
      <c r="AO1314"/>
      <c r="AP1314"/>
      <c r="AQ1314" s="32" t="s">
        <v>2564</v>
      </c>
      <c r="AU1314">
        <v>1313</v>
      </c>
    </row>
    <row r="1315" spans="1:47" x14ac:dyDescent="0.2">
      <c r="A1315" s="133">
        <v>6319</v>
      </c>
      <c r="B1315" s="39" t="s">
        <v>85</v>
      </c>
      <c r="C1315" s="39" t="s">
        <v>142</v>
      </c>
      <c r="D1315" s="29"/>
      <c r="E1315" s="39" t="s">
        <v>2565</v>
      </c>
      <c r="F1315" s="47" t="s">
        <v>2566</v>
      </c>
      <c r="G1315" s="47" t="s">
        <v>69</v>
      </c>
      <c r="H1315"/>
      <c r="I1315" s="47" t="s">
        <v>2567</v>
      </c>
      <c r="J1315" s="47"/>
      <c r="K1315" s="47">
        <f>15*0.555*2.2</f>
        <v>18.315000000000005</v>
      </c>
      <c r="L1315" s="48"/>
      <c r="M1315" s="47"/>
      <c r="N1315" s="47"/>
      <c r="O1315" s="47"/>
      <c r="P1315" s="47"/>
      <c r="Q1315" s="47"/>
      <c r="R1315" s="47"/>
      <c r="S1315" s="48">
        <v>1</v>
      </c>
      <c r="T1315" s="47">
        <v>0</v>
      </c>
      <c r="U1315" s="47">
        <v>0</v>
      </c>
      <c r="V1315" s="47">
        <v>0</v>
      </c>
      <c r="W1315" s="47"/>
      <c r="X1315" s="47"/>
      <c r="Y1315" s="47" t="s">
        <v>51</v>
      </c>
      <c r="Z1315" s="47" t="s">
        <v>1565</v>
      </c>
      <c r="AA1315" s="49">
        <v>0.44791666666666669</v>
      </c>
      <c r="AB1315" s="49"/>
      <c r="AC1315" s="49"/>
      <c r="AD1315" s="50"/>
      <c r="AE1315" s="47" t="s">
        <v>2470</v>
      </c>
      <c r="AF1315" s="47"/>
      <c r="AG1315"/>
      <c r="AH1315"/>
      <c r="AI1315"/>
      <c r="AJ1315"/>
      <c r="AK1315">
        <v>15</v>
      </c>
      <c r="AL1315"/>
      <c r="AM1315"/>
      <c r="AN1315"/>
      <c r="AO1315"/>
      <c r="AP1315"/>
      <c r="AQ1315" s="32" t="s">
        <v>2564</v>
      </c>
      <c r="AU1315">
        <v>1314</v>
      </c>
    </row>
    <row r="1316" spans="1:47" x14ac:dyDescent="0.2">
      <c r="A1316" s="133">
        <v>6321</v>
      </c>
      <c r="B1316" s="39" t="s">
        <v>45</v>
      </c>
      <c r="C1316" s="39" t="s">
        <v>142</v>
      </c>
      <c r="D1316" s="29"/>
      <c r="E1316" s="39" t="s">
        <v>2568</v>
      </c>
      <c r="F1316" s="47" t="s">
        <v>2130</v>
      </c>
      <c r="G1316" s="47" t="s">
        <v>49</v>
      </c>
      <c r="H1316"/>
      <c r="I1316" s="47" t="s">
        <v>2569</v>
      </c>
      <c r="J1316" s="47"/>
      <c r="K1316" s="47">
        <f>(76*10+20*23+15*0.555)*2.2</f>
        <v>2702.3150000000005</v>
      </c>
      <c r="L1316" s="48"/>
      <c r="M1316" s="47"/>
      <c r="N1316" s="47"/>
      <c r="O1316" s="47"/>
      <c r="P1316" s="47"/>
      <c r="Q1316" s="47"/>
      <c r="R1316" s="47"/>
      <c r="S1316" s="48">
        <v>9</v>
      </c>
      <c r="T1316" s="47">
        <v>0</v>
      </c>
      <c r="U1316" s="47">
        <v>0</v>
      </c>
      <c r="V1316" s="47">
        <v>0</v>
      </c>
      <c r="W1316" s="47"/>
      <c r="X1316" s="47"/>
      <c r="Y1316" s="47" t="s">
        <v>51</v>
      </c>
      <c r="Z1316" s="47" t="s">
        <v>2203</v>
      </c>
      <c r="AA1316" s="49"/>
      <c r="AB1316" s="49"/>
      <c r="AC1316" s="49">
        <v>2.7777777777777776E-2</v>
      </c>
      <c r="AD1316" s="50"/>
      <c r="AE1316" s="47" t="s">
        <v>2470</v>
      </c>
      <c r="AF1316" s="47"/>
      <c r="AG1316"/>
      <c r="AH1316"/>
      <c r="AI1316"/>
      <c r="AJ1316"/>
      <c r="AK1316">
        <v>111</v>
      </c>
      <c r="AL1316"/>
      <c r="AM1316"/>
      <c r="AN1316"/>
      <c r="AO1316"/>
      <c r="AP1316"/>
      <c r="AQ1316" s="32" t="s">
        <v>2564</v>
      </c>
      <c r="AU1316">
        <v>1315</v>
      </c>
    </row>
    <row r="1317" spans="1:47" x14ac:dyDescent="0.2">
      <c r="A1317" s="133">
        <v>6322</v>
      </c>
      <c r="B1317" s="39" t="s">
        <v>45</v>
      </c>
      <c r="C1317" s="39" t="s">
        <v>2467</v>
      </c>
      <c r="D1317" s="29"/>
      <c r="E1317" s="39" t="s">
        <v>2570</v>
      </c>
      <c r="F1317" s="47" t="s">
        <v>2571</v>
      </c>
      <c r="G1317" s="47" t="s">
        <v>49</v>
      </c>
      <c r="H1317"/>
      <c r="I1317" s="47" t="s">
        <v>2572</v>
      </c>
      <c r="J1317" s="47"/>
      <c r="K1317" s="47">
        <f>(122*10+27*23+21*0.555)*2.2</f>
        <v>4075.8410000000003</v>
      </c>
      <c r="L1317" s="48">
        <v>14</v>
      </c>
      <c r="M1317" s="47"/>
      <c r="N1317" s="47"/>
      <c r="O1317" s="47"/>
      <c r="P1317" s="47"/>
      <c r="Q1317" s="47"/>
      <c r="R1317" s="47"/>
      <c r="S1317" s="48">
        <v>14</v>
      </c>
      <c r="T1317" s="47">
        <v>0</v>
      </c>
      <c r="U1317" s="47">
        <v>0</v>
      </c>
      <c r="V1317" s="47">
        <v>0</v>
      </c>
      <c r="W1317" s="47"/>
      <c r="X1317" s="47"/>
      <c r="Y1317" s="47" t="s">
        <v>51</v>
      </c>
      <c r="Z1317" s="47" t="s">
        <v>2203</v>
      </c>
      <c r="AA1317" s="49">
        <v>0.90972222222222221</v>
      </c>
      <c r="AB1317" s="49"/>
      <c r="AC1317" s="49"/>
      <c r="AD1317" s="50"/>
      <c r="AE1317" s="47" t="s">
        <v>2470</v>
      </c>
      <c r="AF1317" s="47"/>
      <c r="AG1317"/>
      <c r="AH1317"/>
      <c r="AI1317"/>
      <c r="AJ1317"/>
      <c r="AK1317">
        <v>170</v>
      </c>
      <c r="AL1317"/>
      <c r="AM1317"/>
      <c r="AN1317"/>
      <c r="AO1317"/>
      <c r="AP1317"/>
      <c r="AQ1317" s="32" t="s">
        <v>2564</v>
      </c>
      <c r="AU1317">
        <v>1316</v>
      </c>
    </row>
    <row r="1318" spans="1:47" x14ac:dyDescent="0.2">
      <c r="A1318" s="133">
        <v>6323</v>
      </c>
      <c r="B1318" s="39" t="s">
        <v>45</v>
      </c>
      <c r="C1318" s="39" t="s">
        <v>1262</v>
      </c>
      <c r="D1318" s="29"/>
      <c r="E1318" s="39" t="s">
        <v>2573</v>
      </c>
      <c r="F1318" s="47" t="s">
        <v>2374</v>
      </c>
      <c r="G1318" s="47" t="s">
        <v>69</v>
      </c>
      <c r="H1318"/>
      <c r="I1318" s="47" t="s">
        <v>2574</v>
      </c>
      <c r="J1318" s="47"/>
      <c r="K1318" s="47">
        <f>12*10*2.2</f>
        <v>264</v>
      </c>
      <c r="L1318" s="48"/>
      <c r="M1318" s="47"/>
      <c r="N1318" s="47"/>
      <c r="O1318" s="47"/>
      <c r="P1318" s="47"/>
      <c r="Q1318" s="47"/>
      <c r="R1318" s="47"/>
      <c r="S1318" s="48">
        <v>1</v>
      </c>
      <c r="T1318" s="47">
        <v>0</v>
      </c>
      <c r="U1318" s="47">
        <v>0</v>
      </c>
      <c r="V1318" s="47">
        <v>0</v>
      </c>
      <c r="W1318" s="47"/>
      <c r="X1318" s="47"/>
      <c r="Y1318" s="47" t="s">
        <v>51</v>
      </c>
      <c r="Z1318" s="47" t="s">
        <v>2203</v>
      </c>
      <c r="AA1318" s="49"/>
      <c r="AB1318" s="49"/>
      <c r="AC1318" s="49"/>
      <c r="AD1318" s="50"/>
      <c r="AE1318" s="47" t="s">
        <v>2470</v>
      </c>
      <c r="AF1318" s="47"/>
      <c r="AG1318"/>
      <c r="AH1318"/>
      <c r="AI1318"/>
      <c r="AJ1318"/>
      <c r="AK1318">
        <v>12</v>
      </c>
      <c r="AL1318"/>
      <c r="AM1318"/>
      <c r="AN1318"/>
      <c r="AO1318"/>
      <c r="AP1318"/>
      <c r="AQ1318" s="32" t="s">
        <v>2575</v>
      </c>
      <c r="AU1318">
        <v>1317</v>
      </c>
    </row>
    <row r="1319" spans="1:47" x14ac:dyDescent="0.2">
      <c r="A1319" s="133">
        <v>6323</v>
      </c>
      <c r="B1319" s="39" t="s">
        <v>45</v>
      </c>
      <c r="C1319" s="57" t="s">
        <v>1234</v>
      </c>
      <c r="D1319" s="29"/>
      <c r="E1319" s="57" t="s">
        <v>2576</v>
      </c>
      <c r="F1319" s="31" t="s">
        <v>1743</v>
      </c>
      <c r="G1319" s="31" t="s">
        <v>49</v>
      </c>
      <c r="I1319" s="31" t="s">
        <v>2577</v>
      </c>
      <c r="K1319" s="31">
        <f>4*65</f>
        <v>260</v>
      </c>
      <c r="L1319" s="33">
        <v>2</v>
      </c>
      <c r="M1319" s="31">
        <v>1</v>
      </c>
      <c r="P1319" s="31">
        <v>1</v>
      </c>
      <c r="S1319" s="33">
        <v>1</v>
      </c>
      <c r="T1319" s="31">
        <v>0</v>
      </c>
      <c r="U1319" s="31">
        <v>0</v>
      </c>
      <c r="V1319" s="31">
        <v>0</v>
      </c>
      <c r="W1319" s="31">
        <f>500*39.37/12</f>
        <v>1640.4166666666667</v>
      </c>
      <c r="Y1319" s="31" t="s">
        <v>51</v>
      </c>
      <c r="Z1319" s="31" t="s">
        <v>1809</v>
      </c>
      <c r="AA1319" s="34">
        <v>0.15625</v>
      </c>
      <c r="AB1319" s="34">
        <v>0.28819444444444448</v>
      </c>
      <c r="AC1319" s="49">
        <f>AVERAGE(AA1319:AB1319)</f>
        <v>0.22222222222222224</v>
      </c>
      <c r="AD1319" s="50">
        <f>(AB1319-AA1319)*24</f>
        <v>3.1666666666666674</v>
      </c>
      <c r="AE1319" s="47" t="s">
        <v>1653</v>
      </c>
      <c r="AK1319" s="32">
        <v>4</v>
      </c>
      <c r="AQ1319" s="32" t="s">
        <v>2578</v>
      </c>
      <c r="AU1319">
        <v>1318</v>
      </c>
    </row>
    <row r="1320" spans="1:47" x14ac:dyDescent="0.2">
      <c r="A1320" s="133">
        <v>6323</v>
      </c>
      <c r="B1320" s="39" t="s">
        <v>45</v>
      </c>
      <c r="C1320" s="39">
        <v>100</v>
      </c>
      <c r="D1320" s="29" t="b">
        <v>0</v>
      </c>
      <c r="E1320" s="39" t="s">
        <v>564</v>
      </c>
      <c r="F1320" s="47" t="s">
        <v>2562</v>
      </c>
      <c r="G1320" s="47" t="s">
        <v>49</v>
      </c>
      <c r="H1320"/>
      <c r="I1320" s="47" t="b">
        <v>0</v>
      </c>
      <c r="J1320" s="47" t="b">
        <v>1</v>
      </c>
      <c r="K1320" s="47">
        <v>760</v>
      </c>
      <c r="L1320" s="48">
        <v>6</v>
      </c>
      <c r="M1320" s="47">
        <v>-1</v>
      </c>
      <c r="N1320" s="47">
        <v>-1</v>
      </c>
      <c r="O1320" s="47">
        <v>-1</v>
      </c>
      <c r="P1320" s="47">
        <v>-1</v>
      </c>
      <c r="Q1320" s="47">
        <v>-1</v>
      </c>
      <c r="R1320" s="47">
        <v>-1</v>
      </c>
      <c r="S1320" s="48">
        <v>6</v>
      </c>
      <c r="T1320" s="47">
        <v>0</v>
      </c>
      <c r="U1320" s="47">
        <v>0</v>
      </c>
      <c r="V1320" s="47">
        <v>0</v>
      </c>
      <c r="W1320" s="47"/>
      <c r="X1320" s="47">
        <v>28</v>
      </c>
      <c r="Y1320" s="47"/>
      <c r="Z1320" s="47" t="s">
        <v>2524</v>
      </c>
      <c r="AA1320" s="49"/>
      <c r="AB1320" s="49"/>
      <c r="AC1320" s="49"/>
      <c r="AD1320" s="50"/>
      <c r="AE1320" s="47" t="s">
        <v>2525</v>
      </c>
      <c r="AF1320" s="47">
        <v>40</v>
      </c>
      <c r="AG1320"/>
      <c r="AH1320"/>
      <c r="AI1320"/>
      <c r="AJ1320"/>
      <c r="AK1320"/>
      <c r="AL1320"/>
      <c r="AM1320"/>
      <c r="AN1320"/>
      <c r="AO1320"/>
      <c r="AP1320"/>
      <c r="AQ1320" t="s">
        <v>2526</v>
      </c>
      <c r="AU1320">
        <v>1319</v>
      </c>
    </row>
    <row r="1321" spans="1:47" x14ac:dyDescent="0.2">
      <c r="A1321" s="133">
        <v>6324</v>
      </c>
      <c r="B1321" s="39" t="s">
        <v>85</v>
      </c>
      <c r="C1321" s="39" t="s">
        <v>2579</v>
      </c>
      <c r="D1321" s="29"/>
      <c r="E1321" s="39" t="s">
        <v>2580</v>
      </c>
      <c r="F1321" s="47" t="s">
        <v>1900</v>
      </c>
      <c r="G1321" s="47" t="s">
        <v>69</v>
      </c>
      <c r="H1321"/>
      <c r="I1321" s="47" t="s">
        <v>2581</v>
      </c>
      <c r="J1321" s="47"/>
      <c r="K1321" s="47">
        <f>20*10*2.2</f>
        <v>440.00000000000006</v>
      </c>
      <c r="L1321" s="48"/>
      <c r="M1321" s="47"/>
      <c r="N1321" s="47"/>
      <c r="O1321" s="47"/>
      <c r="P1321" s="47"/>
      <c r="Q1321" s="47"/>
      <c r="R1321" s="47"/>
      <c r="S1321" s="48">
        <v>6</v>
      </c>
      <c r="T1321" s="47">
        <v>0</v>
      </c>
      <c r="U1321" s="47">
        <v>0</v>
      </c>
      <c r="V1321" s="47">
        <v>0</v>
      </c>
      <c r="W1321" s="47"/>
      <c r="X1321" s="47"/>
      <c r="Y1321" s="47" t="s">
        <v>51</v>
      </c>
      <c r="Z1321" s="47" t="s">
        <v>1809</v>
      </c>
      <c r="AA1321" s="49"/>
      <c r="AB1321" s="49"/>
      <c r="AC1321" s="49"/>
      <c r="AD1321" s="50"/>
      <c r="AE1321" s="47" t="s">
        <v>2470</v>
      </c>
      <c r="AF1321" s="47"/>
      <c r="AG1321"/>
      <c r="AH1321"/>
      <c r="AI1321"/>
      <c r="AJ1321"/>
      <c r="AK1321">
        <v>20</v>
      </c>
      <c r="AL1321"/>
      <c r="AM1321"/>
      <c r="AN1321"/>
      <c r="AO1321"/>
      <c r="AP1321"/>
      <c r="AQ1321" s="32" t="s">
        <v>2575</v>
      </c>
      <c r="AU1321">
        <v>1320</v>
      </c>
    </row>
    <row r="1322" spans="1:47" x14ac:dyDescent="0.2">
      <c r="A1322" s="133">
        <v>6324</v>
      </c>
      <c r="B1322" s="39" t="s">
        <v>45</v>
      </c>
      <c r="C1322" s="39" t="s">
        <v>142</v>
      </c>
      <c r="D1322" s="29"/>
      <c r="E1322" s="39" t="s">
        <v>2582</v>
      </c>
      <c r="F1322" s="47" t="s">
        <v>2583</v>
      </c>
      <c r="G1322" s="47" t="s">
        <v>73</v>
      </c>
      <c r="H1322"/>
      <c r="I1322" s="47" t="s">
        <v>2584</v>
      </c>
      <c r="J1322" s="47"/>
      <c r="K1322" s="47">
        <f>2032*2.2</f>
        <v>4470.4000000000005</v>
      </c>
      <c r="L1322" s="48">
        <v>9</v>
      </c>
      <c r="M1322" s="47"/>
      <c r="N1322" s="47"/>
      <c r="O1322" s="47"/>
      <c r="P1322" s="47"/>
      <c r="Q1322" s="47"/>
      <c r="R1322" s="47"/>
      <c r="S1322" s="48">
        <v>9</v>
      </c>
      <c r="T1322" s="47">
        <v>0</v>
      </c>
      <c r="U1322" s="47">
        <v>0</v>
      </c>
      <c r="V1322" s="47">
        <v>0</v>
      </c>
      <c r="W1322" s="47"/>
      <c r="X1322" s="47"/>
      <c r="Y1322" s="47" t="s">
        <v>51</v>
      </c>
      <c r="Z1322" s="47" t="s">
        <v>2203</v>
      </c>
      <c r="AA1322" s="49">
        <v>0.875</v>
      </c>
      <c r="AB1322" s="49"/>
      <c r="AC1322" s="49"/>
      <c r="AD1322" s="50"/>
      <c r="AE1322" s="47" t="s">
        <v>2470</v>
      </c>
      <c r="AF1322" s="47"/>
      <c r="AG1322"/>
      <c r="AH1322"/>
      <c r="AI1322"/>
      <c r="AJ1322"/>
      <c r="AK1322">
        <v>170</v>
      </c>
      <c r="AL1322"/>
      <c r="AM1322"/>
      <c r="AN1322"/>
      <c r="AO1322"/>
      <c r="AP1322"/>
      <c r="AQ1322" s="32" t="s">
        <v>2575</v>
      </c>
      <c r="AU1322">
        <v>1321</v>
      </c>
    </row>
    <row r="1323" spans="1:47" x14ac:dyDescent="0.2">
      <c r="A1323" s="133">
        <v>6324</v>
      </c>
      <c r="B1323" s="39" t="s">
        <v>45</v>
      </c>
      <c r="C1323" s="39" t="s">
        <v>2585</v>
      </c>
      <c r="D1323" s="29"/>
      <c r="E1323" s="39" t="s">
        <v>2586</v>
      </c>
      <c r="F1323" s="47" t="s">
        <v>1663</v>
      </c>
      <c r="G1323" s="47" t="s">
        <v>459</v>
      </c>
      <c r="H1323"/>
      <c r="I1323" s="47" t="s">
        <v>2587</v>
      </c>
      <c r="J1323" s="47"/>
      <c r="K1323" s="47">
        <f>30*25*2.2</f>
        <v>1650.0000000000002</v>
      </c>
      <c r="L1323" s="48">
        <v>7</v>
      </c>
      <c r="M1323" s="47"/>
      <c r="N1323" s="47">
        <v>2</v>
      </c>
      <c r="O1323" s="47"/>
      <c r="P1323" s="47"/>
      <c r="Q1323" s="47"/>
      <c r="R1323" s="47"/>
      <c r="S1323" s="48">
        <v>5</v>
      </c>
      <c r="T1323" s="47">
        <v>0</v>
      </c>
      <c r="U1323" s="47">
        <v>0</v>
      </c>
      <c r="V1323" s="47">
        <v>1</v>
      </c>
      <c r="W1323" s="47"/>
      <c r="X1323" s="47"/>
      <c r="Y1323" s="31" t="s">
        <v>51</v>
      </c>
      <c r="Z1323" s="47" t="s">
        <v>2588</v>
      </c>
      <c r="AA1323" s="49"/>
      <c r="AB1323" s="49"/>
      <c r="AC1323" s="49">
        <v>0.90972222222222221</v>
      </c>
      <c r="AD1323" s="50"/>
      <c r="AE1323" s="47" t="s">
        <v>2589</v>
      </c>
      <c r="AF1323" s="47">
        <v>90</v>
      </c>
      <c r="AG1323"/>
      <c r="AH1323"/>
      <c r="AI1323"/>
      <c r="AJ1323"/>
      <c r="AK1323">
        <v>30</v>
      </c>
      <c r="AL1323"/>
      <c r="AM1323"/>
      <c r="AN1323"/>
      <c r="AO1323"/>
      <c r="AP1323"/>
      <c r="AQ1323" s="32" t="s">
        <v>2590</v>
      </c>
      <c r="AU1323">
        <v>1322</v>
      </c>
    </row>
    <row r="1324" spans="1:47" x14ac:dyDescent="0.2">
      <c r="A1324" s="133">
        <v>6326</v>
      </c>
      <c r="B1324" s="39" t="s">
        <v>45</v>
      </c>
      <c r="C1324" s="39">
        <v>100</v>
      </c>
      <c r="D1324" s="29" t="b">
        <v>0</v>
      </c>
      <c r="E1324" s="39" t="s">
        <v>564</v>
      </c>
      <c r="F1324" s="47" t="s">
        <v>2591</v>
      </c>
      <c r="G1324" s="47" t="s">
        <v>49</v>
      </c>
      <c r="H1324"/>
      <c r="I1324" s="47" t="b">
        <v>0</v>
      </c>
      <c r="J1324" s="47" t="b">
        <v>1</v>
      </c>
      <c r="K1324" s="47">
        <v>760</v>
      </c>
      <c r="L1324" s="48">
        <v>6</v>
      </c>
      <c r="M1324" s="47">
        <v>-1</v>
      </c>
      <c r="N1324" s="47">
        <v>-1</v>
      </c>
      <c r="O1324" s="47">
        <v>-1</v>
      </c>
      <c r="P1324" s="47">
        <v>-1</v>
      </c>
      <c r="Q1324" s="47">
        <v>-1</v>
      </c>
      <c r="R1324" s="47">
        <v>-1</v>
      </c>
      <c r="S1324" s="48">
        <v>5</v>
      </c>
      <c r="T1324" s="47">
        <v>0</v>
      </c>
      <c r="U1324" s="47">
        <v>0</v>
      </c>
      <c r="V1324" s="47">
        <v>0</v>
      </c>
      <c r="W1324" s="47"/>
      <c r="X1324" s="47">
        <v>29</v>
      </c>
      <c r="Y1324" s="47"/>
      <c r="Z1324" s="47" t="s">
        <v>2524</v>
      </c>
      <c r="AA1324" s="49"/>
      <c r="AB1324" s="49"/>
      <c r="AC1324" s="49"/>
      <c r="AD1324" s="50"/>
      <c r="AE1324" s="47" t="s">
        <v>2525</v>
      </c>
      <c r="AF1324" s="47">
        <v>40</v>
      </c>
      <c r="AG1324"/>
      <c r="AH1324"/>
      <c r="AI1324"/>
      <c r="AJ1324"/>
      <c r="AK1324"/>
      <c r="AL1324"/>
      <c r="AM1324"/>
      <c r="AN1324"/>
      <c r="AO1324"/>
      <c r="AP1324"/>
      <c r="AQ1324" t="s">
        <v>2526</v>
      </c>
      <c r="AU1324">
        <v>1323</v>
      </c>
    </row>
    <row r="1325" spans="1:47" x14ac:dyDescent="0.2">
      <c r="A1325" s="133">
        <v>6326</v>
      </c>
      <c r="B1325" s="39" t="s">
        <v>45</v>
      </c>
      <c r="C1325" s="39" t="s">
        <v>2467</v>
      </c>
      <c r="D1325" s="29"/>
      <c r="E1325" s="39" t="s">
        <v>2592</v>
      </c>
      <c r="F1325" s="47" t="s">
        <v>340</v>
      </c>
      <c r="G1325" s="47" t="s">
        <v>49</v>
      </c>
      <c r="H1325"/>
      <c r="I1325" s="47" t="s">
        <v>2593</v>
      </c>
      <c r="J1325" s="47"/>
      <c r="K1325" s="47">
        <f>(149*10+44*25)*2.2</f>
        <v>5698.0000000000009</v>
      </c>
      <c r="L1325" s="48">
        <v>16</v>
      </c>
      <c r="M1325" s="47"/>
      <c r="N1325" s="47">
        <v>1</v>
      </c>
      <c r="O1325" s="47"/>
      <c r="P1325" s="47"/>
      <c r="Q1325" s="47"/>
      <c r="R1325" s="47"/>
      <c r="S1325" s="48">
        <v>15</v>
      </c>
      <c r="T1325" s="47">
        <v>0</v>
      </c>
      <c r="U1325" s="47">
        <v>0</v>
      </c>
      <c r="V1325" s="47">
        <v>0</v>
      </c>
      <c r="W1325" s="47"/>
      <c r="X1325" s="47"/>
      <c r="Y1325" s="47" t="s">
        <v>51</v>
      </c>
      <c r="Z1325" s="47" t="s">
        <v>2203</v>
      </c>
      <c r="AA1325" s="49"/>
      <c r="AB1325" s="49"/>
      <c r="AC1325" s="49"/>
      <c r="AD1325" s="50"/>
      <c r="AE1325" s="47" t="s">
        <v>2470</v>
      </c>
      <c r="AF1325" s="47"/>
      <c r="AG1325"/>
      <c r="AH1325"/>
      <c r="AI1325"/>
      <c r="AJ1325"/>
      <c r="AK1325">
        <f>149+44</f>
        <v>193</v>
      </c>
      <c r="AL1325"/>
      <c r="AM1325"/>
      <c r="AN1325"/>
      <c r="AO1325"/>
      <c r="AP1325"/>
      <c r="AQ1325" s="32" t="s">
        <v>2575</v>
      </c>
      <c r="AU1325">
        <v>1324</v>
      </c>
    </row>
    <row r="1326" spans="1:47" x14ac:dyDescent="0.2">
      <c r="A1326" s="26">
        <v>6326</v>
      </c>
      <c r="B1326" s="27" t="s">
        <v>45</v>
      </c>
      <c r="C1326" s="28"/>
      <c r="D1326" s="29"/>
      <c r="E1326" s="30" t="s">
        <v>1531</v>
      </c>
      <c r="H1326" s="32">
        <v>1</v>
      </c>
      <c r="I1326" s="32" t="s">
        <v>2594</v>
      </c>
      <c r="AM1326" s="32">
        <f>498*110</f>
        <v>54780</v>
      </c>
      <c r="AO1326" s="32" t="s">
        <v>1533</v>
      </c>
      <c r="AQ1326" s="32" t="s">
        <v>1101</v>
      </c>
      <c r="AU1326">
        <v>1325</v>
      </c>
    </row>
    <row r="1327" spans="1:47" x14ac:dyDescent="0.2">
      <c r="A1327" s="26">
        <v>6326</v>
      </c>
      <c r="B1327" s="27" t="s">
        <v>45</v>
      </c>
      <c r="C1327" s="28"/>
      <c r="D1327" s="29"/>
      <c r="E1327" s="150" t="s">
        <v>2286</v>
      </c>
      <c r="H1327" s="32">
        <v>0</v>
      </c>
      <c r="I1327" s="32" t="s">
        <v>1824</v>
      </c>
      <c r="AG1327" s="32">
        <v>0</v>
      </c>
      <c r="AH1327" s="32">
        <v>0</v>
      </c>
      <c r="AI1327" s="32">
        <v>0</v>
      </c>
      <c r="AK1327" s="32">
        <v>0</v>
      </c>
      <c r="AM1327" s="32">
        <v>25000</v>
      </c>
      <c r="AO1327" s="73" t="s">
        <v>75</v>
      </c>
      <c r="AQ1327" s="32" t="s">
        <v>589</v>
      </c>
      <c r="AU1327">
        <v>1326</v>
      </c>
    </row>
    <row r="1328" spans="1:47" x14ac:dyDescent="0.2">
      <c r="A1328" s="44">
        <v>6328</v>
      </c>
      <c r="B1328" s="42" t="s">
        <v>45</v>
      </c>
      <c r="C1328" s="39" t="s">
        <v>1561</v>
      </c>
      <c r="D1328" s="29"/>
      <c r="E1328" s="121" t="s">
        <v>2595</v>
      </c>
      <c r="F1328" s="31" t="s">
        <v>83</v>
      </c>
      <c r="G1328" s="31" t="s">
        <v>69</v>
      </c>
      <c r="H1328" s="32"/>
      <c r="I1328" s="31" t="s">
        <v>2596</v>
      </c>
      <c r="K1328" s="31">
        <f>10*10*2.2</f>
        <v>220.00000000000003</v>
      </c>
      <c r="L1328" s="33">
        <v>3</v>
      </c>
      <c r="M1328" s="31">
        <v>2</v>
      </c>
      <c r="S1328" s="33">
        <v>1</v>
      </c>
      <c r="T1328" s="47">
        <v>0</v>
      </c>
      <c r="U1328" s="47">
        <v>0</v>
      </c>
      <c r="V1328" s="47">
        <v>0</v>
      </c>
      <c r="W1328" s="47"/>
      <c r="X1328" s="47"/>
      <c r="Y1328" s="47" t="s">
        <v>51</v>
      </c>
      <c r="Z1328" s="47"/>
      <c r="AA1328" s="49">
        <v>0.91666666666666663</v>
      </c>
      <c r="AB1328" s="49"/>
      <c r="AC1328" s="49"/>
      <c r="AD1328" s="50"/>
      <c r="AE1328" s="47" t="s">
        <v>2470</v>
      </c>
      <c r="AK1328" s="32">
        <v>10</v>
      </c>
      <c r="AO1328" s="73"/>
      <c r="AQ1328" s="32" t="s">
        <v>2597</v>
      </c>
      <c r="AU1328">
        <v>1327</v>
      </c>
    </row>
    <row r="1329" spans="1:47" x14ac:dyDescent="0.2">
      <c r="A1329" s="44">
        <v>6328</v>
      </c>
      <c r="B1329" s="42" t="s">
        <v>45</v>
      </c>
      <c r="C1329" s="39" t="s">
        <v>1262</v>
      </c>
      <c r="D1329" s="29"/>
      <c r="E1329" s="121" t="s">
        <v>2598</v>
      </c>
      <c r="F1329" s="31" t="s">
        <v>246</v>
      </c>
      <c r="G1329" s="31" t="s">
        <v>49</v>
      </c>
      <c r="H1329" s="32"/>
      <c r="I1329" s="31" t="s">
        <v>2599</v>
      </c>
      <c r="K1329" s="31">
        <f>(30*10+7*25)*2.2</f>
        <v>1045</v>
      </c>
      <c r="L1329" s="33">
        <v>3</v>
      </c>
      <c r="S1329" s="33">
        <v>3</v>
      </c>
      <c r="T1329" s="47">
        <v>0</v>
      </c>
      <c r="U1329" s="47">
        <v>0</v>
      </c>
      <c r="V1329" s="47">
        <v>0</v>
      </c>
      <c r="W1329" s="47"/>
      <c r="X1329" s="47"/>
      <c r="Y1329" s="47" t="s">
        <v>51</v>
      </c>
      <c r="Z1329" s="47" t="s">
        <v>2203</v>
      </c>
      <c r="AA1329" s="49">
        <v>0.90625</v>
      </c>
      <c r="AB1329" s="49"/>
      <c r="AC1329" s="49">
        <v>0.93402777777777779</v>
      </c>
      <c r="AD1329" s="50"/>
      <c r="AE1329" s="47" t="s">
        <v>2470</v>
      </c>
      <c r="AK1329" s="32">
        <v>37</v>
      </c>
      <c r="AO1329" s="73"/>
      <c r="AQ1329" s="32" t="s">
        <v>2597</v>
      </c>
      <c r="AU1329">
        <v>1328</v>
      </c>
    </row>
    <row r="1330" spans="1:47" x14ac:dyDescent="0.2">
      <c r="A1330" s="44">
        <v>6328</v>
      </c>
      <c r="B1330" s="42" t="s">
        <v>45</v>
      </c>
      <c r="C1330" s="39" t="s">
        <v>1262</v>
      </c>
      <c r="D1330" s="29"/>
      <c r="E1330" s="121" t="s">
        <v>2600</v>
      </c>
      <c r="F1330" s="31" t="s">
        <v>150</v>
      </c>
      <c r="G1330" s="31" t="s">
        <v>49</v>
      </c>
      <c r="H1330" s="32"/>
      <c r="I1330" s="31" t="s">
        <v>2601</v>
      </c>
      <c r="K1330" s="31">
        <f>(22*10+8*25)*2.2</f>
        <v>924.00000000000011</v>
      </c>
      <c r="L1330" s="33">
        <v>2</v>
      </c>
      <c r="S1330" s="33">
        <v>2</v>
      </c>
      <c r="T1330" s="47">
        <v>0</v>
      </c>
      <c r="U1330" s="47">
        <v>0</v>
      </c>
      <c r="V1330" s="47">
        <v>0</v>
      </c>
      <c r="W1330" s="47"/>
      <c r="X1330" s="47"/>
      <c r="Y1330" s="47" t="s">
        <v>51</v>
      </c>
      <c r="Z1330" s="47" t="s">
        <v>2203</v>
      </c>
      <c r="AA1330" s="49">
        <v>1.0416666666666666E-2</v>
      </c>
      <c r="AB1330" s="49"/>
      <c r="AC1330" s="49"/>
      <c r="AD1330" s="50"/>
      <c r="AE1330" s="47" t="s">
        <v>2470</v>
      </c>
      <c r="AK1330" s="32">
        <v>30</v>
      </c>
      <c r="AO1330" s="73"/>
      <c r="AQ1330" s="32" t="s">
        <v>2597</v>
      </c>
      <c r="AU1330">
        <v>1329</v>
      </c>
    </row>
    <row r="1331" spans="1:47" x14ac:dyDescent="0.2">
      <c r="A1331" s="26">
        <v>6328</v>
      </c>
      <c r="B1331" s="27" t="s">
        <v>45</v>
      </c>
      <c r="C1331" s="28"/>
      <c r="D1331" s="29"/>
      <c r="E1331" s="30" t="s">
        <v>1531</v>
      </c>
      <c r="H1331" s="32">
        <v>0</v>
      </c>
      <c r="I1331" s="32" t="s">
        <v>1532</v>
      </c>
      <c r="AG1331" s="32">
        <v>0</v>
      </c>
      <c r="AH1331" s="32">
        <v>0</v>
      </c>
      <c r="AI1331" s="32">
        <v>0</v>
      </c>
      <c r="AK1331" s="32">
        <v>0</v>
      </c>
      <c r="AM1331" s="32">
        <f>498*30</f>
        <v>14940</v>
      </c>
      <c r="AO1331" s="32" t="s">
        <v>1533</v>
      </c>
      <c r="AQ1331" s="32" t="s">
        <v>1101</v>
      </c>
      <c r="AU1331">
        <v>1330</v>
      </c>
    </row>
    <row r="1332" spans="1:47" x14ac:dyDescent="0.2">
      <c r="A1332" s="26">
        <v>6328</v>
      </c>
      <c r="B1332" s="27" t="s">
        <v>45</v>
      </c>
      <c r="C1332" s="28"/>
      <c r="D1332" s="29"/>
      <c r="E1332" s="150" t="s">
        <v>2286</v>
      </c>
      <c r="H1332" s="32">
        <v>0</v>
      </c>
      <c r="I1332" s="32" t="s">
        <v>1824</v>
      </c>
      <c r="AG1332" s="32">
        <v>0</v>
      </c>
      <c r="AH1332" s="32">
        <v>0</v>
      </c>
      <c r="AI1332" s="32">
        <v>0</v>
      </c>
      <c r="AK1332" s="32">
        <v>0</v>
      </c>
      <c r="AM1332" s="32">
        <f>17*500</f>
        <v>8500</v>
      </c>
      <c r="AO1332" s="73" t="s">
        <v>75</v>
      </c>
      <c r="AQ1332" s="32" t="s">
        <v>589</v>
      </c>
      <c r="AU1332">
        <v>1331</v>
      </c>
    </row>
    <row r="1333" spans="1:47" x14ac:dyDescent="0.2">
      <c r="A1333" s="37">
        <v>6329</v>
      </c>
      <c r="B1333" s="38" t="s">
        <v>85</v>
      </c>
      <c r="C1333" s="39" t="s">
        <v>2423</v>
      </c>
      <c r="D1333" s="29"/>
      <c r="E1333" s="38" t="s">
        <v>528</v>
      </c>
      <c r="F1333" s="31" t="s">
        <v>204</v>
      </c>
      <c r="G1333" s="31" t="s">
        <v>205</v>
      </c>
      <c r="H1333" s="32"/>
      <c r="I1333" s="32" t="s">
        <v>2602</v>
      </c>
      <c r="K1333" s="31">
        <f>8*65</f>
        <v>520</v>
      </c>
      <c r="L1333" s="33">
        <v>3</v>
      </c>
      <c r="N1333" s="31">
        <v>1</v>
      </c>
      <c r="S1333" s="33">
        <v>2</v>
      </c>
      <c r="Y1333" s="31" t="s">
        <v>51</v>
      </c>
      <c r="Z1333" s="47" t="s">
        <v>1809</v>
      </c>
      <c r="AC1333" s="34">
        <v>0.54861111111111105</v>
      </c>
      <c r="AE1333" s="47" t="s">
        <v>1653</v>
      </c>
      <c r="AF1333" s="31">
        <v>75</v>
      </c>
      <c r="AK1333" s="32">
        <v>8</v>
      </c>
      <c r="AO1333" s="73"/>
      <c r="AQ1333" s="32" t="s">
        <v>2603</v>
      </c>
      <c r="AU1333">
        <v>1332</v>
      </c>
    </row>
    <row r="1334" spans="1:47" x14ac:dyDescent="0.2">
      <c r="A1334" s="37">
        <v>6329</v>
      </c>
      <c r="B1334" s="38" t="s">
        <v>85</v>
      </c>
      <c r="C1334" s="39" t="s">
        <v>2423</v>
      </c>
      <c r="D1334" s="29"/>
      <c r="E1334" s="38" t="s">
        <v>2604</v>
      </c>
      <c r="F1334" s="31" t="s">
        <v>2605</v>
      </c>
      <c r="G1334" s="47" t="s">
        <v>73</v>
      </c>
      <c r="H1334"/>
      <c r="I1334" s="32" t="s">
        <v>2606</v>
      </c>
      <c r="J1334" s="47"/>
      <c r="K1334" s="31">
        <f>8*65</f>
        <v>520</v>
      </c>
      <c r="L1334" s="48">
        <v>3</v>
      </c>
      <c r="M1334" s="47"/>
      <c r="N1334" s="47"/>
      <c r="O1334" s="47">
        <v>1</v>
      </c>
      <c r="P1334" s="47"/>
      <c r="Q1334" s="47"/>
      <c r="R1334" s="47"/>
      <c r="S1334" s="48">
        <v>2</v>
      </c>
      <c r="T1334" s="47"/>
      <c r="U1334" s="47"/>
      <c r="V1334" s="47"/>
      <c r="W1334" s="47"/>
      <c r="X1334" s="47"/>
      <c r="Y1334" s="47" t="s">
        <v>120</v>
      </c>
      <c r="Z1334" s="47" t="s">
        <v>1809</v>
      </c>
      <c r="AA1334" s="49"/>
      <c r="AB1334" s="49"/>
      <c r="AC1334" s="49">
        <v>0.55208333333333337</v>
      </c>
      <c r="AD1334" s="50"/>
      <c r="AE1334" s="47" t="s">
        <v>1653</v>
      </c>
      <c r="AF1334" s="31">
        <v>80</v>
      </c>
      <c r="AG1334"/>
      <c r="AH1334"/>
      <c r="AI1334"/>
      <c r="AJ1334"/>
      <c r="AK1334" s="32">
        <v>8</v>
      </c>
      <c r="AL1334"/>
      <c r="AM1334"/>
      <c r="AN1334"/>
      <c r="AO1334"/>
      <c r="AP1334"/>
      <c r="AQ1334" s="32" t="s">
        <v>2603</v>
      </c>
      <c r="AU1334">
        <v>1333</v>
      </c>
    </row>
    <row r="1335" spans="1:47" x14ac:dyDescent="0.2">
      <c r="A1335" s="133">
        <v>6329</v>
      </c>
      <c r="B1335" s="39" t="s">
        <v>85</v>
      </c>
      <c r="C1335" s="39" t="s">
        <v>2579</v>
      </c>
      <c r="D1335" s="29" t="b">
        <v>0</v>
      </c>
      <c r="E1335" s="39" t="s">
        <v>2607</v>
      </c>
      <c r="F1335" s="47" t="s">
        <v>150</v>
      </c>
      <c r="G1335" s="47" t="s">
        <v>49</v>
      </c>
      <c r="H1335"/>
      <c r="I1335" s="47" t="s">
        <v>2608</v>
      </c>
      <c r="J1335" s="47"/>
      <c r="K1335" s="47">
        <f>32*10*2.2</f>
        <v>704</v>
      </c>
      <c r="L1335" s="48">
        <v>13</v>
      </c>
      <c r="M1335" s="47"/>
      <c r="N1335" s="47">
        <v>5</v>
      </c>
      <c r="O1335" s="47"/>
      <c r="P1335" s="47"/>
      <c r="Q1335" s="47"/>
      <c r="R1335" s="47"/>
      <c r="S1335" s="48">
        <v>8</v>
      </c>
      <c r="T1335" s="47">
        <v>0</v>
      </c>
      <c r="U1335" s="47">
        <v>0</v>
      </c>
      <c r="V1335" s="47">
        <v>0</v>
      </c>
      <c r="W1335" s="47"/>
      <c r="X1335" s="47"/>
      <c r="Y1335" s="47" t="s">
        <v>120</v>
      </c>
      <c r="Z1335" s="47" t="s">
        <v>1809</v>
      </c>
      <c r="AA1335" s="49">
        <v>0.41666666666666669</v>
      </c>
      <c r="AB1335" s="49"/>
      <c r="AC1335" s="49"/>
      <c r="AD1335" s="50"/>
      <c r="AE1335" s="47" t="s">
        <v>2470</v>
      </c>
      <c r="AF1335" s="47"/>
      <c r="AG1335"/>
      <c r="AH1335"/>
      <c r="AI1335"/>
      <c r="AJ1335"/>
      <c r="AK1335" s="32">
        <v>32</v>
      </c>
      <c r="AL1335"/>
      <c r="AM1335"/>
      <c r="AN1335"/>
      <c r="AO1335"/>
      <c r="AP1335"/>
      <c r="AQ1335" s="32" t="s">
        <v>2597</v>
      </c>
      <c r="AU1335">
        <v>1334</v>
      </c>
    </row>
    <row r="1336" spans="1:47" x14ac:dyDescent="0.2">
      <c r="A1336" s="133">
        <v>6329</v>
      </c>
      <c r="B1336" s="39" t="s">
        <v>45</v>
      </c>
      <c r="C1336" s="39" t="s">
        <v>2467</v>
      </c>
      <c r="D1336" s="29"/>
      <c r="E1336" s="39" t="s">
        <v>2609</v>
      </c>
      <c r="F1336" s="47" t="s">
        <v>2583</v>
      </c>
      <c r="G1336" s="47" t="s">
        <v>49</v>
      </c>
      <c r="H1336"/>
      <c r="I1336" s="47" t="s">
        <v>2610</v>
      </c>
      <c r="J1336" s="47"/>
      <c r="K1336" s="47">
        <f>(160*10+41*25)*2.2</f>
        <v>5775.0000000000009</v>
      </c>
      <c r="L1336" s="48">
        <v>16</v>
      </c>
      <c r="M1336" s="47"/>
      <c r="N1336" s="47"/>
      <c r="O1336" s="47"/>
      <c r="P1336" s="47"/>
      <c r="Q1336" s="47"/>
      <c r="R1336" s="47"/>
      <c r="S1336" s="48">
        <v>16</v>
      </c>
      <c r="T1336" s="47">
        <v>1</v>
      </c>
      <c r="U1336" s="47">
        <v>0</v>
      </c>
      <c r="V1336" s="47">
        <v>0</v>
      </c>
      <c r="W1336" s="47"/>
      <c r="X1336" s="47"/>
      <c r="Y1336" s="47" t="s">
        <v>51</v>
      </c>
      <c r="Z1336" s="47" t="s">
        <v>2203</v>
      </c>
      <c r="AA1336" s="49">
        <v>0.875</v>
      </c>
      <c r="AB1336" s="49"/>
      <c r="AC1336" s="49"/>
      <c r="AD1336" s="50"/>
      <c r="AE1336" s="47" t="s">
        <v>2470</v>
      </c>
      <c r="AF1336" s="47"/>
      <c r="AG1336"/>
      <c r="AH1336"/>
      <c r="AI1336"/>
      <c r="AJ1336"/>
      <c r="AK1336" s="32">
        <v>201</v>
      </c>
      <c r="AL1336"/>
      <c r="AM1336"/>
      <c r="AN1336"/>
      <c r="AO1336"/>
      <c r="AP1336"/>
      <c r="AQ1336" s="32" t="s">
        <v>2597</v>
      </c>
      <c r="AU1336">
        <v>1335</v>
      </c>
    </row>
    <row r="1337" spans="1:47" x14ac:dyDescent="0.2">
      <c r="A1337" s="133">
        <v>6329</v>
      </c>
      <c r="B1337" s="39" t="s">
        <v>45</v>
      </c>
      <c r="C1337" s="39" t="s">
        <v>2585</v>
      </c>
      <c r="D1337" s="29"/>
      <c r="E1337" s="39" t="s">
        <v>2611</v>
      </c>
      <c r="F1337" s="47" t="s">
        <v>2612</v>
      </c>
      <c r="G1337" s="47" t="s">
        <v>73</v>
      </c>
      <c r="H1337"/>
      <c r="I1337" s="47" t="b">
        <v>1</v>
      </c>
      <c r="J1337" s="47" t="b">
        <v>1</v>
      </c>
      <c r="K1337" s="47">
        <f>24*22*2.2</f>
        <v>1161.6000000000001</v>
      </c>
      <c r="L1337" s="48">
        <v>5</v>
      </c>
      <c r="M1337" s="47"/>
      <c r="N1337" s="47">
        <v>1</v>
      </c>
      <c r="O1337" s="47"/>
      <c r="P1337" s="47"/>
      <c r="Q1337" s="47"/>
      <c r="R1337" s="47"/>
      <c r="S1337" s="48">
        <v>4</v>
      </c>
      <c r="T1337" s="47">
        <v>0</v>
      </c>
      <c r="U1337" s="47">
        <v>0</v>
      </c>
      <c r="V1337" s="47">
        <v>0</v>
      </c>
      <c r="W1337" s="47"/>
      <c r="X1337" s="47"/>
      <c r="Y1337" s="47" t="s">
        <v>51</v>
      </c>
      <c r="Z1337" s="47" t="s">
        <v>2588</v>
      </c>
      <c r="AA1337" s="49"/>
      <c r="AB1337" s="49"/>
      <c r="AC1337" s="49"/>
      <c r="AD1337" s="50"/>
      <c r="AE1337" s="47" t="s">
        <v>2589</v>
      </c>
      <c r="AF1337" s="47">
        <v>75</v>
      </c>
      <c r="AG1337"/>
      <c r="AH1337"/>
      <c r="AI1337"/>
      <c r="AJ1337"/>
      <c r="AK1337">
        <v>24</v>
      </c>
      <c r="AL1337"/>
      <c r="AM1337"/>
      <c r="AN1337"/>
      <c r="AO1337"/>
      <c r="AP1337"/>
      <c r="AQ1337" s="32" t="s">
        <v>2613</v>
      </c>
      <c r="AR1337" s="32" t="s">
        <v>2614</v>
      </c>
      <c r="AU1337">
        <v>1336</v>
      </c>
    </row>
    <row r="1338" spans="1:47" x14ac:dyDescent="0.2">
      <c r="A1338" s="133">
        <v>6329</v>
      </c>
      <c r="B1338" s="39" t="s">
        <v>45</v>
      </c>
      <c r="C1338" s="39" t="s">
        <v>2585</v>
      </c>
      <c r="D1338" s="29"/>
      <c r="E1338" s="39" t="s">
        <v>782</v>
      </c>
      <c r="F1338" s="47" t="s">
        <v>204</v>
      </c>
      <c r="G1338" s="47" t="s">
        <v>205</v>
      </c>
      <c r="H1338"/>
      <c r="I1338" s="47" t="b">
        <v>0</v>
      </c>
      <c r="J1338" s="47" t="b">
        <v>0</v>
      </c>
      <c r="K1338" s="47">
        <f>6*22*2.2</f>
        <v>290.40000000000003</v>
      </c>
      <c r="L1338" s="48"/>
      <c r="M1338" s="47"/>
      <c r="N1338" s="47"/>
      <c r="O1338" s="47"/>
      <c r="P1338" s="47"/>
      <c r="Q1338" s="47"/>
      <c r="R1338" s="47"/>
      <c r="S1338" s="48">
        <v>1</v>
      </c>
      <c r="T1338" s="47"/>
      <c r="U1338" s="47"/>
      <c r="V1338" s="47"/>
      <c r="W1338" s="47"/>
      <c r="X1338" s="47"/>
      <c r="Y1338" s="47" t="s">
        <v>51</v>
      </c>
      <c r="Z1338" s="47" t="s">
        <v>2588</v>
      </c>
      <c r="AA1338" s="49"/>
      <c r="AB1338" s="49"/>
      <c r="AC1338" s="49"/>
      <c r="AD1338" s="50"/>
      <c r="AE1338" s="47" t="s">
        <v>2589</v>
      </c>
      <c r="AF1338" s="47">
        <v>75</v>
      </c>
      <c r="AG1338"/>
      <c r="AH1338"/>
      <c r="AI1338"/>
      <c r="AJ1338"/>
      <c r="AK1338">
        <v>6</v>
      </c>
      <c r="AL1338"/>
      <c r="AM1338"/>
      <c r="AN1338"/>
      <c r="AO1338"/>
      <c r="AP1338"/>
      <c r="AQ1338" s="32" t="s">
        <v>2613</v>
      </c>
      <c r="AR1338" s="32" t="s">
        <v>2614</v>
      </c>
      <c r="AU1338">
        <v>1337</v>
      </c>
    </row>
    <row r="1339" spans="1:47" x14ac:dyDescent="0.2">
      <c r="A1339" s="133">
        <v>6329</v>
      </c>
      <c r="B1339" s="39" t="s">
        <v>45</v>
      </c>
      <c r="C1339" s="39" t="s">
        <v>2585</v>
      </c>
      <c r="D1339" s="29"/>
      <c r="E1339" s="39" t="s">
        <v>894</v>
      </c>
      <c r="F1339" s="47" t="s">
        <v>76</v>
      </c>
      <c r="G1339" s="47" t="s">
        <v>49</v>
      </c>
      <c r="H1339"/>
      <c r="I1339" s="47" t="b">
        <v>0</v>
      </c>
      <c r="J1339" s="47" t="b">
        <v>0</v>
      </c>
      <c r="K1339" s="47">
        <f>6*22*2.2</f>
        <v>290.40000000000003</v>
      </c>
      <c r="L1339" s="48"/>
      <c r="M1339" s="47"/>
      <c r="N1339" s="47"/>
      <c r="O1339" s="47"/>
      <c r="P1339" s="47"/>
      <c r="Q1339" s="47"/>
      <c r="R1339" s="47"/>
      <c r="S1339" s="48">
        <v>1</v>
      </c>
      <c r="T1339" s="47"/>
      <c r="U1339" s="47"/>
      <c r="V1339" s="47"/>
      <c r="W1339" s="47"/>
      <c r="X1339" s="47"/>
      <c r="Y1339" s="47" t="s">
        <v>51</v>
      </c>
      <c r="Z1339" s="47" t="s">
        <v>2588</v>
      </c>
      <c r="AA1339" s="49"/>
      <c r="AB1339" s="49"/>
      <c r="AC1339" s="49"/>
      <c r="AD1339" s="50"/>
      <c r="AE1339" s="47" t="s">
        <v>2589</v>
      </c>
      <c r="AF1339" s="47">
        <v>90</v>
      </c>
      <c r="AG1339"/>
      <c r="AH1339"/>
      <c r="AI1339"/>
      <c r="AJ1339"/>
      <c r="AK1339">
        <v>6</v>
      </c>
      <c r="AL1339"/>
      <c r="AM1339"/>
      <c r="AN1339"/>
      <c r="AO1339"/>
      <c r="AP1339"/>
      <c r="AQ1339" s="32" t="s">
        <v>2613</v>
      </c>
      <c r="AR1339" s="32" t="s">
        <v>2615</v>
      </c>
      <c r="AU1339">
        <v>1338</v>
      </c>
    </row>
    <row r="1340" spans="1:47" x14ac:dyDescent="0.2">
      <c r="A1340" s="133">
        <v>6329</v>
      </c>
      <c r="B1340" s="39" t="s">
        <v>45</v>
      </c>
      <c r="C1340" s="39" t="s">
        <v>2585</v>
      </c>
      <c r="D1340" s="29"/>
      <c r="E1340" s="39" t="s">
        <v>2616</v>
      </c>
      <c r="F1340" s="47" t="s">
        <v>2617</v>
      </c>
      <c r="G1340" s="47" t="s">
        <v>49</v>
      </c>
      <c r="H1340"/>
      <c r="I1340" s="47" t="b">
        <v>0</v>
      </c>
      <c r="J1340" s="47" t="b">
        <v>0</v>
      </c>
      <c r="K1340" s="47">
        <f>6*22*2.2</f>
        <v>290.40000000000003</v>
      </c>
      <c r="L1340" s="48"/>
      <c r="M1340" s="47"/>
      <c r="N1340" s="47"/>
      <c r="O1340" s="47"/>
      <c r="P1340" s="47"/>
      <c r="Q1340" s="47"/>
      <c r="R1340" s="47"/>
      <c r="S1340" s="48">
        <v>1</v>
      </c>
      <c r="T1340" s="47"/>
      <c r="U1340" s="47"/>
      <c r="V1340" s="47"/>
      <c r="W1340" s="47"/>
      <c r="X1340" s="47"/>
      <c r="Y1340" s="47" t="s">
        <v>51</v>
      </c>
      <c r="Z1340" s="47" t="s">
        <v>2588</v>
      </c>
      <c r="AA1340" s="49"/>
      <c r="AB1340" s="49"/>
      <c r="AC1340" s="49"/>
      <c r="AD1340" s="50"/>
      <c r="AE1340" s="47" t="s">
        <v>2589</v>
      </c>
      <c r="AF1340" s="47">
        <v>95</v>
      </c>
      <c r="AG1340"/>
      <c r="AH1340"/>
      <c r="AI1340"/>
      <c r="AJ1340"/>
      <c r="AK1340">
        <v>6</v>
      </c>
      <c r="AL1340"/>
      <c r="AM1340"/>
      <c r="AN1340"/>
      <c r="AO1340"/>
      <c r="AP1340"/>
      <c r="AQ1340" s="32" t="s">
        <v>2613</v>
      </c>
      <c r="AR1340" s="32" t="s">
        <v>2614</v>
      </c>
      <c r="AU1340">
        <v>1339</v>
      </c>
    </row>
    <row r="1341" spans="1:47" x14ac:dyDescent="0.2">
      <c r="A1341" s="133">
        <v>6329</v>
      </c>
      <c r="B1341" s="39" t="s">
        <v>45</v>
      </c>
      <c r="C1341" s="39" t="s">
        <v>2585</v>
      </c>
      <c r="D1341" s="29"/>
      <c r="E1341" s="39" t="s">
        <v>2618</v>
      </c>
      <c r="F1341" s="47" t="s">
        <v>1224</v>
      </c>
      <c r="G1341" s="47" t="s">
        <v>73</v>
      </c>
      <c r="H1341"/>
      <c r="I1341" s="47" t="b">
        <v>0</v>
      </c>
      <c r="J1341" s="47" t="b">
        <v>0</v>
      </c>
      <c r="K1341" s="47">
        <f>6*22*2.2</f>
        <v>290.40000000000003</v>
      </c>
      <c r="L1341" s="48"/>
      <c r="M1341" s="47"/>
      <c r="N1341" s="47"/>
      <c r="O1341" s="47"/>
      <c r="P1341" s="47"/>
      <c r="Q1341" s="47"/>
      <c r="R1341" s="47"/>
      <c r="S1341" s="48">
        <v>1</v>
      </c>
      <c r="T1341" s="47"/>
      <c r="U1341" s="47"/>
      <c r="V1341" s="47"/>
      <c r="W1341" s="47"/>
      <c r="X1341" s="47"/>
      <c r="Y1341" s="47" t="s">
        <v>51</v>
      </c>
      <c r="Z1341" s="47" t="s">
        <v>2588</v>
      </c>
      <c r="AA1341" s="49"/>
      <c r="AB1341" s="49"/>
      <c r="AC1341" s="49"/>
      <c r="AD1341" s="50"/>
      <c r="AE1341" s="47" t="s">
        <v>2589</v>
      </c>
      <c r="AF1341" s="47"/>
      <c r="AG1341"/>
      <c r="AH1341"/>
      <c r="AI1341"/>
      <c r="AJ1341"/>
      <c r="AK1341">
        <v>6</v>
      </c>
      <c r="AL1341"/>
      <c r="AM1341"/>
      <c r="AN1341"/>
      <c r="AO1341"/>
      <c r="AP1341"/>
      <c r="AQ1341" s="32" t="s">
        <v>2613</v>
      </c>
      <c r="AR1341" s="32" t="s">
        <v>2614</v>
      </c>
      <c r="AU1341">
        <v>1340</v>
      </c>
    </row>
    <row r="1342" spans="1:47" x14ac:dyDescent="0.2">
      <c r="A1342" s="133">
        <v>6329</v>
      </c>
      <c r="B1342" s="39" t="s">
        <v>45</v>
      </c>
      <c r="C1342" s="39" t="s">
        <v>2542</v>
      </c>
      <c r="D1342" s="29"/>
      <c r="E1342" s="39" t="s">
        <v>2619</v>
      </c>
      <c r="F1342" s="47" t="s">
        <v>2620</v>
      </c>
      <c r="G1342" s="47" t="s">
        <v>49</v>
      </c>
      <c r="H1342"/>
      <c r="I1342" s="47" t="b">
        <v>1</v>
      </c>
      <c r="J1342" s="47" t="b">
        <v>1</v>
      </c>
      <c r="K1342" s="47">
        <f>((7*30*10)+(23*50))*2.2</f>
        <v>7150.0000000000009</v>
      </c>
      <c r="L1342" s="48">
        <v>10</v>
      </c>
      <c r="M1342" s="47">
        <v>0</v>
      </c>
      <c r="N1342" s="47">
        <v>2</v>
      </c>
      <c r="O1342" s="47"/>
      <c r="P1342" s="47"/>
      <c r="Q1342" s="47"/>
      <c r="R1342" s="47"/>
      <c r="S1342" s="48">
        <v>8</v>
      </c>
      <c r="T1342" s="47">
        <v>0</v>
      </c>
      <c r="U1342" s="47">
        <v>0</v>
      </c>
      <c r="V1342" s="47">
        <v>1</v>
      </c>
      <c r="W1342" s="47">
        <f>((1800+1800+2700+2500+2200+2800+2600+1800)/8)*39.37/12</f>
        <v>7463.895833333333</v>
      </c>
      <c r="X1342" s="47"/>
      <c r="Y1342" s="47" t="s">
        <v>51</v>
      </c>
      <c r="Z1342" s="47" t="s">
        <v>1846</v>
      </c>
      <c r="AA1342" s="49"/>
      <c r="AB1342" s="49"/>
      <c r="AC1342" s="49"/>
      <c r="AD1342" s="50">
        <v>2.5</v>
      </c>
      <c r="AE1342" s="47" t="s">
        <v>342</v>
      </c>
      <c r="AF1342" s="31">
        <v>70</v>
      </c>
      <c r="AG1342"/>
      <c r="AH1342"/>
      <c r="AI1342"/>
      <c r="AJ1342"/>
      <c r="AK1342">
        <f>7*30+23</f>
        <v>233</v>
      </c>
      <c r="AL1342"/>
      <c r="AM1342"/>
      <c r="AN1342"/>
      <c r="AO1342"/>
      <c r="AP1342"/>
      <c r="AQ1342" s="32" t="s">
        <v>2621</v>
      </c>
      <c r="AR1342" s="32" t="s">
        <v>2622</v>
      </c>
      <c r="AU1342">
        <v>1341</v>
      </c>
    </row>
    <row r="1343" spans="1:47" x14ac:dyDescent="0.2">
      <c r="A1343" s="133">
        <v>6329</v>
      </c>
      <c r="B1343" s="39" t="s">
        <v>45</v>
      </c>
      <c r="C1343" s="39" t="s">
        <v>2542</v>
      </c>
      <c r="D1343" s="29"/>
      <c r="E1343" s="39" t="s">
        <v>1764</v>
      </c>
      <c r="F1343" s="47" t="s">
        <v>220</v>
      </c>
      <c r="G1343" s="47" t="s">
        <v>49</v>
      </c>
      <c r="H1343"/>
      <c r="I1343" s="47" t="b">
        <v>0</v>
      </c>
      <c r="J1343" s="47" t="b">
        <v>0</v>
      </c>
      <c r="K1343" s="47">
        <f>((5*30*10)+(5*2*50))*2.2</f>
        <v>4400</v>
      </c>
      <c r="L1343" s="48"/>
      <c r="M1343" s="47"/>
      <c r="N1343" s="47"/>
      <c r="O1343" s="47"/>
      <c r="P1343" s="47"/>
      <c r="Q1343" s="47"/>
      <c r="R1343" s="47"/>
      <c r="S1343" s="48">
        <v>5</v>
      </c>
      <c r="T1343" s="47"/>
      <c r="U1343" s="47"/>
      <c r="V1343" s="47"/>
      <c r="W1343" s="47">
        <f>((1800+1800+2700+2500+2200)/5)*39.37/12</f>
        <v>7217.833333333333</v>
      </c>
      <c r="X1343" s="47"/>
      <c r="Y1343" s="47" t="s">
        <v>51</v>
      </c>
      <c r="Z1343" s="47" t="s">
        <v>1846</v>
      </c>
      <c r="AA1343" s="49"/>
      <c r="AB1343" s="49"/>
      <c r="AC1343" s="49"/>
      <c r="AD1343" s="50">
        <f>2+20/60</f>
        <v>2.3333333333333335</v>
      </c>
      <c r="AE1343" s="47" t="s">
        <v>342</v>
      </c>
      <c r="AF1343" s="47">
        <v>70</v>
      </c>
      <c r="AG1343"/>
      <c r="AH1343"/>
      <c r="AI1343"/>
      <c r="AJ1343"/>
      <c r="AK1343">
        <f>5*32</f>
        <v>160</v>
      </c>
      <c r="AL1343"/>
      <c r="AM1343"/>
      <c r="AN1343"/>
      <c r="AO1343"/>
      <c r="AP1343"/>
      <c r="AQ1343" s="32" t="s">
        <v>2621</v>
      </c>
      <c r="AR1343" s="32" t="s">
        <v>2623</v>
      </c>
      <c r="AU1343">
        <v>1342</v>
      </c>
    </row>
    <row r="1344" spans="1:47" x14ac:dyDescent="0.2">
      <c r="A1344" s="133">
        <v>6329</v>
      </c>
      <c r="B1344" s="39" t="s">
        <v>45</v>
      </c>
      <c r="C1344" s="39" t="s">
        <v>2542</v>
      </c>
      <c r="D1344" s="29"/>
      <c r="E1344" s="39" t="s">
        <v>2624</v>
      </c>
      <c r="F1344" s="47" t="s">
        <v>967</v>
      </c>
      <c r="G1344" s="47" t="s">
        <v>481</v>
      </c>
      <c r="H1344"/>
      <c r="I1344" s="47" t="b">
        <v>0</v>
      </c>
      <c r="J1344" s="47" t="b">
        <v>0</v>
      </c>
      <c r="K1344" s="47">
        <f>((2*30*10)+(2*2*50))*2.2</f>
        <v>1760.0000000000002</v>
      </c>
      <c r="L1344" s="48"/>
      <c r="M1344" s="47"/>
      <c r="N1344" s="47"/>
      <c r="O1344" s="47"/>
      <c r="P1344" s="47"/>
      <c r="Q1344" s="47"/>
      <c r="R1344" s="47"/>
      <c r="S1344" s="48">
        <v>2</v>
      </c>
      <c r="T1344" s="47"/>
      <c r="U1344" s="47"/>
      <c r="V1344" s="47"/>
      <c r="W1344" s="47">
        <f>((2800+2600)/2)*39.37/12</f>
        <v>8858.25</v>
      </c>
      <c r="X1344" s="47"/>
      <c r="Y1344" s="47" t="s">
        <v>51</v>
      </c>
      <c r="Z1344" s="47" t="s">
        <v>1846</v>
      </c>
      <c r="AA1344" s="49"/>
      <c r="AB1344" s="49"/>
      <c r="AC1344" s="49"/>
      <c r="AD1344" s="50">
        <v>2.5</v>
      </c>
      <c r="AE1344" s="47" t="s">
        <v>342</v>
      </c>
      <c r="AF1344" s="47">
        <v>70</v>
      </c>
      <c r="AG1344"/>
      <c r="AH1344"/>
      <c r="AI1344"/>
      <c r="AJ1344"/>
      <c r="AK1344">
        <f>2*32</f>
        <v>64</v>
      </c>
      <c r="AL1344"/>
      <c r="AM1344"/>
      <c r="AN1344"/>
      <c r="AO1344"/>
      <c r="AP1344"/>
      <c r="AQ1344" s="32" t="s">
        <v>2621</v>
      </c>
      <c r="AR1344" s="32" t="s">
        <v>2625</v>
      </c>
      <c r="AU1344">
        <v>1343</v>
      </c>
    </row>
    <row r="1345" spans="1:47" x14ac:dyDescent="0.2">
      <c r="A1345" s="133">
        <v>6329</v>
      </c>
      <c r="B1345" s="39" t="s">
        <v>45</v>
      </c>
      <c r="C1345" s="39" t="s">
        <v>2542</v>
      </c>
      <c r="D1345" s="29"/>
      <c r="E1345" s="39" t="s">
        <v>653</v>
      </c>
      <c r="F1345" s="47" t="s">
        <v>220</v>
      </c>
      <c r="G1345" s="47" t="s">
        <v>49</v>
      </c>
      <c r="H1345"/>
      <c r="I1345" s="47" t="b">
        <v>0</v>
      </c>
      <c r="J1345" s="47" t="b">
        <v>0</v>
      </c>
      <c r="K1345" s="47">
        <f>9*50*2.2</f>
        <v>990.00000000000011</v>
      </c>
      <c r="L1345" s="48"/>
      <c r="M1345" s="47"/>
      <c r="N1345" s="47"/>
      <c r="O1345" s="47"/>
      <c r="P1345" s="47"/>
      <c r="Q1345" s="47"/>
      <c r="R1345" s="47"/>
      <c r="S1345" s="48">
        <v>1</v>
      </c>
      <c r="T1345" s="47"/>
      <c r="U1345" s="47"/>
      <c r="V1345" s="47"/>
      <c r="W1345" s="47">
        <f>1800*39.37/12</f>
        <v>5905.5</v>
      </c>
      <c r="X1345" s="47"/>
      <c r="Y1345" s="47" t="s">
        <v>51</v>
      </c>
      <c r="Z1345" s="47" t="s">
        <v>1846</v>
      </c>
      <c r="AA1345" s="49"/>
      <c r="AB1345" s="49"/>
      <c r="AC1345" s="49"/>
      <c r="AD1345" s="50">
        <f>1+25/60</f>
        <v>1.4166666666666667</v>
      </c>
      <c r="AE1345" s="47" t="s">
        <v>342</v>
      </c>
      <c r="AF1345" s="47">
        <v>45</v>
      </c>
      <c r="AG1345"/>
      <c r="AH1345"/>
      <c r="AI1345"/>
      <c r="AJ1345"/>
      <c r="AK1345">
        <v>9</v>
      </c>
      <c r="AL1345"/>
      <c r="AM1345"/>
      <c r="AN1345"/>
      <c r="AO1345"/>
      <c r="AP1345"/>
      <c r="AQ1345" s="32" t="s">
        <v>2621</v>
      </c>
      <c r="AR1345" s="32" t="s">
        <v>2626</v>
      </c>
      <c r="AU1345">
        <v>1344</v>
      </c>
    </row>
    <row r="1346" spans="1:47" x14ac:dyDescent="0.2">
      <c r="A1346" s="133">
        <v>6329</v>
      </c>
      <c r="B1346" s="39" t="s">
        <v>45</v>
      </c>
      <c r="C1346" s="39">
        <v>100</v>
      </c>
      <c r="D1346" s="29" t="b">
        <v>0</v>
      </c>
      <c r="E1346" s="39" t="s">
        <v>564</v>
      </c>
      <c r="F1346" s="47" t="s">
        <v>2627</v>
      </c>
      <c r="G1346" s="47" t="s">
        <v>49</v>
      </c>
      <c r="H1346"/>
      <c r="I1346" s="47" t="b">
        <v>0</v>
      </c>
      <c r="J1346" s="47" t="b">
        <v>1</v>
      </c>
      <c r="K1346" s="47">
        <v>640</v>
      </c>
      <c r="L1346" s="48">
        <v>4</v>
      </c>
      <c r="M1346" s="47">
        <v>-1</v>
      </c>
      <c r="N1346" s="47">
        <v>-1</v>
      </c>
      <c r="O1346" s="47">
        <v>-1</v>
      </c>
      <c r="P1346" s="47">
        <v>-1</v>
      </c>
      <c r="Q1346" s="47">
        <v>-1</v>
      </c>
      <c r="R1346" s="47">
        <v>-1</v>
      </c>
      <c r="S1346" s="48">
        <v>4</v>
      </c>
      <c r="T1346" s="47">
        <v>0</v>
      </c>
      <c r="U1346" s="47">
        <v>0</v>
      </c>
      <c r="V1346" s="47">
        <v>0</v>
      </c>
      <c r="W1346" s="47"/>
      <c r="X1346" s="47">
        <v>30</v>
      </c>
      <c r="Y1346" s="47"/>
      <c r="Z1346" s="47" t="s">
        <v>2524</v>
      </c>
      <c r="AA1346" s="49"/>
      <c r="AB1346" s="49"/>
      <c r="AC1346" s="49"/>
      <c r="AD1346" s="50"/>
      <c r="AE1346" s="47" t="s">
        <v>2525</v>
      </c>
      <c r="AF1346" s="47">
        <v>40</v>
      </c>
      <c r="AG1346"/>
      <c r="AH1346"/>
      <c r="AI1346"/>
      <c r="AJ1346"/>
      <c r="AK1346"/>
      <c r="AL1346"/>
      <c r="AM1346"/>
      <c r="AN1346"/>
      <c r="AO1346"/>
      <c r="AP1346"/>
      <c r="AQ1346" t="s">
        <v>2526</v>
      </c>
      <c r="AU1346">
        <v>1345</v>
      </c>
    </row>
    <row r="1347" spans="1:47" x14ac:dyDescent="0.2">
      <c r="A1347" s="26">
        <v>6329</v>
      </c>
      <c r="B1347" s="27">
        <v>0.96527777777777779</v>
      </c>
      <c r="C1347" s="28"/>
      <c r="D1347" s="29"/>
      <c r="E1347" s="30" t="s">
        <v>1282</v>
      </c>
      <c r="H1347" s="32">
        <v>0</v>
      </c>
      <c r="I1347" s="32" t="s">
        <v>2561</v>
      </c>
      <c r="AG1347" s="32">
        <v>0</v>
      </c>
      <c r="AH1347" s="32">
        <v>0</v>
      </c>
      <c r="AI1347" s="32">
        <v>0</v>
      </c>
      <c r="AK1347" s="32">
        <v>0</v>
      </c>
      <c r="AL1347" s="32">
        <v>3</v>
      </c>
      <c r="AP1347" s="32">
        <v>3</v>
      </c>
      <c r="AQ1347" s="32" t="s">
        <v>1101</v>
      </c>
      <c r="AU1347">
        <v>1346</v>
      </c>
    </row>
    <row r="1348" spans="1:47" x14ac:dyDescent="0.2">
      <c r="A1348" s="26">
        <v>6329</v>
      </c>
      <c r="B1348" s="27" t="s">
        <v>45</v>
      </c>
      <c r="C1348" s="28"/>
      <c r="D1348" s="29"/>
      <c r="E1348" s="30" t="s">
        <v>1531</v>
      </c>
      <c r="H1348" s="32">
        <v>0</v>
      </c>
      <c r="I1348" s="32" t="s">
        <v>1706</v>
      </c>
      <c r="AG1348" s="32">
        <v>0</v>
      </c>
      <c r="AH1348" s="32">
        <v>0</v>
      </c>
      <c r="AI1348" s="32">
        <v>0</v>
      </c>
      <c r="AK1348" s="32">
        <v>0</v>
      </c>
      <c r="AM1348" s="32">
        <f>498*85</f>
        <v>42330</v>
      </c>
      <c r="AO1348" s="32" t="s">
        <v>1533</v>
      </c>
      <c r="AQ1348" s="32" t="s">
        <v>1101</v>
      </c>
      <c r="AU1348">
        <v>1347</v>
      </c>
    </row>
    <row r="1349" spans="1:47" x14ac:dyDescent="0.2">
      <c r="A1349" s="26">
        <v>6329</v>
      </c>
      <c r="B1349" s="27" t="s">
        <v>45</v>
      </c>
      <c r="C1349" s="28"/>
      <c r="D1349" s="29"/>
      <c r="E1349" s="150" t="s">
        <v>2286</v>
      </c>
      <c r="H1349" s="32">
        <v>0</v>
      </c>
      <c r="I1349" s="32" t="s">
        <v>1824</v>
      </c>
      <c r="AG1349" s="32">
        <v>0</v>
      </c>
      <c r="AH1349" s="32">
        <v>0</v>
      </c>
      <c r="AI1349" s="32">
        <v>0</v>
      </c>
      <c r="AK1349" s="32">
        <v>0</v>
      </c>
      <c r="AM1349" s="32">
        <v>8500</v>
      </c>
      <c r="AO1349" s="73" t="s">
        <v>75</v>
      </c>
      <c r="AQ1349" s="32" t="s">
        <v>589</v>
      </c>
      <c r="AU1349">
        <v>1348</v>
      </c>
    </row>
    <row r="1350" spans="1:47" x14ac:dyDescent="0.2">
      <c r="A1350" s="133">
        <v>6330</v>
      </c>
      <c r="B1350" s="39" t="s">
        <v>45</v>
      </c>
      <c r="C1350" s="39" t="s">
        <v>142</v>
      </c>
      <c r="D1350" s="29"/>
      <c r="E1350" s="39" t="s">
        <v>2628</v>
      </c>
      <c r="F1350" s="47" t="s">
        <v>2629</v>
      </c>
      <c r="G1350" s="31" t="s">
        <v>205</v>
      </c>
      <c r="H1350" s="32"/>
      <c r="I1350" s="32" t="s">
        <v>2630</v>
      </c>
      <c r="K1350" s="31">
        <f>(130*10+39*25)*2.2</f>
        <v>5005</v>
      </c>
      <c r="L1350" s="33">
        <v>14</v>
      </c>
      <c r="N1350" s="31">
        <v>1</v>
      </c>
      <c r="S1350" s="33">
        <v>13</v>
      </c>
      <c r="T1350" s="31">
        <v>0</v>
      </c>
      <c r="U1350" s="31">
        <v>0</v>
      </c>
      <c r="V1350" s="31">
        <v>0</v>
      </c>
      <c r="Y1350" s="31" t="s">
        <v>51</v>
      </c>
      <c r="Z1350" s="31" t="s">
        <v>2203</v>
      </c>
      <c r="AA1350" s="34">
        <v>0.85416666666666663</v>
      </c>
      <c r="AC1350" s="34">
        <v>0.96875</v>
      </c>
      <c r="AE1350" s="47" t="s">
        <v>2470</v>
      </c>
      <c r="AF1350" s="31">
        <v>55</v>
      </c>
      <c r="AK1350" s="32">
        <v>169</v>
      </c>
      <c r="AO1350" s="73"/>
      <c r="AQ1350" s="32" t="s">
        <v>2631</v>
      </c>
      <c r="AU1350">
        <v>1349</v>
      </c>
    </row>
    <row r="1351" spans="1:47" x14ac:dyDescent="0.2">
      <c r="A1351" s="26">
        <v>6330</v>
      </c>
      <c r="B1351" s="27">
        <v>0.96180555555555547</v>
      </c>
      <c r="C1351" s="28"/>
      <c r="D1351" s="29"/>
      <c r="E1351" s="30" t="s">
        <v>1282</v>
      </c>
      <c r="H1351" s="32">
        <v>0</v>
      </c>
      <c r="I1351" s="32" t="s">
        <v>2632</v>
      </c>
      <c r="AG1351" s="32">
        <v>0</v>
      </c>
      <c r="AH1351" s="32">
        <v>0</v>
      </c>
      <c r="AI1351" s="32">
        <v>0</v>
      </c>
      <c r="AK1351" s="32">
        <v>0</v>
      </c>
      <c r="AL1351" s="32">
        <f>1+5/6</f>
        <v>1.8333333333333335</v>
      </c>
      <c r="AP1351" s="32">
        <f>1+5/6</f>
        <v>1.8333333333333335</v>
      </c>
      <c r="AQ1351" s="32" t="s">
        <v>1101</v>
      </c>
      <c r="AU1351">
        <v>1350</v>
      </c>
    </row>
    <row r="1352" spans="1:47" x14ac:dyDescent="0.2">
      <c r="A1352" s="26">
        <v>6330</v>
      </c>
      <c r="B1352" s="27" t="s">
        <v>45</v>
      </c>
      <c r="C1352" s="28"/>
      <c r="D1352" s="29"/>
      <c r="E1352" s="30" t="s">
        <v>1531</v>
      </c>
      <c r="H1352" s="32">
        <v>0</v>
      </c>
      <c r="I1352" s="32" t="s">
        <v>1532</v>
      </c>
      <c r="AG1352" s="32">
        <v>0</v>
      </c>
      <c r="AH1352" s="32">
        <v>0</v>
      </c>
      <c r="AI1352" s="32">
        <v>0</v>
      </c>
      <c r="AK1352" s="32">
        <v>0</v>
      </c>
      <c r="AM1352" s="32">
        <f>498*30</f>
        <v>14940</v>
      </c>
      <c r="AO1352" s="32" t="s">
        <v>1533</v>
      </c>
      <c r="AQ1352" s="32" t="s">
        <v>1101</v>
      </c>
      <c r="AU1352">
        <v>1351</v>
      </c>
    </row>
    <row r="1353" spans="1:47" x14ac:dyDescent="0.2">
      <c r="A1353" s="26">
        <v>6330</v>
      </c>
      <c r="B1353" s="27" t="s">
        <v>45</v>
      </c>
      <c r="C1353" s="28"/>
      <c r="D1353" s="29"/>
      <c r="E1353" s="150" t="s">
        <v>2286</v>
      </c>
      <c r="H1353" s="32">
        <v>0</v>
      </c>
      <c r="I1353" s="32" t="s">
        <v>1824</v>
      </c>
      <c r="AG1353" s="32">
        <v>0</v>
      </c>
      <c r="AH1353" s="32">
        <v>0</v>
      </c>
      <c r="AI1353" s="32">
        <v>0</v>
      </c>
      <c r="AK1353" s="32">
        <v>0</v>
      </c>
      <c r="AM1353" s="32">
        <v>8500</v>
      </c>
      <c r="AO1353" s="73" t="s">
        <v>75</v>
      </c>
      <c r="AQ1353" s="32" t="s">
        <v>589</v>
      </c>
      <c r="AU1353">
        <v>1352</v>
      </c>
    </row>
    <row r="1354" spans="1:47" x14ac:dyDescent="0.2">
      <c r="A1354" s="133">
        <v>6331</v>
      </c>
      <c r="B1354" s="39" t="s">
        <v>85</v>
      </c>
      <c r="C1354" s="39" t="s">
        <v>2579</v>
      </c>
      <c r="D1354" s="29" t="b">
        <v>0</v>
      </c>
      <c r="E1354" s="39" t="s">
        <v>2633</v>
      </c>
      <c r="F1354" s="47" t="s">
        <v>2634</v>
      </c>
      <c r="G1354" s="31" t="s">
        <v>69</v>
      </c>
      <c r="H1354" s="32"/>
      <c r="I1354" s="32" t="s">
        <v>2635</v>
      </c>
      <c r="K1354" s="31">
        <f>32*10*2.2</f>
        <v>704</v>
      </c>
      <c r="L1354" s="33">
        <v>8</v>
      </c>
      <c r="S1354" s="33">
        <v>8</v>
      </c>
      <c r="T1354" s="47">
        <v>0</v>
      </c>
      <c r="U1354" s="47">
        <v>0</v>
      </c>
      <c r="V1354" s="47">
        <v>0</v>
      </c>
      <c r="W1354" s="47"/>
      <c r="X1354" s="47"/>
      <c r="Y1354" s="47" t="s">
        <v>51</v>
      </c>
      <c r="Z1354" s="47" t="s">
        <v>1809</v>
      </c>
      <c r="AA1354" s="49"/>
      <c r="AB1354" s="49"/>
      <c r="AC1354" s="49">
        <v>0.42708333333333331</v>
      </c>
      <c r="AD1354" s="50"/>
      <c r="AE1354" s="47" t="s">
        <v>2470</v>
      </c>
      <c r="AK1354" s="32">
        <v>32</v>
      </c>
      <c r="AO1354" s="73"/>
      <c r="AQ1354" s="32" t="s">
        <v>2631</v>
      </c>
      <c r="AU1354">
        <v>1353</v>
      </c>
    </row>
    <row r="1355" spans="1:47" x14ac:dyDescent="0.2">
      <c r="A1355" s="133">
        <v>6331</v>
      </c>
      <c r="B1355" s="39" t="s">
        <v>45</v>
      </c>
      <c r="C1355" s="39" t="s">
        <v>2467</v>
      </c>
      <c r="D1355" s="29"/>
      <c r="E1355" s="39" t="s">
        <v>2636</v>
      </c>
      <c r="F1355" s="47" t="s">
        <v>2637</v>
      </c>
      <c r="G1355" s="31" t="s">
        <v>205</v>
      </c>
      <c r="H1355" s="32"/>
      <c r="I1355" s="32" t="s">
        <v>2638</v>
      </c>
      <c r="K1355" s="31">
        <f>(96*10+25*25)*2.2</f>
        <v>3487.0000000000005</v>
      </c>
      <c r="L1355" s="33">
        <v>12</v>
      </c>
      <c r="N1355" s="31">
        <v>2</v>
      </c>
      <c r="S1355" s="33">
        <v>10</v>
      </c>
      <c r="T1355" s="47">
        <v>0</v>
      </c>
      <c r="U1355" s="47">
        <v>0</v>
      </c>
      <c r="V1355" s="47">
        <v>0</v>
      </c>
      <c r="W1355" s="47"/>
      <c r="X1355" s="47"/>
      <c r="Y1355" s="47" t="s">
        <v>51</v>
      </c>
      <c r="Z1355" s="47" t="s">
        <v>2203</v>
      </c>
      <c r="AA1355" s="49">
        <v>0.88194444444444453</v>
      </c>
      <c r="AB1355" s="49"/>
      <c r="AC1355" s="49"/>
      <c r="AD1355" s="50"/>
      <c r="AE1355" s="47" t="s">
        <v>2470</v>
      </c>
      <c r="AF1355" s="31">
        <v>55</v>
      </c>
      <c r="AK1355" s="32">
        <v>121</v>
      </c>
      <c r="AO1355" s="73"/>
      <c r="AQ1355" s="32" t="s">
        <v>2631</v>
      </c>
      <c r="AU1355">
        <v>1354</v>
      </c>
    </row>
    <row r="1356" spans="1:47" x14ac:dyDescent="0.2">
      <c r="A1356" s="133">
        <v>6331</v>
      </c>
      <c r="B1356" s="39" t="s">
        <v>45</v>
      </c>
      <c r="C1356" s="39" t="s">
        <v>2585</v>
      </c>
      <c r="D1356" s="29" t="s">
        <v>120</v>
      </c>
      <c r="E1356" s="39" t="s">
        <v>881</v>
      </c>
      <c r="F1356" s="47"/>
      <c r="H1356" s="32"/>
      <c r="I1356" s="32" t="s">
        <v>2639</v>
      </c>
      <c r="S1356" s="33">
        <v>0</v>
      </c>
      <c r="T1356" s="31">
        <v>0</v>
      </c>
      <c r="U1356" s="31">
        <v>1</v>
      </c>
      <c r="V1356" s="31">
        <v>0</v>
      </c>
      <c r="Y1356" s="47" t="s">
        <v>51</v>
      </c>
      <c r="Z1356" s="47" t="s">
        <v>2588</v>
      </c>
      <c r="AE1356" s="47" t="s">
        <v>2589</v>
      </c>
      <c r="AK1356" s="32">
        <v>0</v>
      </c>
      <c r="AO1356" s="73"/>
      <c r="AQ1356" s="32" t="s">
        <v>2613</v>
      </c>
      <c r="AU1356">
        <v>1355</v>
      </c>
    </row>
    <row r="1357" spans="1:47" x14ac:dyDescent="0.2">
      <c r="A1357" s="133">
        <v>6331</v>
      </c>
      <c r="B1357" s="39" t="s">
        <v>45</v>
      </c>
      <c r="C1357" s="39" t="s">
        <v>2585</v>
      </c>
      <c r="D1357" s="29"/>
      <c r="E1357" s="39" t="s">
        <v>2640</v>
      </c>
      <c r="F1357" s="47" t="s">
        <v>2641</v>
      </c>
      <c r="G1357" s="31" t="s">
        <v>205</v>
      </c>
      <c r="H1357" s="32"/>
      <c r="I1357" s="32" t="s">
        <v>2642</v>
      </c>
      <c r="K1357" s="31">
        <f>132*2.2</f>
        <v>290.40000000000003</v>
      </c>
      <c r="L1357" s="33">
        <v>1</v>
      </c>
      <c r="S1357" s="33">
        <v>1</v>
      </c>
      <c r="Y1357" s="47" t="s">
        <v>51</v>
      </c>
      <c r="Z1357" s="47" t="s">
        <v>2588</v>
      </c>
      <c r="AC1357" s="34">
        <v>1</v>
      </c>
      <c r="AE1357" s="47" t="s">
        <v>2589</v>
      </c>
      <c r="AF1357" s="31">
        <v>125</v>
      </c>
      <c r="AK1357" s="32">
        <v>6</v>
      </c>
      <c r="AO1357" s="73"/>
      <c r="AQ1357" s="32" t="s">
        <v>2613</v>
      </c>
      <c r="AU1357">
        <v>1356</v>
      </c>
    </row>
    <row r="1358" spans="1:47" x14ac:dyDescent="0.2">
      <c r="A1358" s="26">
        <v>6331</v>
      </c>
      <c r="B1358" s="27" t="s">
        <v>45</v>
      </c>
      <c r="C1358" s="28"/>
      <c r="D1358" s="29"/>
      <c r="E1358" s="30" t="s">
        <v>1531</v>
      </c>
      <c r="H1358" s="32">
        <v>0</v>
      </c>
      <c r="I1358" s="32" t="s">
        <v>1706</v>
      </c>
      <c r="AG1358" s="32">
        <v>0</v>
      </c>
      <c r="AH1358" s="32">
        <v>0</v>
      </c>
      <c r="AI1358" s="32">
        <v>0</v>
      </c>
      <c r="AK1358" s="32">
        <v>0</v>
      </c>
      <c r="AM1358" s="32">
        <f>498*130</f>
        <v>64740</v>
      </c>
      <c r="AO1358" s="32" t="s">
        <v>1533</v>
      </c>
      <c r="AQ1358" s="32" t="s">
        <v>1101</v>
      </c>
      <c r="AU1358">
        <v>1357</v>
      </c>
    </row>
    <row r="1359" spans="1:47" x14ac:dyDescent="0.2">
      <c r="A1359" s="26">
        <v>6331</v>
      </c>
      <c r="B1359" s="27" t="s">
        <v>45</v>
      </c>
      <c r="C1359" s="28"/>
      <c r="D1359" s="29"/>
      <c r="E1359" s="150" t="s">
        <v>2286</v>
      </c>
      <c r="H1359" s="32">
        <v>0</v>
      </c>
      <c r="I1359" s="32" t="s">
        <v>1824</v>
      </c>
      <c r="AG1359" s="32">
        <v>0</v>
      </c>
      <c r="AH1359" s="32">
        <v>0</v>
      </c>
      <c r="AI1359" s="32">
        <v>0</v>
      </c>
      <c r="AK1359" s="32">
        <v>0</v>
      </c>
      <c r="AM1359" s="32">
        <f>46*500</f>
        <v>23000</v>
      </c>
      <c r="AO1359" s="73" t="s">
        <v>75</v>
      </c>
      <c r="AQ1359" s="32" t="s">
        <v>589</v>
      </c>
      <c r="AU1359">
        <v>1358</v>
      </c>
    </row>
    <row r="1360" spans="1:47" x14ac:dyDescent="0.2">
      <c r="A1360" s="37">
        <v>6332</v>
      </c>
      <c r="B1360" s="38" t="s">
        <v>85</v>
      </c>
      <c r="C1360" s="38" t="s">
        <v>2643</v>
      </c>
      <c r="D1360" s="29"/>
      <c r="E1360" s="38" t="s">
        <v>528</v>
      </c>
      <c r="F1360" s="31" t="s">
        <v>204</v>
      </c>
      <c r="G1360" s="47" t="s">
        <v>205</v>
      </c>
      <c r="H1360"/>
      <c r="I1360" s="31" t="s">
        <v>2644</v>
      </c>
      <c r="J1360" s="47"/>
      <c r="K1360" s="47">
        <f>12*65</f>
        <v>780</v>
      </c>
      <c r="L1360" s="48">
        <v>3</v>
      </c>
      <c r="M1360" s="47"/>
      <c r="N1360" s="47"/>
      <c r="O1360" s="47"/>
      <c r="P1360" s="47"/>
      <c r="Q1360" s="47"/>
      <c r="R1360" s="47"/>
      <c r="S1360" s="48">
        <v>3</v>
      </c>
      <c r="T1360" s="47">
        <v>0</v>
      </c>
      <c r="U1360" s="47">
        <v>0</v>
      </c>
      <c r="V1360" s="47">
        <v>0</v>
      </c>
      <c r="W1360" s="47"/>
      <c r="X1360" s="47"/>
      <c r="Y1360" s="47" t="s">
        <v>120</v>
      </c>
      <c r="Z1360" s="47" t="s">
        <v>1809</v>
      </c>
      <c r="AA1360" s="49"/>
      <c r="AB1360" s="49"/>
      <c r="AC1360" s="49">
        <v>0.29166666666666669</v>
      </c>
      <c r="AD1360" s="50"/>
      <c r="AE1360" s="47" t="s">
        <v>1810</v>
      </c>
      <c r="AF1360" s="47">
        <v>75</v>
      </c>
      <c r="AG1360"/>
      <c r="AH1360"/>
      <c r="AI1360"/>
      <c r="AJ1360"/>
      <c r="AK1360"/>
      <c r="AL1360"/>
      <c r="AM1360"/>
      <c r="AN1360"/>
      <c r="AO1360"/>
      <c r="AP1360"/>
      <c r="AQ1360" s="32" t="s">
        <v>2645</v>
      </c>
      <c r="AU1360">
        <v>1359</v>
      </c>
    </row>
    <row r="1361" spans="1:47" x14ac:dyDescent="0.2">
      <c r="A1361" s="133">
        <v>6332</v>
      </c>
      <c r="B1361" s="39" t="s">
        <v>45</v>
      </c>
      <c r="C1361" s="39">
        <v>100</v>
      </c>
      <c r="D1361" s="29" t="b">
        <v>0</v>
      </c>
      <c r="E1361" s="39" t="s">
        <v>2646</v>
      </c>
      <c r="F1361" s="47" t="s">
        <v>2647</v>
      </c>
      <c r="G1361" s="47" t="s">
        <v>49</v>
      </c>
      <c r="H1361"/>
      <c r="I1361" s="47" t="b">
        <v>1</v>
      </c>
      <c r="J1361" s="47" t="b">
        <v>1</v>
      </c>
      <c r="K1361" s="47">
        <v>1336</v>
      </c>
      <c r="L1361" s="48">
        <v>8</v>
      </c>
      <c r="M1361" s="47">
        <v>-1</v>
      </c>
      <c r="N1361" s="47">
        <v>-1</v>
      </c>
      <c r="O1361" s="47">
        <v>-1</v>
      </c>
      <c r="P1361" s="47">
        <v>-1</v>
      </c>
      <c r="Q1361" s="47">
        <v>-1</v>
      </c>
      <c r="R1361" s="47">
        <v>-1</v>
      </c>
      <c r="S1361" s="48">
        <v>8</v>
      </c>
      <c r="T1361" s="47">
        <v>0</v>
      </c>
      <c r="U1361" s="47">
        <v>0</v>
      </c>
      <c r="V1361" s="47">
        <v>0</v>
      </c>
      <c r="W1361" s="47">
        <v>500</v>
      </c>
      <c r="X1361" s="47">
        <v>31</v>
      </c>
      <c r="Y1361" s="47"/>
      <c r="Z1361" s="47" t="s">
        <v>2524</v>
      </c>
      <c r="AA1361" s="49"/>
      <c r="AB1361" s="49"/>
      <c r="AC1361" s="49"/>
      <c r="AD1361" s="50"/>
      <c r="AE1361" s="47" t="s">
        <v>2525</v>
      </c>
      <c r="AF1361" s="47">
        <v>70</v>
      </c>
      <c r="AG1361"/>
      <c r="AH1361"/>
      <c r="AI1361"/>
      <c r="AJ1361"/>
      <c r="AK1361"/>
      <c r="AL1361"/>
      <c r="AM1361"/>
      <c r="AN1361"/>
      <c r="AO1361"/>
      <c r="AP1361"/>
      <c r="AQ1361" t="s">
        <v>2526</v>
      </c>
      <c r="AU1361">
        <v>1360</v>
      </c>
    </row>
    <row r="1362" spans="1:47" x14ac:dyDescent="0.2">
      <c r="A1362" s="133">
        <v>6332</v>
      </c>
      <c r="B1362" s="39" t="s">
        <v>45</v>
      </c>
      <c r="C1362" s="39">
        <v>100</v>
      </c>
      <c r="D1362" s="29" t="b">
        <v>0</v>
      </c>
      <c r="E1362" s="39" t="s">
        <v>2648</v>
      </c>
      <c r="F1362" s="47" t="s">
        <v>2649</v>
      </c>
      <c r="G1362" s="47" t="s">
        <v>49</v>
      </c>
      <c r="H1362"/>
      <c r="I1362" s="47" t="b">
        <v>0</v>
      </c>
      <c r="J1362" s="47" t="b">
        <v>0</v>
      </c>
      <c r="K1362" s="47">
        <v>448</v>
      </c>
      <c r="L1362" s="48">
        <v>8</v>
      </c>
      <c r="M1362" s="47">
        <v>-1</v>
      </c>
      <c r="N1362" s="47">
        <v>-1</v>
      </c>
      <c r="O1362" s="47">
        <v>-1</v>
      </c>
      <c r="P1362" s="47">
        <v>-1</v>
      </c>
      <c r="Q1362" s="47">
        <v>-1</v>
      </c>
      <c r="R1362" s="47">
        <v>-1</v>
      </c>
      <c r="S1362" s="48">
        <v>8</v>
      </c>
      <c r="T1362" s="47">
        <v>0</v>
      </c>
      <c r="U1362" s="47">
        <v>0</v>
      </c>
      <c r="V1362" s="47">
        <v>0</v>
      </c>
      <c r="W1362" s="47">
        <v>500</v>
      </c>
      <c r="X1362" s="47">
        <v>32</v>
      </c>
      <c r="Y1362" s="47"/>
      <c r="Z1362" s="47" t="s">
        <v>2524</v>
      </c>
      <c r="AA1362" s="49"/>
      <c r="AB1362" s="49"/>
      <c r="AC1362" s="49"/>
      <c r="AD1362" s="50"/>
      <c r="AE1362" s="47" t="s">
        <v>2525</v>
      </c>
      <c r="AF1362" s="47">
        <v>70</v>
      </c>
      <c r="AG1362"/>
      <c r="AH1362"/>
      <c r="AI1362"/>
      <c r="AJ1362"/>
      <c r="AK1362"/>
      <c r="AL1362"/>
      <c r="AM1362"/>
      <c r="AN1362"/>
      <c r="AO1362"/>
      <c r="AP1362"/>
      <c r="AQ1362" t="s">
        <v>2526</v>
      </c>
      <c r="AU1362">
        <v>1361</v>
      </c>
    </row>
    <row r="1363" spans="1:47" x14ac:dyDescent="0.2">
      <c r="A1363" s="133">
        <v>6332</v>
      </c>
      <c r="B1363" s="39" t="s">
        <v>45</v>
      </c>
      <c r="C1363" s="39">
        <v>100</v>
      </c>
      <c r="D1363" s="29" t="b">
        <v>0</v>
      </c>
      <c r="E1363" s="39" t="s">
        <v>2650</v>
      </c>
      <c r="F1363" s="47" t="s">
        <v>2617</v>
      </c>
      <c r="G1363" s="47" t="s">
        <v>49</v>
      </c>
      <c r="H1363"/>
      <c r="I1363" s="47" t="b">
        <v>0</v>
      </c>
      <c r="J1363" s="47" t="b">
        <v>0</v>
      </c>
      <c r="K1363" s="47">
        <v>776</v>
      </c>
      <c r="L1363" s="48">
        <v>8</v>
      </c>
      <c r="M1363" s="47">
        <v>-1</v>
      </c>
      <c r="N1363" s="47">
        <v>-1</v>
      </c>
      <c r="O1363" s="47">
        <v>-1</v>
      </c>
      <c r="P1363" s="47">
        <v>-1</v>
      </c>
      <c r="Q1363" s="47">
        <v>-1</v>
      </c>
      <c r="R1363" s="47">
        <v>-1</v>
      </c>
      <c r="S1363" s="48">
        <v>8</v>
      </c>
      <c r="T1363" s="47">
        <v>0</v>
      </c>
      <c r="U1363" s="47">
        <v>0</v>
      </c>
      <c r="V1363" s="47">
        <v>0</v>
      </c>
      <c r="W1363" s="47"/>
      <c r="X1363" s="47">
        <v>33</v>
      </c>
      <c r="Y1363" s="47"/>
      <c r="Z1363" s="47" t="s">
        <v>2524</v>
      </c>
      <c r="AA1363" s="49"/>
      <c r="AB1363" s="49"/>
      <c r="AC1363" s="49"/>
      <c r="AD1363" s="50"/>
      <c r="AE1363" s="47" t="s">
        <v>2525</v>
      </c>
      <c r="AF1363" s="47">
        <v>50</v>
      </c>
      <c r="AG1363"/>
      <c r="AH1363"/>
      <c r="AI1363"/>
      <c r="AJ1363"/>
      <c r="AK1363"/>
      <c r="AL1363"/>
      <c r="AM1363"/>
      <c r="AN1363"/>
      <c r="AO1363"/>
      <c r="AP1363"/>
      <c r="AQ1363" t="s">
        <v>2526</v>
      </c>
      <c r="AU1363">
        <v>1362</v>
      </c>
    </row>
    <row r="1364" spans="1:47" x14ac:dyDescent="0.2">
      <c r="A1364" s="133">
        <v>6332</v>
      </c>
      <c r="B1364" s="39" t="s">
        <v>45</v>
      </c>
      <c r="C1364" s="39">
        <v>100</v>
      </c>
      <c r="D1364" s="29" t="b">
        <v>0</v>
      </c>
      <c r="E1364" s="39" t="s">
        <v>2651</v>
      </c>
      <c r="F1364" s="47" t="s">
        <v>76</v>
      </c>
      <c r="G1364" s="47" t="s">
        <v>49</v>
      </c>
      <c r="H1364"/>
      <c r="I1364" s="47" t="b">
        <v>0</v>
      </c>
      <c r="J1364" s="47" t="b">
        <v>0</v>
      </c>
      <c r="K1364" s="47">
        <v>112</v>
      </c>
      <c r="L1364" s="48">
        <v>8</v>
      </c>
      <c r="M1364" s="47">
        <v>-1</v>
      </c>
      <c r="N1364" s="47">
        <v>-1</v>
      </c>
      <c r="O1364" s="47">
        <v>-1</v>
      </c>
      <c r="P1364" s="47">
        <v>-1</v>
      </c>
      <c r="Q1364" s="47">
        <v>-1</v>
      </c>
      <c r="R1364" s="47">
        <v>-1</v>
      </c>
      <c r="S1364" s="48">
        <v>8</v>
      </c>
      <c r="T1364" s="47">
        <v>0</v>
      </c>
      <c r="U1364" s="47">
        <v>0</v>
      </c>
      <c r="V1364" s="47">
        <v>0</v>
      </c>
      <c r="W1364" s="47"/>
      <c r="X1364" s="47">
        <v>34</v>
      </c>
      <c r="Y1364" s="47"/>
      <c r="Z1364" s="47" t="s">
        <v>2524</v>
      </c>
      <c r="AA1364" s="49"/>
      <c r="AB1364" s="49"/>
      <c r="AC1364" s="49"/>
      <c r="AD1364" s="50"/>
      <c r="AE1364" s="47" t="s">
        <v>2525</v>
      </c>
      <c r="AF1364" s="47"/>
      <c r="AG1364"/>
      <c r="AH1364"/>
      <c r="AI1364"/>
      <c r="AJ1364"/>
      <c r="AK1364"/>
      <c r="AL1364"/>
      <c r="AM1364"/>
      <c r="AN1364"/>
      <c r="AO1364"/>
      <c r="AP1364"/>
      <c r="AQ1364" t="s">
        <v>2526</v>
      </c>
      <c r="AU1364">
        <v>1363</v>
      </c>
    </row>
    <row r="1365" spans="1:47" x14ac:dyDescent="0.2">
      <c r="A1365" s="133">
        <v>6332</v>
      </c>
      <c r="B1365" s="39" t="s">
        <v>45</v>
      </c>
      <c r="C1365" s="39" t="s">
        <v>142</v>
      </c>
      <c r="D1365" s="29"/>
      <c r="E1365" s="39" t="s">
        <v>2652</v>
      </c>
      <c r="F1365" s="47" t="s">
        <v>2653</v>
      </c>
      <c r="G1365" s="47" t="s">
        <v>205</v>
      </c>
      <c r="H1365"/>
      <c r="I1365" s="47" t="s">
        <v>2654</v>
      </c>
      <c r="J1365" s="47"/>
      <c r="K1365" s="47">
        <f>(136*10+36*25)*2.2</f>
        <v>4972</v>
      </c>
      <c r="L1365" s="48">
        <v>15</v>
      </c>
      <c r="M1365" s="47"/>
      <c r="N1365" s="47"/>
      <c r="O1365" s="47"/>
      <c r="P1365" s="47"/>
      <c r="Q1365" s="47"/>
      <c r="R1365" s="47"/>
      <c r="S1365" s="48">
        <v>15</v>
      </c>
      <c r="T1365" s="47">
        <v>0</v>
      </c>
      <c r="U1365" s="47">
        <v>0</v>
      </c>
      <c r="V1365" s="47">
        <v>0</v>
      </c>
      <c r="W1365" s="47"/>
      <c r="X1365" s="47"/>
      <c r="Y1365" s="47" t="s">
        <v>120</v>
      </c>
      <c r="Z1365" s="31" t="s">
        <v>2203</v>
      </c>
      <c r="AA1365" s="49">
        <v>0.875</v>
      </c>
      <c r="AB1365" s="49"/>
      <c r="AC1365" s="49">
        <v>1.7361111111111112E-2</v>
      </c>
      <c r="AD1365" s="50"/>
      <c r="AE1365" s="47" t="s">
        <v>2470</v>
      </c>
      <c r="AF1365" s="47">
        <v>55</v>
      </c>
      <c r="AG1365"/>
      <c r="AH1365"/>
      <c r="AI1365"/>
      <c r="AJ1365"/>
      <c r="AK1365">
        <f>136+36</f>
        <v>172</v>
      </c>
      <c r="AL1365"/>
      <c r="AM1365"/>
      <c r="AN1365"/>
      <c r="AO1365"/>
      <c r="AP1365"/>
      <c r="AQ1365" s="32" t="s">
        <v>2655</v>
      </c>
      <c r="AU1365">
        <v>1364</v>
      </c>
    </row>
    <row r="1366" spans="1:47" x14ac:dyDescent="0.2">
      <c r="A1366" s="133">
        <v>6332</v>
      </c>
      <c r="B1366" s="39" t="s">
        <v>45</v>
      </c>
      <c r="C1366" s="39" t="s">
        <v>2656</v>
      </c>
      <c r="D1366" s="29"/>
      <c r="E1366" s="39" t="s">
        <v>2657</v>
      </c>
      <c r="F1366" s="47" t="s">
        <v>2658</v>
      </c>
      <c r="G1366" s="47" t="s">
        <v>69</v>
      </c>
      <c r="H1366"/>
      <c r="I1366" s="47" t="s">
        <v>2659</v>
      </c>
      <c r="J1366" s="47"/>
      <c r="K1366" s="47">
        <f>10*10*2.2</f>
        <v>220.00000000000003</v>
      </c>
      <c r="L1366" s="48">
        <v>1</v>
      </c>
      <c r="M1366" s="47"/>
      <c r="N1366" s="47"/>
      <c r="O1366" s="47"/>
      <c r="P1366" s="47"/>
      <c r="Q1366" s="47"/>
      <c r="R1366" s="47"/>
      <c r="S1366" s="48">
        <v>1</v>
      </c>
      <c r="T1366" s="47">
        <v>0</v>
      </c>
      <c r="U1366" s="47">
        <v>0</v>
      </c>
      <c r="V1366" s="47">
        <v>0</v>
      </c>
      <c r="W1366" s="47"/>
      <c r="X1366" s="47"/>
      <c r="Y1366" s="47" t="s">
        <v>120</v>
      </c>
      <c r="Z1366" s="47" t="s">
        <v>1809</v>
      </c>
      <c r="AA1366" s="49">
        <v>0.14583333333333334</v>
      </c>
      <c r="AB1366" s="49"/>
      <c r="AC1366" s="49">
        <v>0.20833333333333334</v>
      </c>
      <c r="AD1366" s="50"/>
      <c r="AE1366" s="47" t="s">
        <v>2470</v>
      </c>
      <c r="AF1366" s="47"/>
      <c r="AG1366"/>
      <c r="AH1366"/>
      <c r="AI1366"/>
      <c r="AJ1366"/>
      <c r="AK1366">
        <v>10</v>
      </c>
      <c r="AL1366"/>
      <c r="AM1366"/>
      <c r="AN1366"/>
      <c r="AO1366"/>
      <c r="AP1366"/>
      <c r="AQ1366" s="32" t="s">
        <v>2655</v>
      </c>
      <c r="AU1366">
        <v>1365</v>
      </c>
    </row>
    <row r="1367" spans="1:47" x14ac:dyDescent="0.2">
      <c r="A1367" s="133">
        <v>6332</v>
      </c>
      <c r="B1367" s="39" t="s">
        <v>45</v>
      </c>
      <c r="C1367" s="39" t="s">
        <v>2542</v>
      </c>
      <c r="D1367" s="29"/>
      <c r="E1367" s="39" t="s">
        <v>2660</v>
      </c>
      <c r="F1367" s="47" t="s">
        <v>2661</v>
      </c>
      <c r="G1367" s="47" t="s">
        <v>49</v>
      </c>
      <c r="H1367"/>
      <c r="I1367" s="47" t="b">
        <v>1</v>
      </c>
      <c r="J1367" s="47" t="b">
        <v>1</v>
      </c>
      <c r="K1367" s="47">
        <f>6*(30*10+2*50)*2.2</f>
        <v>5280</v>
      </c>
      <c r="L1367" s="48">
        <v>7</v>
      </c>
      <c r="M1367" s="47"/>
      <c r="N1367" s="47">
        <v>1</v>
      </c>
      <c r="O1367" s="47"/>
      <c r="P1367" s="47"/>
      <c r="Q1367" s="47"/>
      <c r="R1367" s="47"/>
      <c r="S1367" s="48">
        <v>6</v>
      </c>
      <c r="T1367" s="47">
        <v>0</v>
      </c>
      <c r="U1367" s="47">
        <v>0</v>
      </c>
      <c r="V1367" s="47">
        <v>0</v>
      </c>
      <c r="W1367" s="47">
        <f>((2200+1700+2800+2800+2400+2300)/6)*39.37/12</f>
        <v>7764.6388888888878</v>
      </c>
      <c r="X1367" s="47"/>
      <c r="Y1367" s="47" t="s">
        <v>51</v>
      </c>
      <c r="Z1367" s="47" t="s">
        <v>1846</v>
      </c>
      <c r="AA1367" s="49"/>
      <c r="AB1367" s="49"/>
      <c r="AC1367" s="49"/>
      <c r="AD1367" s="50">
        <v>2.5</v>
      </c>
      <c r="AE1367" s="47" t="s">
        <v>342</v>
      </c>
      <c r="AF1367" s="47">
        <v>70</v>
      </c>
      <c r="AG1367"/>
      <c r="AH1367"/>
      <c r="AI1367"/>
      <c r="AJ1367"/>
      <c r="AK1367">
        <f>6*(30+2)</f>
        <v>192</v>
      </c>
      <c r="AL1367"/>
      <c r="AM1367"/>
      <c r="AN1367"/>
      <c r="AO1367"/>
      <c r="AP1367"/>
      <c r="AQ1367" s="32" t="s">
        <v>2662</v>
      </c>
      <c r="AR1367" s="32" t="s">
        <v>2663</v>
      </c>
      <c r="AU1367">
        <v>1366</v>
      </c>
    </row>
    <row r="1368" spans="1:47" x14ac:dyDescent="0.2">
      <c r="A1368" s="133">
        <v>6332</v>
      </c>
      <c r="B1368" s="39" t="s">
        <v>45</v>
      </c>
      <c r="C1368" s="39" t="s">
        <v>2542</v>
      </c>
      <c r="D1368" s="29"/>
      <c r="E1368" s="39" t="s">
        <v>1764</v>
      </c>
      <c r="F1368" s="47" t="s">
        <v>2664</v>
      </c>
      <c r="G1368" s="47" t="s">
        <v>49</v>
      </c>
      <c r="H1368"/>
      <c r="I1368" s="47" t="b">
        <v>0</v>
      </c>
      <c r="J1368" s="47" t="b">
        <v>0</v>
      </c>
      <c r="K1368" s="47">
        <f>4*(30*10+2*50)*2.2</f>
        <v>3520.0000000000005</v>
      </c>
      <c r="L1368" s="48"/>
      <c r="M1368" s="47"/>
      <c r="N1368" s="47"/>
      <c r="O1368" s="47"/>
      <c r="P1368" s="47"/>
      <c r="Q1368" s="47"/>
      <c r="R1368" s="47"/>
      <c r="S1368" s="48">
        <v>4</v>
      </c>
      <c r="T1368" s="47"/>
      <c r="U1368" s="47"/>
      <c r="V1368" s="47"/>
      <c r="W1368" s="47">
        <f>((2200+1700+2800+2800)/4)*39.37/12</f>
        <v>7791.979166666667</v>
      </c>
      <c r="X1368" s="47"/>
      <c r="Y1368" s="47" t="s">
        <v>51</v>
      </c>
      <c r="Z1368" s="47" t="s">
        <v>1846</v>
      </c>
      <c r="AA1368" s="49"/>
      <c r="AB1368" s="49"/>
      <c r="AC1368" s="49"/>
      <c r="AD1368" s="50">
        <v>2.5</v>
      </c>
      <c r="AE1368" s="47" t="s">
        <v>342</v>
      </c>
      <c r="AF1368" s="47">
        <v>70</v>
      </c>
      <c r="AG1368"/>
      <c r="AH1368"/>
      <c r="AI1368"/>
      <c r="AJ1368"/>
      <c r="AK1368">
        <f>4*(30+2)</f>
        <v>128</v>
      </c>
      <c r="AL1368"/>
      <c r="AM1368"/>
      <c r="AN1368"/>
      <c r="AO1368"/>
      <c r="AP1368"/>
      <c r="AQ1368" s="32" t="s">
        <v>2662</v>
      </c>
      <c r="AR1368" s="32" t="s">
        <v>2665</v>
      </c>
      <c r="AU1368">
        <v>1367</v>
      </c>
    </row>
    <row r="1369" spans="1:47" x14ac:dyDescent="0.2">
      <c r="A1369" s="133">
        <v>6332</v>
      </c>
      <c r="B1369" s="39" t="s">
        <v>45</v>
      </c>
      <c r="C1369" s="39" t="s">
        <v>2542</v>
      </c>
      <c r="D1369" s="29"/>
      <c r="E1369" s="39" t="s">
        <v>2624</v>
      </c>
      <c r="F1369" s="47" t="s">
        <v>2666</v>
      </c>
      <c r="G1369" s="47" t="s">
        <v>481</v>
      </c>
      <c r="H1369"/>
      <c r="I1369" s="47" t="b">
        <v>0</v>
      </c>
      <c r="J1369" s="47" t="b">
        <v>0</v>
      </c>
      <c r="K1369" s="47">
        <f>2*(30*10+2*50)*2.2</f>
        <v>1760.0000000000002</v>
      </c>
      <c r="L1369" s="48"/>
      <c r="M1369" s="47"/>
      <c r="N1369" s="47"/>
      <c r="O1369" s="47"/>
      <c r="P1369" s="47"/>
      <c r="Q1369" s="47"/>
      <c r="R1369" s="47"/>
      <c r="S1369" s="48">
        <v>2</v>
      </c>
      <c r="T1369" s="47"/>
      <c r="U1369" s="47"/>
      <c r="V1369" s="47"/>
      <c r="W1369" s="47">
        <f>((2400+2300)/2)*39.37/12</f>
        <v>7709.958333333333</v>
      </c>
      <c r="X1369" s="47"/>
      <c r="Y1369" s="47" t="s">
        <v>51</v>
      </c>
      <c r="Z1369" s="47" t="s">
        <v>1846</v>
      </c>
      <c r="AA1369" s="49"/>
      <c r="AB1369" s="49"/>
      <c r="AC1369" s="49"/>
      <c r="AD1369" s="50">
        <v>2.25</v>
      </c>
      <c r="AE1369" s="47" t="s">
        <v>342</v>
      </c>
      <c r="AF1369" s="47">
        <v>70</v>
      </c>
      <c r="AG1369"/>
      <c r="AH1369"/>
      <c r="AI1369"/>
      <c r="AJ1369"/>
      <c r="AK1369">
        <f>2*(30+2)</f>
        <v>64</v>
      </c>
      <c r="AL1369"/>
      <c r="AM1369"/>
      <c r="AN1369"/>
      <c r="AO1369"/>
      <c r="AP1369"/>
      <c r="AQ1369" s="32" t="s">
        <v>2662</v>
      </c>
      <c r="AR1369" s="32" t="s">
        <v>2667</v>
      </c>
      <c r="AU1369">
        <v>1368</v>
      </c>
    </row>
    <row r="1370" spans="1:47" x14ac:dyDescent="0.2">
      <c r="A1370" s="37">
        <v>6332</v>
      </c>
      <c r="B1370" s="38"/>
      <c r="C1370" s="38" t="s">
        <v>332</v>
      </c>
      <c r="D1370" s="29"/>
      <c r="E1370" s="38" t="s">
        <v>2668</v>
      </c>
      <c r="F1370" s="32"/>
      <c r="G1370" s="47"/>
      <c r="H1370"/>
      <c r="I1370" s="31" t="s">
        <v>2669</v>
      </c>
      <c r="J1370" s="47"/>
      <c r="K1370" s="47"/>
      <c r="L1370" s="48"/>
      <c r="M1370" s="47"/>
      <c r="N1370" s="47"/>
      <c r="O1370" s="47"/>
      <c r="P1370" s="47"/>
      <c r="Q1370" s="47"/>
      <c r="R1370" s="47"/>
      <c r="S1370" s="48"/>
      <c r="T1370" s="47"/>
      <c r="U1370" s="47"/>
      <c r="V1370" s="47"/>
      <c r="W1370" s="47"/>
      <c r="X1370" s="47"/>
      <c r="Y1370" s="47"/>
      <c r="Z1370" s="47" t="s">
        <v>2670</v>
      </c>
      <c r="AA1370" s="49"/>
      <c r="AB1370" s="49"/>
      <c r="AC1370" s="49"/>
      <c r="AD1370" s="50"/>
      <c r="AE1370" s="47"/>
      <c r="AF1370" s="47"/>
      <c r="AG1370"/>
      <c r="AH1370"/>
      <c r="AI1370"/>
      <c r="AJ1370"/>
      <c r="AK1370"/>
      <c r="AL1370"/>
      <c r="AM1370"/>
      <c r="AN1370"/>
      <c r="AO1370"/>
      <c r="AP1370"/>
      <c r="AQ1370"/>
      <c r="AU1370">
        <v>1369</v>
      </c>
    </row>
    <row r="1371" spans="1:47" x14ac:dyDescent="0.2">
      <c r="A1371" s="26">
        <v>6332</v>
      </c>
      <c r="B1371" s="27">
        <v>5.5555555555555552E-2</v>
      </c>
      <c r="C1371" s="28"/>
      <c r="D1371" s="29"/>
      <c r="E1371" s="30" t="s">
        <v>1282</v>
      </c>
      <c r="H1371" s="32">
        <v>0</v>
      </c>
      <c r="I1371" s="32" t="s">
        <v>2671</v>
      </c>
      <c r="AG1371" s="32">
        <v>0</v>
      </c>
      <c r="AH1371" s="32">
        <v>0</v>
      </c>
      <c r="AI1371" s="32">
        <v>0</v>
      </c>
      <c r="AK1371" s="32">
        <v>0</v>
      </c>
      <c r="AL1371" s="32">
        <v>3</v>
      </c>
      <c r="AP1371" s="32">
        <v>3</v>
      </c>
      <c r="AQ1371" s="32" t="s">
        <v>1101</v>
      </c>
      <c r="AU1371">
        <v>1370</v>
      </c>
    </row>
    <row r="1372" spans="1:47" x14ac:dyDescent="0.2">
      <c r="A1372" s="26">
        <v>6332</v>
      </c>
      <c r="B1372" s="27">
        <v>0.99305555555555547</v>
      </c>
      <c r="C1372" s="28"/>
      <c r="D1372" s="29"/>
      <c r="E1372" s="30" t="s">
        <v>1144</v>
      </c>
      <c r="H1372" s="32">
        <v>1</v>
      </c>
      <c r="I1372" s="32" t="s">
        <v>2672</v>
      </c>
      <c r="AG1372" s="32">
        <v>0</v>
      </c>
      <c r="AH1372" s="32">
        <v>1</v>
      </c>
      <c r="AI1372" s="32">
        <v>219280</v>
      </c>
      <c r="AK1372" s="32">
        <v>38</v>
      </c>
      <c r="AL1372" s="32">
        <v>0.5</v>
      </c>
      <c r="AM1372" s="32">
        <v>75</v>
      </c>
      <c r="AO1372" s="32" t="s">
        <v>1006</v>
      </c>
      <c r="AP1372" s="32">
        <v>0.5</v>
      </c>
      <c r="AQ1372" s="32" t="s">
        <v>2673</v>
      </c>
      <c r="AU1372">
        <v>1371</v>
      </c>
    </row>
    <row r="1373" spans="1:47" x14ac:dyDescent="0.2">
      <c r="A1373" s="26">
        <v>6332</v>
      </c>
      <c r="B1373" s="27" t="s">
        <v>45</v>
      </c>
      <c r="C1373" s="28"/>
      <c r="D1373" s="29"/>
      <c r="E1373" s="30" t="s">
        <v>464</v>
      </c>
      <c r="H1373" s="32">
        <v>1</v>
      </c>
      <c r="I1373" s="32" t="s">
        <v>2674</v>
      </c>
      <c r="AG1373" s="32">
        <v>0</v>
      </c>
      <c r="AH1373" s="32">
        <v>0</v>
      </c>
      <c r="AI1373" s="32">
        <v>0</v>
      </c>
      <c r="AJ1373" s="32">
        <v>0</v>
      </c>
      <c r="AK1373" s="32">
        <v>22</v>
      </c>
      <c r="AL1373" s="32">
        <v>0</v>
      </c>
      <c r="AM1373" s="32">
        <v>0</v>
      </c>
      <c r="AO1373" s="32" t="s">
        <v>487</v>
      </c>
      <c r="AQ1373" s="32">
        <v>388</v>
      </c>
      <c r="AU1373">
        <v>1372</v>
      </c>
    </row>
    <row r="1374" spans="1:47" x14ac:dyDescent="0.2">
      <c r="A1374" s="26">
        <v>6332</v>
      </c>
      <c r="B1374" s="27" t="s">
        <v>45</v>
      </c>
      <c r="C1374" s="28"/>
      <c r="D1374" s="29"/>
      <c r="E1374" s="30" t="s">
        <v>1531</v>
      </c>
      <c r="H1374" s="32">
        <v>0</v>
      </c>
      <c r="I1374" s="32" t="s">
        <v>1706</v>
      </c>
      <c r="AG1374" s="32">
        <v>0</v>
      </c>
      <c r="AH1374" s="32">
        <v>0</v>
      </c>
      <c r="AI1374" s="32">
        <v>0</v>
      </c>
      <c r="AK1374" s="32">
        <v>0</v>
      </c>
      <c r="AM1374" s="32">
        <f>498*87</f>
        <v>43326</v>
      </c>
      <c r="AO1374" s="32" t="s">
        <v>1533</v>
      </c>
      <c r="AQ1374" s="32" t="s">
        <v>1101</v>
      </c>
      <c r="AU1374">
        <v>1373</v>
      </c>
    </row>
    <row r="1375" spans="1:47" x14ac:dyDescent="0.2">
      <c r="A1375" s="26">
        <v>6332</v>
      </c>
      <c r="B1375" s="27" t="s">
        <v>45</v>
      </c>
      <c r="C1375" s="28"/>
      <c r="D1375" s="29"/>
      <c r="E1375" s="150" t="s">
        <v>2286</v>
      </c>
      <c r="H1375" s="32">
        <v>0</v>
      </c>
      <c r="I1375" s="32" t="s">
        <v>1824</v>
      </c>
      <c r="AG1375" s="32">
        <v>0</v>
      </c>
      <c r="AH1375" s="32">
        <v>0</v>
      </c>
      <c r="AI1375" s="32">
        <v>0</v>
      </c>
      <c r="AK1375" s="32">
        <v>0</v>
      </c>
      <c r="AM1375" s="32">
        <v>14000</v>
      </c>
      <c r="AO1375" s="73" t="s">
        <v>75</v>
      </c>
      <c r="AQ1375" s="32" t="s">
        <v>589</v>
      </c>
      <c r="AU1375">
        <v>1374</v>
      </c>
    </row>
    <row r="1376" spans="1:47" x14ac:dyDescent="0.2">
      <c r="A1376" s="26">
        <v>6332</v>
      </c>
      <c r="B1376" s="27"/>
      <c r="C1376" s="28"/>
      <c r="D1376" s="29"/>
      <c r="E1376" s="30" t="s">
        <v>1988</v>
      </c>
      <c r="H1376" s="32">
        <v>1</v>
      </c>
      <c r="I1376" s="32" t="s">
        <v>2675</v>
      </c>
      <c r="AK1376" s="32">
        <v>2</v>
      </c>
      <c r="AQ1376" s="32" t="s">
        <v>1522</v>
      </c>
      <c r="AU1376">
        <v>1375</v>
      </c>
    </row>
    <row r="1377" spans="1:47" x14ac:dyDescent="0.2">
      <c r="A1377" s="37">
        <v>6333</v>
      </c>
      <c r="B1377" s="38" t="s">
        <v>85</v>
      </c>
      <c r="C1377" s="38" t="s">
        <v>2676</v>
      </c>
      <c r="D1377" s="29"/>
      <c r="E1377" s="38" t="s">
        <v>782</v>
      </c>
      <c r="F1377" s="31" t="s">
        <v>204</v>
      </c>
      <c r="G1377" s="47" t="s">
        <v>205</v>
      </c>
      <c r="H1377"/>
      <c r="I1377" s="31" t="s">
        <v>2677</v>
      </c>
      <c r="J1377" s="47"/>
      <c r="K1377" s="47">
        <f>16*65</f>
        <v>1040</v>
      </c>
      <c r="L1377" s="48">
        <v>4</v>
      </c>
      <c r="M1377" s="47"/>
      <c r="N1377" s="47"/>
      <c r="O1377" s="47"/>
      <c r="P1377" s="47"/>
      <c r="Q1377" s="47"/>
      <c r="R1377" s="47"/>
      <c r="S1377" s="48">
        <v>4</v>
      </c>
      <c r="T1377" s="47">
        <v>0</v>
      </c>
      <c r="U1377" s="47">
        <v>1</v>
      </c>
      <c r="V1377" s="47">
        <v>0</v>
      </c>
      <c r="W1377" s="47"/>
      <c r="X1377" s="47"/>
      <c r="Y1377" s="47" t="s">
        <v>51</v>
      </c>
      <c r="Z1377" s="47" t="s">
        <v>1809</v>
      </c>
      <c r="AA1377" s="49"/>
      <c r="AB1377" s="49"/>
      <c r="AC1377" s="49">
        <v>0.25</v>
      </c>
      <c r="AD1377" s="50"/>
      <c r="AE1377" s="47" t="s">
        <v>1653</v>
      </c>
      <c r="AF1377" s="47">
        <v>80</v>
      </c>
      <c r="AG1377"/>
      <c r="AH1377"/>
      <c r="AI1377"/>
      <c r="AJ1377"/>
      <c r="AK1377">
        <v>16</v>
      </c>
      <c r="AL1377"/>
      <c r="AM1377"/>
      <c r="AN1377"/>
      <c r="AO1377"/>
      <c r="AP1377"/>
      <c r="AQ1377" s="32" t="s">
        <v>2645</v>
      </c>
      <c r="AU1377">
        <v>1376</v>
      </c>
    </row>
    <row r="1378" spans="1:47" x14ac:dyDescent="0.2">
      <c r="A1378" s="133">
        <v>6333</v>
      </c>
      <c r="B1378" s="39" t="s">
        <v>45</v>
      </c>
      <c r="C1378" s="39" t="s">
        <v>2585</v>
      </c>
      <c r="D1378" s="29"/>
      <c r="E1378" s="38" t="s">
        <v>528</v>
      </c>
      <c r="F1378" s="31" t="s">
        <v>204</v>
      </c>
      <c r="G1378" s="47" t="s">
        <v>205</v>
      </c>
      <c r="H1378"/>
      <c r="I1378" s="31" t="s">
        <v>2678</v>
      </c>
      <c r="J1378" s="47"/>
      <c r="K1378" s="47">
        <f>264*2.2</f>
        <v>580.80000000000007</v>
      </c>
      <c r="L1378" s="48">
        <v>2</v>
      </c>
      <c r="M1378" s="47"/>
      <c r="N1378" s="47"/>
      <c r="O1378" s="47"/>
      <c r="P1378" s="47"/>
      <c r="Q1378" s="47"/>
      <c r="R1378" s="47"/>
      <c r="S1378" s="48">
        <v>2</v>
      </c>
      <c r="T1378" s="47"/>
      <c r="U1378" s="47"/>
      <c r="V1378" s="47"/>
      <c r="W1378" s="47"/>
      <c r="X1378" s="47"/>
      <c r="Y1378" s="47" t="s">
        <v>51</v>
      </c>
      <c r="Z1378" s="47" t="s">
        <v>2588</v>
      </c>
      <c r="AA1378" s="49"/>
      <c r="AB1378" s="49"/>
      <c r="AC1378" s="49">
        <v>0.92708333333333337</v>
      </c>
      <c r="AD1378" s="50"/>
      <c r="AE1378" s="47" t="s">
        <v>2589</v>
      </c>
      <c r="AF1378" s="47">
        <v>75</v>
      </c>
      <c r="AG1378"/>
      <c r="AH1378"/>
      <c r="AI1378"/>
      <c r="AJ1378"/>
      <c r="AK1378">
        <v>12</v>
      </c>
      <c r="AL1378"/>
      <c r="AM1378"/>
      <c r="AN1378"/>
      <c r="AO1378"/>
      <c r="AP1378"/>
      <c r="AQ1378" s="32" t="s">
        <v>2645</v>
      </c>
      <c r="AU1378">
        <v>1377</v>
      </c>
    </row>
    <row r="1379" spans="1:47" x14ac:dyDescent="0.2">
      <c r="A1379" s="133">
        <v>6333</v>
      </c>
      <c r="B1379" s="39" t="s">
        <v>45</v>
      </c>
      <c r="C1379" s="39">
        <v>100</v>
      </c>
      <c r="D1379" s="29" t="b">
        <v>0</v>
      </c>
      <c r="E1379" s="39" t="s">
        <v>2679</v>
      </c>
      <c r="F1379" s="47" t="s">
        <v>2680</v>
      </c>
      <c r="G1379" s="47" t="s">
        <v>49</v>
      </c>
      <c r="H1379"/>
      <c r="I1379" s="47" t="b">
        <v>1</v>
      </c>
      <c r="J1379" s="47" t="b">
        <v>1</v>
      </c>
      <c r="K1379" s="47">
        <v>800</v>
      </c>
      <c r="L1379" s="48">
        <v>7</v>
      </c>
      <c r="M1379" s="47">
        <v>-1</v>
      </c>
      <c r="N1379" s="47">
        <v>-1</v>
      </c>
      <c r="O1379" s="47">
        <v>-1</v>
      </c>
      <c r="P1379" s="47">
        <v>-1</v>
      </c>
      <c r="Q1379" s="47">
        <v>-1</v>
      </c>
      <c r="R1379" s="47">
        <v>-1</v>
      </c>
      <c r="S1379" s="48">
        <v>5</v>
      </c>
      <c r="T1379" s="47">
        <v>0</v>
      </c>
      <c r="U1379" s="47">
        <v>0</v>
      </c>
      <c r="V1379" s="47">
        <v>0</v>
      </c>
      <c r="W1379" s="47">
        <v>536</v>
      </c>
      <c r="X1379" s="47">
        <v>35</v>
      </c>
      <c r="Y1379" s="47"/>
      <c r="Z1379" s="47" t="s">
        <v>2524</v>
      </c>
      <c r="AA1379" s="49"/>
      <c r="AB1379" s="49"/>
      <c r="AC1379" s="49"/>
      <c r="AD1379" s="50"/>
      <c r="AE1379" s="47" t="s">
        <v>2525</v>
      </c>
      <c r="AF1379" s="47">
        <v>35</v>
      </c>
      <c r="AG1379"/>
      <c r="AH1379"/>
      <c r="AI1379"/>
      <c r="AJ1379"/>
      <c r="AK1379"/>
      <c r="AL1379"/>
      <c r="AM1379"/>
      <c r="AN1379"/>
      <c r="AO1379"/>
      <c r="AP1379"/>
      <c r="AQ1379" t="s">
        <v>2526</v>
      </c>
      <c r="AU1379">
        <v>1378</v>
      </c>
    </row>
    <row r="1380" spans="1:47" x14ac:dyDescent="0.2">
      <c r="A1380" s="133">
        <v>6333</v>
      </c>
      <c r="B1380" s="39" t="s">
        <v>45</v>
      </c>
      <c r="C1380" s="39">
        <v>100</v>
      </c>
      <c r="D1380" s="29" t="b">
        <v>0</v>
      </c>
      <c r="E1380" s="39" t="s">
        <v>2681</v>
      </c>
      <c r="F1380" s="47" t="s">
        <v>2682</v>
      </c>
      <c r="G1380" s="47" t="s">
        <v>49</v>
      </c>
      <c r="H1380"/>
      <c r="I1380" s="47" t="b">
        <v>0</v>
      </c>
      <c r="J1380" s="47" t="b">
        <v>0</v>
      </c>
      <c r="K1380" s="47">
        <v>120</v>
      </c>
      <c r="L1380" s="48">
        <v>7</v>
      </c>
      <c r="M1380" s="47">
        <v>-1</v>
      </c>
      <c r="N1380" s="47">
        <v>-1</v>
      </c>
      <c r="O1380" s="47">
        <v>-1</v>
      </c>
      <c r="P1380" s="47">
        <v>-1</v>
      </c>
      <c r="Q1380" s="47">
        <v>-1</v>
      </c>
      <c r="R1380" s="47">
        <v>-1</v>
      </c>
      <c r="S1380" s="48">
        <v>5</v>
      </c>
      <c r="T1380" s="47">
        <v>0</v>
      </c>
      <c r="U1380" s="47">
        <v>0</v>
      </c>
      <c r="V1380" s="47">
        <v>0</v>
      </c>
      <c r="W1380" s="47">
        <v>1000</v>
      </c>
      <c r="X1380" s="47">
        <v>36</v>
      </c>
      <c r="Y1380" s="47"/>
      <c r="Z1380" s="47" t="s">
        <v>2524</v>
      </c>
      <c r="AA1380" s="49"/>
      <c r="AB1380" s="49"/>
      <c r="AC1380" s="49"/>
      <c r="AD1380" s="50"/>
      <c r="AE1380" s="47" t="s">
        <v>2525</v>
      </c>
      <c r="AF1380" s="47">
        <v>20</v>
      </c>
      <c r="AG1380"/>
      <c r="AH1380"/>
      <c r="AI1380"/>
      <c r="AJ1380"/>
      <c r="AK1380"/>
      <c r="AL1380"/>
      <c r="AM1380"/>
      <c r="AN1380"/>
      <c r="AO1380"/>
      <c r="AP1380"/>
      <c r="AQ1380" t="s">
        <v>2526</v>
      </c>
      <c r="AU1380">
        <v>1379</v>
      </c>
    </row>
    <row r="1381" spans="1:47" x14ac:dyDescent="0.2">
      <c r="A1381" s="133">
        <v>6333</v>
      </c>
      <c r="B1381" s="39" t="s">
        <v>45</v>
      </c>
      <c r="C1381" s="39">
        <v>100</v>
      </c>
      <c r="D1381" s="29" t="b">
        <v>0</v>
      </c>
      <c r="E1381" s="39" t="s">
        <v>881</v>
      </c>
      <c r="F1381" s="47" t="s">
        <v>2683</v>
      </c>
      <c r="G1381" s="47" t="s">
        <v>49</v>
      </c>
      <c r="H1381"/>
      <c r="I1381" s="47" t="b">
        <v>0</v>
      </c>
      <c r="J1381" s="47" t="b">
        <v>0</v>
      </c>
      <c r="K1381" s="47">
        <v>160</v>
      </c>
      <c r="L1381" s="48">
        <v>7</v>
      </c>
      <c r="M1381" s="47">
        <v>-1</v>
      </c>
      <c r="N1381" s="47">
        <v>-1</v>
      </c>
      <c r="O1381" s="47">
        <v>-1</v>
      </c>
      <c r="P1381" s="47">
        <v>-1</v>
      </c>
      <c r="Q1381" s="47">
        <v>-1</v>
      </c>
      <c r="R1381" s="47">
        <v>-1</v>
      </c>
      <c r="S1381" s="48">
        <v>5</v>
      </c>
      <c r="T1381" s="47">
        <v>0</v>
      </c>
      <c r="U1381" s="47">
        <v>0</v>
      </c>
      <c r="V1381" s="47">
        <v>0</v>
      </c>
      <c r="W1381" s="47">
        <v>75</v>
      </c>
      <c r="X1381" s="47">
        <v>37</v>
      </c>
      <c r="Y1381" s="47"/>
      <c r="Z1381" s="47" t="s">
        <v>2524</v>
      </c>
      <c r="AA1381" s="49"/>
      <c r="AB1381" s="49"/>
      <c r="AC1381" s="49"/>
      <c r="AD1381" s="50"/>
      <c r="AE1381" s="47" t="s">
        <v>2525</v>
      </c>
      <c r="AF1381" s="47"/>
      <c r="AG1381"/>
      <c r="AH1381"/>
      <c r="AI1381"/>
      <c r="AJ1381"/>
      <c r="AK1381"/>
      <c r="AL1381"/>
      <c r="AM1381"/>
      <c r="AN1381"/>
      <c r="AO1381"/>
      <c r="AP1381"/>
      <c r="AQ1381" t="s">
        <v>2526</v>
      </c>
      <c r="AU1381">
        <v>1380</v>
      </c>
    </row>
    <row r="1382" spans="1:47" x14ac:dyDescent="0.2">
      <c r="A1382" s="133">
        <v>6333</v>
      </c>
      <c r="B1382" s="39" t="s">
        <v>45</v>
      </c>
      <c r="C1382" s="39">
        <v>100</v>
      </c>
      <c r="D1382" s="29" t="b">
        <v>0</v>
      </c>
      <c r="E1382" s="39" t="s">
        <v>2684</v>
      </c>
      <c r="F1382" s="47" t="s">
        <v>57</v>
      </c>
      <c r="G1382" s="47" t="s">
        <v>49</v>
      </c>
      <c r="H1382"/>
      <c r="I1382" s="47" t="b">
        <v>0</v>
      </c>
      <c r="J1382" s="47" t="b">
        <v>0</v>
      </c>
      <c r="K1382" s="47">
        <v>40</v>
      </c>
      <c r="L1382" s="48">
        <v>7</v>
      </c>
      <c r="M1382" s="47">
        <v>-1</v>
      </c>
      <c r="N1382" s="47">
        <v>-1</v>
      </c>
      <c r="O1382" s="47">
        <v>-1</v>
      </c>
      <c r="P1382" s="47">
        <v>-1</v>
      </c>
      <c r="Q1382" s="47">
        <v>-1</v>
      </c>
      <c r="R1382" s="47">
        <v>-1</v>
      </c>
      <c r="S1382" s="48">
        <v>5</v>
      </c>
      <c r="T1382" s="47">
        <v>0</v>
      </c>
      <c r="U1382" s="47">
        <v>0</v>
      </c>
      <c r="V1382" s="47">
        <v>0</v>
      </c>
      <c r="W1382" s="47">
        <v>100</v>
      </c>
      <c r="X1382" s="47">
        <v>38</v>
      </c>
      <c r="Y1382" s="47"/>
      <c r="Z1382" s="47" t="s">
        <v>2524</v>
      </c>
      <c r="AA1382" s="49"/>
      <c r="AB1382" s="49"/>
      <c r="AC1382" s="49"/>
      <c r="AD1382" s="50"/>
      <c r="AE1382" s="47" t="s">
        <v>2525</v>
      </c>
      <c r="AF1382" s="47"/>
      <c r="AG1382"/>
      <c r="AH1382"/>
      <c r="AI1382"/>
      <c r="AJ1382"/>
      <c r="AK1382"/>
      <c r="AL1382"/>
      <c r="AM1382"/>
      <c r="AN1382"/>
      <c r="AO1382"/>
      <c r="AP1382"/>
      <c r="AQ1382" t="s">
        <v>2526</v>
      </c>
      <c r="AU1382">
        <v>1381</v>
      </c>
    </row>
    <row r="1383" spans="1:47" x14ac:dyDescent="0.2">
      <c r="A1383" s="133">
        <v>6333</v>
      </c>
      <c r="B1383" s="39" t="s">
        <v>45</v>
      </c>
      <c r="C1383" s="39">
        <v>100</v>
      </c>
      <c r="D1383" s="29" t="b">
        <v>0</v>
      </c>
      <c r="E1383" s="39" t="s">
        <v>2685</v>
      </c>
      <c r="F1383" s="47" t="s">
        <v>2686</v>
      </c>
      <c r="G1383" s="47" t="s">
        <v>49</v>
      </c>
      <c r="H1383"/>
      <c r="I1383" s="47" t="b">
        <v>0</v>
      </c>
      <c r="J1383" s="47" t="b">
        <v>0</v>
      </c>
      <c r="K1383" s="47">
        <v>120</v>
      </c>
      <c r="L1383" s="48">
        <v>7</v>
      </c>
      <c r="M1383" s="47">
        <v>-1</v>
      </c>
      <c r="N1383" s="47">
        <v>-1</v>
      </c>
      <c r="O1383" s="47">
        <v>-1</v>
      </c>
      <c r="P1383" s="47">
        <v>-1</v>
      </c>
      <c r="Q1383" s="47">
        <v>-1</v>
      </c>
      <c r="R1383" s="47">
        <v>-1</v>
      </c>
      <c r="S1383" s="48">
        <v>5</v>
      </c>
      <c r="T1383" s="47">
        <v>0</v>
      </c>
      <c r="U1383" s="47">
        <v>0</v>
      </c>
      <c r="V1383" s="47">
        <v>0</v>
      </c>
      <c r="W1383" s="47">
        <v>1500</v>
      </c>
      <c r="X1383" s="47">
        <v>39</v>
      </c>
      <c r="Y1383" s="47"/>
      <c r="Z1383" s="47" t="s">
        <v>2524</v>
      </c>
      <c r="AA1383" s="49"/>
      <c r="AB1383" s="49"/>
      <c r="AC1383" s="49"/>
      <c r="AD1383" s="50"/>
      <c r="AE1383" s="47" t="s">
        <v>2525</v>
      </c>
      <c r="AF1383" s="47">
        <v>20</v>
      </c>
      <c r="AG1383"/>
      <c r="AH1383"/>
      <c r="AI1383"/>
      <c r="AJ1383"/>
      <c r="AK1383"/>
      <c r="AL1383"/>
      <c r="AM1383"/>
      <c r="AN1383"/>
      <c r="AO1383"/>
      <c r="AP1383"/>
      <c r="AQ1383" t="s">
        <v>2526</v>
      </c>
      <c r="AU1383">
        <v>1382</v>
      </c>
    </row>
    <row r="1384" spans="1:47" x14ac:dyDescent="0.2">
      <c r="A1384" s="133">
        <v>6333</v>
      </c>
      <c r="B1384" s="39" t="s">
        <v>45</v>
      </c>
      <c r="C1384" s="39">
        <v>100</v>
      </c>
      <c r="D1384" s="29" t="b">
        <v>0</v>
      </c>
      <c r="E1384" s="39" t="s">
        <v>2687</v>
      </c>
      <c r="F1384" s="47" t="s">
        <v>529</v>
      </c>
      <c r="G1384" s="47" t="s">
        <v>205</v>
      </c>
      <c r="H1384"/>
      <c r="I1384" s="47" t="b">
        <v>0</v>
      </c>
      <c r="J1384" s="47" t="b">
        <v>0</v>
      </c>
      <c r="K1384" s="47">
        <v>80</v>
      </c>
      <c r="L1384" s="48">
        <v>7</v>
      </c>
      <c r="M1384" s="47">
        <v>-1</v>
      </c>
      <c r="N1384" s="47">
        <v>-1</v>
      </c>
      <c r="O1384" s="47">
        <v>-1</v>
      </c>
      <c r="P1384" s="47">
        <v>-1</v>
      </c>
      <c r="Q1384" s="47">
        <v>-1</v>
      </c>
      <c r="R1384" s="47">
        <v>-1</v>
      </c>
      <c r="S1384" s="48">
        <v>5</v>
      </c>
      <c r="T1384" s="47">
        <v>0</v>
      </c>
      <c r="U1384" s="47">
        <v>0</v>
      </c>
      <c r="V1384" s="47">
        <v>0</v>
      </c>
      <c r="W1384" s="47">
        <v>500</v>
      </c>
      <c r="X1384" s="47">
        <v>40</v>
      </c>
      <c r="Y1384" s="47"/>
      <c r="Z1384" s="47" t="s">
        <v>2524</v>
      </c>
      <c r="AA1384" s="49"/>
      <c r="AB1384" s="49"/>
      <c r="AC1384" s="49"/>
      <c r="AD1384" s="50"/>
      <c r="AE1384" s="47" t="s">
        <v>2525</v>
      </c>
      <c r="AF1384" s="47">
        <v>35</v>
      </c>
      <c r="AG1384"/>
      <c r="AH1384"/>
      <c r="AI1384"/>
      <c r="AJ1384"/>
      <c r="AK1384"/>
      <c r="AL1384"/>
      <c r="AM1384"/>
      <c r="AN1384"/>
      <c r="AO1384"/>
      <c r="AP1384"/>
      <c r="AQ1384" t="s">
        <v>2526</v>
      </c>
      <c r="AU1384">
        <v>1383</v>
      </c>
    </row>
    <row r="1385" spans="1:47" x14ac:dyDescent="0.2">
      <c r="A1385" s="133">
        <v>6333</v>
      </c>
      <c r="B1385" s="39" t="s">
        <v>45</v>
      </c>
      <c r="C1385" s="39">
        <v>100</v>
      </c>
      <c r="D1385" s="29" t="b">
        <v>0</v>
      </c>
      <c r="E1385" s="39" t="s">
        <v>2688</v>
      </c>
      <c r="F1385" s="47" t="s">
        <v>57</v>
      </c>
      <c r="G1385" s="47" t="s">
        <v>49</v>
      </c>
      <c r="H1385"/>
      <c r="I1385" s="47" t="b">
        <v>0</v>
      </c>
      <c r="J1385" s="47" t="b">
        <v>0</v>
      </c>
      <c r="K1385" s="47">
        <v>80</v>
      </c>
      <c r="L1385" s="48">
        <v>7</v>
      </c>
      <c r="M1385" s="47">
        <v>-1</v>
      </c>
      <c r="N1385" s="47">
        <v>-1</v>
      </c>
      <c r="O1385" s="47">
        <v>-1</v>
      </c>
      <c r="P1385" s="47">
        <v>-1</v>
      </c>
      <c r="Q1385" s="47">
        <v>-1</v>
      </c>
      <c r="R1385" s="47">
        <v>-1</v>
      </c>
      <c r="S1385" s="48">
        <v>5</v>
      </c>
      <c r="T1385" s="47">
        <v>0</v>
      </c>
      <c r="U1385" s="47">
        <v>0</v>
      </c>
      <c r="V1385" s="47">
        <v>0</v>
      </c>
      <c r="W1385" s="47">
        <v>500</v>
      </c>
      <c r="X1385" s="47">
        <v>41</v>
      </c>
      <c r="Y1385" s="47"/>
      <c r="Z1385" s="47" t="s">
        <v>2524</v>
      </c>
      <c r="AA1385" s="49"/>
      <c r="AB1385" s="49"/>
      <c r="AC1385" s="49"/>
      <c r="AD1385" s="50"/>
      <c r="AE1385" s="47" t="s">
        <v>2525</v>
      </c>
      <c r="AF1385" s="47">
        <v>35</v>
      </c>
      <c r="AG1385"/>
      <c r="AH1385"/>
      <c r="AI1385"/>
      <c r="AJ1385"/>
      <c r="AK1385"/>
      <c r="AL1385"/>
      <c r="AM1385"/>
      <c r="AN1385"/>
      <c r="AO1385"/>
      <c r="AP1385"/>
      <c r="AQ1385" t="s">
        <v>2526</v>
      </c>
      <c r="AU1385">
        <v>1384</v>
      </c>
    </row>
    <row r="1386" spans="1:47" x14ac:dyDescent="0.2">
      <c r="A1386" s="37">
        <v>6334</v>
      </c>
      <c r="B1386" s="38" t="s">
        <v>85</v>
      </c>
      <c r="C1386" s="39" t="s">
        <v>2689</v>
      </c>
      <c r="D1386" s="29"/>
      <c r="E1386" s="38" t="s">
        <v>2690</v>
      </c>
      <c r="F1386" s="32" t="s">
        <v>150</v>
      </c>
      <c r="G1386" s="47" t="s">
        <v>49</v>
      </c>
      <c r="H1386"/>
      <c r="I1386" s="32" t="s">
        <v>2691</v>
      </c>
      <c r="J1386" s="47"/>
      <c r="K1386" s="47">
        <f>12*65</f>
        <v>780</v>
      </c>
      <c r="L1386" s="48">
        <v>3</v>
      </c>
      <c r="M1386" s="47"/>
      <c r="N1386" s="47"/>
      <c r="O1386" s="47"/>
      <c r="P1386" s="47"/>
      <c r="Q1386" s="47"/>
      <c r="R1386" s="47"/>
      <c r="S1386" s="48">
        <v>3</v>
      </c>
      <c r="T1386" s="47">
        <v>1</v>
      </c>
      <c r="U1386" s="47">
        <v>0</v>
      </c>
      <c r="V1386" s="47">
        <v>0</v>
      </c>
      <c r="W1386" s="47"/>
      <c r="X1386" s="47"/>
      <c r="Y1386" s="47" t="s">
        <v>120</v>
      </c>
      <c r="Z1386" s="47" t="s">
        <v>1809</v>
      </c>
      <c r="AA1386" s="49"/>
      <c r="AB1386" s="49"/>
      <c r="AC1386" s="49">
        <v>0.26041666666666669</v>
      </c>
      <c r="AD1386" s="50"/>
      <c r="AE1386" s="47" t="s">
        <v>1810</v>
      </c>
      <c r="AF1386" s="47">
        <v>80</v>
      </c>
      <c r="AG1386"/>
      <c r="AH1386"/>
      <c r="AI1386"/>
      <c r="AJ1386"/>
      <c r="AK1386">
        <v>12</v>
      </c>
      <c r="AL1386"/>
      <c r="AM1386"/>
      <c r="AN1386"/>
      <c r="AO1386"/>
      <c r="AP1386"/>
      <c r="AQ1386" s="32" t="s">
        <v>2692</v>
      </c>
      <c r="AU1386">
        <v>1385</v>
      </c>
    </row>
    <row r="1387" spans="1:47" x14ac:dyDescent="0.2">
      <c r="A1387" s="133">
        <v>6334</v>
      </c>
      <c r="B1387" s="39" t="s">
        <v>45</v>
      </c>
      <c r="C1387" s="39">
        <v>100</v>
      </c>
      <c r="D1387" s="29" t="b">
        <v>0</v>
      </c>
      <c r="E1387" s="39" t="s">
        <v>2693</v>
      </c>
      <c r="F1387" s="47" t="s">
        <v>57</v>
      </c>
      <c r="G1387" s="47" t="s">
        <v>49</v>
      </c>
      <c r="H1387"/>
      <c r="I1387" s="47" t="b">
        <v>0</v>
      </c>
      <c r="J1387" s="47" t="b">
        <v>1</v>
      </c>
      <c r="K1387" s="47">
        <v>160</v>
      </c>
      <c r="L1387" s="48">
        <v>1</v>
      </c>
      <c r="M1387" s="47">
        <v>-1</v>
      </c>
      <c r="N1387" s="47">
        <v>-1</v>
      </c>
      <c r="O1387" s="47">
        <v>-1</v>
      </c>
      <c r="P1387" s="47">
        <v>-1</v>
      </c>
      <c r="Q1387" s="47">
        <v>-1</v>
      </c>
      <c r="R1387" s="47">
        <v>-1</v>
      </c>
      <c r="S1387" s="48">
        <v>1</v>
      </c>
      <c r="T1387" s="47">
        <v>0</v>
      </c>
      <c r="U1387" s="47">
        <v>0</v>
      </c>
      <c r="V1387" s="47">
        <v>0</v>
      </c>
      <c r="W1387" s="47"/>
      <c r="X1387" s="47">
        <v>42</v>
      </c>
      <c r="Y1387" s="47"/>
      <c r="Z1387" s="47" t="s">
        <v>2524</v>
      </c>
      <c r="AA1387" s="49"/>
      <c r="AB1387" s="49"/>
      <c r="AC1387" s="49"/>
      <c r="AD1387" s="50"/>
      <c r="AE1387" s="47" t="s">
        <v>2525</v>
      </c>
      <c r="AF1387" s="47">
        <v>40</v>
      </c>
      <c r="AG1387"/>
      <c r="AH1387"/>
      <c r="AI1387"/>
      <c r="AJ1387"/>
      <c r="AK1387"/>
      <c r="AL1387"/>
      <c r="AM1387"/>
      <c r="AN1387"/>
      <c r="AO1387"/>
      <c r="AP1387"/>
      <c r="AQ1387" t="s">
        <v>2526</v>
      </c>
      <c r="AU1387">
        <v>1386</v>
      </c>
    </row>
    <row r="1388" spans="1:47" x14ac:dyDescent="0.2">
      <c r="A1388" s="133">
        <v>6334</v>
      </c>
      <c r="B1388" s="39" t="s">
        <v>45</v>
      </c>
      <c r="C1388" s="39" t="s">
        <v>142</v>
      </c>
      <c r="D1388" s="29"/>
      <c r="E1388" s="39" t="s">
        <v>2694</v>
      </c>
      <c r="F1388" s="47" t="s">
        <v>2695</v>
      </c>
      <c r="G1388" s="47" t="s">
        <v>73</v>
      </c>
      <c r="H1388"/>
      <c r="I1388" s="47" t="s">
        <v>2696</v>
      </c>
      <c r="J1388" s="47"/>
      <c r="K1388" s="47">
        <f>(166*10+42*25)*2.2</f>
        <v>5962.0000000000009</v>
      </c>
      <c r="L1388" s="48">
        <v>19</v>
      </c>
      <c r="M1388" s="47">
        <v>1</v>
      </c>
      <c r="N1388" s="47">
        <v>1</v>
      </c>
      <c r="O1388" s="47"/>
      <c r="P1388" s="47"/>
      <c r="Q1388" s="47"/>
      <c r="R1388" s="47"/>
      <c r="S1388" s="48">
        <v>17</v>
      </c>
      <c r="T1388" s="47">
        <v>0</v>
      </c>
      <c r="U1388" s="47">
        <v>0</v>
      </c>
      <c r="V1388" s="47">
        <v>0</v>
      </c>
      <c r="W1388" s="47"/>
      <c r="X1388" s="47"/>
      <c r="Y1388" s="47" t="s">
        <v>120</v>
      </c>
      <c r="Z1388" s="31" t="s">
        <v>2203</v>
      </c>
      <c r="AA1388" s="49">
        <v>0.89583333333333337</v>
      </c>
      <c r="AB1388" s="49"/>
      <c r="AC1388" s="49"/>
      <c r="AD1388" s="50"/>
      <c r="AE1388" s="47" t="s">
        <v>2470</v>
      </c>
      <c r="AF1388" s="47"/>
      <c r="AG1388"/>
      <c r="AH1388"/>
      <c r="AI1388"/>
      <c r="AJ1388"/>
      <c r="AK1388">
        <f>166+42</f>
        <v>208</v>
      </c>
      <c r="AL1388"/>
      <c r="AM1388"/>
      <c r="AN1388"/>
      <c r="AO1388"/>
      <c r="AP1388"/>
      <c r="AQ1388" s="32" t="s">
        <v>2655</v>
      </c>
      <c r="AU1388">
        <v>1387</v>
      </c>
    </row>
    <row r="1389" spans="1:47" x14ac:dyDescent="0.2">
      <c r="A1389" s="26">
        <v>6334</v>
      </c>
      <c r="B1389" s="27" t="s">
        <v>45</v>
      </c>
      <c r="C1389" s="28"/>
      <c r="D1389" s="29"/>
      <c r="E1389" s="30" t="s">
        <v>1531</v>
      </c>
      <c r="H1389" s="32">
        <v>1</v>
      </c>
      <c r="I1389" s="32" t="s">
        <v>2697</v>
      </c>
      <c r="AM1389" s="32">
        <f>498*51</f>
        <v>25398</v>
      </c>
      <c r="AO1389" s="32" t="s">
        <v>1533</v>
      </c>
      <c r="AQ1389" s="32" t="s">
        <v>1101</v>
      </c>
      <c r="AU1389">
        <v>1388</v>
      </c>
    </row>
    <row r="1390" spans="1:47" x14ac:dyDescent="0.2">
      <c r="A1390" s="26">
        <v>6334</v>
      </c>
      <c r="B1390" s="27" t="s">
        <v>45</v>
      </c>
      <c r="C1390" s="28"/>
      <c r="D1390" s="29"/>
      <c r="E1390" s="150" t="s">
        <v>2286</v>
      </c>
      <c r="H1390" s="32">
        <v>0</v>
      </c>
      <c r="I1390" s="32" t="s">
        <v>1824</v>
      </c>
      <c r="AG1390" s="32">
        <v>0</v>
      </c>
      <c r="AH1390" s="32">
        <v>0</v>
      </c>
      <c r="AI1390" s="32">
        <v>0</v>
      </c>
      <c r="AK1390" s="32">
        <v>0</v>
      </c>
      <c r="AM1390" s="32">
        <v>9000</v>
      </c>
      <c r="AO1390" s="73" t="s">
        <v>75</v>
      </c>
      <c r="AQ1390" s="32" t="s">
        <v>589</v>
      </c>
      <c r="AU1390">
        <v>1389</v>
      </c>
    </row>
    <row r="1391" spans="1:47" x14ac:dyDescent="0.2">
      <c r="A1391" s="44">
        <v>6335</v>
      </c>
      <c r="B1391" s="42" t="s">
        <v>85</v>
      </c>
      <c r="C1391" s="43" t="s">
        <v>2698</v>
      </c>
      <c r="D1391" s="29"/>
      <c r="E1391" s="121" t="s">
        <v>2699</v>
      </c>
      <c r="F1391" s="31" t="s">
        <v>881</v>
      </c>
      <c r="H1391" s="32"/>
      <c r="I1391" s="32" t="s">
        <v>2700</v>
      </c>
      <c r="K1391" s="31">
        <f>48*10*2.2</f>
        <v>1056</v>
      </c>
      <c r="L1391" s="33">
        <v>12</v>
      </c>
      <c r="S1391" s="33">
        <v>12</v>
      </c>
      <c r="T1391" s="31">
        <v>0</v>
      </c>
      <c r="U1391" s="31">
        <v>0</v>
      </c>
      <c r="V1391" s="31">
        <v>0</v>
      </c>
      <c r="Y1391" s="31" t="s">
        <v>120</v>
      </c>
      <c r="Z1391" s="47" t="s">
        <v>1809</v>
      </c>
      <c r="AA1391" s="34">
        <v>0.3611111111111111</v>
      </c>
      <c r="AB1391" s="34">
        <v>0.51388888888888895</v>
      </c>
      <c r="AC1391" s="49">
        <f>AVERAGE(AA1391:AB1391)</f>
        <v>0.4375</v>
      </c>
      <c r="AD1391" s="50">
        <f>(AB1391-AA1391)*24</f>
        <v>3.6666666666666683</v>
      </c>
      <c r="AE1391" s="47" t="s">
        <v>2470</v>
      </c>
      <c r="AK1391" s="32">
        <v>48</v>
      </c>
      <c r="AO1391" s="73"/>
      <c r="AQ1391" s="32" t="s">
        <v>2701</v>
      </c>
      <c r="AU1391">
        <v>1390</v>
      </c>
    </row>
    <row r="1392" spans="1:47" x14ac:dyDescent="0.2">
      <c r="A1392" s="26">
        <v>6335</v>
      </c>
      <c r="B1392" s="27">
        <v>0.99930555555555556</v>
      </c>
      <c r="C1392" s="28"/>
      <c r="D1392" s="29"/>
      <c r="E1392" s="30" t="s">
        <v>2323</v>
      </c>
      <c r="H1392" s="32">
        <v>1</v>
      </c>
      <c r="I1392" s="32" t="s">
        <v>2702</v>
      </c>
      <c r="AK1392" s="32">
        <v>20</v>
      </c>
      <c r="AO1392" s="32" t="s">
        <v>2325</v>
      </c>
      <c r="AQ1392" s="32">
        <v>418</v>
      </c>
      <c r="AU1392">
        <v>1391</v>
      </c>
    </row>
    <row r="1393" spans="1:47" x14ac:dyDescent="0.2">
      <c r="A1393" s="133">
        <v>6336</v>
      </c>
      <c r="B1393" s="39" t="s">
        <v>45</v>
      </c>
      <c r="C1393" s="39">
        <v>100</v>
      </c>
      <c r="D1393" s="29" t="b">
        <v>0</v>
      </c>
      <c r="E1393" s="39" t="s">
        <v>2703</v>
      </c>
      <c r="F1393" s="47" t="s">
        <v>2704</v>
      </c>
      <c r="G1393" s="47" t="s">
        <v>205</v>
      </c>
      <c r="H1393"/>
      <c r="I1393" s="47" t="b">
        <v>1</v>
      </c>
      <c r="J1393" s="47" t="b">
        <v>1</v>
      </c>
      <c r="K1393" s="47">
        <v>1280</v>
      </c>
      <c r="L1393" s="48">
        <v>9</v>
      </c>
      <c r="M1393" s="47">
        <v>-1</v>
      </c>
      <c r="N1393" s="47">
        <v>-1</v>
      </c>
      <c r="O1393" s="47">
        <v>-1</v>
      </c>
      <c r="P1393" s="47">
        <v>-1</v>
      </c>
      <c r="Q1393" s="47">
        <v>-1</v>
      </c>
      <c r="R1393" s="47">
        <v>-1</v>
      </c>
      <c r="S1393" s="48">
        <v>8</v>
      </c>
      <c r="T1393" s="47">
        <v>1</v>
      </c>
      <c r="U1393" s="47">
        <v>0</v>
      </c>
      <c r="V1393" s="47">
        <v>0</v>
      </c>
      <c r="W1393" s="47">
        <v>400</v>
      </c>
      <c r="X1393" s="47">
        <v>43</v>
      </c>
      <c r="Y1393" s="47"/>
      <c r="Z1393" s="47" t="s">
        <v>2524</v>
      </c>
      <c r="AA1393" s="49"/>
      <c r="AB1393" s="49"/>
      <c r="AC1393" s="49"/>
      <c r="AD1393" s="50"/>
      <c r="AE1393" s="47" t="s">
        <v>2525</v>
      </c>
      <c r="AF1393" s="47">
        <v>40</v>
      </c>
      <c r="AG1393"/>
      <c r="AH1393"/>
      <c r="AI1393"/>
      <c r="AJ1393"/>
      <c r="AK1393"/>
      <c r="AL1393"/>
      <c r="AM1393"/>
      <c r="AN1393"/>
      <c r="AO1393"/>
      <c r="AP1393"/>
      <c r="AQ1393" t="s">
        <v>2526</v>
      </c>
      <c r="AU1393">
        <v>1392</v>
      </c>
    </row>
    <row r="1394" spans="1:47" x14ac:dyDescent="0.2">
      <c r="A1394" s="133">
        <v>6336</v>
      </c>
      <c r="B1394" s="39" t="s">
        <v>45</v>
      </c>
      <c r="C1394" s="39">
        <v>100</v>
      </c>
      <c r="D1394" s="29" t="b">
        <v>0</v>
      </c>
      <c r="E1394" s="39" t="s">
        <v>2703</v>
      </c>
      <c r="F1394" s="47" t="s">
        <v>529</v>
      </c>
      <c r="G1394" s="47" t="s">
        <v>205</v>
      </c>
      <c r="H1394"/>
      <c r="I1394" s="47" t="b">
        <v>0</v>
      </c>
      <c r="J1394" s="47" t="b">
        <v>0</v>
      </c>
      <c r="K1394" s="47">
        <v>840</v>
      </c>
      <c r="L1394" s="48">
        <v>9</v>
      </c>
      <c r="M1394" s="47">
        <v>-1</v>
      </c>
      <c r="N1394" s="47">
        <v>-1</v>
      </c>
      <c r="O1394" s="47">
        <v>-1</v>
      </c>
      <c r="P1394" s="47">
        <v>-1</v>
      </c>
      <c r="Q1394" s="47">
        <v>-1</v>
      </c>
      <c r="R1394" s="47">
        <v>-1</v>
      </c>
      <c r="S1394" s="48">
        <v>8</v>
      </c>
      <c r="T1394" s="47">
        <v>1</v>
      </c>
      <c r="U1394" s="47">
        <v>0</v>
      </c>
      <c r="V1394" s="47">
        <v>0</v>
      </c>
      <c r="W1394" s="47">
        <v>400</v>
      </c>
      <c r="X1394" s="47">
        <v>44</v>
      </c>
      <c r="Y1394" s="47"/>
      <c r="Z1394" s="47" t="s">
        <v>2524</v>
      </c>
      <c r="AA1394" s="49"/>
      <c r="AB1394" s="49"/>
      <c r="AC1394" s="49"/>
      <c r="AD1394" s="50"/>
      <c r="AE1394" s="47" t="s">
        <v>2525</v>
      </c>
      <c r="AF1394" s="47">
        <v>40</v>
      </c>
      <c r="AG1394"/>
      <c r="AH1394"/>
      <c r="AI1394"/>
      <c r="AJ1394"/>
      <c r="AK1394"/>
      <c r="AL1394"/>
      <c r="AM1394"/>
      <c r="AN1394"/>
      <c r="AO1394"/>
      <c r="AP1394"/>
      <c r="AQ1394" t="s">
        <v>2526</v>
      </c>
      <c r="AU1394">
        <v>1393</v>
      </c>
    </row>
    <row r="1395" spans="1:47" x14ac:dyDescent="0.2">
      <c r="A1395" s="133">
        <v>6336</v>
      </c>
      <c r="B1395" s="39" t="s">
        <v>45</v>
      </c>
      <c r="C1395" s="39">
        <v>100</v>
      </c>
      <c r="D1395" s="29" t="b">
        <v>0</v>
      </c>
      <c r="E1395" s="39" t="s">
        <v>2703</v>
      </c>
      <c r="F1395" s="47" t="s">
        <v>1224</v>
      </c>
      <c r="G1395" s="47" t="s">
        <v>459</v>
      </c>
      <c r="H1395"/>
      <c r="I1395" s="47" t="b">
        <v>0</v>
      </c>
      <c r="J1395" s="47" t="b">
        <v>0</v>
      </c>
      <c r="K1395" s="47">
        <v>40</v>
      </c>
      <c r="L1395" s="48">
        <v>9</v>
      </c>
      <c r="M1395" s="47">
        <v>-1</v>
      </c>
      <c r="N1395" s="47">
        <v>-1</v>
      </c>
      <c r="O1395" s="47">
        <v>-1</v>
      </c>
      <c r="P1395" s="47">
        <v>-1</v>
      </c>
      <c r="Q1395" s="47">
        <v>-1</v>
      </c>
      <c r="R1395" s="47">
        <v>-1</v>
      </c>
      <c r="S1395" s="48">
        <v>8</v>
      </c>
      <c r="T1395" s="47">
        <v>1</v>
      </c>
      <c r="U1395" s="47">
        <v>0</v>
      </c>
      <c r="V1395" s="47">
        <v>0</v>
      </c>
      <c r="W1395" s="47"/>
      <c r="X1395" s="47">
        <v>45</v>
      </c>
      <c r="Y1395" s="47"/>
      <c r="Z1395" s="47" t="s">
        <v>2524</v>
      </c>
      <c r="AA1395" s="49"/>
      <c r="AB1395" s="49"/>
      <c r="AC1395" s="49"/>
      <c r="AD1395" s="50"/>
      <c r="AE1395" s="47" t="s">
        <v>2525</v>
      </c>
      <c r="AF1395" s="47">
        <v>40</v>
      </c>
      <c r="AG1395"/>
      <c r="AH1395"/>
      <c r="AI1395"/>
      <c r="AJ1395"/>
      <c r="AK1395"/>
      <c r="AL1395"/>
      <c r="AM1395"/>
      <c r="AN1395"/>
      <c r="AO1395"/>
      <c r="AP1395"/>
      <c r="AQ1395" t="s">
        <v>2526</v>
      </c>
      <c r="AU1395">
        <v>1394</v>
      </c>
    </row>
    <row r="1396" spans="1:47" x14ac:dyDescent="0.2">
      <c r="A1396" s="133">
        <v>6336</v>
      </c>
      <c r="B1396" s="39" t="s">
        <v>45</v>
      </c>
      <c r="C1396" s="39" t="s">
        <v>142</v>
      </c>
      <c r="D1396" s="29"/>
      <c r="E1396" s="39" t="s">
        <v>2705</v>
      </c>
      <c r="F1396" s="47" t="s">
        <v>2706</v>
      </c>
      <c r="G1396" s="47" t="s">
        <v>49</v>
      </c>
      <c r="H1396"/>
      <c r="I1396" s="47" t="s">
        <v>2707</v>
      </c>
      <c r="J1396" s="47"/>
      <c r="K1396" s="47">
        <f>(154*10+45*25+10*0.555)*2.2</f>
        <v>5875.2100000000009</v>
      </c>
      <c r="L1396" s="48">
        <v>20</v>
      </c>
      <c r="M1396" s="47"/>
      <c r="N1396" s="47">
        <v>2</v>
      </c>
      <c r="O1396" s="47"/>
      <c r="P1396" s="47"/>
      <c r="Q1396" s="47"/>
      <c r="R1396" s="47"/>
      <c r="S1396" s="48">
        <v>18</v>
      </c>
      <c r="T1396" s="47">
        <v>0</v>
      </c>
      <c r="U1396" s="47">
        <v>0</v>
      </c>
      <c r="V1396" s="47">
        <v>0</v>
      </c>
      <c r="W1396" s="47"/>
      <c r="X1396" s="47"/>
      <c r="Y1396" s="47" t="s">
        <v>51</v>
      </c>
      <c r="Z1396" s="31" t="s">
        <v>2203</v>
      </c>
      <c r="AA1396" s="49">
        <v>0.88194444444444453</v>
      </c>
      <c r="AB1396" s="49"/>
      <c r="AC1396" s="49"/>
      <c r="AD1396" s="50"/>
      <c r="AE1396" s="47" t="s">
        <v>2470</v>
      </c>
      <c r="AF1396" s="47"/>
      <c r="AG1396"/>
      <c r="AH1396"/>
      <c r="AI1396"/>
      <c r="AJ1396"/>
      <c r="AK1396">
        <v>209</v>
      </c>
      <c r="AL1396"/>
      <c r="AM1396"/>
      <c r="AN1396"/>
      <c r="AO1396"/>
      <c r="AP1396"/>
      <c r="AQ1396" s="32" t="s">
        <v>2701</v>
      </c>
      <c r="AU1396">
        <v>1395</v>
      </c>
    </row>
    <row r="1397" spans="1:47" x14ac:dyDescent="0.2">
      <c r="A1397" s="26">
        <v>6337</v>
      </c>
      <c r="B1397" s="27" t="s">
        <v>45</v>
      </c>
      <c r="C1397" s="28"/>
      <c r="D1397" s="29"/>
      <c r="E1397" s="30" t="s">
        <v>1531</v>
      </c>
      <c r="H1397" s="32">
        <v>0</v>
      </c>
      <c r="I1397" s="32" t="s">
        <v>1532</v>
      </c>
      <c r="AG1397" s="32">
        <v>0</v>
      </c>
      <c r="AH1397" s="32">
        <v>0</v>
      </c>
      <c r="AI1397" s="32">
        <v>0</v>
      </c>
      <c r="AK1397" s="32">
        <v>0</v>
      </c>
      <c r="AM1397" s="32">
        <f>498*23</f>
        <v>11454</v>
      </c>
      <c r="AO1397" s="32" t="s">
        <v>1533</v>
      </c>
      <c r="AQ1397" s="32" t="s">
        <v>1101</v>
      </c>
      <c r="AU1397">
        <v>1396</v>
      </c>
    </row>
    <row r="1398" spans="1:47" x14ac:dyDescent="0.2">
      <c r="A1398" s="26">
        <v>6337</v>
      </c>
      <c r="B1398" s="27" t="s">
        <v>45</v>
      </c>
      <c r="C1398" s="28"/>
      <c r="D1398" s="29"/>
      <c r="E1398" s="150" t="s">
        <v>2286</v>
      </c>
      <c r="H1398" s="32">
        <v>0</v>
      </c>
      <c r="I1398" s="32" t="s">
        <v>1824</v>
      </c>
      <c r="AG1398" s="32">
        <v>0</v>
      </c>
      <c r="AH1398" s="32">
        <v>0</v>
      </c>
      <c r="AI1398" s="32">
        <v>0</v>
      </c>
      <c r="AK1398" s="32">
        <v>0</v>
      </c>
      <c r="AM1398" s="32">
        <v>5500</v>
      </c>
      <c r="AO1398" s="73" t="s">
        <v>75</v>
      </c>
      <c r="AQ1398" s="32" t="s">
        <v>589</v>
      </c>
      <c r="AU1398">
        <v>1397</v>
      </c>
    </row>
    <row r="1399" spans="1:47" x14ac:dyDescent="0.2">
      <c r="A1399" s="133">
        <v>6339</v>
      </c>
      <c r="B1399" s="39" t="s">
        <v>45</v>
      </c>
      <c r="C1399" s="39">
        <v>100</v>
      </c>
      <c r="D1399" s="29" t="b">
        <v>0</v>
      </c>
      <c r="E1399" s="39" t="s">
        <v>2703</v>
      </c>
      <c r="F1399" s="47" t="s">
        <v>2708</v>
      </c>
      <c r="G1399" s="47" t="s">
        <v>205</v>
      </c>
      <c r="H1399"/>
      <c r="I1399" s="47" t="b">
        <v>1</v>
      </c>
      <c r="J1399" s="47" t="b">
        <v>1</v>
      </c>
      <c r="K1399" s="47">
        <v>968</v>
      </c>
      <c r="L1399" s="48">
        <v>6</v>
      </c>
      <c r="M1399" s="47">
        <v>-1</v>
      </c>
      <c r="N1399" s="47">
        <v>-1</v>
      </c>
      <c r="O1399" s="47">
        <v>-1</v>
      </c>
      <c r="P1399" s="47">
        <v>-1</v>
      </c>
      <c r="Q1399" s="47">
        <v>-1</v>
      </c>
      <c r="R1399" s="47">
        <v>-1</v>
      </c>
      <c r="S1399" s="48">
        <v>6</v>
      </c>
      <c r="T1399" s="47">
        <v>0</v>
      </c>
      <c r="U1399" s="47">
        <v>0</v>
      </c>
      <c r="V1399" s="47">
        <v>0</v>
      </c>
      <c r="W1399" s="47"/>
      <c r="X1399" s="47">
        <v>46</v>
      </c>
      <c r="Y1399" s="47"/>
      <c r="Z1399" s="47" t="s">
        <v>2524</v>
      </c>
      <c r="AA1399" s="49"/>
      <c r="AB1399" s="49"/>
      <c r="AC1399" s="49"/>
      <c r="AD1399" s="50"/>
      <c r="AE1399" s="47" t="s">
        <v>2525</v>
      </c>
      <c r="AF1399" s="47">
        <v>40</v>
      </c>
      <c r="AG1399"/>
      <c r="AH1399"/>
      <c r="AI1399"/>
      <c r="AJ1399"/>
      <c r="AK1399"/>
      <c r="AL1399"/>
      <c r="AM1399"/>
      <c r="AN1399"/>
      <c r="AO1399"/>
      <c r="AP1399"/>
      <c r="AQ1399" t="s">
        <v>2526</v>
      </c>
      <c r="AU1399">
        <v>1398</v>
      </c>
    </row>
    <row r="1400" spans="1:47" x14ac:dyDescent="0.2">
      <c r="A1400" s="133">
        <v>6339</v>
      </c>
      <c r="B1400" s="39" t="s">
        <v>45</v>
      </c>
      <c r="C1400" s="39">
        <v>100</v>
      </c>
      <c r="D1400" s="29" t="b">
        <v>0</v>
      </c>
      <c r="E1400" s="39" t="s">
        <v>2703</v>
      </c>
      <c r="F1400" s="47" t="s">
        <v>529</v>
      </c>
      <c r="G1400" s="47" t="s">
        <v>205</v>
      </c>
      <c r="H1400"/>
      <c r="I1400" s="47" t="b">
        <v>0</v>
      </c>
      <c r="J1400" s="47" t="b">
        <v>0</v>
      </c>
      <c r="K1400" s="47">
        <v>728</v>
      </c>
      <c r="L1400" s="48">
        <v>6</v>
      </c>
      <c r="M1400" s="47">
        <v>-1</v>
      </c>
      <c r="N1400" s="47">
        <v>-1</v>
      </c>
      <c r="O1400" s="47">
        <v>-1</v>
      </c>
      <c r="P1400" s="47">
        <v>-1</v>
      </c>
      <c r="Q1400" s="47">
        <v>-1</v>
      </c>
      <c r="R1400" s="47">
        <v>-1</v>
      </c>
      <c r="S1400" s="48">
        <v>6</v>
      </c>
      <c r="T1400" s="47">
        <v>0</v>
      </c>
      <c r="U1400" s="47">
        <v>0</v>
      </c>
      <c r="V1400" s="47">
        <v>0</v>
      </c>
      <c r="W1400" s="47"/>
      <c r="X1400" s="47">
        <v>47</v>
      </c>
      <c r="Y1400" s="47"/>
      <c r="Z1400" s="47" t="s">
        <v>2524</v>
      </c>
      <c r="AA1400" s="49"/>
      <c r="AB1400" s="49"/>
      <c r="AC1400" s="49"/>
      <c r="AD1400" s="50"/>
      <c r="AE1400" s="47" t="s">
        <v>2525</v>
      </c>
      <c r="AF1400" s="47">
        <v>40</v>
      </c>
      <c r="AG1400"/>
      <c r="AH1400"/>
      <c r="AI1400"/>
      <c r="AJ1400"/>
      <c r="AK1400"/>
      <c r="AL1400"/>
      <c r="AM1400"/>
      <c r="AN1400"/>
      <c r="AO1400"/>
      <c r="AP1400"/>
      <c r="AQ1400" t="s">
        <v>2526</v>
      </c>
      <c r="AU1400">
        <v>1399</v>
      </c>
    </row>
    <row r="1401" spans="1:47" x14ac:dyDescent="0.2">
      <c r="A1401" s="133">
        <v>6339</v>
      </c>
      <c r="B1401" s="39" t="s">
        <v>45</v>
      </c>
      <c r="C1401" s="39">
        <v>100</v>
      </c>
      <c r="D1401" s="29" t="b">
        <v>0</v>
      </c>
      <c r="E1401" s="39" t="s">
        <v>2703</v>
      </c>
      <c r="F1401" s="47" t="s">
        <v>2709</v>
      </c>
      <c r="G1401" s="47" t="s">
        <v>73</v>
      </c>
      <c r="H1401"/>
      <c r="I1401" s="47" t="b">
        <v>0</v>
      </c>
      <c r="J1401" s="47" t="b">
        <v>0</v>
      </c>
      <c r="K1401" s="47">
        <v>240</v>
      </c>
      <c r="L1401" s="48">
        <v>6</v>
      </c>
      <c r="M1401" s="47">
        <v>-1</v>
      </c>
      <c r="N1401" s="47">
        <v>-1</v>
      </c>
      <c r="O1401" s="47">
        <v>-1</v>
      </c>
      <c r="P1401" s="47">
        <v>-1</v>
      </c>
      <c r="Q1401" s="47">
        <v>-1</v>
      </c>
      <c r="R1401" s="47">
        <v>-1</v>
      </c>
      <c r="S1401" s="48">
        <v>6</v>
      </c>
      <c r="T1401" s="47">
        <v>0</v>
      </c>
      <c r="U1401" s="47">
        <v>0</v>
      </c>
      <c r="V1401" s="47">
        <v>0</v>
      </c>
      <c r="W1401" s="47"/>
      <c r="X1401" s="47">
        <v>48</v>
      </c>
      <c r="Y1401" s="47"/>
      <c r="Z1401" s="47" t="s">
        <v>2524</v>
      </c>
      <c r="AA1401" s="49"/>
      <c r="AB1401" s="49"/>
      <c r="AC1401" s="49"/>
      <c r="AD1401" s="50"/>
      <c r="AE1401" s="47" t="s">
        <v>2525</v>
      </c>
      <c r="AF1401" s="47">
        <v>40</v>
      </c>
      <c r="AG1401"/>
      <c r="AH1401"/>
      <c r="AI1401"/>
      <c r="AJ1401"/>
      <c r="AK1401"/>
      <c r="AL1401"/>
      <c r="AM1401"/>
      <c r="AN1401"/>
      <c r="AO1401"/>
      <c r="AP1401"/>
      <c r="AQ1401" t="s">
        <v>2526</v>
      </c>
      <c r="AU1401">
        <v>1400</v>
      </c>
    </row>
    <row r="1402" spans="1:47" x14ac:dyDescent="0.2">
      <c r="A1402" s="133">
        <v>6339</v>
      </c>
      <c r="B1402" s="39" t="s">
        <v>45</v>
      </c>
      <c r="C1402" s="39" t="s">
        <v>142</v>
      </c>
      <c r="D1402" s="29" t="s">
        <v>120</v>
      </c>
      <c r="E1402" s="39" t="s">
        <v>881</v>
      </c>
      <c r="F1402" s="47"/>
      <c r="G1402" s="47"/>
      <c r="H1402"/>
      <c r="I1402" s="47" t="s">
        <v>2710</v>
      </c>
      <c r="J1402" s="47"/>
      <c r="K1402" s="47"/>
      <c r="L1402" s="48">
        <v>2</v>
      </c>
      <c r="M1402" s="47">
        <v>2</v>
      </c>
      <c r="N1402" s="47"/>
      <c r="O1402" s="47"/>
      <c r="P1402" s="47"/>
      <c r="Q1402" s="47"/>
      <c r="R1402" s="47"/>
      <c r="S1402" s="48">
        <v>0</v>
      </c>
      <c r="T1402" s="47"/>
      <c r="U1402" s="47"/>
      <c r="V1402" s="47"/>
      <c r="W1402" s="47"/>
      <c r="X1402" s="47"/>
      <c r="Y1402" s="47"/>
      <c r="Z1402" s="31" t="s">
        <v>2203</v>
      </c>
      <c r="AA1402" s="49">
        <v>0.875</v>
      </c>
      <c r="AB1402" s="49"/>
      <c r="AC1402" s="49"/>
      <c r="AD1402" s="50"/>
      <c r="AE1402" s="47" t="s">
        <v>2470</v>
      </c>
      <c r="AF1402" s="47"/>
      <c r="AG1402"/>
      <c r="AH1402"/>
      <c r="AI1402"/>
      <c r="AJ1402"/>
      <c r="AK1402"/>
      <c r="AL1402"/>
      <c r="AM1402"/>
      <c r="AN1402"/>
      <c r="AO1402"/>
      <c r="AP1402"/>
      <c r="AQ1402" s="32" t="s">
        <v>2701</v>
      </c>
      <c r="AU1402">
        <v>1401</v>
      </c>
    </row>
    <row r="1403" spans="1:47" x14ac:dyDescent="0.2">
      <c r="A1403" s="133">
        <v>6341</v>
      </c>
      <c r="B1403" s="39" t="s">
        <v>85</v>
      </c>
      <c r="C1403" s="39" t="s">
        <v>142</v>
      </c>
      <c r="D1403" s="29"/>
      <c r="E1403" s="39" t="s">
        <v>2711</v>
      </c>
      <c r="F1403" s="47" t="s">
        <v>1900</v>
      </c>
      <c r="G1403" s="47" t="s">
        <v>69</v>
      </c>
      <c r="H1403"/>
      <c r="I1403" s="47" t="s">
        <v>2712</v>
      </c>
      <c r="J1403" s="47"/>
      <c r="K1403" s="47">
        <f>12*10*2.2</f>
        <v>264</v>
      </c>
      <c r="L1403" s="48">
        <v>4</v>
      </c>
      <c r="M1403" s="47"/>
      <c r="N1403" s="47">
        <v>1</v>
      </c>
      <c r="O1403" s="47"/>
      <c r="P1403" s="47"/>
      <c r="Q1403" s="47"/>
      <c r="R1403" s="47"/>
      <c r="S1403" s="48">
        <v>3</v>
      </c>
      <c r="T1403" s="47">
        <v>0</v>
      </c>
      <c r="U1403" s="47">
        <v>1</v>
      </c>
      <c r="V1403" s="47">
        <v>0</v>
      </c>
      <c r="W1403" s="47"/>
      <c r="X1403" s="47"/>
      <c r="Y1403" s="47" t="s">
        <v>51</v>
      </c>
      <c r="Z1403" s="47" t="s">
        <v>1809</v>
      </c>
      <c r="AA1403" s="49">
        <v>0.37847222222222227</v>
      </c>
      <c r="AB1403" s="49">
        <v>0.47916666666666669</v>
      </c>
      <c r="AC1403" s="49">
        <f>AVERAGE(AA1403:AB1403)</f>
        <v>0.42881944444444448</v>
      </c>
      <c r="AD1403" s="50">
        <f>(AB1403-AA1403)*24</f>
        <v>2.4166666666666661</v>
      </c>
      <c r="AE1403" s="47" t="s">
        <v>2470</v>
      </c>
      <c r="AF1403" s="47"/>
      <c r="AG1403"/>
      <c r="AH1403"/>
      <c r="AI1403"/>
      <c r="AJ1403"/>
      <c r="AK1403">
        <v>12</v>
      </c>
      <c r="AL1403"/>
      <c r="AM1403"/>
      <c r="AN1403"/>
      <c r="AO1403"/>
      <c r="AP1403"/>
      <c r="AQ1403" s="32" t="s">
        <v>2701</v>
      </c>
      <c r="AU1403">
        <v>1402</v>
      </c>
    </row>
    <row r="1404" spans="1:47" x14ac:dyDescent="0.2">
      <c r="A1404" s="133">
        <v>6341</v>
      </c>
      <c r="B1404" s="39" t="s">
        <v>85</v>
      </c>
      <c r="C1404" s="39" t="s">
        <v>142</v>
      </c>
      <c r="D1404" s="29"/>
      <c r="E1404" s="39" t="s">
        <v>2713</v>
      </c>
      <c r="F1404" s="47" t="s">
        <v>2714</v>
      </c>
      <c r="G1404" s="47" t="s">
        <v>69</v>
      </c>
      <c r="H1404"/>
      <c r="I1404" s="47" t="s">
        <v>2715</v>
      </c>
      <c r="J1404" s="47"/>
      <c r="K1404" s="47">
        <f>4*10*2.2</f>
        <v>88</v>
      </c>
      <c r="L1404" s="48">
        <v>1</v>
      </c>
      <c r="M1404" s="47"/>
      <c r="N1404" s="47"/>
      <c r="O1404" s="47"/>
      <c r="P1404" s="47"/>
      <c r="Q1404" s="47"/>
      <c r="R1404" s="47"/>
      <c r="S1404" s="48">
        <v>1</v>
      </c>
      <c r="T1404" s="47">
        <v>0</v>
      </c>
      <c r="U1404" s="47">
        <v>0</v>
      </c>
      <c r="V1404" s="47">
        <v>0</v>
      </c>
      <c r="W1404" s="47"/>
      <c r="X1404" s="47"/>
      <c r="Y1404" s="47" t="s">
        <v>51</v>
      </c>
      <c r="Z1404" s="47" t="s">
        <v>1809</v>
      </c>
      <c r="AA1404" s="49">
        <v>0.56597222222222221</v>
      </c>
      <c r="AB1404" s="49"/>
      <c r="AC1404" s="49"/>
      <c r="AD1404" s="50"/>
      <c r="AE1404" s="47" t="s">
        <v>2470</v>
      </c>
      <c r="AF1404" s="47"/>
      <c r="AG1404"/>
      <c r="AH1404"/>
      <c r="AI1404"/>
      <c r="AJ1404"/>
      <c r="AK1404">
        <v>4</v>
      </c>
      <c r="AL1404"/>
      <c r="AM1404"/>
      <c r="AN1404"/>
      <c r="AO1404"/>
      <c r="AP1404"/>
      <c r="AQ1404" s="32" t="s">
        <v>2701</v>
      </c>
      <c r="AU1404">
        <v>1403</v>
      </c>
    </row>
    <row r="1405" spans="1:47" x14ac:dyDescent="0.2">
      <c r="A1405" s="133">
        <v>6341</v>
      </c>
      <c r="B1405" s="39" t="s">
        <v>45</v>
      </c>
      <c r="C1405" s="39">
        <v>100</v>
      </c>
      <c r="D1405" s="29" t="b">
        <v>0</v>
      </c>
      <c r="E1405" s="39" t="s">
        <v>564</v>
      </c>
      <c r="F1405" s="47" t="s">
        <v>2716</v>
      </c>
      <c r="G1405" s="47" t="s">
        <v>49</v>
      </c>
      <c r="H1405"/>
      <c r="I1405" s="47" t="b">
        <v>1</v>
      </c>
      <c r="J1405" s="47" t="b">
        <v>1</v>
      </c>
      <c r="K1405" s="47">
        <v>432</v>
      </c>
      <c r="L1405" s="48">
        <v>3</v>
      </c>
      <c r="M1405" s="47">
        <v>-1</v>
      </c>
      <c r="N1405" s="47">
        <v>-1</v>
      </c>
      <c r="O1405" s="47">
        <v>-1</v>
      </c>
      <c r="P1405" s="47">
        <v>-1</v>
      </c>
      <c r="Q1405" s="47">
        <v>-1</v>
      </c>
      <c r="R1405" s="47">
        <v>-1</v>
      </c>
      <c r="S1405" s="48">
        <v>3</v>
      </c>
      <c r="T1405" s="47">
        <v>0</v>
      </c>
      <c r="U1405" s="47">
        <v>0</v>
      </c>
      <c r="V1405" s="47">
        <v>0</v>
      </c>
      <c r="W1405" s="47">
        <v>1000</v>
      </c>
      <c r="X1405" s="47">
        <v>49</v>
      </c>
      <c r="Y1405" s="47"/>
      <c r="Z1405" s="47" t="s">
        <v>2524</v>
      </c>
      <c r="AA1405" s="49"/>
      <c r="AB1405" s="49"/>
      <c r="AC1405" s="49"/>
      <c r="AD1405" s="50"/>
      <c r="AE1405" s="47" t="s">
        <v>2525</v>
      </c>
      <c r="AF1405" s="47">
        <v>40</v>
      </c>
      <c r="AG1405"/>
      <c r="AH1405"/>
      <c r="AI1405"/>
      <c r="AJ1405"/>
      <c r="AK1405"/>
      <c r="AL1405"/>
      <c r="AM1405"/>
      <c r="AN1405"/>
      <c r="AO1405"/>
      <c r="AP1405"/>
      <c r="AQ1405" t="s">
        <v>2526</v>
      </c>
      <c r="AU1405">
        <v>1404</v>
      </c>
    </row>
    <row r="1406" spans="1:47" x14ac:dyDescent="0.2">
      <c r="A1406" s="133">
        <v>6341</v>
      </c>
      <c r="B1406" s="39" t="s">
        <v>45</v>
      </c>
      <c r="C1406" s="39">
        <v>100</v>
      </c>
      <c r="D1406" s="29" t="b">
        <v>0</v>
      </c>
      <c r="E1406" s="39" t="s">
        <v>564</v>
      </c>
      <c r="F1406" s="47" t="s">
        <v>2617</v>
      </c>
      <c r="G1406" s="47" t="s">
        <v>49</v>
      </c>
      <c r="H1406"/>
      <c r="I1406" s="47" t="b">
        <v>0</v>
      </c>
      <c r="J1406" s="47" t="b">
        <v>0</v>
      </c>
      <c r="K1406" s="47">
        <v>320</v>
      </c>
      <c r="L1406" s="48">
        <v>3</v>
      </c>
      <c r="M1406" s="47">
        <v>-1</v>
      </c>
      <c r="N1406" s="47">
        <v>-1</v>
      </c>
      <c r="O1406" s="47">
        <v>-1</v>
      </c>
      <c r="P1406" s="47">
        <v>-1</v>
      </c>
      <c r="Q1406" s="47">
        <v>-1</v>
      </c>
      <c r="R1406" s="47">
        <v>-1</v>
      </c>
      <c r="S1406" s="48">
        <v>3</v>
      </c>
      <c r="T1406" s="47">
        <v>0</v>
      </c>
      <c r="U1406" s="47">
        <v>0</v>
      </c>
      <c r="V1406" s="47">
        <v>0</v>
      </c>
      <c r="W1406" s="47">
        <v>500</v>
      </c>
      <c r="X1406" s="47">
        <v>50</v>
      </c>
      <c r="Y1406" s="47"/>
      <c r="Z1406" s="47" t="s">
        <v>2524</v>
      </c>
      <c r="AA1406" s="49"/>
      <c r="AB1406" s="49"/>
      <c r="AC1406" s="49"/>
      <c r="AD1406" s="50"/>
      <c r="AE1406" s="47" t="s">
        <v>2525</v>
      </c>
      <c r="AF1406" s="47">
        <v>40</v>
      </c>
      <c r="AG1406"/>
      <c r="AH1406"/>
      <c r="AI1406"/>
      <c r="AJ1406"/>
      <c r="AK1406"/>
      <c r="AL1406"/>
      <c r="AM1406"/>
      <c r="AN1406"/>
      <c r="AO1406"/>
      <c r="AP1406"/>
      <c r="AQ1406" t="s">
        <v>2526</v>
      </c>
      <c r="AU1406">
        <v>1405</v>
      </c>
    </row>
    <row r="1407" spans="1:47" x14ac:dyDescent="0.2">
      <c r="A1407" s="133">
        <v>6341</v>
      </c>
      <c r="B1407" s="39" t="s">
        <v>45</v>
      </c>
      <c r="C1407" s="39">
        <v>100</v>
      </c>
      <c r="D1407" s="29" t="b">
        <v>0</v>
      </c>
      <c r="E1407" s="39" t="s">
        <v>564</v>
      </c>
      <c r="F1407" s="47" t="s">
        <v>2717</v>
      </c>
      <c r="G1407" s="47" t="s">
        <v>73</v>
      </c>
      <c r="H1407"/>
      <c r="I1407" s="47" t="b">
        <v>0</v>
      </c>
      <c r="J1407" s="47" t="b">
        <v>0</v>
      </c>
      <c r="K1407" s="47">
        <v>112</v>
      </c>
      <c r="L1407" s="48">
        <v>3</v>
      </c>
      <c r="M1407" s="47">
        <v>-1</v>
      </c>
      <c r="N1407" s="47">
        <v>-1</v>
      </c>
      <c r="O1407" s="47">
        <v>-1</v>
      </c>
      <c r="P1407" s="47">
        <v>-1</v>
      </c>
      <c r="Q1407" s="47">
        <v>-1</v>
      </c>
      <c r="R1407" s="47">
        <v>-1</v>
      </c>
      <c r="S1407" s="48">
        <v>3</v>
      </c>
      <c r="T1407" s="47">
        <v>0</v>
      </c>
      <c r="U1407" s="47">
        <v>0</v>
      </c>
      <c r="V1407" s="47">
        <v>0</v>
      </c>
      <c r="W1407" s="47">
        <v>1500</v>
      </c>
      <c r="X1407" s="47">
        <v>51</v>
      </c>
      <c r="Y1407" s="47"/>
      <c r="Z1407" s="47" t="s">
        <v>2524</v>
      </c>
      <c r="AA1407" s="49"/>
      <c r="AB1407" s="49"/>
      <c r="AC1407" s="49"/>
      <c r="AD1407" s="50"/>
      <c r="AE1407" s="47" t="s">
        <v>2525</v>
      </c>
      <c r="AF1407" s="47">
        <v>40</v>
      </c>
      <c r="AG1407"/>
      <c r="AH1407"/>
      <c r="AI1407"/>
      <c r="AJ1407"/>
      <c r="AK1407"/>
      <c r="AL1407"/>
      <c r="AM1407"/>
      <c r="AN1407"/>
      <c r="AO1407"/>
      <c r="AP1407"/>
      <c r="AQ1407" t="s">
        <v>2526</v>
      </c>
      <c r="AU1407">
        <v>1406</v>
      </c>
    </row>
    <row r="1408" spans="1:47" x14ac:dyDescent="0.2">
      <c r="A1408" s="133">
        <v>6342</v>
      </c>
      <c r="B1408" s="39" t="s">
        <v>85</v>
      </c>
      <c r="C1408" s="39" t="s">
        <v>2579</v>
      </c>
      <c r="D1408" s="29"/>
      <c r="E1408" s="39" t="s">
        <v>2718</v>
      </c>
      <c r="F1408" s="47" t="s">
        <v>2719</v>
      </c>
      <c r="G1408" s="47" t="s">
        <v>69</v>
      </c>
      <c r="H1408"/>
      <c r="I1408" s="47" t="s">
        <v>2720</v>
      </c>
      <c r="J1408" s="47"/>
      <c r="K1408" s="47">
        <f>28*10*2.2</f>
        <v>616</v>
      </c>
      <c r="L1408" s="48">
        <v>10</v>
      </c>
      <c r="M1408" s="47"/>
      <c r="N1408" s="47">
        <v>3</v>
      </c>
      <c r="O1408" s="47"/>
      <c r="P1408" s="47"/>
      <c r="Q1408" s="47"/>
      <c r="R1408" s="47"/>
      <c r="S1408" s="48">
        <v>7</v>
      </c>
      <c r="T1408" s="47">
        <v>0</v>
      </c>
      <c r="U1408" s="47">
        <v>0</v>
      </c>
      <c r="V1408" s="47">
        <v>0</v>
      </c>
      <c r="W1408" s="47"/>
      <c r="X1408" s="47"/>
      <c r="Y1408" s="47" t="s">
        <v>51</v>
      </c>
      <c r="Z1408" s="47" t="s">
        <v>1809</v>
      </c>
      <c r="AA1408" s="49">
        <v>0.30208333333333331</v>
      </c>
      <c r="AB1408" s="49"/>
      <c r="AC1408" s="49"/>
      <c r="AD1408" s="50"/>
      <c r="AE1408" s="47" t="s">
        <v>2470</v>
      </c>
      <c r="AF1408" s="47"/>
      <c r="AG1408"/>
      <c r="AH1408"/>
      <c r="AI1408"/>
      <c r="AJ1408"/>
      <c r="AK1408">
        <v>28</v>
      </c>
      <c r="AL1408"/>
      <c r="AM1408"/>
      <c r="AN1408"/>
      <c r="AO1408"/>
      <c r="AP1408"/>
      <c r="AQ1408" s="32" t="s">
        <v>2721</v>
      </c>
      <c r="AU1408">
        <v>1407</v>
      </c>
    </row>
    <row r="1409" spans="1:47" x14ac:dyDescent="0.2">
      <c r="A1409" s="133">
        <v>6343</v>
      </c>
      <c r="B1409" s="39" t="s">
        <v>45</v>
      </c>
      <c r="C1409" s="39" t="s">
        <v>142</v>
      </c>
      <c r="D1409" s="29"/>
      <c r="E1409" s="39" t="s">
        <v>2722</v>
      </c>
      <c r="F1409" s="47" t="s">
        <v>2723</v>
      </c>
      <c r="G1409" s="47" t="s">
        <v>49</v>
      </c>
      <c r="H1409"/>
      <c r="I1409" s="47" t="s">
        <v>2724</v>
      </c>
      <c r="J1409" s="47"/>
      <c r="K1409" s="47">
        <f>(36*25+108*10)*2.2</f>
        <v>4356</v>
      </c>
      <c r="L1409" s="48">
        <v>14</v>
      </c>
      <c r="M1409" s="47"/>
      <c r="N1409" s="47">
        <v>4</v>
      </c>
      <c r="O1409" s="47"/>
      <c r="P1409" s="47"/>
      <c r="Q1409" s="47"/>
      <c r="R1409" s="47"/>
      <c r="S1409" s="48">
        <v>10</v>
      </c>
      <c r="T1409" s="47">
        <v>0</v>
      </c>
      <c r="U1409" s="47">
        <v>0</v>
      </c>
      <c r="V1409" s="47">
        <v>1</v>
      </c>
      <c r="W1409" s="47"/>
      <c r="X1409" s="47"/>
      <c r="Y1409" s="47" t="s">
        <v>51</v>
      </c>
      <c r="Z1409" s="47" t="s">
        <v>2203</v>
      </c>
      <c r="AA1409" s="49">
        <v>0.95833333333333337</v>
      </c>
      <c r="AB1409" s="49">
        <v>0.14583333333333334</v>
      </c>
      <c r="AC1409" s="49">
        <v>5.2083333333333336E-2</v>
      </c>
      <c r="AD1409" s="50">
        <v>4.5</v>
      </c>
      <c r="AE1409" s="47" t="s">
        <v>2470</v>
      </c>
      <c r="AF1409" s="47"/>
      <c r="AG1409"/>
      <c r="AH1409"/>
      <c r="AI1409"/>
      <c r="AJ1409"/>
      <c r="AK1409">
        <v>144</v>
      </c>
      <c r="AL1409"/>
      <c r="AM1409"/>
      <c r="AN1409"/>
      <c r="AO1409"/>
      <c r="AP1409"/>
      <c r="AQ1409" s="32" t="s">
        <v>2721</v>
      </c>
      <c r="AU1409">
        <v>1408</v>
      </c>
    </row>
    <row r="1410" spans="1:47" x14ac:dyDescent="0.2">
      <c r="A1410" s="133">
        <v>6343</v>
      </c>
      <c r="B1410" s="39" t="s">
        <v>45</v>
      </c>
      <c r="C1410" s="39" t="s">
        <v>1561</v>
      </c>
      <c r="D1410" s="29"/>
      <c r="E1410" s="39" t="s">
        <v>2725</v>
      </c>
      <c r="F1410" s="47" t="s">
        <v>173</v>
      </c>
      <c r="G1410" s="47" t="s">
        <v>69</v>
      </c>
      <c r="H1410"/>
      <c r="I1410" s="47" t="s">
        <v>2726</v>
      </c>
      <c r="J1410" s="47"/>
      <c r="K1410" s="47">
        <f>12*0.555*2.2</f>
        <v>14.652000000000001</v>
      </c>
      <c r="L1410" s="48">
        <v>1</v>
      </c>
      <c r="M1410" s="47"/>
      <c r="N1410" s="47"/>
      <c r="O1410" s="47"/>
      <c r="P1410" s="47"/>
      <c r="Q1410" s="47"/>
      <c r="R1410" s="47"/>
      <c r="S1410" s="48">
        <v>1</v>
      </c>
      <c r="T1410" s="47">
        <v>0</v>
      </c>
      <c r="U1410" s="47">
        <v>0</v>
      </c>
      <c r="V1410" s="47">
        <v>0</v>
      </c>
      <c r="W1410" s="47"/>
      <c r="X1410" s="47"/>
      <c r="Y1410" s="47" t="s">
        <v>51</v>
      </c>
      <c r="Z1410" s="47" t="s">
        <v>1565</v>
      </c>
      <c r="AA1410" s="49">
        <v>2.7777777777777776E-2</v>
      </c>
      <c r="AB1410" s="49">
        <v>0.16666666666666666</v>
      </c>
      <c r="AC1410" s="49">
        <f>AVERAGE(AA1410:AB1410)</f>
        <v>9.722222222222221E-2</v>
      </c>
      <c r="AD1410" s="50">
        <f>(AB1410-AA1410)*24</f>
        <v>3.3333333333333335</v>
      </c>
      <c r="AE1410" s="47" t="s">
        <v>2470</v>
      </c>
      <c r="AF1410" s="47"/>
      <c r="AG1410"/>
      <c r="AH1410"/>
      <c r="AI1410"/>
      <c r="AJ1410"/>
      <c r="AK1410">
        <v>12</v>
      </c>
      <c r="AL1410"/>
      <c r="AM1410"/>
      <c r="AN1410"/>
      <c r="AO1410"/>
      <c r="AP1410"/>
      <c r="AQ1410" s="32" t="s">
        <v>2727</v>
      </c>
      <c r="AU1410">
        <v>1409</v>
      </c>
    </row>
    <row r="1411" spans="1:47" x14ac:dyDescent="0.2">
      <c r="A1411" s="26">
        <v>6347</v>
      </c>
      <c r="B1411" s="27">
        <v>0.98958333333333337</v>
      </c>
      <c r="C1411" s="28"/>
      <c r="D1411" s="29"/>
      <c r="E1411" s="102" t="s">
        <v>1102</v>
      </c>
      <c r="H1411" s="32">
        <v>0</v>
      </c>
      <c r="I1411" s="32" t="s">
        <v>1103</v>
      </c>
      <c r="AG1411" s="32">
        <v>0</v>
      </c>
      <c r="AH1411" s="32">
        <v>0</v>
      </c>
      <c r="AI1411" s="32">
        <v>0</v>
      </c>
      <c r="AK1411" s="32">
        <v>0</v>
      </c>
      <c r="AL1411" s="32">
        <v>0.5</v>
      </c>
      <c r="AO1411" s="73" t="s">
        <v>1006</v>
      </c>
      <c r="AP1411" s="32">
        <v>0.5</v>
      </c>
      <c r="AQ1411" s="32" t="s">
        <v>589</v>
      </c>
      <c r="AU1411">
        <v>1410</v>
      </c>
    </row>
    <row r="1412" spans="1:47" x14ac:dyDescent="0.2">
      <c r="A1412" s="44">
        <v>6349</v>
      </c>
      <c r="B1412" s="153" t="s">
        <v>45</v>
      </c>
      <c r="C1412" s="153" t="s">
        <v>142</v>
      </c>
      <c r="D1412" s="29"/>
      <c r="E1412" s="121" t="s">
        <v>2728</v>
      </c>
      <c r="F1412" s="31" t="s">
        <v>2729</v>
      </c>
      <c r="H1412" s="32"/>
      <c r="I1412" s="31" t="s">
        <v>2730</v>
      </c>
      <c r="K1412" s="31">
        <f>(118*10+40*25+25*0.555)*2.2</f>
        <v>4826.5250000000005</v>
      </c>
      <c r="L1412" s="33">
        <v>15</v>
      </c>
      <c r="N1412" s="31">
        <v>3</v>
      </c>
      <c r="S1412" s="33">
        <v>12</v>
      </c>
      <c r="T1412" s="31">
        <v>0</v>
      </c>
      <c r="U1412" s="31">
        <v>0</v>
      </c>
      <c r="V1412" s="31">
        <v>0</v>
      </c>
      <c r="Y1412" s="31" t="s">
        <v>51</v>
      </c>
      <c r="Z1412" s="47" t="s">
        <v>2203</v>
      </c>
      <c r="AA1412" s="34">
        <v>0.91666666666666663</v>
      </c>
      <c r="AE1412" s="47" t="s">
        <v>2470</v>
      </c>
      <c r="AK1412" s="32">
        <v>183</v>
      </c>
      <c r="AO1412" s="73"/>
      <c r="AQ1412" s="32" t="s">
        <v>2727</v>
      </c>
      <c r="AU1412">
        <v>1411</v>
      </c>
    </row>
    <row r="1413" spans="1:47" x14ac:dyDescent="0.2">
      <c r="A1413" s="26">
        <v>6349</v>
      </c>
      <c r="B1413" s="27">
        <v>0.98611111111111116</v>
      </c>
      <c r="C1413" s="28"/>
      <c r="D1413" s="29"/>
      <c r="E1413" s="30" t="s">
        <v>1282</v>
      </c>
      <c r="H1413" s="32">
        <v>0</v>
      </c>
      <c r="I1413" s="32" t="s">
        <v>2731</v>
      </c>
      <c r="AG1413" s="32">
        <v>0</v>
      </c>
      <c r="AH1413" s="32">
        <v>0</v>
      </c>
      <c r="AI1413" s="32">
        <v>0</v>
      </c>
      <c r="AK1413" s="32">
        <v>0</v>
      </c>
      <c r="AL1413" s="32">
        <v>0.5</v>
      </c>
      <c r="AP1413" s="32">
        <v>0.5</v>
      </c>
      <c r="AQ1413" s="32" t="s">
        <v>1101</v>
      </c>
      <c r="AU1413">
        <v>1412</v>
      </c>
    </row>
    <row r="1414" spans="1:47" x14ac:dyDescent="0.2">
      <c r="A1414" s="26">
        <v>6349</v>
      </c>
      <c r="B1414" s="27" t="s">
        <v>45</v>
      </c>
      <c r="C1414" s="28"/>
      <c r="D1414" s="29"/>
      <c r="E1414" s="30" t="s">
        <v>1531</v>
      </c>
      <c r="H1414" s="32">
        <v>0</v>
      </c>
      <c r="I1414" s="32" t="s">
        <v>1532</v>
      </c>
      <c r="AG1414" s="32">
        <v>0</v>
      </c>
      <c r="AH1414" s="32">
        <v>0</v>
      </c>
      <c r="AI1414" s="32">
        <v>0</v>
      </c>
      <c r="AK1414" s="32">
        <v>0</v>
      </c>
      <c r="AM1414" s="32">
        <f>498*18</f>
        <v>8964</v>
      </c>
      <c r="AO1414" s="32" t="s">
        <v>1533</v>
      </c>
      <c r="AQ1414" s="32" t="s">
        <v>1101</v>
      </c>
      <c r="AU1414">
        <v>1413</v>
      </c>
    </row>
    <row r="1415" spans="1:47" x14ac:dyDescent="0.2">
      <c r="A1415" s="26">
        <v>6349</v>
      </c>
      <c r="B1415" s="27" t="s">
        <v>45</v>
      </c>
      <c r="C1415" s="28"/>
      <c r="D1415" s="29"/>
      <c r="E1415" s="150" t="s">
        <v>2286</v>
      </c>
      <c r="H1415" s="32">
        <v>0</v>
      </c>
      <c r="I1415" s="32" t="s">
        <v>1824</v>
      </c>
      <c r="AG1415" s="32">
        <v>0</v>
      </c>
      <c r="AH1415" s="32">
        <v>0</v>
      </c>
      <c r="AI1415" s="32">
        <v>0</v>
      </c>
      <c r="AK1415" s="32">
        <v>0</v>
      </c>
      <c r="AM1415" s="32">
        <v>6500</v>
      </c>
      <c r="AO1415" s="73" t="s">
        <v>75</v>
      </c>
      <c r="AQ1415" s="32" t="s">
        <v>589</v>
      </c>
      <c r="AU1415">
        <v>1414</v>
      </c>
    </row>
    <row r="1416" spans="1:47" x14ac:dyDescent="0.2">
      <c r="A1416" s="133">
        <v>6350</v>
      </c>
      <c r="B1416" s="39" t="s">
        <v>85</v>
      </c>
      <c r="C1416" s="39" t="s">
        <v>2579</v>
      </c>
      <c r="D1416" s="29"/>
      <c r="E1416" s="39" t="s">
        <v>2732</v>
      </c>
      <c r="F1416" s="31" t="s">
        <v>1473</v>
      </c>
      <c r="G1416" s="31" t="s">
        <v>69</v>
      </c>
      <c r="H1416" s="32"/>
      <c r="I1416" s="32" t="s">
        <v>2733</v>
      </c>
      <c r="K1416" s="31">
        <f>43*10*2.2</f>
        <v>946.00000000000011</v>
      </c>
      <c r="L1416" s="33">
        <v>16</v>
      </c>
      <c r="N1416" s="31">
        <v>4</v>
      </c>
      <c r="S1416" s="33">
        <v>12</v>
      </c>
      <c r="T1416" s="31">
        <v>0</v>
      </c>
      <c r="U1416" s="31">
        <v>0</v>
      </c>
      <c r="V1416" s="31">
        <v>0</v>
      </c>
      <c r="Y1416" s="31" t="s">
        <v>120</v>
      </c>
      <c r="Z1416" s="47" t="s">
        <v>1809</v>
      </c>
      <c r="AA1416" s="34">
        <v>0.625</v>
      </c>
      <c r="AE1416" s="47" t="s">
        <v>2470</v>
      </c>
      <c r="AF1416" s="47">
        <v>50</v>
      </c>
      <c r="AK1416" s="32">
        <v>43</v>
      </c>
      <c r="AO1416" s="73"/>
      <c r="AQ1416" s="32" t="s">
        <v>2727</v>
      </c>
      <c r="AU1416">
        <v>1415</v>
      </c>
    </row>
    <row r="1417" spans="1:47" x14ac:dyDescent="0.2">
      <c r="A1417" s="26">
        <v>6350</v>
      </c>
      <c r="B1417" s="27" t="s">
        <v>45</v>
      </c>
      <c r="C1417" s="28"/>
      <c r="D1417" s="29"/>
      <c r="E1417" s="30" t="s">
        <v>1531</v>
      </c>
      <c r="H1417" s="32">
        <v>0</v>
      </c>
      <c r="I1417" s="32" t="s">
        <v>1532</v>
      </c>
      <c r="AG1417" s="32">
        <v>0</v>
      </c>
      <c r="AH1417" s="32">
        <v>0</v>
      </c>
      <c r="AI1417" s="32">
        <v>0</v>
      </c>
      <c r="AK1417" s="32">
        <v>0</v>
      </c>
      <c r="AM1417" s="32">
        <f>498*24</f>
        <v>11952</v>
      </c>
      <c r="AO1417" s="32" t="s">
        <v>1533</v>
      </c>
      <c r="AQ1417" s="32" t="s">
        <v>1101</v>
      </c>
      <c r="AU1417">
        <v>1416</v>
      </c>
    </row>
    <row r="1418" spans="1:47" x14ac:dyDescent="0.2">
      <c r="A1418" s="26">
        <v>6350</v>
      </c>
      <c r="B1418" s="27" t="s">
        <v>45</v>
      </c>
      <c r="C1418" s="28"/>
      <c r="D1418" s="29"/>
      <c r="E1418" s="150" t="s">
        <v>2286</v>
      </c>
      <c r="H1418" s="32">
        <v>0</v>
      </c>
      <c r="I1418" s="32" t="s">
        <v>1824</v>
      </c>
      <c r="AG1418" s="32">
        <v>0</v>
      </c>
      <c r="AH1418" s="32">
        <v>0</v>
      </c>
      <c r="AI1418" s="32">
        <v>0</v>
      </c>
      <c r="AK1418" s="32">
        <v>0</v>
      </c>
      <c r="AM1418" s="32">
        <v>7500</v>
      </c>
      <c r="AO1418" s="73" t="s">
        <v>75</v>
      </c>
      <c r="AQ1418" s="32" t="s">
        <v>589</v>
      </c>
      <c r="AU1418">
        <v>1417</v>
      </c>
    </row>
    <row r="1419" spans="1:47" x14ac:dyDescent="0.2">
      <c r="A1419" s="133">
        <v>6353</v>
      </c>
      <c r="B1419" s="153" t="s">
        <v>45</v>
      </c>
      <c r="C1419" s="153" t="s">
        <v>142</v>
      </c>
      <c r="D1419" s="29"/>
      <c r="E1419" s="39" t="s">
        <v>2734</v>
      </c>
      <c r="F1419" s="31" t="s">
        <v>246</v>
      </c>
      <c r="G1419" s="31" t="s">
        <v>49</v>
      </c>
      <c r="H1419" s="32"/>
      <c r="I1419" s="32" t="s">
        <v>2735</v>
      </c>
      <c r="K1419" s="31">
        <f>(125*10+48*25)*2.2</f>
        <v>5390</v>
      </c>
      <c r="L1419" s="33">
        <v>14</v>
      </c>
      <c r="N1419" s="31">
        <v>2</v>
      </c>
      <c r="S1419" s="33">
        <v>12</v>
      </c>
      <c r="T1419" s="31">
        <v>0</v>
      </c>
      <c r="U1419" s="31">
        <v>0</v>
      </c>
      <c r="V1419" s="31">
        <v>0</v>
      </c>
      <c r="Y1419" s="31" t="s">
        <v>51</v>
      </c>
      <c r="Z1419" s="47" t="s">
        <v>2203</v>
      </c>
      <c r="AA1419" s="34">
        <v>0</v>
      </c>
      <c r="AE1419" s="47" t="s">
        <v>2470</v>
      </c>
      <c r="AK1419" s="32">
        <f>125+48</f>
        <v>173</v>
      </c>
      <c r="AO1419" s="73"/>
      <c r="AQ1419" s="32" t="s">
        <v>2727</v>
      </c>
      <c r="AU1419">
        <v>1418</v>
      </c>
    </row>
    <row r="1420" spans="1:47" x14ac:dyDescent="0.2">
      <c r="A1420" s="133">
        <v>6354</v>
      </c>
      <c r="B1420" s="39" t="s">
        <v>85</v>
      </c>
      <c r="C1420" s="39" t="s">
        <v>2579</v>
      </c>
      <c r="D1420" s="29"/>
      <c r="E1420" s="39" t="s">
        <v>2736</v>
      </c>
      <c r="F1420" s="31" t="s">
        <v>2737</v>
      </c>
      <c r="G1420" s="31" t="s">
        <v>49</v>
      </c>
      <c r="H1420" s="32"/>
      <c r="I1420" s="137" t="s">
        <v>2738</v>
      </c>
      <c r="K1420" s="31">
        <f>54*10*2.2</f>
        <v>1188</v>
      </c>
      <c r="L1420" s="33">
        <v>15</v>
      </c>
      <c r="N1420" s="31">
        <v>2</v>
      </c>
      <c r="S1420" s="33">
        <v>13</v>
      </c>
      <c r="T1420" s="31">
        <v>0</v>
      </c>
      <c r="U1420" s="31">
        <v>0</v>
      </c>
      <c r="V1420" s="31">
        <v>0</v>
      </c>
      <c r="Y1420" s="31" t="s">
        <v>51</v>
      </c>
      <c r="Z1420" s="47" t="s">
        <v>1809</v>
      </c>
      <c r="AA1420" s="34">
        <v>0.375</v>
      </c>
      <c r="AE1420" s="47" t="s">
        <v>2470</v>
      </c>
      <c r="AK1420" s="32">
        <v>54</v>
      </c>
      <c r="AO1420" s="73"/>
      <c r="AQ1420" s="32" t="s">
        <v>2739</v>
      </c>
      <c r="AU1420">
        <v>1419</v>
      </c>
    </row>
    <row r="1421" spans="1:47" x14ac:dyDescent="0.2">
      <c r="A1421" s="133">
        <v>6354</v>
      </c>
      <c r="B1421" s="153" t="s">
        <v>45</v>
      </c>
      <c r="C1421" s="153" t="s">
        <v>142</v>
      </c>
      <c r="D1421" s="29"/>
      <c r="E1421" s="39" t="s">
        <v>2740</v>
      </c>
      <c r="F1421" s="31" t="s">
        <v>2741</v>
      </c>
      <c r="G1421" s="31" t="s">
        <v>73</v>
      </c>
      <c r="H1421" s="32"/>
      <c r="I1421" s="137" t="s">
        <v>2742</v>
      </c>
      <c r="K1421" s="31">
        <f>(180*10+48*25)*2.2</f>
        <v>6600.0000000000009</v>
      </c>
      <c r="L1421" s="33">
        <v>13</v>
      </c>
      <c r="N1421" s="31">
        <v>1</v>
      </c>
      <c r="S1421" s="33">
        <v>11</v>
      </c>
      <c r="T1421" s="31">
        <v>0</v>
      </c>
      <c r="U1421" s="31">
        <v>1</v>
      </c>
      <c r="V1421" s="31">
        <v>2</v>
      </c>
      <c r="Y1421" s="31" t="s">
        <v>120</v>
      </c>
      <c r="Z1421" s="47" t="s">
        <v>2203</v>
      </c>
      <c r="AA1421" s="34">
        <v>0.91319444444444453</v>
      </c>
      <c r="AE1421" s="47" t="s">
        <v>2470</v>
      </c>
      <c r="AK1421" s="32">
        <v>228</v>
      </c>
      <c r="AO1421" s="73"/>
      <c r="AQ1421" s="32" t="s">
        <v>2739</v>
      </c>
      <c r="AU1421">
        <v>1420</v>
      </c>
    </row>
    <row r="1422" spans="1:47" x14ac:dyDescent="0.2">
      <c r="A1422" s="26">
        <v>6354</v>
      </c>
      <c r="B1422" s="27" t="s">
        <v>45</v>
      </c>
      <c r="C1422" s="28"/>
      <c r="D1422" s="29"/>
      <c r="E1422" s="30" t="s">
        <v>1531</v>
      </c>
      <c r="H1422" s="32">
        <v>0</v>
      </c>
      <c r="I1422" s="32" t="s">
        <v>1532</v>
      </c>
      <c r="AG1422" s="32">
        <v>0</v>
      </c>
      <c r="AH1422" s="32">
        <v>0</v>
      </c>
      <c r="AI1422" s="32">
        <v>0</v>
      </c>
      <c r="AK1422" s="32">
        <v>0</v>
      </c>
      <c r="AM1422" s="32">
        <f>498*42</f>
        <v>20916</v>
      </c>
      <c r="AO1422" s="32" t="s">
        <v>1533</v>
      </c>
      <c r="AQ1422" s="32" t="s">
        <v>1101</v>
      </c>
      <c r="AU1422">
        <v>1421</v>
      </c>
    </row>
    <row r="1423" spans="1:47" x14ac:dyDescent="0.2">
      <c r="A1423" s="26">
        <v>6354</v>
      </c>
      <c r="B1423" s="27" t="s">
        <v>45</v>
      </c>
      <c r="C1423" s="28"/>
      <c r="D1423" s="29"/>
      <c r="E1423" s="150" t="s">
        <v>2286</v>
      </c>
      <c r="H1423" s="32">
        <v>0</v>
      </c>
      <c r="I1423" s="32" t="s">
        <v>1824</v>
      </c>
      <c r="AG1423" s="32">
        <v>0</v>
      </c>
      <c r="AH1423" s="32">
        <v>0</v>
      </c>
      <c r="AI1423" s="32">
        <v>0</v>
      </c>
      <c r="AK1423" s="32">
        <v>0</v>
      </c>
      <c r="AM1423" s="32">
        <v>11000</v>
      </c>
      <c r="AO1423" s="73" t="s">
        <v>75</v>
      </c>
      <c r="AQ1423" s="32" t="s">
        <v>589</v>
      </c>
      <c r="AU1423">
        <v>1422</v>
      </c>
    </row>
    <row r="1424" spans="1:47" x14ac:dyDescent="0.2">
      <c r="A1424" s="44">
        <v>6355</v>
      </c>
      <c r="B1424" s="42" t="s">
        <v>45</v>
      </c>
      <c r="C1424" s="38" t="s">
        <v>156</v>
      </c>
      <c r="D1424" s="29"/>
      <c r="E1424" s="121" t="s">
        <v>788</v>
      </c>
      <c r="H1424" s="32"/>
      <c r="AE1424" s="31" t="s">
        <v>2743</v>
      </c>
      <c r="AF1424" s="31">
        <v>70</v>
      </c>
      <c r="AO1424" s="73"/>
      <c r="AU1424">
        <v>1423</v>
      </c>
    </row>
    <row r="1425" spans="1:47" x14ac:dyDescent="0.2">
      <c r="A1425" s="44">
        <v>6355</v>
      </c>
      <c r="B1425" s="42" t="s">
        <v>45</v>
      </c>
      <c r="C1425" s="38" t="s">
        <v>2542</v>
      </c>
      <c r="D1425" s="29"/>
      <c r="E1425" s="121" t="s">
        <v>405</v>
      </c>
      <c r="F1425" s="31" t="s">
        <v>220</v>
      </c>
      <c r="G1425" s="31" t="s">
        <v>49</v>
      </c>
      <c r="H1425" s="32"/>
      <c r="I1425" s="31" t="s">
        <v>2744</v>
      </c>
      <c r="K1425" s="31">
        <f>(6*30*10+22*50)*2.2</f>
        <v>6380.0000000000009</v>
      </c>
      <c r="L1425" s="33">
        <v>9</v>
      </c>
      <c r="O1425" s="31">
        <v>1</v>
      </c>
      <c r="S1425" s="33">
        <v>8</v>
      </c>
      <c r="T1425" s="31">
        <v>0</v>
      </c>
      <c r="U1425" s="31">
        <v>0</v>
      </c>
      <c r="V1425" s="31">
        <v>0</v>
      </c>
      <c r="W1425" s="47">
        <f>((2200+2200+2400+2000+1800+1800+2800+2200)/8)*39.37/12</f>
        <v>7135.8125</v>
      </c>
      <c r="Y1425" s="31" t="s">
        <v>51</v>
      </c>
      <c r="Z1425" s="31" t="s">
        <v>1846</v>
      </c>
      <c r="AD1425" s="35">
        <v>2.75</v>
      </c>
      <c r="AE1425" s="31" t="s">
        <v>342</v>
      </c>
      <c r="AF1425" s="47">
        <v>40</v>
      </c>
      <c r="AK1425" s="32">
        <f>6*30+22</f>
        <v>202</v>
      </c>
      <c r="AO1425" s="73"/>
      <c r="AQ1425" s="32" t="s">
        <v>2745</v>
      </c>
      <c r="AU1425">
        <v>1424</v>
      </c>
    </row>
    <row r="1426" spans="1:47" x14ac:dyDescent="0.2">
      <c r="A1426" s="26">
        <v>6355</v>
      </c>
      <c r="B1426" s="27">
        <v>0.94444444444444453</v>
      </c>
      <c r="C1426" s="28"/>
      <c r="D1426" s="29"/>
      <c r="E1426" s="30" t="s">
        <v>1282</v>
      </c>
      <c r="H1426" s="32">
        <v>0</v>
      </c>
      <c r="I1426" s="32" t="s">
        <v>2746</v>
      </c>
      <c r="AG1426" s="32">
        <v>0</v>
      </c>
      <c r="AH1426" s="32">
        <v>0</v>
      </c>
      <c r="AI1426" s="32">
        <v>0</v>
      </c>
      <c r="AK1426" s="32">
        <v>0</v>
      </c>
      <c r="AL1426" s="32">
        <v>4</v>
      </c>
      <c r="AP1426" s="32">
        <v>4</v>
      </c>
      <c r="AQ1426" s="32" t="s">
        <v>1101</v>
      </c>
      <c r="AU1426">
        <v>1425</v>
      </c>
    </row>
    <row r="1427" spans="1:47" x14ac:dyDescent="0.2">
      <c r="A1427" s="26">
        <v>6355</v>
      </c>
      <c r="B1427" s="27" t="s">
        <v>45</v>
      </c>
      <c r="C1427" s="28"/>
      <c r="D1427" s="29"/>
      <c r="E1427" s="30" t="s">
        <v>1531</v>
      </c>
      <c r="H1427" s="32">
        <v>0</v>
      </c>
      <c r="I1427" s="32" t="s">
        <v>1706</v>
      </c>
      <c r="AG1427" s="32">
        <v>0</v>
      </c>
      <c r="AH1427" s="32">
        <v>0</v>
      </c>
      <c r="AI1427" s="32">
        <v>0</v>
      </c>
      <c r="AK1427" s="32">
        <v>0</v>
      </c>
      <c r="AM1427" s="32">
        <f>498*35</f>
        <v>17430</v>
      </c>
      <c r="AO1427" s="32" t="s">
        <v>1533</v>
      </c>
      <c r="AQ1427" s="32" t="s">
        <v>1101</v>
      </c>
      <c r="AU1427">
        <v>1426</v>
      </c>
    </row>
    <row r="1428" spans="1:47" x14ac:dyDescent="0.2">
      <c r="A1428" s="26">
        <v>6355</v>
      </c>
      <c r="B1428" s="27" t="s">
        <v>45</v>
      </c>
      <c r="C1428" s="28"/>
      <c r="D1428" s="29"/>
      <c r="E1428" s="150" t="s">
        <v>2286</v>
      </c>
      <c r="H1428" s="32">
        <v>0</v>
      </c>
      <c r="I1428" s="32" t="s">
        <v>1824</v>
      </c>
      <c r="AG1428" s="32">
        <v>0</v>
      </c>
      <c r="AH1428" s="32">
        <v>0</v>
      </c>
      <c r="AI1428" s="32">
        <v>0</v>
      </c>
      <c r="AK1428" s="32">
        <v>0</v>
      </c>
      <c r="AM1428" s="32">
        <f>35*500</f>
        <v>17500</v>
      </c>
      <c r="AO1428" s="73" t="s">
        <v>75</v>
      </c>
      <c r="AQ1428" s="32" t="s">
        <v>589</v>
      </c>
      <c r="AU1428">
        <v>1427</v>
      </c>
    </row>
    <row r="1429" spans="1:47" x14ac:dyDescent="0.2">
      <c r="A1429" s="133">
        <v>6356</v>
      </c>
      <c r="B1429" s="39" t="s">
        <v>85</v>
      </c>
      <c r="C1429" s="39" t="s">
        <v>2579</v>
      </c>
      <c r="D1429" s="29" t="b">
        <v>0</v>
      </c>
      <c r="E1429" s="39" t="s">
        <v>2747</v>
      </c>
      <c r="F1429" s="31" t="s">
        <v>150</v>
      </c>
      <c r="G1429" s="31" t="s">
        <v>49</v>
      </c>
      <c r="H1429" s="32"/>
      <c r="I1429" s="32" t="s">
        <v>2748</v>
      </c>
      <c r="K1429" s="31">
        <f>60*10*2.2</f>
        <v>1320</v>
      </c>
      <c r="L1429" s="33">
        <v>19</v>
      </c>
      <c r="N1429" s="31">
        <v>3</v>
      </c>
      <c r="S1429" s="33">
        <v>16</v>
      </c>
      <c r="T1429" s="31">
        <v>0</v>
      </c>
      <c r="U1429" s="31">
        <v>0</v>
      </c>
      <c r="V1429" s="31">
        <v>0</v>
      </c>
      <c r="Y1429" s="31" t="s">
        <v>120</v>
      </c>
      <c r="Z1429" s="47" t="s">
        <v>1809</v>
      </c>
      <c r="AA1429" s="34">
        <v>0.375</v>
      </c>
      <c r="AE1429" s="47" t="s">
        <v>2470</v>
      </c>
      <c r="AK1429" s="32">
        <v>60</v>
      </c>
      <c r="AO1429" s="73"/>
      <c r="AQ1429" s="32" t="s">
        <v>2739</v>
      </c>
      <c r="AU1429">
        <v>1428</v>
      </c>
    </row>
    <row r="1430" spans="1:47" x14ac:dyDescent="0.2">
      <c r="A1430" s="133">
        <v>6356</v>
      </c>
      <c r="B1430" s="42" t="s">
        <v>45</v>
      </c>
      <c r="C1430" s="38" t="s">
        <v>2542</v>
      </c>
      <c r="D1430" s="29"/>
      <c r="E1430" s="39" t="s">
        <v>2749</v>
      </c>
      <c r="F1430" s="31" t="s">
        <v>2641</v>
      </c>
      <c r="G1430" s="31" t="s">
        <v>205</v>
      </c>
      <c r="H1430" s="32"/>
      <c r="I1430" s="137" t="s">
        <v>2750</v>
      </c>
      <c r="K1430" s="31">
        <f>30*10*2.2</f>
        <v>660</v>
      </c>
      <c r="L1430" s="33">
        <v>1</v>
      </c>
      <c r="S1430" s="33">
        <v>1</v>
      </c>
      <c r="T1430" s="31">
        <v>0</v>
      </c>
      <c r="U1430" s="31">
        <v>0</v>
      </c>
      <c r="V1430" s="31">
        <v>0</v>
      </c>
      <c r="W1430" s="47">
        <f>2800*39.37/12</f>
        <v>9186.3333333333339</v>
      </c>
      <c r="Y1430" s="31" t="s">
        <v>51</v>
      </c>
      <c r="Z1430" s="47" t="s">
        <v>1846</v>
      </c>
      <c r="AD1430" s="35">
        <v>3.25</v>
      </c>
      <c r="AE1430" s="31" t="s">
        <v>342</v>
      </c>
      <c r="AK1430" s="32">
        <v>30</v>
      </c>
      <c r="AO1430" s="73"/>
      <c r="AQ1430" s="32" t="s">
        <v>2751</v>
      </c>
      <c r="AU1430">
        <v>1429</v>
      </c>
    </row>
    <row r="1431" spans="1:47" x14ac:dyDescent="0.2">
      <c r="A1431" s="133">
        <v>6356</v>
      </c>
      <c r="B1431" s="42" t="s">
        <v>45</v>
      </c>
      <c r="C1431" s="38" t="s">
        <v>2542</v>
      </c>
      <c r="D1431" s="29"/>
      <c r="E1431" s="39" t="s">
        <v>2207</v>
      </c>
      <c r="F1431" s="31" t="s">
        <v>967</v>
      </c>
      <c r="G1431" s="31" t="s">
        <v>481</v>
      </c>
      <c r="H1431" s="32"/>
      <c r="I1431" s="137" t="s">
        <v>2752</v>
      </c>
      <c r="K1431" s="31">
        <f>(4*30*10+6*50)*2.2</f>
        <v>3300.0000000000005</v>
      </c>
      <c r="L1431" s="33">
        <v>5</v>
      </c>
      <c r="S1431" s="33">
        <v>5</v>
      </c>
      <c r="T1431" s="31">
        <v>0</v>
      </c>
      <c r="U1431" s="31">
        <v>0</v>
      </c>
      <c r="V1431" s="31">
        <v>0</v>
      </c>
      <c r="W1431" s="47">
        <f>((2800+2300+2000+2200+1800)/5)*39.37/12</f>
        <v>7283.45</v>
      </c>
      <c r="Y1431" s="31" t="s">
        <v>51</v>
      </c>
      <c r="Z1431" s="47" t="s">
        <v>1846</v>
      </c>
      <c r="AD1431" s="35">
        <f>2+25/60</f>
        <v>2.4166666666666665</v>
      </c>
      <c r="AE1431" s="31" t="s">
        <v>342</v>
      </c>
      <c r="AF1431" s="31">
        <v>80</v>
      </c>
      <c r="AK1431" s="32">
        <f>4*30+6</f>
        <v>126</v>
      </c>
      <c r="AO1431" s="73"/>
      <c r="AQ1431" s="32" t="s">
        <v>2745</v>
      </c>
      <c r="AU1431">
        <v>1430</v>
      </c>
    </row>
    <row r="1432" spans="1:47" x14ac:dyDescent="0.2">
      <c r="A1432" s="133">
        <v>6356</v>
      </c>
      <c r="B1432" s="39" t="s">
        <v>45</v>
      </c>
      <c r="C1432" s="39">
        <v>100</v>
      </c>
      <c r="D1432" s="29" t="b">
        <v>0</v>
      </c>
      <c r="E1432" s="39" t="s">
        <v>2753</v>
      </c>
      <c r="F1432" s="47" t="s">
        <v>76</v>
      </c>
      <c r="G1432" s="47" t="s">
        <v>49</v>
      </c>
      <c r="H1432"/>
      <c r="I1432" s="47" t="b">
        <v>0</v>
      </c>
      <c r="J1432" s="47" t="b">
        <v>1</v>
      </c>
      <c r="K1432" s="47">
        <v>896</v>
      </c>
      <c r="L1432" s="48">
        <v>4</v>
      </c>
      <c r="M1432" s="47">
        <v>-1</v>
      </c>
      <c r="N1432" s="47">
        <v>-1</v>
      </c>
      <c r="O1432" s="47">
        <v>-1</v>
      </c>
      <c r="P1432" s="47">
        <v>-1</v>
      </c>
      <c r="Q1432" s="47">
        <v>-1</v>
      </c>
      <c r="R1432" s="47">
        <v>-1</v>
      </c>
      <c r="S1432" s="48">
        <v>4</v>
      </c>
      <c r="T1432" s="47">
        <v>0</v>
      </c>
      <c r="U1432" s="47">
        <v>0</v>
      </c>
      <c r="V1432" s="47">
        <v>0</v>
      </c>
      <c r="W1432" s="47"/>
      <c r="X1432" s="47">
        <v>52</v>
      </c>
      <c r="Y1432" s="47"/>
      <c r="Z1432" s="47" t="s">
        <v>2524</v>
      </c>
      <c r="AA1432" s="49"/>
      <c r="AB1432" s="49"/>
      <c r="AC1432" s="49"/>
      <c r="AD1432" s="50"/>
      <c r="AE1432" s="47" t="s">
        <v>2754</v>
      </c>
      <c r="AF1432" s="47"/>
      <c r="AG1432"/>
      <c r="AH1432"/>
      <c r="AI1432"/>
      <c r="AJ1432"/>
      <c r="AK1432"/>
      <c r="AL1432"/>
      <c r="AM1432"/>
      <c r="AN1432"/>
      <c r="AO1432"/>
      <c r="AP1432"/>
      <c r="AQ1432" t="s">
        <v>2526</v>
      </c>
      <c r="AU1432">
        <v>1431</v>
      </c>
    </row>
    <row r="1433" spans="1:47" x14ac:dyDescent="0.2">
      <c r="A1433" s="26">
        <v>6356</v>
      </c>
      <c r="B1433" s="27">
        <v>0.4916666666666667</v>
      </c>
      <c r="C1433" s="28"/>
      <c r="D1433" s="29"/>
      <c r="E1433" s="30" t="s">
        <v>869</v>
      </c>
      <c r="H1433" s="32">
        <v>0</v>
      </c>
      <c r="I1433" s="32" t="s">
        <v>2344</v>
      </c>
      <c r="AG1433" s="32">
        <v>0</v>
      </c>
      <c r="AH1433" s="32">
        <v>0</v>
      </c>
      <c r="AI1433" s="32">
        <v>0</v>
      </c>
      <c r="AK1433" s="32">
        <v>0</v>
      </c>
      <c r="AL1433" s="32">
        <f>42/60</f>
        <v>0.7</v>
      </c>
      <c r="AP1433" s="32">
        <f>42/60</f>
        <v>0.7</v>
      </c>
      <c r="AQ1433" s="32" t="s">
        <v>589</v>
      </c>
      <c r="AU1433">
        <v>1432</v>
      </c>
    </row>
    <row r="1434" spans="1:47" x14ac:dyDescent="0.2">
      <c r="A1434" s="26">
        <v>6356</v>
      </c>
      <c r="B1434" s="27" t="s">
        <v>45</v>
      </c>
      <c r="C1434" s="124"/>
      <c r="D1434" s="29"/>
      <c r="E1434" s="30" t="s">
        <v>2323</v>
      </c>
      <c r="H1434" s="32">
        <v>1</v>
      </c>
      <c r="I1434" s="32" t="s">
        <v>2755</v>
      </c>
      <c r="AG1434" s="32">
        <v>0</v>
      </c>
      <c r="AH1434" s="32">
        <v>0</v>
      </c>
      <c r="AJ1434" s="32">
        <v>3000</v>
      </c>
      <c r="AL1434" s="32">
        <v>0</v>
      </c>
      <c r="AO1434" s="32" t="s">
        <v>2325</v>
      </c>
      <c r="AQ1434" s="32">
        <v>418</v>
      </c>
      <c r="AU1434">
        <v>1433</v>
      </c>
    </row>
    <row r="1435" spans="1:47" x14ac:dyDescent="0.2">
      <c r="A1435" s="26">
        <v>6356</v>
      </c>
      <c r="B1435" s="27" t="s">
        <v>45</v>
      </c>
      <c r="C1435" s="28"/>
      <c r="D1435" s="29"/>
      <c r="E1435" s="30" t="s">
        <v>1531</v>
      </c>
      <c r="H1435" s="32">
        <v>0</v>
      </c>
      <c r="I1435" s="32" t="s">
        <v>1532</v>
      </c>
      <c r="AG1435" s="32">
        <v>0</v>
      </c>
      <c r="AH1435" s="32">
        <v>0</v>
      </c>
      <c r="AI1435" s="32">
        <v>0</v>
      </c>
      <c r="AK1435" s="32">
        <v>0</v>
      </c>
      <c r="AM1435" s="32">
        <f>498*52</f>
        <v>25896</v>
      </c>
      <c r="AO1435" s="32" t="s">
        <v>1533</v>
      </c>
      <c r="AQ1435" s="32" t="s">
        <v>1101</v>
      </c>
      <c r="AU1435">
        <v>1434</v>
      </c>
    </row>
    <row r="1436" spans="1:47" x14ac:dyDescent="0.2">
      <c r="A1436" s="26">
        <v>6356</v>
      </c>
      <c r="B1436" s="27" t="s">
        <v>45</v>
      </c>
      <c r="C1436" s="28"/>
      <c r="D1436" s="29"/>
      <c r="E1436" s="150" t="s">
        <v>2286</v>
      </c>
      <c r="H1436" s="32">
        <v>0</v>
      </c>
      <c r="I1436" s="32" t="s">
        <v>1824</v>
      </c>
      <c r="AG1436" s="32">
        <v>0</v>
      </c>
      <c r="AH1436" s="32">
        <v>0</v>
      </c>
      <c r="AI1436" s="32">
        <v>0</v>
      </c>
      <c r="AK1436" s="32">
        <v>0</v>
      </c>
      <c r="AM1436" s="32">
        <v>9000</v>
      </c>
      <c r="AO1436" s="73" t="s">
        <v>75</v>
      </c>
      <c r="AQ1436" s="32" t="s">
        <v>589</v>
      </c>
      <c r="AU1436">
        <v>1435</v>
      </c>
    </row>
    <row r="1437" spans="1:47" x14ac:dyDescent="0.2">
      <c r="A1437" s="133">
        <v>6357</v>
      </c>
      <c r="B1437" s="39" t="s">
        <v>45</v>
      </c>
      <c r="C1437" s="39">
        <v>100</v>
      </c>
      <c r="D1437" s="29" t="b">
        <v>0</v>
      </c>
      <c r="E1437" s="39" t="s">
        <v>2756</v>
      </c>
      <c r="F1437" s="47" t="s">
        <v>409</v>
      </c>
      <c r="G1437" s="47" t="s">
        <v>49</v>
      </c>
      <c r="H1437"/>
      <c r="I1437" s="47" t="b">
        <v>1</v>
      </c>
      <c r="J1437" s="47" t="b">
        <v>1</v>
      </c>
      <c r="K1437" s="47">
        <v>2190</v>
      </c>
      <c r="L1437" s="48">
        <v>9</v>
      </c>
      <c r="M1437" s="47">
        <v>-1</v>
      </c>
      <c r="N1437" s="47">
        <v>-1</v>
      </c>
      <c r="O1437" s="47">
        <v>-1</v>
      </c>
      <c r="P1437" s="47">
        <v>-1</v>
      </c>
      <c r="Q1437" s="47">
        <v>-1</v>
      </c>
      <c r="R1437" s="47">
        <v>-1</v>
      </c>
      <c r="S1437" s="48">
        <v>9</v>
      </c>
      <c r="T1437" s="47">
        <v>0</v>
      </c>
      <c r="U1437" s="47">
        <v>0</v>
      </c>
      <c r="V1437" s="47">
        <v>0</v>
      </c>
      <c r="W1437" s="47">
        <v>500</v>
      </c>
      <c r="X1437" s="47">
        <v>53</v>
      </c>
      <c r="Y1437" s="47"/>
      <c r="Z1437" s="47" t="s">
        <v>2524</v>
      </c>
      <c r="AA1437" s="49"/>
      <c r="AB1437" s="49"/>
      <c r="AC1437" s="49"/>
      <c r="AD1437" s="50"/>
      <c r="AE1437" s="47" t="s">
        <v>2754</v>
      </c>
      <c r="AF1437" s="47"/>
      <c r="AG1437"/>
      <c r="AH1437"/>
      <c r="AI1437"/>
      <c r="AJ1437"/>
      <c r="AK1437"/>
      <c r="AL1437"/>
      <c r="AM1437"/>
      <c r="AN1437"/>
      <c r="AO1437"/>
      <c r="AP1437"/>
      <c r="AQ1437" t="s">
        <v>2526</v>
      </c>
      <c r="AU1437">
        <v>1436</v>
      </c>
    </row>
    <row r="1438" spans="1:47" x14ac:dyDescent="0.2">
      <c r="A1438" s="133">
        <v>6357</v>
      </c>
      <c r="B1438" s="39" t="s">
        <v>45</v>
      </c>
      <c r="C1438" s="39">
        <v>100</v>
      </c>
      <c r="D1438" s="29" t="b">
        <v>0</v>
      </c>
      <c r="E1438" s="39" t="s">
        <v>2757</v>
      </c>
      <c r="F1438" s="47" t="s">
        <v>409</v>
      </c>
      <c r="G1438" s="47" t="s">
        <v>49</v>
      </c>
      <c r="H1438"/>
      <c r="I1438" s="47" t="b">
        <v>0</v>
      </c>
      <c r="J1438" s="47" t="b">
        <v>0</v>
      </c>
      <c r="K1438" s="47">
        <v>230</v>
      </c>
      <c r="L1438" s="48">
        <v>9</v>
      </c>
      <c r="M1438" s="47">
        <v>-1</v>
      </c>
      <c r="N1438" s="47">
        <v>-1</v>
      </c>
      <c r="O1438" s="47">
        <v>-1</v>
      </c>
      <c r="P1438" s="47">
        <v>-1</v>
      </c>
      <c r="Q1438" s="47">
        <v>-1</v>
      </c>
      <c r="R1438" s="47">
        <v>-1</v>
      </c>
      <c r="S1438" s="48">
        <v>9</v>
      </c>
      <c r="T1438" s="47">
        <v>0</v>
      </c>
      <c r="U1438" s="47">
        <v>0</v>
      </c>
      <c r="V1438" s="47">
        <v>0</v>
      </c>
      <c r="W1438" s="47"/>
      <c r="X1438" s="47">
        <v>54</v>
      </c>
      <c r="Y1438" s="47"/>
      <c r="Z1438" s="47" t="s">
        <v>2524</v>
      </c>
      <c r="AA1438" s="49"/>
      <c r="AB1438" s="49"/>
      <c r="AC1438" s="49"/>
      <c r="AD1438" s="50"/>
      <c r="AE1438" s="47" t="s">
        <v>2754</v>
      </c>
      <c r="AF1438" s="47"/>
      <c r="AG1438"/>
      <c r="AH1438"/>
      <c r="AI1438"/>
      <c r="AJ1438"/>
      <c r="AK1438"/>
      <c r="AL1438"/>
      <c r="AM1438"/>
      <c r="AN1438"/>
      <c r="AO1438"/>
      <c r="AP1438"/>
      <c r="AQ1438" t="s">
        <v>2526</v>
      </c>
      <c r="AU1438">
        <v>1437</v>
      </c>
    </row>
    <row r="1439" spans="1:47" x14ac:dyDescent="0.2">
      <c r="A1439" s="133">
        <v>6357</v>
      </c>
      <c r="B1439" s="39" t="s">
        <v>45</v>
      </c>
      <c r="C1439" s="39">
        <v>100</v>
      </c>
      <c r="D1439" s="29" t="b">
        <v>0</v>
      </c>
      <c r="E1439" s="39" t="s">
        <v>2753</v>
      </c>
      <c r="F1439" s="47" t="s">
        <v>76</v>
      </c>
      <c r="G1439" s="47" t="s">
        <v>49</v>
      </c>
      <c r="H1439"/>
      <c r="I1439" s="47" t="b">
        <v>0</v>
      </c>
      <c r="J1439" s="47" t="b">
        <v>0</v>
      </c>
      <c r="K1439" s="47">
        <v>1960</v>
      </c>
      <c r="L1439" s="48">
        <v>9</v>
      </c>
      <c r="M1439" s="47">
        <v>-1</v>
      </c>
      <c r="N1439" s="47">
        <v>-1</v>
      </c>
      <c r="O1439" s="47">
        <v>-1</v>
      </c>
      <c r="P1439" s="47">
        <v>-1</v>
      </c>
      <c r="Q1439" s="47">
        <v>-1</v>
      </c>
      <c r="R1439" s="47">
        <v>-1</v>
      </c>
      <c r="S1439" s="48">
        <v>9</v>
      </c>
      <c r="T1439" s="47">
        <v>0</v>
      </c>
      <c r="U1439" s="47">
        <v>0</v>
      </c>
      <c r="V1439" s="47">
        <v>0</v>
      </c>
      <c r="W1439" s="47">
        <v>500</v>
      </c>
      <c r="X1439" s="47">
        <v>55</v>
      </c>
      <c r="Y1439" s="47"/>
      <c r="Z1439" s="47" t="s">
        <v>2524</v>
      </c>
      <c r="AA1439" s="49"/>
      <c r="AB1439" s="49"/>
      <c r="AC1439" s="49"/>
      <c r="AD1439" s="50"/>
      <c r="AE1439" s="47" t="s">
        <v>2754</v>
      </c>
      <c r="AF1439" s="47"/>
      <c r="AG1439"/>
      <c r="AH1439"/>
      <c r="AI1439"/>
      <c r="AJ1439"/>
      <c r="AK1439"/>
      <c r="AL1439"/>
      <c r="AM1439"/>
      <c r="AN1439"/>
      <c r="AO1439"/>
      <c r="AP1439"/>
      <c r="AQ1439" t="s">
        <v>2526</v>
      </c>
      <c r="AU1439">
        <v>1438</v>
      </c>
    </row>
    <row r="1440" spans="1:47" x14ac:dyDescent="0.2">
      <c r="A1440" s="133">
        <v>6357</v>
      </c>
      <c r="B1440" s="39" t="s">
        <v>45</v>
      </c>
      <c r="C1440" s="39" t="s">
        <v>156</v>
      </c>
      <c r="D1440" s="29"/>
      <c r="E1440" s="39" t="s">
        <v>2758</v>
      </c>
      <c r="F1440" s="47"/>
      <c r="G1440" s="47"/>
      <c r="H1440"/>
      <c r="J1440" s="47"/>
      <c r="K1440" s="47"/>
      <c r="L1440" s="48"/>
      <c r="M1440" s="47"/>
      <c r="N1440" s="47"/>
      <c r="O1440" s="47"/>
      <c r="P1440" s="47"/>
      <c r="Q1440" s="47"/>
      <c r="R1440" s="47"/>
      <c r="S1440" s="48"/>
      <c r="T1440" s="47"/>
      <c r="U1440" s="47"/>
      <c r="V1440" s="47"/>
      <c r="W1440" s="47"/>
      <c r="X1440" s="47"/>
      <c r="Y1440" s="47"/>
      <c r="Z1440" s="47"/>
      <c r="AA1440" s="49"/>
      <c r="AB1440" s="49"/>
      <c r="AC1440" s="49"/>
      <c r="AD1440" s="50"/>
      <c r="AE1440" s="31" t="s">
        <v>2743</v>
      </c>
      <c r="AF1440" s="47">
        <v>120</v>
      </c>
      <c r="AG1440"/>
      <c r="AH1440"/>
      <c r="AI1440"/>
      <c r="AJ1440"/>
      <c r="AK1440"/>
      <c r="AL1440"/>
      <c r="AM1440"/>
      <c r="AN1440"/>
      <c r="AO1440"/>
      <c r="AP1440"/>
      <c r="AQ1440"/>
      <c r="AU1440">
        <v>1439</v>
      </c>
    </row>
    <row r="1441" spans="1:47" x14ac:dyDescent="0.2">
      <c r="A1441" s="133">
        <v>6357</v>
      </c>
      <c r="B1441" s="39" t="s">
        <v>45</v>
      </c>
      <c r="C1441" s="38" t="s">
        <v>2542</v>
      </c>
      <c r="D1441" s="29"/>
      <c r="E1441" s="39" t="s">
        <v>653</v>
      </c>
      <c r="F1441" s="47" t="s">
        <v>220</v>
      </c>
      <c r="G1441" s="47" t="s">
        <v>49</v>
      </c>
      <c r="H1441"/>
      <c r="I1441" s="31" t="s">
        <v>2759</v>
      </c>
      <c r="J1441" s="47"/>
      <c r="K1441" s="47">
        <f>(5*30*10+6*50)*2.2</f>
        <v>3960.0000000000005</v>
      </c>
      <c r="L1441" s="48">
        <v>6</v>
      </c>
      <c r="M1441" s="47"/>
      <c r="N1441" s="47"/>
      <c r="O1441" s="47"/>
      <c r="P1441" s="47"/>
      <c r="Q1441" s="47"/>
      <c r="R1441" s="47"/>
      <c r="S1441" s="48">
        <v>6</v>
      </c>
      <c r="T1441" s="47">
        <v>0</v>
      </c>
      <c r="U1441" s="47">
        <v>0</v>
      </c>
      <c r="V1441" s="47">
        <v>0</v>
      </c>
      <c r="W1441" s="47">
        <f>((2200+1800+2600+1800+1500+2000)/6)*39.37/12</f>
        <v>6506.9861111111104</v>
      </c>
      <c r="X1441" s="47"/>
      <c r="Y1441" s="47" t="s">
        <v>51</v>
      </c>
      <c r="Z1441" s="47" t="s">
        <v>1846</v>
      </c>
      <c r="AA1441" s="49"/>
      <c r="AB1441" s="49"/>
      <c r="AC1441" s="49"/>
      <c r="AD1441" s="50">
        <v>1.75</v>
      </c>
      <c r="AE1441" s="31" t="s">
        <v>342</v>
      </c>
      <c r="AF1441" s="47">
        <v>45</v>
      </c>
      <c r="AG1441"/>
      <c r="AH1441"/>
      <c r="AI1441"/>
      <c r="AJ1441"/>
      <c r="AK1441">
        <f>5*30+6</f>
        <v>156</v>
      </c>
      <c r="AL1441"/>
      <c r="AM1441"/>
      <c r="AN1441"/>
      <c r="AO1441"/>
      <c r="AP1441"/>
      <c r="AQ1441" s="32" t="s">
        <v>2745</v>
      </c>
      <c r="AU1441">
        <v>1440</v>
      </c>
    </row>
    <row r="1442" spans="1:47" x14ac:dyDescent="0.2">
      <c r="A1442" s="133">
        <v>6357</v>
      </c>
      <c r="B1442" s="39" t="s">
        <v>45</v>
      </c>
      <c r="C1442" s="39" t="s">
        <v>142</v>
      </c>
      <c r="D1442" s="29"/>
      <c r="E1442" s="39" t="s">
        <v>2760</v>
      </c>
      <c r="F1442" s="47" t="s">
        <v>2761</v>
      </c>
      <c r="G1442" s="47" t="s">
        <v>69</v>
      </c>
      <c r="H1442"/>
      <c r="I1442" s="31" t="s">
        <v>2762</v>
      </c>
      <c r="J1442" s="47"/>
      <c r="K1442" s="47">
        <f>(138*10+48*25)*2.2</f>
        <v>5676.0000000000009</v>
      </c>
      <c r="L1442" s="48">
        <v>16</v>
      </c>
      <c r="M1442" s="47"/>
      <c r="N1442" s="47">
        <v>1</v>
      </c>
      <c r="O1442" s="47">
        <v>2</v>
      </c>
      <c r="P1442" s="47"/>
      <c r="Q1442" s="47"/>
      <c r="R1442" s="47"/>
      <c r="S1442" s="48">
        <v>13</v>
      </c>
      <c r="T1442" s="47">
        <v>0</v>
      </c>
      <c r="U1442" s="47">
        <v>0</v>
      </c>
      <c r="V1442" s="47">
        <v>1</v>
      </c>
      <c r="W1442" s="47"/>
      <c r="X1442" s="47"/>
      <c r="Y1442" s="47" t="s">
        <v>51</v>
      </c>
      <c r="Z1442" s="47" t="s">
        <v>2203</v>
      </c>
      <c r="AA1442" s="49">
        <v>0.89583333333333337</v>
      </c>
      <c r="AB1442" s="49">
        <v>0.125</v>
      </c>
      <c r="AC1442" s="49">
        <v>1.0416666666666666E-2</v>
      </c>
      <c r="AD1442" s="50">
        <v>5.5</v>
      </c>
      <c r="AE1442" s="47" t="s">
        <v>2470</v>
      </c>
      <c r="AF1442" s="47"/>
      <c r="AG1442"/>
      <c r="AH1442"/>
      <c r="AI1442"/>
      <c r="AJ1442"/>
      <c r="AK1442">
        <v>186</v>
      </c>
      <c r="AL1442"/>
      <c r="AM1442"/>
      <c r="AN1442"/>
      <c r="AO1442"/>
      <c r="AP1442"/>
      <c r="AQ1442" s="32" t="s">
        <v>2763</v>
      </c>
      <c r="AU1442">
        <v>1441</v>
      </c>
    </row>
    <row r="1443" spans="1:47" x14ac:dyDescent="0.2">
      <c r="A1443" s="133">
        <v>6357</v>
      </c>
      <c r="B1443" s="39"/>
      <c r="C1443" s="39" t="s">
        <v>332</v>
      </c>
      <c r="D1443" s="29" t="b">
        <v>0</v>
      </c>
      <c r="E1443" s="39" t="s">
        <v>2764</v>
      </c>
      <c r="F1443" s="31" t="s">
        <v>529</v>
      </c>
      <c r="G1443" s="31" t="s">
        <v>205</v>
      </c>
      <c r="H1443" s="32"/>
      <c r="I1443" s="32" t="s">
        <v>2765</v>
      </c>
      <c r="Z1443" s="47" t="s">
        <v>2670</v>
      </c>
      <c r="AU1443">
        <v>1442</v>
      </c>
    </row>
    <row r="1444" spans="1:47" x14ac:dyDescent="0.2">
      <c r="A1444" s="26">
        <v>6357</v>
      </c>
      <c r="B1444" s="27">
        <v>0.96527777777777779</v>
      </c>
      <c r="C1444" s="28"/>
      <c r="D1444" s="29"/>
      <c r="E1444" s="30" t="s">
        <v>1282</v>
      </c>
      <c r="H1444" s="32">
        <v>0</v>
      </c>
      <c r="I1444" s="32" t="s">
        <v>2766</v>
      </c>
      <c r="AG1444" s="32">
        <v>0</v>
      </c>
      <c r="AH1444" s="32">
        <v>0</v>
      </c>
      <c r="AI1444" s="32">
        <v>0</v>
      </c>
      <c r="AK1444" s="32">
        <v>0</v>
      </c>
      <c r="AL1444" s="32">
        <v>0.75</v>
      </c>
      <c r="AP1444" s="32">
        <v>0.75</v>
      </c>
      <c r="AQ1444" s="32" t="s">
        <v>1101</v>
      </c>
      <c r="AU1444">
        <v>1443</v>
      </c>
    </row>
    <row r="1445" spans="1:47" x14ac:dyDescent="0.2">
      <c r="A1445" s="26">
        <v>6357</v>
      </c>
      <c r="B1445" s="27" t="s">
        <v>45</v>
      </c>
      <c r="C1445" s="28"/>
      <c r="D1445" s="29"/>
      <c r="E1445" s="30" t="s">
        <v>1531</v>
      </c>
      <c r="H1445" s="32">
        <v>0</v>
      </c>
      <c r="I1445" s="32" t="s">
        <v>1532</v>
      </c>
      <c r="AG1445" s="32">
        <v>0</v>
      </c>
      <c r="AH1445" s="32">
        <v>0</v>
      </c>
      <c r="AI1445" s="32">
        <v>0</v>
      </c>
      <c r="AK1445" s="32">
        <v>0</v>
      </c>
      <c r="AM1445" s="32">
        <f>498*52</f>
        <v>25896</v>
      </c>
      <c r="AO1445" s="32" t="s">
        <v>1533</v>
      </c>
      <c r="AQ1445" s="32" t="s">
        <v>1101</v>
      </c>
      <c r="AU1445">
        <v>1444</v>
      </c>
    </row>
    <row r="1446" spans="1:47" x14ac:dyDescent="0.2">
      <c r="A1446" s="26">
        <v>6357</v>
      </c>
      <c r="B1446" s="27" t="s">
        <v>45</v>
      </c>
      <c r="C1446" s="28"/>
      <c r="D1446" s="29"/>
      <c r="E1446" s="150" t="s">
        <v>2286</v>
      </c>
      <c r="H1446" s="32">
        <v>0</v>
      </c>
      <c r="I1446" s="32" t="s">
        <v>1824</v>
      </c>
      <c r="AG1446" s="32">
        <v>0</v>
      </c>
      <c r="AH1446" s="32">
        <v>0</v>
      </c>
      <c r="AI1446" s="32">
        <v>0</v>
      </c>
      <c r="AK1446" s="32">
        <v>0</v>
      </c>
      <c r="AM1446" s="32">
        <v>9000</v>
      </c>
      <c r="AO1446" s="73" t="s">
        <v>75</v>
      </c>
      <c r="AQ1446" s="32" t="s">
        <v>589</v>
      </c>
      <c r="AU1446">
        <v>1445</v>
      </c>
    </row>
    <row r="1447" spans="1:47" x14ac:dyDescent="0.2">
      <c r="A1447" s="133">
        <v>6359</v>
      </c>
      <c r="B1447" s="39" t="s">
        <v>45</v>
      </c>
      <c r="C1447" s="39">
        <v>100</v>
      </c>
      <c r="D1447" s="29" t="b">
        <v>0</v>
      </c>
      <c r="E1447" s="39" t="s">
        <v>2767</v>
      </c>
      <c r="F1447" s="47" t="s">
        <v>2768</v>
      </c>
      <c r="G1447" s="47" t="s">
        <v>49</v>
      </c>
      <c r="H1447"/>
      <c r="I1447" s="47" t="b">
        <v>1</v>
      </c>
      <c r="J1447" s="47" t="b">
        <v>1</v>
      </c>
      <c r="K1447" s="47">
        <v>2016</v>
      </c>
      <c r="L1447" s="48">
        <v>8</v>
      </c>
      <c r="M1447" s="47">
        <v>-1</v>
      </c>
      <c r="N1447" s="47">
        <v>-1</v>
      </c>
      <c r="O1447" s="47">
        <v>-1</v>
      </c>
      <c r="P1447" s="47">
        <v>-1</v>
      </c>
      <c r="Q1447" s="47">
        <v>-1</v>
      </c>
      <c r="R1447" s="47">
        <v>-1</v>
      </c>
      <c r="S1447" s="48">
        <v>8</v>
      </c>
      <c r="T1447" s="47">
        <v>0</v>
      </c>
      <c r="U1447" s="47">
        <v>0</v>
      </c>
      <c r="V1447" s="47">
        <v>1</v>
      </c>
      <c r="W1447" s="47">
        <v>1017</v>
      </c>
      <c r="X1447" s="47">
        <v>56</v>
      </c>
      <c r="Y1447" s="47"/>
      <c r="Z1447" s="47" t="s">
        <v>2524</v>
      </c>
      <c r="AA1447" s="49"/>
      <c r="AB1447" s="49"/>
      <c r="AC1447" s="49"/>
      <c r="AD1447" s="50"/>
      <c r="AE1447" s="47" t="s">
        <v>2754</v>
      </c>
      <c r="AF1447" s="47">
        <v>50</v>
      </c>
      <c r="AG1447"/>
      <c r="AH1447"/>
      <c r="AI1447"/>
      <c r="AJ1447"/>
      <c r="AK1447"/>
      <c r="AL1447"/>
      <c r="AM1447"/>
      <c r="AN1447"/>
      <c r="AO1447"/>
      <c r="AP1447"/>
      <c r="AQ1447" t="s">
        <v>2526</v>
      </c>
      <c r="AU1447">
        <v>1446</v>
      </c>
    </row>
    <row r="1448" spans="1:47" x14ac:dyDescent="0.2">
      <c r="A1448" s="133">
        <v>6359</v>
      </c>
      <c r="B1448" s="39" t="s">
        <v>45</v>
      </c>
      <c r="C1448" s="39">
        <v>100</v>
      </c>
      <c r="D1448" s="29" t="b">
        <v>0</v>
      </c>
      <c r="E1448" s="39" t="s">
        <v>2769</v>
      </c>
      <c r="F1448" s="47" t="s">
        <v>76</v>
      </c>
      <c r="G1448" s="47" t="s">
        <v>49</v>
      </c>
      <c r="H1448"/>
      <c r="I1448" s="47" t="b">
        <v>0</v>
      </c>
      <c r="J1448" s="47" t="b">
        <v>0</v>
      </c>
      <c r="K1448" s="47">
        <v>224</v>
      </c>
      <c r="L1448" s="48">
        <v>8</v>
      </c>
      <c r="M1448" s="47">
        <v>-1</v>
      </c>
      <c r="N1448" s="47">
        <v>-1</v>
      </c>
      <c r="O1448" s="47">
        <v>-1</v>
      </c>
      <c r="P1448" s="47">
        <v>-1</v>
      </c>
      <c r="Q1448" s="47">
        <v>-1</v>
      </c>
      <c r="R1448" s="47">
        <v>-1</v>
      </c>
      <c r="S1448" s="48">
        <v>8</v>
      </c>
      <c r="T1448" s="47">
        <v>0</v>
      </c>
      <c r="U1448" s="47">
        <v>0</v>
      </c>
      <c r="V1448" s="47">
        <v>1</v>
      </c>
      <c r="W1448" s="47">
        <v>1000</v>
      </c>
      <c r="X1448" s="47">
        <v>57</v>
      </c>
      <c r="Y1448" s="47"/>
      <c r="Z1448" s="47" t="s">
        <v>2524</v>
      </c>
      <c r="AA1448" s="49"/>
      <c r="AB1448" s="49"/>
      <c r="AC1448" s="49"/>
      <c r="AD1448" s="50"/>
      <c r="AE1448" s="47" t="s">
        <v>2754</v>
      </c>
      <c r="AF1448" s="47">
        <v>55</v>
      </c>
      <c r="AG1448"/>
      <c r="AH1448"/>
      <c r="AI1448"/>
      <c r="AJ1448"/>
      <c r="AK1448"/>
      <c r="AL1448"/>
      <c r="AM1448"/>
      <c r="AN1448"/>
      <c r="AO1448"/>
      <c r="AP1448"/>
      <c r="AQ1448" t="s">
        <v>2526</v>
      </c>
      <c r="AU1448">
        <v>1447</v>
      </c>
    </row>
    <row r="1449" spans="1:47" x14ac:dyDescent="0.2">
      <c r="A1449" s="133">
        <v>6359</v>
      </c>
      <c r="B1449" s="39" t="s">
        <v>45</v>
      </c>
      <c r="C1449" s="39">
        <v>100</v>
      </c>
      <c r="D1449" s="29" t="b">
        <v>0</v>
      </c>
      <c r="E1449" s="39" t="s">
        <v>2770</v>
      </c>
      <c r="F1449" s="47" t="s">
        <v>76</v>
      </c>
      <c r="G1449" s="47" t="s">
        <v>49</v>
      </c>
      <c r="H1449"/>
      <c r="I1449" s="47" t="b">
        <v>0</v>
      </c>
      <c r="J1449" s="47" t="b">
        <v>0</v>
      </c>
      <c r="K1449" s="47">
        <v>112</v>
      </c>
      <c r="L1449" s="48">
        <v>8</v>
      </c>
      <c r="M1449" s="47">
        <v>-1</v>
      </c>
      <c r="N1449" s="47">
        <v>-1</v>
      </c>
      <c r="O1449" s="47">
        <v>-1</v>
      </c>
      <c r="P1449" s="47">
        <v>-1</v>
      </c>
      <c r="Q1449" s="47">
        <v>-1</v>
      </c>
      <c r="R1449" s="47">
        <v>-1</v>
      </c>
      <c r="S1449" s="48">
        <v>8</v>
      </c>
      <c r="T1449" s="47">
        <v>0</v>
      </c>
      <c r="U1449" s="47">
        <v>0</v>
      </c>
      <c r="V1449" s="47">
        <v>1</v>
      </c>
      <c r="W1449" s="47">
        <v>1500</v>
      </c>
      <c r="X1449" s="47">
        <v>58</v>
      </c>
      <c r="Y1449" s="47"/>
      <c r="Z1449" s="47" t="s">
        <v>2524</v>
      </c>
      <c r="AA1449" s="49"/>
      <c r="AB1449" s="49"/>
      <c r="AC1449" s="49"/>
      <c r="AD1449" s="50"/>
      <c r="AE1449" s="47" t="s">
        <v>2754</v>
      </c>
      <c r="AF1449" s="47"/>
      <c r="AG1449"/>
      <c r="AH1449"/>
      <c r="AI1449"/>
      <c r="AJ1449"/>
      <c r="AK1449"/>
      <c r="AL1449"/>
      <c r="AM1449"/>
      <c r="AN1449"/>
      <c r="AO1449"/>
      <c r="AP1449"/>
      <c r="AQ1449" t="s">
        <v>2526</v>
      </c>
      <c r="AU1449">
        <v>1448</v>
      </c>
    </row>
    <row r="1450" spans="1:47" x14ac:dyDescent="0.2">
      <c r="A1450" s="133">
        <v>6359</v>
      </c>
      <c r="B1450" s="39" t="s">
        <v>45</v>
      </c>
      <c r="C1450" s="85">
        <v>100</v>
      </c>
      <c r="D1450" s="29" t="b">
        <v>0</v>
      </c>
      <c r="E1450" s="39" t="s">
        <v>2771</v>
      </c>
      <c r="F1450" s="47" t="s">
        <v>529</v>
      </c>
      <c r="G1450" s="47" t="s">
        <v>205</v>
      </c>
      <c r="H1450"/>
      <c r="I1450" s="47" t="b">
        <v>0</v>
      </c>
      <c r="J1450" s="47" t="b">
        <v>0</v>
      </c>
      <c r="K1450" s="47">
        <v>224</v>
      </c>
      <c r="L1450" s="48">
        <v>8</v>
      </c>
      <c r="M1450" s="47">
        <v>-1</v>
      </c>
      <c r="N1450" s="47">
        <v>-1</v>
      </c>
      <c r="O1450" s="47">
        <v>-1</v>
      </c>
      <c r="P1450" s="47">
        <v>-1</v>
      </c>
      <c r="Q1450" s="47">
        <v>-1</v>
      </c>
      <c r="R1450" s="47">
        <v>-1</v>
      </c>
      <c r="S1450" s="48">
        <v>8</v>
      </c>
      <c r="T1450" s="47">
        <v>0</v>
      </c>
      <c r="U1450" s="47">
        <v>0</v>
      </c>
      <c r="V1450" s="47">
        <v>1</v>
      </c>
      <c r="W1450" s="47">
        <v>500</v>
      </c>
      <c r="X1450" s="47">
        <v>59</v>
      </c>
      <c r="Y1450" s="47"/>
      <c r="Z1450" s="47" t="s">
        <v>2524</v>
      </c>
      <c r="AA1450" s="49"/>
      <c r="AB1450" s="49"/>
      <c r="AC1450" s="49"/>
      <c r="AD1450" s="50"/>
      <c r="AE1450" s="47" t="s">
        <v>2754</v>
      </c>
      <c r="AF1450" s="47"/>
      <c r="AG1450"/>
      <c r="AH1450"/>
      <c r="AI1450"/>
      <c r="AJ1450"/>
      <c r="AK1450"/>
      <c r="AL1450"/>
      <c r="AM1450"/>
      <c r="AN1450"/>
      <c r="AO1450"/>
      <c r="AP1450"/>
      <c r="AQ1450" t="s">
        <v>2526</v>
      </c>
      <c r="AU1450">
        <v>1449</v>
      </c>
    </row>
    <row r="1451" spans="1:47" x14ac:dyDescent="0.2">
      <c r="A1451" s="133">
        <v>6360</v>
      </c>
      <c r="B1451" s="39" t="s">
        <v>45</v>
      </c>
      <c r="C1451" s="39" t="s">
        <v>142</v>
      </c>
      <c r="D1451" s="29"/>
      <c r="E1451" s="39" t="s">
        <v>2772</v>
      </c>
      <c r="F1451" s="47" t="s">
        <v>246</v>
      </c>
      <c r="G1451" s="47" t="s">
        <v>49</v>
      </c>
      <c r="H1451"/>
      <c r="I1451" s="47" t="s">
        <v>2773</v>
      </c>
      <c r="J1451" s="47"/>
      <c r="K1451" s="47">
        <f>(133*10+15*25)*2.2</f>
        <v>3751.0000000000005</v>
      </c>
      <c r="L1451" s="48">
        <v>11</v>
      </c>
      <c r="M1451" s="47"/>
      <c r="N1451" s="47"/>
      <c r="O1451" s="47"/>
      <c r="P1451" s="47"/>
      <c r="Q1451" s="47"/>
      <c r="R1451" s="47"/>
      <c r="S1451" s="48">
        <v>11</v>
      </c>
      <c r="T1451" s="47">
        <v>0</v>
      </c>
      <c r="U1451" s="47">
        <v>0</v>
      </c>
      <c r="V1451" s="47">
        <v>0</v>
      </c>
      <c r="W1451" s="47"/>
      <c r="X1451" s="47"/>
      <c r="Y1451" s="47" t="s">
        <v>51</v>
      </c>
      <c r="Z1451" s="47" t="s">
        <v>2203</v>
      </c>
      <c r="AA1451" s="49">
        <v>0.90972222222222221</v>
      </c>
      <c r="AB1451" s="49">
        <v>8.3333333333333329E-2</v>
      </c>
      <c r="AC1451" s="49">
        <v>0.99652777777777779</v>
      </c>
      <c r="AD1451" s="50">
        <v>4.2</v>
      </c>
      <c r="AE1451" s="47" t="s">
        <v>2470</v>
      </c>
      <c r="AF1451" s="47"/>
      <c r="AG1451"/>
      <c r="AH1451"/>
      <c r="AI1451"/>
      <c r="AJ1451"/>
      <c r="AK1451">
        <f>133+15</f>
        <v>148</v>
      </c>
      <c r="AL1451"/>
      <c r="AM1451"/>
      <c r="AN1451"/>
      <c r="AO1451"/>
      <c r="AP1451"/>
      <c r="AQ1451" s="32" t="s">
        <v>2763</v>
      </c>
      <c r="AU1451">
        <v>1450</v>
      </c>
    </row>
    <row r="1452" spans="1:47" x14ac:dyDescent="0.2">
      <c r="A1452" s="26">
        <v>6360</v>
      </c>
      <c r="B1452" s="27" t="s">
        <v>45</v>
      </c>
      <c r="C1452" s="28"/>
      <c r="D1452" s="29"/>
      <c r="E1452" s="30" t="s">
        <v>1531</v>
      </c>
      <c r="H1452" s="32">
        <v>0</v>
      </c>
      <c r="I1452" s="32" t="s">
        <v>1532</v>
      </c>
      <c r="AG1452" s="32">
        <v>0</v>
      </c>
      <c r="AH1452" s="32">
        <v>0</v>
      </c>
      <c r="AI1452" s="32">
        <v>0</v>
      </c>
      <c r="AK1452" s="32">
        <v>0</v>
      </c>
      <c r="AM1452" s="32">
        <f>498*28</f>
        <v>13944</v>
      </c>
      <c r="AO1452" s="32" t="s">
        <v>1533</v>
      </c>
      <c r="AQ1452" s="32" t="s">
        <v>1101</v>
      </c>
      <c r="AU1452">
        <v>1451</v>
      </c>
    </row>
    <row r="1453" spans="1:47" x14ac:dyDescent="0.2">
      <c r="A1453" s="26">
        <v>6360</v>
      </c>
      <c r="B1453" s="27" t="s">
        <v>45</v>
      </c>
      <c r="C1453" s="28"/>
      <c r="D1453" s="29"/>
      <c r="E1453" s="150" t="s">
        <v>2286</v>
      </c>
      <c r="H1453" s="32">
        <v>0</v>
      </c>
      <c r="I1453" s="32" t="s">
        <v>1824</v>
      </c>
      <c r="AG1453" s="32">
        <v>0</v>
      </c>
      <c r="AH1453" s="32">
        <v>0</v>
      </c>
      <c r="AI1453" s="32">
        <v>0</v>
      </c>
      <c r="AK1453" s="32">
        <v>0</v>
      </c>
      <c r="AM1453" s="32">
        <v>7500</v>
      </c>
      <c r="AO1453" s="73" t="s">
        <v>75</v>
      </c>
      <c r="AQ1453" s="32" t="s">
        <v>589</v>
      </c>
      <c r="AU1453">
        <v>1452</v>
      </c>
    </row>
    <row r="1454" spans="1:47" x14ac:dyDescent="0.2">
      <c r="A1454" s="133">
        <v>6361</v>
      </c>
      <c r="B1454" s="39" t="s">
        <v>45</v>
      </c>
      <c r="C1454" s="39">
        <v>100</v>
      </c>
      <c r="D1454" s="29" t="b">
        <v>0</v>
      </c>
      <c r="E1454" s="39" t="s">
        <v>2774</v>
      </c>
      <c r="F1454" s="47" t="s">
        <v>2775</v>
      </c>
      <c r="G1454" s="47" t="s">
        <v>49</v>
      </c>
      <c r="H1454"/>
      <c r="I1454" s="47" t="b">
        <v>1</v>
      </c>
      <c r="J1454" s="47" t="b">
        <v>1</v>
      </c>
      <c r="K1454" s="47">
        <v>2630</v>
      </c>
      <c r="L1454" s="48">
        <v>11</v>
      </c>
      <c r="M1454" s="47">
        <v>-1</v>
      </c>
      <c r="N1454" s="47">
        <v>-1</v>
      </c>
      <c r="O1454" s="47">
        <v>-1</v>
      </c>
      <c r="P1454" s="47">
        <v>-1</v>
      </c>
      <c r="Q1454" s="47">
        <v>-1</v>
      </c>
      <c r="R1454" s="47">
        <v>-1</v>
      </c>
      <c r="S1454" s="48">
        <v>11</v>
      </c>
      <c r="T1454" s="47">
        <v>0</v>
      </c>
      <c r="U1454" s="47">
        <v>0</v>
      </c>
      <c r="V1454" s="47">
        <v>0</v>
      </c>
      <c r="W1454" s="47">
        <v>1500</v>
      </c>
      <c r="X1454" s="47">
        <v>60</v>
      </c>
      <c r="Y1454" s="47"/>
      <c r="Z1454" s="47" t="s">
        <v>2524</v>
      </c>
      <c r="AA1454" s="49"/>
      <c r="AB1454" s="49"/>
      <c r="AC1454" s="49"/>
      <c r="AD1454" s="50"/>
      <c r="AE1454" s="47" t="s">
        <v>2754</v>
      </c>
      <c r="AF1454" s="47"/>
      <c r="AG1454"/>
      <c r="AH1454"/>
      <c r="AI1454"/>
      <c r="AJ1454"/>
      <c r="AK1454"/>
      <c r="AL1454"/>
      <c r="AM1454"/>
      <c r="AN1454"/>
      <c r="AO1454"/>
      <c r="AP1454"/>
      <c r="AQ1454" t="s">
        <v>2526</v>
      </c>
      <c r="AU1454">
        <v>1453</v>
      </c>
    </row>
    <row r="1455" spans="1:47" x14ac:dyDescent="0.2">
      <c r="A1455" s="133">
        <v>6361</v>
      </c>
      <c r="B1455" s="39" t="s">
        <v>45</v>
      </c>
      <c r="C1455" s="39">
        <v>100</v>
      </c>
      <c r="D1455" s="29" t="b">
        <v>0</v>
      </c>
      <c r="E1455" s="39" t="s">
        <v>2776</v>
      </c>
      <c r="F1455" s="47" t="s">
        <v>2775</v>
      </c>
      <c r="G1455" s="47" t="s">
        <v>49</v>
      </c>
      <c r="H1455"/>
      <c r="I1455" s="47" t="b">
        <v>0</v>
      </c>
      <c r="J1455" s="47" t="b">
        <v>0</v>
      </c>
      <c r="K1455" s="47">
        <v>2358</v>
      </c>
      <c r="L1455" s="48">
        <v>11</v>
      </c>
      <c r="M1455" s="47">
        <v>-1</v>
      </c>
      <c r="N1455" s="47">
        <v>-1</v>
      </c>
      <c r="O1455" s="47">
        <v>-1</v>
      </c>
      <c r="P1455" s="47">
        <v>-1</v>
      </c>
      <c r="Q1455" s="47">
        <v>-1</v>
      </c>
      <c r="R1455" s="47">
        <v>-1</v>
      </c>
      <c r="S1455" s="48">
        <v>11</v>
      </c>
      <c r="T1455" s="47">
        <v>0</v>
      </c>
      <c r="U1455" s="47">
        <v>0</v>
      </c>
      <c r="V1455" s="47">
        <v>0</v>
      </c>
      <c r="W1455" s="47"/>
      <c r="X1455" s="47">
        <v>61</v>
      </c>
      <c r="Y1455" s="47"/>
      <c r="Z1455" s="47" t="s">
        <v>2524</v>
      </c>
      <c r="AA1455" s="49"/>
      <c r="AB1455" s="49"/>
      <c r="AC1455" s="49"/>
      <c r="AD1455" s="50"/>
      <c r="AE1455" s="47" t="s">
        <v>2754</v>
      </c>
      <c r="AF1455" s="47"/>
      <c r="AG1455"/>
      <c r="AH1455"/>
      <c r="AI1455"/>
      <c r="AJ1455"/>
      <c r="AK1455"/>
      <c r="AL1455"/>
      <c r="AM1455"/>
      <c r="AN1455"/>
      <c r="AO1455"/>
      <c r="AP1455"/>
      <c r="AQ1455" t="s">
        <v>2526</v>
      </c>
      <c r="AU1455">
        <v>1454</v>
      </c>
    </row>
    <row r="1456" spans="1:47" x14ac:dyDescent="0.2">
      <c r="A1456" s="133">
        <v>6361</v>
      </c>
      <c r="B1456" s="39" t="s">
        <v>45</v>
      </c>
      <c r="C1456" s="39">
        <v>100</v>
      </c>
      <c r="D1456" s="29" t="b">
        <v>0</v>
      </c>
      <c r="E1456" s="39" t="s">
        <v>2777</v>
      </c>
      <c r="F1456" s="47" t="s">
        <v>2775</v>
      </c>
      <c r="G1456" s="47" t="s">
        <v>49</v>
      </c>
      <c r="H1456"/>
      <c r="I1456" s="47" t="b">
        <v>0</v>
      </c>
      <c r="J1456" s="47" t="b">
        <v>0</v>
      </c>
      <c r="K1456" s="47">
        <v>120</v>
      </c>
      <c r="L1456" s="48">
        <v>11</v>
      </c>
      <c r="M1456" s="47">
        <v>-1</v>
      </c>
      <c r="N1456" s="47">
        <v>-1</v>
      </c>
      <c r="O1456" s="47">
        <v>-1</v>
      </c>
      <c r="P1456" s="47">
        <v>-1</v>
      </c>
      <c r="Q1456" s="47">
        <v>-1</v>
      </c>
      <c r="R1456" s="47">
        <v>-1</v>
      </c>
      <c r="S1456" s="48">
        <v>11</v>
      </c>
      <c r="T1456" s="47">
        <v>0</v>
      </c>
      <c r="U1456" s="47">
        <v>0</v>
      </c>
      <c r="V1456" s="47">
        <v>0</v>
      </c>
      <c r="W1456" s="47">
        <v>1500</v>
      </c>
      <c r="X1456" s="47">
        <v>62</v>
      </c>
      <c r="Y1456" s="47"/>
      <c r="Z1456" s="47" t="s">
        <v>2524</v>
      </c>
      <c r="AA1456" s="49"/>
      <c r="AB1456" s="49"/>
      <c r="AC1456" s="49"/>
      <c r="AD1456" s="50"/>
      <c r="AE1456" s="47" t="s">
        <v>2754</v>
      </c>
      <c r="AF1456" s="47"/>
      <c r="AG1456"/>
      <c r="AH1456"/>
      <c r="AI1456"/>
      <c r="AJ1456"/>
      <c r="AK1456"/>
      <c r="AL1456"/>
      <c r="AM1456"/>
      <c r="AN1456"/>
      <c r="AO1456"/>
      <c r="AP1456"/>
      <c r="AQ1456" t="s">
        <v>2526</v>
      </c>
      <c r="AU1456">
        <v>1455</v>
      </c>
    </row>
    <row r="1457" spans="1:47" x14ac:dyDescent="0.2">
      <c r="A1457" s="133">
        <v>6363</v>
      </c>
      <c r="B1457" s="39" t="s">
        <v>45</v>
      </c>
      <c r="C1457" s="39">
        <v>100</v>
      </c>
      <c r="D1457" s="29" t="b">
        <v>0</v>
      </c>
      <c r="E1457" s="39" t="s">
        <v>2778</v>
      </c>
      <c r="F1457" s="47" t="s">
        <v>2617</v>
      </c>
      <c r="G1457" s="47" t="s">
        <v>49</v>
      </c>
      <c r="H1457"/>
      <c r="I1457" s="47" t="b">
        <v>1</v>
      </c>
      <c r="J1457" s="47" t="b">
        <v>1</v>
      </c>
      <c r="K1457" s="47">
        <v>1280</v>
      </c>
      <c r="L1457" s="48">
        <v>6</v>
      </c>
      <c r="M1457" s="47">
        <v>-1</v>
      </c>
      <c r="N1457" s="47">
        <v>-1</v>
      </c>
      <c r="O1457" s="47">
        <v>-1</v>
      </c>
      <c r="P1457" s="47">
        <v>-1</v>
      </c>
      <c r="Q1457" s="47">
        <v>-1</v>
      </c>
      <c r="R1457" s="47">
        <v>-1</v>
      </c>
      <c r="S1457" s="48">
        <v>6</v>
      </c>
      <c r="T1457" s="47">
        <v>0</v>
      </c>
      <c r="U1457" s="47">
        <v>0</v>
      </c>
      <c r="V1457" s="47">
        <v>0</v>
      </c>
      <c r="W1457" s="47">
        <v>1500</v>
      </c>
      <c r="X1457" s="47">
        <v>63</v>
      </c>
      <c r="Y1457" s="47"/>
      <c r="Z1457" s="47" t="s">
        <v>2524</v>
      </c>
      <c r="AA1457" s="49"/>
      <c r="AB1457" s="49"/>
      <c r="AC1457" s="49"/>
      <c r="AD1457" s="50"/>
      <c r="AE1457" s="47" t="s">
        <v>2754</v>
      </c>
      <c r="AF1457" s="47">
        <v>50</v>
      </c>
      <c r="AG1457"/>
      <c r="AH1457"/>
      <c r="AI1457"/>
      <c r="AJ1457"/>
      <c r="AK1457"/>
      <c r="AL1457"/>
      <c r="AM1457"/>
      <c r="AN1457"/>
      <c r="AO1457"/>
      <c r="AP1457"/>
      <c r="AQ1457" t="s">
        <v>2526</v>
      </c>
      <c r="AU1457">
        <v>1456</v>
      </c>
    </row>
    <row r="1458" spans="1:47" x14ac:dyDescent="0.2">
      <c r="A1458" s="133">
        <v>6363</v>
      </c>
      <c r="B1458" s="39" t="s">
        <v>45</v>
      </c>
      <c r="C1458" s="39">
        <v>100</v>
      </c>
      <c r="D1458" s="29" t="b">
        <v>0</v>
      </c>
      <c r="E1458" s="39" t="s">
        <v>2779</v>
      </c>
      <c r="F1458" s="47" t="s">
        <v>57</v>
      </c>
      <c r="G1458" s="47" t="s">
        <v>49</v>
      </c>
      <c r="H1458"/>
      <c r="I1458" s="47" t="b">
        <v>0</v>
      </c>
      <c r="J1458" s="47" t="b">
        <v>0</v>
      </c>
      <c r="K1458" s="47">
        <v>224</v>
      </c>
      <c r="L1458" s="48">
        <v>6</v>
      </c>
      <c r="M1458" s="47">
        <v>-1</v>
      </c>
      <c r="N1458" s="47">
        <v>-1</v>
      </c>
      <c r="O1458" s="47">
        <v>-1</v>
      </c>
      <c r="P1458" s="47">
        <v>-1</v>
      </c>
      <c r="Q1458" s="47">
        <v>-1</v>
      </c>
      <c r="R1458" s="47">
        <v>-1</v>
      </c>
      <c r="S1458" s="48">
        <v>6</v>
      </c>
      <c r="T1458" s="47">
        <v>0</v>
      </c>
      <c r="U1458" s="47">
        <v>0</v>
      </c>
      <c r="V1458" s="47">
        <v>0</v>
      </c>
      <c r="W1458" s="47"/>
      <c r="X1458" s="47">
        <v>64</v>
      </c>
      <c r="Y1458" s="47"/>
      <c r="Z1458" s="47" t="s">
        <v>2524</v>
      </c>
      <c r="AA1458" s="49"/>
      <c r="AB1458" s="49"/>
      <c r="AC1458" s="49"/>
      <c r="AD1458" s="50"/>
      <c r="AE1458" s="47" t="s">
        <v>2754</v>
      </c>
      <c r="AF1458" s="47">
        <v>45</v>
      </c>
      <c r="AG1458"/>
      <c r="AH1458"/>
      <c r="AI1458"/>
      <c r="AJ1458"/>
      <c r="AK1458"/>
      <c r="AL1458"/>
      <c r="AM1458"/>
      <c r="AN1458"/>
      <c r="AO1458"/>
      <c r="AP1458"/>
      <c r="AQ1458" t="s">
        <v>2526</v>
      </c>
      <c r="AU1458">
        <v>1457</v>
      </c>
    </row>
    <row r="1459" spans="1:47" x14ac:dyDescent="0.2">
      <c r="A1459" s="133">
        <v>6363</v>
      </c>
      <c r="B1459" s="39" t="s">
        <v>45</v>
      </c>
      <c r="C1459" s="39">
        <v>100</v>
      </c>
      <c r="D1459" s="29" t="b">
        <v>0</v>
      </c>
      <c r="E1459" s="39" t="s">
        <v>2780</v>
      </c>
      <c r="F1459" s="47" t="s">
        <v>57</v>
      </c>
      <c r="G1459" s="47" t="s">
        <v>49</v>
      </c>
      <c r="H1459"/>
      <c r="I1459" s="47" t="b">
        <v>0</v>
      </c>
      <c r="J1459" s="47" t="b">
        <v>0</v>
      </c>
      <c r="K1459" s="47">
        <v>224</v>
      </c>
      <c r="L1459" s="48">
        <v>6</v>
      </c>
      <c r="M1459" s="47">
        <v>-1</v>
      </c>
      <c r="N1459" s="47">
        <v>-1</v>
      </c>
      <c r="O1459" s="47">
        <v>-1</v>
      </c>
      <c r="P1459" s="47">
        <v>-1</v>
      </c>
      <c r="Q1459" s="47">
        <v>-1</v>
      </c>
      <c r="R1459" s="47">
        <v>-1</v>
      </c>
      <c r="S1459" s="48">
        <v>6</v>
      </c>
      <c r="T1459" s="47">
        <v>0</v>
      </c>
      <c r="U1459" s="47">
        <v>0</v>
      </c>
      <c r="V1459" s="47">
        <v>0</v>
      </c>
      <c r="W1459" s="47"/>
      <c r="X1459" s="47">
        <v>65</v>
      </c>
      <c r="Y1459" s="47"/>
      <c r="Z1459" s="47" t="s">
        <v>2524</v>
      </c>
      <c r="AA1459" s="49"/>
      <c r="AB1459" s="49"/>
      <c r="AC1459" s="49"/>
      <c r="AD1459" s="50"/>
      <c r="AE1459" s="47" t="s">
        <v>2754</v>
      </c>
      <c r="AF1459" s="47">
        <v>50</v>
      </c>
      <c r="AG1459"/>
      <c r="AH1459"/>
      <c r="AI1459"/>
      <c r="AJ1459"/>
      <c r="AK1459"/>
      <c r="AL1459"/>
      <c r="AM1459"/>
      <c r="AN1459"/>
      <c r="AO1459"/>
      <c r="AP1459"/>
      <c r="AQ1459" t="s">
        <v>2526</v>
      </c>
      <c r="AU1459">
        <v>1458</v>
      </c>
    </row>
    <row r="1460" spans="1:47" x14ac:dyDescent="0.2">
      <c r="A1460" s="133">
        <v>6363</v>
      </c>
      <c r="B1460" s="39" t="s">
        <v>45</v>
      </c>
      <c r="C1460" s="39">
        <v>100</v>
      </c>
      <c r="D1460" s="29" t="b">
        <v>0</v>
      </c>
      <c r="E1460" s="39" t="s">
        <v>2781</v>
      </c>
      <c r="F1460" s="47" t="s">
        <v>57</v>
      </c>
      <c r="G1460" s="47" t="s">
        <v>49</v>
      </c>
      <c r="H1460"/>
      <c r="I1460" s="47" t="b">
        <v>0</v>
      </c>
      <c r="J1460" s="47" t="b">
        <v>0</v>
      </c>
      <c r="K1460" s="47">
        <v>224</v>
      </c>
      <c r="L1460" s="48">
        <v>6</v>
      </c>
      <c r="M1460" s="47">
        <v>-1</v>
      </c>
      <c r="N1460" s="47">
        <v>-1</v>
      </c>
      <c r="O1460" s="47">
        <v>-1</v>
      </c>
      <c r="P1460" s="47">
        <v>-1</v>
      </c>
      <c r="Q1460" s="47">
        <v>-1</v>
      </c>
      <c r="R1460" s="47">
        <v>-1</v>
      </c>
      <c r="S1460" s="48">
        <v>6</v>
      </c>
      <c r="T1460" s="47">
        <v>0</v>
      </c>
      <c r="U1460" s="47">
        <v>0</v>
      </c>
      <c r="V1460" s="47">
        <v>0</v>
      </c>
      <c r="W1460" s="47"/>
      <c r="X1460" s="47">
        <v>66</v>
      </c>
      <c r="Y1460" s="47"/>
      <c r="Z1460" s="47" t="s">
        <v>2524</v>
      </c>
      <c r="AA1460" s="49"/>
      <c r="AB1460" s="49"/>
      <c r="AC1460" s="49"/>
      <c r="AD1460" s="50"/>
      <c r="AE1460" s="47" t="s">
        <v>2754</v>
      </c>
      <c r="AF1460" s="47"/>
      <c r="AG1460"/>
      <c r="AH1460"/>
      <c r="AI1460"/>
      <c r="AJ1460"/>
      <c r="AK1460"/>
      <c r="AL1460"/>
      <c r="AM1460"/>
      <c r="AN1460"/>
      <c r="AO1460"/>
      <c r="AP1460"/>
      <c r="AQ1460" t="s">
        <v>2526</v>
      </c>
      <c r="AU1460">
        <v>1459</v>
      </c>
    </row>
    <row r="1461" spans="1:47" x14ac:dyDescent="0.2">
      <c r="A1461" s="133">
        <v>6363</v>
      </c>
      <c r="B1461" s="39" t="s">
        <v>45</v>
      </c>
      <c r="C1461" s="39">
        <v>100</v>
      </c>
      <c r="D1461" s="29" t="b">
        <v>0</v>
      </c>
      <c r="E1461" s="39" t="s">
        <v>2782</v>
      </c>
      <c r="F1461" s="47" t="s">
        <v>2783</v>
      </c>
      <c r="G1461" s="47" t="s">
        <v>49</v>
      </c>
      <c r="H1461"/>
      <c r="I1461" s="47" t="b">
        <v>0</v>
      </c>
      <c r="J1461" s="47" t="b">
        <v>0</v>
      </c>
      <c r="K1461" s="47">
        <v>224</v>
      </c>
      <c r="L1461" s="48">
        <v>6</v>
      </c>
      <c r="M1461" s="47">
        <v>-1</v>
      </c>
      <c r="N1461" s="47">
        <v>-1</v>
      </c>
      <c r="O1461" s="47">
        <v>-1</v>
      </c>
      <c r="P1461" s="47">
        <v>-1</v>
      </c>
      <c r="Q1461" s="47">
        <v>-1</v>
      </c>
      <c r="R1461" s="47">
        <v>-1</v>
      </c>
      <c r="S1461" s="48">
        <v>6</v>
      </c>
      <c r="T1461" s="47">
        <v>0</v>
      </c>
      <c r="U1461" s="47">
        <v>0</v>
      </c>
      <c r="V1461" s="47">
        <v>0</v>
      </c>
      <c r="W1461" s="47"/>
      <c r="X1461" s="47">
        <v>67</v>
      </c>
      <c r="Y1461" s="47"/>
      <c r="Z1461" s="47" t="s">
        <v>2524</v>
      </c>
      <c r="AA1461" s="49"/>
      <c r="AB1461" s="49"/>
      <c r="AC1461" s="49"/>
      <c r="AD1461" s="50"/>
      <c r="AE1461" s="47" t="s">
        <v>2754</v>
      </c>
      <c r="AF1461" s="47">
        <v>55</v>
      </c>
      <c r="AG1461"/>
      <c r="AH1461"/>
      <c r="AI1461"/>
      <c r="AJ1461"/>
      <c r="AK1461"/>
      <c r="AL1461"/>
      <c r="AM1461"/>
      <c r="AN1461"/>
      <c r="AO1461"/>
      <c r="AP1461"/>
      <c r="AQ1461" t="s">
        <v>2526</v>
      </c>
      <c r="AU1461">
        <v>1460</v>
      </c>
    </row>
    <row r="1462" spans="1:47" x14ac:dyDescent="0.2">
      <c r="A1462" s="133">
        <v>6363</v>
      </c>
      <c r="B1462" s="39" t="s">
        <v>45</v>
      </c>
      <c r="C1462" s="39">
        <v>100</v>
      </c>
      <c r="D1462" s="29" t="b">
        <v>0</v>
      </c>
      <c r="E1462" s="39" t="s">
        <v>2784</v>
      </c>
      <c r="F1462" s="47" t="s">
        <v>2785</v>
      </c>
      <c r="G1462" s="47" t="s">
        <v>73</v>
      </c>
      <c r="H1462"/>
      <c r="I1462" s="47" t="b">
        <v>0</v>
      </c>
      <c r="J1462" s="47" t="b">
        <v>0</v>
      </c>
      <c r="K1462" s="47">
        <v>224</v>
      </c>
      <c r="L1462" s="48">
        <v>6</v>
      </c>
      <c r="M1462" s="47">
        <v>-1</v>
      </c>
      <c r="N1462" s="47">
        <v>-1</v>
      </c>
      <c r="O1462" s="47">
        <v>-1</v>
      </c>
      <c r="P1462" s="47">
        <v>-1</v>
      </c>
      <c r="Q1462" s="47">
        <v>-1</v>
      </c>
      <c r="R1462" s="47">
        <v>-1</v>
      </c>
      <c r="S1462" s="48">
        <v>6</v>
      </c>
      <c r="T1462" s="47">
        <v>0</v>
      </c>
      <c r="U1462" s="47">
        <v>0</v>
      </c>
      <c r="V1462" s="47">
        <v>0</v>
      </c>
      <c r="W1462" s="47"/>
      <c r="X1462" s="47">
        <v>68</v>
      </c>
      <c r="Y1462" s="47"/>
      <c r="Z1462" s="47" t="s">
        <v>2524</v>
      </c>
      <c r="AA1462" s="49"/>
      <c r="AB1462" s="49"/>
      <c r="AC1462" s="49"/>
      <c r="AD1462" s="50"/>
      <c r="AE1462" s="47" t="s">
        <v>2754</v>
      </c>
      <c r="AF1462" s="47">
        <v>45</v>
      </c>
      <c r="AG1462"/>
      <c r="AH1462"/>
      <c r="AI1462"/>
      <c r="AJ1462"/>
      <c r="AK1462"/>
      <c r="AL1462"/>
      <c r="AM1462"/>
      <c r="AN1462"/>
      <c r="AO1462"/>
      <c r="AP1462"/>
      <c r="AQ1462" t="s">
        <v>2526</v>
      </c>
      <c r="AU1462">
        <v>1461</v>
      </c>
    </row>
    <row r="1463" spans="1:47" x14ac:dyDescent="0.2">
      <c r="A1463" s="133">
        <v>6363</v>
      </c>
      <c r="B1463" s="39" t="s">
        <v>45</v>
      </c>
      <c r="C1463" s="39">
        <v>100</v>
      </c>
      <c r="D1463" s="29" t="b">
        <v>0</v>
      </c>
      <c r="E1463" s="39" t="s">
        <v>2786</v>
      </c>
      <c r="F1463" s="47" t="s">
        <v>57</v>
      </c>
      <c r="G1463" s="47" t="s">
        <v>49</v>
      </c>
      <c r="H1463"/>
      <c r="I1463" s="47" t="b">
        <v>0</v>
      </c>
      <c r="J1463" s="47" t="b">
        <v>0</v>
      </c>
      <c r="K1463" s="47">
        <v>160</v>
      </c>
      <c r="L1463" s="48">
        <v>6</v>
      </c>
      <c r="M1463" s="47">
        <v>-1</v>
      </c>
      <c r="N1463" s="47">
        <v>-1</v>
      </c>
      <c r="O1463" s="47">
        <v>-1</v>
      </c>
      <c r="P1463" s="47">
        <v>-1</v>
      </c>
      <c r="Q1463" s="47">
        <v>-1</v>
      </c>
      <c r="R1463" s="47">
        <v>-1</v>
      </c>
      <c r="S1463" s="48">
        <v>6</v>
      </c>
      <c r="T1463" s="47">
        <v>0</v>
      </c>
      <c r="U1463" s="47">
        <v>0</v>
      </c>
      <c r="V1463" s="47">
        <v>0</v>
      </c>
      <c r="W1463" s="47">
        <v>1500</v>
      </c>
      <c r="X1463" s="47">
        <v>69</v>
      </c>
      <c r="Y1463" s="47"/>
      <c r="Z1463" s="47" t="s">
        <v>2524</v>
      </c>
      <c r="AA1463" s="49"/>
      <c r="AB1463" s="49"/>
      <c r="AC1463" s="49"/>
      <c r="AD1463" s="50"/>
      <c r="AE1463" s="47" t="s">
        <v>2754</v>
      </c>
      <c r="AF1463" s="47"/>
      <c r="AG1463"/>
      <c r="AH1463"/>
      <c r="AI1463"/>
      <c r="AJ1463"/>
      <c r="AK1463"/>
      <c r="AL1463"/>
      <c r="AM1463"/>
      <c r="AN1463"/>
      <c r="AO1463"/>
      <c r="AP1463"/>
      <c r="AQ1463" t="s">
        <v>2526</v>
      </c>
      <c r="AU1463">
        <v>1462</v>
      </c>
    </row>
    <row r="1464" spans="1:47" x14ac:dyDescent="0.2">
      <c r="A1464" s="133">
        <v>6364</v>
      </c>
      <c r="B1464" s="39" t="s">
        <v>45</v>
      </c>
      <c r="C1464" s="39">
        <v>100</v>
      </c>
      <c r="D1464" s="29" t="b">
        <v>0</v>
      </c>
      <c r="E1464" s="39" t="s">
        <v>2782</v>
      </c>
      <c r="F1464" s="47" t="s">
        <v>2649</v>
      </c>
      <c r="G1464" s="47" t="s">
        <v>49</v>
      </c>
      <c r="H1464"/>
      <c r="I1464" s="47" t="b">
        <v>0</v>
      </c>
      <c r="J1464" s="47" t="b">
        <v>0</v>
      </c>
      <c r="K1464" s="47">
        <v>1280</v>
      </c>
      <c r="L1464" s="48">
        <v>12</v>
      </c>
      <c r="M1464" s="47">
        <v>-1</v>
      </c>
      <c r="N1464" s="47">
        <v>-1</v>
      </c>
      <c r="O1464" s="47">
        <v>-1</v>
      </c>
      <c r="P1464" s="47">
        <v>-1</v>
      </c>
      <c r="Q1464" s="47">
        <v>-1</v>
      </c>
      <c r="R1464" s="47">
        <v>-1</v>
      </c>
      <c r="S1464" s="48">
        <v>12</v>
      </c>
      <c r="T1464" s="47">
        <v>0</v>
      </c>
      <c r="U1464" s="47">
        <v>0</v>
      </c>
      <c r="V1464" s="47">
        <v>0</v>
      </c>
      <c r="W1464" s="47">
        <v>800</v>
      </c>
      <c r="X1464" s="47">
        <v>70</v>
      </c>
      <c r="Y1464" s="47"/>
      <c r="Z1464" s="47" t="s">
        <v>2524</v>
      </c>
      <c r="AA1464" s="49"/>
      <c r="AB1464" s="49"/>
      <c r="AC1464" s="49"/>
      <c r="AD1464" s="50"/>
      <c r="AE1464" s="47" t="s">
        <v>2754</v>
      </c>
      <c r="AF1464" s="47">
        <v>55</v>
      </c>
      <c r="AG1464"/>
      <c r="AH1464"/>
      <c r="AI1464"/>
      <c r="AJ1464"/>
      <c r="AK1464"/>
      <c r="AL1464"/>
      <c r="AM1464"/>
      <c r="AN1464"/>
      <c r="AO1464"/>
      <c r="AP1464"/>
      <c r="AQ1464" t="s">
        <v>2526</v>
      </c>
      <c r="AU1464">
        <v>1463</v>
      </c>
    </row>
    <row r="1465" spans="1:47" x14ac:dyDescent="0.2">
      <c r="A1465" s="133">
        <v>6364</v>
      </c>
      <c r="B1465" s="39" t="s">
        <v>45</v>
      </c>
      <c r="C1465" s="39">
        <v>100</v>
      </c>
      <c r="D1465" s="29" t="b">
        <v>0</v>
      </c>
      <c r="E1465" s="39" t="s">
        <v>2787</v>
      </c>
      <c r="F1465" s="47" t="s">
        <v>2788</v>
      </c>
      <c r="G1465" s="47" t="s">
        <v>49</v>
      </c>
      <c r="H1465"/>
      <c r="I1465" s="47" t="b">
        <v>1</v>
      </c>
      <c r="J1465" s="47" t="b">
        <v>1</v>
      </c>
      <c r="K1465" s="47">
        <v>2368</v>
      </c>
      <c r="L1465" s="48">
        <v>12</v>
      </c>
      <c r="M1465" s="47">
        <v>-1</v>
      </c>
      <c r="N1465" s="47">
        <v>-1</v>
      </c>
      <c r="O1465" s="47">
        <v>-1</v>
      </c>
      <c r="P1465" s="47">
        <v>-1</v>
      </c>
      <c r="Q1465" s="47">
        <v>-1</v>
      </c>
      <c r="R1465" s="47">
        <v>-1</v>
      </c>
      <c r="S1465" s="48">
        <v>12</v>
      </c>
      <c r="T1465" s="47">
        <v>0</v>
      </c>
      <c r="U1465" s="47">
        <v>0</v>
      </c>
      <c r="V1465" s="47">
        <v>0</v>
      </c>
      <c r="W1465" s="47">
        <v>850</v>
      </c>
      <c r="X1465" s="47">
        <v>71</v>
      </c>
      <c r="Y1465" s="47"/>
      <c r="Z1465" s="47" t="s">
        <v>2524</v>
      </c>
      <c r="AA1465" s="49"/>
      <c r="AB1465" s="49"/>
      <c r="AC1465" s="49"/>
      <c r="AD1465" s="50"/>
      <c r="AE1465" s="47" t="s">
        <v>2754</v>
      </c>
      <c r="AF1465" s="47">
        <v>65</v>
      </c>
      <c r="AG1465"/>
      <c r="AH1465"/>
      <c r="AI1465"/>
      <c r="AJ1465"/>
      <c r="AK1465"/>
      <c r="AL1465"/>
      <c r="AM1465"/>
      <c r="AN1465"/>
      <c r="AO1465"/>
      <c r="AP1465"/>
      <c r="AQ1465" t="s">
        <v>2526</v>
      </c>
      <c r="AU1465">
        <v>1464</v>
      </c>
    </row>
    <row r="1466" spans="1:47" x14ac:dyDescent="0.2">
      <c r="A1466" s="133">
        <v>6364</v>
      </c>
      <c r="B1466" s="39" t="s">
        <v>45</v>
      </c>
      <c r="C1466" s="39">
        <v>100</v>
      </c>
      <c r="D1466" s="29" t="b">
        <v>0</v>
      </c>
      <c r="E1466" s="39" t="s">
        <v>2789</v>
      </c>
      <c r="F1466" s="47" t="s">
        <v>57</v>
      </c>
      <c r="G1466" s="47" t="s">
        <v>49</v>
      </c>
      <c r="H1466"/>
      <c r="I1466" s="47" t="b">
        <v>0</v>
      </c>
      <c r="J1466" s="47" t="b">
        <v>0</v>
      </c>
      <c r="K1466" s="47">
        <v>224</v>
      </c>
      <c r="L1466" s="48">
        <v>12</v>
      </c>
      <c r="M1466" s="47">
        <v>-1</v>
      </c>
      <c r="N1466" s="47">
        <v>-1</v>
      </c>
      <c r="O1466" s="47">
        <v>-1</v>
      </c>
      <c r="P1466" s="47">
        <v>-1</v>
      </c>
      <c r="Q1466" s="47">
        <v>-1</v>
      </c>
      <c r="R1466" s="47">
        <v>-1</v>
      </c>
      <c r="S1466" s="48">
        <v>12</v>
      </c>
      <c r="T1466" s="47">
        <v>0</v>
      </c>
      <c r="U1466" s="47">
        <v>0</v>
      </c>
      <c r="V1466" s="47">
        <v>0</v>
      </c>
      <c r="W1466" s="47"/>
      <c r="X1466" s="47">
        <v>72</v>
      </c>
      <c r="Y1466" s="47"/>
      <c r="Z1466" s="47" t="s">
        <v>2524</v>
      </c>
      <c r="AA1466" s="49"/>
      <c r="AB1466" s="49"/>
      <c r="AC1466" s="49"/>
      <c r="AD1466" s="50"/>
      <c r="AE1466" s="47" t="s">
        <v>2754</v>
      </c>
      <c r="AF1466" s="47"/>
      <c r="AG1466"/>
      <c r="AH1466"/>
      <c r="AI1466"/>
      <c r="AJ1466"/>
      <c r="AK1466"/>
      <c r="AL1466"/>
      <c r="AM1466"/>
      <c r="AN1466"/>
      <c r="AO1466"/>
      <c r="AP1466"/>
      <c r="AQ1466" t="s">
        <v>2526</v>
      </c>
      <c r="AU1466">
        <v>1465</v>
      </c>
    </row>
    <row r="1467" spans="1:47" x14ac:dyDescent="0.2">
      <c r="A1467" s="133">
        <v>6364</v>
      </c>
      <c r="B1467" s="39" t="s">
        <v>45</v>
      </c>
      <c r="C1467" s="39">
        <v>100</v>
      </c>
      <c r="D1467" s="29" t="b">
        <v>0</v>
      </c>
      <c r="E1467" s="39" t="s">
        <v>2790</v>
      </c>
      <c r="F1467" s="47" t="s">
        <v>1743</v>
      </c>
      <c r="G1467" s="47" t="s">
        <v>49</v>
      </c>
      <c r="H1467"/>
      <c r="I1467" s="47" t="b">
        <v>0</v>
      </c>
      <c r="J1467" s="47" t="b">
        <v>0</v>
      </c>
      <c r="K1467" s="47">
        <v>112</v>
      </c>
      <c r="L1467" s="48">
        <v>12</v>
      </c>
      <c r="M1467" s="47">
        <v>-1</v>
      </c>
      <c r="N1467" s="47">
        <v>-1</v>
      </c>
      <c r="O1467" s="47">
        <v>-1</v>
      </c>
      <c r="P1467" s="47">
        <v>-1</v>
      </c>
      <c r="Q1467" s="47">
        <v>-1</v>
      </c>
      <c r="R1467" s="47">
        <v>-1</v>
      </c>
      <c r="S1467" s="48">
        <v>12</v>
      </c>
      <c r="T1467" s="47">
        <v>0</v>
      </c>
      <c r="U1467" s="47">
        <v>0</v>
      </c>
      <c r="V1467" s="47">
        <v>0</v>
      </c>
      <c r="W1467" s="47"/>
      <c r="X1467" s="47">
        <v>73</v>
      </c>
      <c r="Y1467" s="47"/>
      <c r="Z1467" s="47" t="s">
        <v>2524</v>
      </c>
      <c r="AA1467" s="49"/>
      <c r="AB1467" s="49"/>
      <c r="AC1467" s="49"/>
      <c r="AD1467" s="50"/>
      <c r="AE1467" s="47" t="s">
        <v>2754</v>
      </c>
      <c r="AF1467" s="47"/>
      <c r="AG1467"/>
      <c r="AH1467"/>
      <c r="AI1467"/>
      <c r="AJ1467"/>
      <c r="AK1467"/>
      <c r="AL1467"/>
      <c r="AM1467"/>
      <c r="AN1467"/>
      <c r="AO1467"/>
      <c r="AP1467"/>
      <c r="AQ1467" t="s">
        <v>2526</v>
      </c>
      <c r="AU1467">
        <v>1466</v>
      </c>
    </row>
    <row r="1468" spans="1:47" x14ac:dyDescent="0.2">
      <c r="A1468" s="133">
        <v>6364</v>
      </c>
      <c r="B1468" s="39" t="s">
        <v>45</v>
      </c>
      <c r="C1468" s="39">
        <v>100</v>
      </c>
      <c r="D1468" s="29" t="b">
        <v>0</v>
      </c>
      <c r="E1468" s="39" t="s">
        <v>2791</v>
      </c>
      <c r="F1468" s="47" t="s">
        <v>2792</v>
      </c>
      <c r="G1468" s="47" t="s">
        <v>49</v>
      </c>
      <c r="H1468"/>
      <c r="I1468" s="47" t="b">
        <v>0</v>
      </c>
      <c r="J1468" s="47" t="b">
        <v>0</v>
      </c>
      <c r="K1468" s="47">
        <v>304</v>
      </c>
      <c r="L1468" s="48">
        <v>12</v>
      </c>
      <c r="M1468" s="47">
        <v>-1</v>
      </c>
      <c r="N1468" s="47">
        <v>-1</v>
      </c>
      <c r="O1468" s="47">
        <v>-1</v>
      </c>
      <c r="P1468" s="47">
        <v>-1</v>
      </c>
      <c r="Q1468" s="47">
        <v>-1</v>
      </c>
      <c r="R1468" s="47">
        <v>-1</v>
      </c>
      <c r="S1468" s="48">
        <v>12</v>
      </c>
      <c r="T1468" s="47">
        <v>0</v>
      </c>
      <c r="U1468" s="47">
        <v>0</v>
      </c>
      <c r="V1468" s="47">
        <v>0</v>
      </c>
      <c r="W1468" s="47">
        <v>550</v>
      </c>
      <c r="X1468" s="47">
        <v>74</v>
      </c>
      <c r="Y1468" s="47"/>
      <c r="Z1468" s="47" t="s">
        <v>2524</v>
      </c>
      <c r="AA1468" s="49"/>
      <c r="AB1468" s="49"/>
      <c r="AC1468" s="49"/>
      <c r="AD1468" s="50"/>
      <c r="AE1468" s="47" t="s">
        <v>2754</v>
      </c>
      <c r="AF1468" s="47">
        <v>65</v>
      </c>
      <c r="AG1468"/>
      <c r="AH1468"/>
      <c r="AI1468"/>
      <c r="AJ1468"/>
      <c r="AK1468"/>
      <c r="AL1468"/>
      <c r="AM1468"/>
      <c r="AN1468"/>
      <c r="AO1468"/>
      <c r="AP1468"/>
      <c r="AQ1468" t="s">
        <v>2526</v>
      </c>
      <c r="AU1468">
        <v>1467</v>
      </c>
    </row>
    <row r="1469" spans="1:47" x14ac:dyDescent="0.2">
      <c r="A1469" s="133">
        <v>6364</v>
      </c>
      <c r="B1469" s="39" t="s">
        <v>45</v>
      </c>
      <c r="C1469" s="39">
        <v>100</v>
      </c>
      <c r="D1469" s="29" t="b">
        <v>0</v>
      </c>
      <c r="E1469" s="39" t="s">
        <v>2793</v>
      </c>
      <c r="F1469" s="47" t="s">
        <v>57</v>
      </c>
      <c r="G1469" s="47" t="s">
        <v>49</v>
      </c>
      <c r="H1469"/>
      <c r="I1469" s="47" t="b">
        <v>0</v>
      </c>
      <c r="J1469" s="47" t="b">
        <v>0</v>
      </c>
      <c r="K1469" s="47">
        <v>-1</v>
      </c>
      <c r="L1469" s="48">
        <v>12</v>
      </c>
      <c r="M1469" s="47">
        <v>-1</v>
      </c>
      <c r="N1469" s="47">
        <v>-1</v>
      </c>
      <c r="O1469" s="47">
        <v>-1</v>
      </c>
      <c r="P1469" s="47">
        <v>-1</v>
      </c>
      <c r="Q1469" s="47">
        <v>-1</v>
      </c>
      <c r="R1469" s="47">
        <v>-1</v>
      </c>
      <c r="S1469" s="48">
        <v>12</v>
      </c>
      <c r="T1469" s="47">
        <v>0</v>
      </c>
      <c r="U1469" s="47">
        <v>0</v>
      </c>
      <c r="V1469" s="47">
        <v>0</v>
      </c>
      <c r="W1469" s="47">
        <v>1500</v>
      </c>
      <c r="X1469" s="47">
        <v>75</v>
      </c>
      <c r="Y1469" s="47"/>
      <c r="Z1469" s="47" t="s">
        <v>2524</v>
      </c>
      <c r="AA1469" s="49"/>
      <c r="AB1469" s="49"/>
      <c r="AC1469" s="49"/>
      <c r="AD1469" s="50"/>
      <c r="AE1469" s="47" t="s">
        <v>2754</v>
      </c>
      <c r="AF1469" s="47"/>
      <c r="AG1469"/>
      <c r="AH1469"/>
      <c r="AI1469"/>
      <c r="AJ1469"/>
      <c r="AK1469"/>
      <c r="AL1469"/>
      <c r="AM1469"/>
      <c r="AN1469"/>
      <c r="AO1469"/>
      <c r="AP1469"/>
      <c r="AQ1469" t="s">
        <v>2526</v>
      </c>
      <c r="AU1469">
        <v>1468</v>
      </c>
    </row>
    <row r="1470" spans="1:47" x14ac:dyDescent="0.2">
      <c r="A1470" s="37">
        <v>6364</v>
      </c>
      <c r="B1470" s="38" t="s">
        <v>45</v>
      </c>
      <c r="C1470" s="38" t="s">
        <v>1234</v>
      </c>
      <c r="D1470" s="29"/>
      <c r="E1470" s="38" t="s">
        <v>528</v>
      </c>
      <c r="F1470" s="32" t="s">
        <v>529</v>
      </c>
      <c r="G1470" s="47" t="s">
        <v>205</v>
      </c>
      <c r="H1470"/>
      <c r="J1470" s="47"/>
      <c r="K1470" s="47"/>
      <c r="L1470" s="48"/>
      <c r="M1470" s="47"/>
      <c r="N1470" s="47"/>
      <c r="O1470" s="47"/>
      <c r="P1470" s="47"/>
      <c r="Q1470" s="47"/>
      <c r="R1470" s="47"/>
      <c r="S1470" s="48"/>
      <c r="T1470" s="47"/>
      <c r="U1470" s="47"/>
      <c r="V1470" s="47"/>
      <c r="W1470" s="47"/>
      <c r="X1470" s="47"/>
      <c r="Y1470" s="47"/>
      <c r="Z1470" s="47"/>
      <c r="AA1470" s="49"/>
      <c r="AB1470" s="49"/>
      <c r="AC1470" s="49"/>
      <c r="AD1470" s="50"/>
      <c r="AE1470" s="47" t="s">
        <v>1312</v>
      </c>
      <c r="AF1470" s="47">
        <v>140</v>
      </c>
      <c r="AG1470"/>
      <c r="AH1470"/>
      <c r="AI1470"/>
      <c r="AJ1470"/>
      <c r="AK1470"/>
      <c r="AL1470"/>
      <c r="AM1470"/>
      <c r="AN1470"/>
      <c r="AO1470"/>
      <c r="AP1470"/>
      <c r="AQ1470" t="s">
        <v>2794</v>
      </c>
      <c r="AU1470">
        <v>1469</v>
      </c>
    </row>
    <row r="1471" spans="1:47" x14ac:dyDescent="0.2">
      <c r="A1471" s="37">
        <v>6364</v>
      </c>
      <c r="B1471" s="38" t="s">
        <v>45</v>
      </c>
      <c r="C1471" s="38" t="s">
        <v>2542</v>
      </c>
      <c r="D1471" s="29"/>
      <c r="E1471" s="38" t="s">
        <v>1551</v>
      </c>
      <c r="F1471" s="32" t="s">
        <v>529</v>
      </c>
      <c r="G1471" s="47" t="s">
        <v>205</v>
      </c>
      <c r="H1471"/>
      <c r="I1471" s="31" t="s">
        <v>2795</v>
      </c>
      <c r="J1471" s="47"/>
      <c r="K1471" s="47">
        <f>(7*30*10+6*50)*2.2</f>
        <v>5280</v>
      </c>
      <c r="L1471" s="48">
        <v>9</v>
      </c>
      <c r="M1471" s="47"/>
      <c r="N1471" s="47">
        <v>1</v>
      </c>
      <c r="O1471" s="47"/>
      <c r="P1471" s="47"/>
      <c r="Q1471" s="47"/>
      <c r="R1471" s="47"/>
      <c r="S1471" s="48">
        <v>8</v>
      </c>
      <c r="T1471" s="47">
        <v>0</v>
      </c>
      <c r="U1471" s="47">
        <v>0</v>
      </c>
      <c r="V1471" s="47">
        <v>0</v>
      </c>
      <c r="W1471" s="47">
        <f>((2100+2550+2500+2800+2700+2500+2300+2400)/8)*39.37/12</f>
        <v>8140.567708333333</v>
      </c>
      <c r="X1471" s="47"/>
      <c r="Y1471" s="47" t="s">
        <v>51</v>
      </c>
      <c r="Z1471" s="47" t="s">
        <v>1846</v>
      </c>
      <c r="AA1471" s="49"/>
      <c r="AB1471" s="49"/>
      <c r="AC1471" s="49"/>
      <c r="AD1471" s="50">
        <v>2</v>
      </c>
      <c r="AE1471" s="31" t="s">
        <v>342</v>
      </c>
      <c r="AF1471" s="47">
        <v>40</v>
      </c>
      <c r="AG1471"/>
      <c r="AH1471"/>
      <c r="AI1471"/>
      <c r="AJ1471"/>
      <c r="AK1471">
        <f>7*30+6</f>
        <v>216</v>
      </c>
      <c r="AL1471"/>
      <c r="AM1471"/>
      <c r="AN1471"/>
      <c r="AO1471"/>
      <c r="AP1471"/>
      <c r="AQ1471" s="32" t="s">
        <v>2796</v>
      </c>
      <c r="AU1471">
        <v>1470</v>
      </c>
    </row>
    <row r="1472" spans="1:47" x14ac:dyDescent="0.2">
      <c r="A1472" s="37">
        <v>6364</v>
      </c>
      <c r="B1472" s="38" t="s">
        <v>45</v>
      </c>
      <c r="C1472" s="38" t="s">
        <v>2542</v>
      </c>
      <c r="D1472" s="29"/>
      <c r="E1472" s="39" t="s">
        <v>653</v>
      </c>
      <c r="F1472" s="47" t="s">
        <v>220</v>
      </c>
      <c r="G1472" s="47" t="s">
        <v>49</v>
      </c>
      <c r="H1472"/>
      <c r="I1472" s="31" t="s">
        <v>2797</v>
      </c>
      <c r="J1472" s="47"/>
      <c r="K1472" s="47">
        <f>6*50*2.2</f>
        <v>660</v>
      </c>
      <c r="L1472" s="48">
        <v>1</v>
      </c>
      <c r="M1472" s="47"/>
      <c r="N1472" s="47"/>
      <c r="O1472" s="47"/>
      <c r="P1472" s="47"/>
      <c r="Q1472" s="47"/>
      <c r="R1472" s="47"/>
      <c r="S1472" s="48">
        <v>1</v>
      </c>
      <c r="T1472" s="47">
        <v>0</v>
      </c>
      <c r="U1472" s="47">
        <v>0</v>
      </c>
      <c r="V1472" s="47">
        <v>0</v>
      </c>
      <c r="W1472" s="47">
        <f>3200*39.37/12</f>
        <v>10498.666666666666</v>
      </c>
      <c r="X1472" s="47"/>
      <c r="Y1472" s="47" t="s">
        <v>51</v>
      </c>
      <c r="Z1472" s="47" t="s">
        <v>1846</v>
      </c>
      <c r="AA1472" s="49"/>
      <c r="AB1472" s="49"/>
      <c r="AC1472" s="49"/>
      <c r="AD1472" s="50">
        <f>1+5/6</f>
        <v>1.8333333333333335</v>
      </c>
      <c r="AE1472" s="31" t="s">
        <v>342</v>
      </c>
      <c r="AF1472" s="47">
        <v>45</v>
      </c>
      <c r="AG1472"/>
      <c r="AH1472"/>
      <c r="AI1472"/>
      <c r="AJ1472"/>
      <c r="AK1472">
        <v>6</v>
      </c>
      <c r="AL1472"/>
      <c r="AM1472"/>
      <c r="AN1472"/>
      <c r="AO1472"/>
      <c r="AP1472"/>
      <c r="AQ1472" s="32" t="s">
        <v>2798</v>
      </c>
      <c r="AU1472">
        <v>1471</v>
      </c>
    </row>
    <row r="1473" spans="1:47" x14ac:dyDescent="0.2">
      <c r="A1473" s="26">
        <v>6364</v>
      </c>
      <c r="B1473" s="27">
        <v>0.54166666666666663</v>
      </c>
      <c r="C1473" s="28"/>
      <c r="D1473" s="29"/>
      <c r="E1473" s="30" t="s">
        <v>869</v>
      </c>
      <c r="H1473" s="32">
        <v>0</v>
      </c>
      <c r="I1473" s="32" t="s">
        <v>2344</v>
      </c>
      <c r="AG1473" s="32">
        <v>0</v>
      </c>
      <c r="AH1473" s="32">
        <v>0</v>
      </c>
      <c r="AI1473" s="32">
        <v>0</v>
      </c>
      <c r="AK1473" s="32">
        <v>0</v>
      </c>
      <c r="AL1473" s="32">
        <v>0.5</v>
      </c>
      <c r="AP1473" s="32">
        <v>0.5</v>
      </c>
      <c r="AQ1473" s="32" t="s">
        <v>589</v>
      </c>
      <c r="AU1473">
        <v>1472</v>
      </c>
    </row>
    <row r="1474" spans="1:47" x14ac:dyDescent="0.2">
      <c r="A1474" s="26">
        <v>6364</v>
      </c>
      <c r="B1474" s="27">
        <v>0.98611111111111116</v>
      </c>
      <c r="C1474" s="28"/>
      <c r="D1474" s="29"/>
      <c r="E1474" s="30" t="s">
        <v>1124</v>
      </c>
      <c r="H1474" s="32">
        <v>1</v>
      </c>
      <c r="I1474" s="32"/>
      <c r="AG1474" s="32">
        <v>0</v>
      </c>
      <c r="AH1474" s="32">
        <v>0</v>
      </c>
      <c r="AK1474" s="32">
        <v>77</v>
      </c>
      <c r="AL1474" s="32">
        <f>110/60</f>
        <v>1.8333333333333333</v>
      </c>
      <c r="AO1474" s="46" t="s">
        <v>1126</v>
      </c>
      <c r="AP1474" s="32">
        <f>110/60</f>
        <v>1.8333333333333333</v>
      </c>
      <c r="AQ1474" s="32" t="s">
        <v>589</v>
      </c>
      <c r="AU1474">
        <v>1473</v>
      </c>
    </row>
    <row r="1475" spans="1:47" x14ac:dyDescent="0.2">
      <c r="A1475" s="26">
        <v>6364</v>
      </c>
      <c r="B1475" s="27">
        <v>0.98611111111111116</v>
      </c>
      <c r="C1475" s="28"/>
      <c r="D1475" s="29"/>
      <c r="E1475" s="30" t="s">
        <v>1282</v>
      </c>
      <c r="H1475" s="32">
        <v>0</v>
      </c>
      <c r="I1475" s="32" t="s">
        <v>2731</v>
      </c>
      <c r="AG1475" s="32">
        <v>0</v>
      </c>
      <c r="AH1475" s="32">
        <v>0</v>
      </c>
      <c r="AI1475" s="32">
        <v>0</v>
      </c>
      <c r="AK1475" s="32">
        <v>0</v>
      </c>
      <c r="AL1475" s="32">
        <f>2+2/3</f>
        <v>2.6666666666666665</v>
      </c>
      <c r="AP1475" s="32">
        <f>2+2/3</f>
        <v>2.6666666666666665</v>
      </c>
      <c r="AQ1475" s="32" t="s">
        <v>1101</v>
      </c>
      <c r="AU1475">
        <v>1474</v>
      </c>
    </row>
    <row r="1476" spans="1:47" x14ac:dyDescent="0.2">
      <c r="A1476" s="26">
        <v>6364</v>
      </c>
      <c r="B1476" s="27" t="s">
        <v>45</v>
      </c>
      <c r="C1476" s="28"/>
      <c r="D1476" s="29"/>
      <c r="E1476" s="30" t="s">
        <v>464</v>
      </c>
      <c r="H1476" s="32">
        <v>1</v>
      </c>
      <c r="I1476" s="32" t="s">
        <v>2799</v>
      </c>
      <c r="AG1476" s="32">
        <v>0</v>
      </c>
      <c r="AH1476" s="32">
        <v>0</v>
      </c>
      <c r="AK1476" s="32">
        <v>15</v>
      </c>
      <c r="AO1476" s="32" t="s">
        <v>487</v>
      </c>
      <c r="AQ1476" s="32">
        <v>388</v>
      </c>
      <c r="AU1476">
        <v>1475</v>
      </c>
    </row>
    <row r="1477" spans="1:47" x14ac:dyDescent="0.2">
      <c r="A1477" s="26">
        <v>6364</v>
      </c>
      <c r="B1477" s="27" t="s">
        <v>45</v>
      </c>
      <c r="C1477" s="28"/>
      <c r="D1477" s="29"/>
      <c r="E1477" s="150" t="s">
        <v>2286</v>
      </c>
      <c r="H1477" s="32">
        <v>0</v>
      </c>
      <c r="I1477" s="32" t="s">
        <v>1824</v>
      </c>
      <c r="AG1477" s="32">
        <v>0</v>
      </c>
      <c r="AH1477" s="32">
        <v>0</v>
      </c>
      <c r="AI1477" s="32">
        <v>0</v>
      </c>
      <c r="AK1477" s="32">
        <v>0</v>
      </c>
      <c r="AM1477" s="32">
        <v>15000</v>
      </c>
      <c r="AO1477" s="73" t="s">
        <v>75</v>
      </c>
      <c r="AQ1477" s="32" t="s">
        <v>589</v>
      </c>
      <c r="AU1477">
        <v>1476</v>
      </c>
    </row>
    <row r="1478" spans="1:47" x14ac:dyDescent="0.2">
      <c r="A1478" s="37">
        <v>6365</v>
      </c>
      <c r="B1478" s="38" t="s">
        <v>85</v>
      </c>
      <c r="C1478" s="39" t="s">
        <v>2800</v>
      </c>
      <c r="D1478" s="29"/>
      <c r="E1478" s="38" t="s">
        <v>2801</v>
      </c>
      <c r="F1478" s="32" t="s">
        <v>150</v>
      </c>
      <c r="G1478" s="47" t="s">
        <v>49</v>
      </c>
      <c r="H1478"/>
      <c r="I1478" s="32" t="s">
        <v>2802</v>
      </c>
      <c r="J1478" s="47"/>
      <c r="K1478" s="47"/>
      <c r="L1478" s="48"/>
      <c r="M1478" s="47"/>
      <c r="N1478" s="47"/>
      <c r="O1478" s="47"/>
      <c r="P1478" s="47"/>
      <c r="Q1478" s="47"/>
      <c r="R1478" s="47"/>
      <c r="S1478" s="48"/>
      <c r="T1478" s="47"/>
      <c r="U1478" s="47"/>
      <c r="V1478" s="47"/>
      <c r="W1478" s="47"/>
      <c r="X1478" s="47"/>
      <c r="Y1478" s="47"/>
      <c r="Z1478" s="31" t="s">
        <v>1809</v>
      </c>
      <c r="AA1478" s="49"/>
      <c r="AB1478" s="49"/>
      <c r="AC1478" s="49"/>
      <c r="AD1478" s="50"/>
      <c r="AE1478" s="47" t="s">
        <v>1312</v>
      </c>
      <c r="AF1478" s="47">
        <v>115</v>
      </c>
      <c r="AG1478"/>
      <c r="AH1478"/>
      <c r="AI1478"/>
      <c r="AJ1478"/>
      <c r="AK1478"/>
      <c r="AL1478"/>
      <c r="AM1478"/>
      <c r="AN1478"/>
      <c r="AO1478"/>
      <c r="AP1478"/>
      <c r="AQ1478" t="s">
        <v>2794</v>
      </c>
      <c r="AU1478">
        <v>1477</v>
      </c>
    </row>
    <row r="1479" spans="1:47" x14ac:dyDescent="0.2">
      <c r="A1479" s="37">
        <v>6365</v>
      </c>
      <c r="B1479" s="38" t="s">
        <v>85</v>
      </c>
      <c r="C1479" s="85" t="s">
        <v>142</v>
      </c>
      <c r="D1479" s="29"/>
      <c r="E1479" s="38" t="s">
        <v>2803</v>
      </c>
      <c r="F1479" s="32" t="s">
        <v>173</v>
      </c>
      <c r="G1479" s="47" t="s">
        <v>69</v>
      </c>
      <c r="H1479"/>
      <c r="I1479" s="32" t="s">
        <v>2804</v>
      </c>
      <c r="J1479" s="47"/>
      <c r="K1479" s="47">
        <f>24*10*2.2</f>
        <v>528</v>
      </c>
      <c r="L1479" s="48">
        <v>8</v>
      </c>
      <c r="M1479" s="47"/>
      <c r="N1479" s="47"/>
      <c r="O1479" s="47"/>
      <c r="P1479" s="47"/>
      <c r="Q1479" s="47"/>
      <c r="R1479" s="47"/>
      <c r="S1479" s="48">
        <v>6</v>
      </c>
      <c r="T1479" s="47">
        <v>0</v>
      </c>
      <c r="U1479" s="47">
        <v>0</v>
      </c>
      <c r="V1479" s="47">
        <v>0</v>
      </c>
      <c r="W1479" s="47"/>
      <c r="X1479" s="47"/>
      <c r="Y1479" s="47" t="s">
        <v>51</v>
      </c>
      <c r="Z1479" s="47" t="s">
        <v>1809</v>
      </c>
      <c r="AA1479" s="49">
        <v>0.60416666666666663</v>
      </c>
      <c r="AB1479" s="49">
        <v>0.70833333333333337</v>
      </c>
      <c r="AC1479" s="49">
        <f>AVERAGE(AA1479:AB1479)</f>
        <v>0.65625</v>
      </c>
      <c r="AD1479" s="50">
        <f>(AB1479-AA1479)*24</f>
        <v>2.5000000000000018</v>
      </c>
      <c r="AE1479" s="47" t="s">
        <v>2470</v>
      </c>
      <c r="AF1479" s="47"/>
      <c r="AG1479"/>
      <c r="AH1479"/>
      <c r="AI1479"/>
      <c r="AJ1479"/>
      <c r="AK1479">
        <v>24</v>
      </c>
      <c r="AL1479"/>
      <c r="AM1479"/>
      <c r="AN1479"/>
      <c r="AO1479"/>
      <c r="AP1479"/>
      <c r="AQ1479" s="32" t="s">
        <v>2763</v>
      </c>
      <c r="AU1479">
        <v>1478</v>
      </c>
    </row>
    <row r="1480" spans="1:47" x14ac:dyDescent="0.2">
      <c r="A1480" s="37">
        <v>6365</v>
      </c>
      <c r="B1480" s="39" t="s">
        <v>45</v>
      </c>
      <c r="C1480" s="39" t="s">
        <v>142</v>
      </c>
      <c r="D1480" s="29"/>
      <c r="E1480" s="39" t="s">
        <v>2805</v>
      </c>
      <c r="F1480" s="47" t="s">
        <v>2806</v>
      </c>
      <c r="G1480" s="47" t="s">
        <v>49</v>
      </c>
      <c r="H1480"/>
      <c r="I1480" s="47" t="s">
        <v>2807</v>
      </c>
      <c r="J1480" s="47"/>
      <c r="K1480" s="47">
        <f>24*10*2.2</f>
        <v>528</v>
      </c>
      <c r="L1480" s="48">
        <v>2</v>
      </c>
      <c r="M1480" s="47"/>
      <c r="N1480" s="47"/>
      <c r="O1480" s="47"/>
      <c r="P1480" s="47"/>
      <c r="Q1480" s="47"/>
      <c r="R1480" s="47"/>
      <c r="S1480" s="48">
        <v>2</v>
      </c>
      <c r="T1480" s="47">
        <v>0</v>
      </c>
      <c r="U1480" s="47">
        <v>0</v>
      </c>
      <c r="V1480" s="47">
        <v>0</v>
      </c>
      <c r="W1480" s="47"/>
      <c r="X1480" s="47"/>
      <c r="Y1480" s="47" t="s">
        <v>51</v>
      </c>
      <c r="Z1480" s="47" t="s">
        <v>1809</v>
      </c>
      <c r="AA1480" s="49">
        <v>0.95833333333333337</v>
      </c>
      <c r="AB1480" s="49"/>
      <c r="AC1480" s="49"/>
      <c r="AD1480" s="50"/>
      <c r="AE1480" s="47" t="s">
        <v>2470</v>
      </c>
      <c r="AF1480" s="47"/>
      <c r="AG1480"/>
      <c r="AH1480"/>
      <c r="AI1480"/>
      <c r="AJ1480"/>
      <c r="AK1480">
        <v>24</v>
      </c>
      <c r="AL1480"/>
      <c r="AM1480"/>
      <c r="AN1480"/>
      <c r="AO1480"/>
      <c r="AP1480"/>
      <c r="AQ1480" s="32" t="s">
        <v>2808</v>
      </c>
      <c r="AU1480">
        <v>1479</v>
      </c>
    </row>
    <row r="1481" spans="1:47" x14ac:dyDescent="0.2">
      <c r="A1481" s="37">
        <v>6365</v>
      </c>
      <c r="B1481" s="39" t="s">
        <v>45</v>
      </c>
      <c r="C1481" s="39" t="s">
        <v>142</v>
      </c>
      <c r="D1481" s="29"/>
      <c r="E1481" s="38" t="s">
        <v>2809</v>
      </c>
      <c r="F1481" s="31" t="s">
        <v>2810</v>
      </c>
      <c r="G1481" s="47" t="s">
        <v>73</v>
      </c>
      <c r="H1481"/>
      <c r="I1481" s="32" t="s">
        <v>2811</v>
      </c>
      <c r="J1481" s="47"/>
      <c r="K1481" s="47">
        <f>200*10*2.2</f>
        <v>4400</v>
      </c>
      <c r="L1481" s="48">
        <v>14</v>
      </c>
      <c r="M1481" s="47"/>
      <c r="N1481" s="47">
        <v>2</v>
      </c>
      <c r="O1481" s="47"/>
      <c r="P1481" s="47"/>
      <c r="Q1481" s="47"/>
      <c r="R1481" s="47"/>
      <c r="S1481" s="48">
        <v>12</v>
      </c>
      <c r="T1481" s="47">
        <v>0</v>
      </c>
      <c r="U1481" s="47">
        <v>2</v>
      </c>
      <c r="V1481" s="47">
        <v>0</v>
      </c>
      <c r="W1481" s="47"/>
      <c r="X1481" s="47"/>
      <c r="Y1481" s="47" t="s">
        <v>51</v>
      </c>
      <c r="Z1481" s="47" t="s">
        <v>2203</v>
      </c>
      <c r="AA1481" s="49">
        <v>0.90625</v>
      </c>
      <c r="AB1481" s="49">
        <v>0.13541666666666666</v>
      </c>
      <c r="AC1481" s="49">
        <v>2.0833333333333332E-2</v>
      </c>
      <c r="AD1481" s="50">
        <v>5.5</v>
      </c>
      <c r="AE1481" s="47" t="s">
        <v>2470</v>
      </c>
      <c r="AF1481" s="47">
        <v>55</v>
      </c>
      <c r="AG1481"/>
      <c r="AH1481"/>
      <c r="AI1481"/>
      <c r="AJ1481"/>
      <c r="AK1481">
        <v>200</v>
      </c>
      <c r="AL1481"/>
      <c r="AM1481"/>
      <c r="AN1481"/>
      <c r="AO1481"/>
      <c r="AP1481"/>
      <c r="AQ1481" s="32" t="s">
        <v>2808</v>
      </c>
      <c r="AU1481">
        <v>1480</v>
      </c>
    </row>
    <row r="1482" spans="1:47" x14ac:dyDescent="0.2">
      <c r="A1482" s="37">
        <v>6365</v>
      </c>
      <c r="B1482" s="39" t="s">
        <v>45</v>
      </c>
      <c r="C1482" s="38" t="s">
        <v>2542</v>
      </c>
      <c r="D1482" s="29"/>
      <c r="E1482" s="38" t="s">
        <v>2812</v>
      </c>
      <c r="F1482" s="31" t="s">
        <v>2813</v>
      </c>
      <c r="G1482" s="47" t="s">
        <v>459</v>
      </c>
      <c r="H1482"/>
      <c r="I1482" s="47" t="b">
        <v>1</v>
      </c>
      <c r="J1482" s="47" t="b">
        <v>1</v>
      </c>
      <c r="K1482" s="47">
        <f>(5*30*10+2*6*50)*2.2</f>
        <v>4620</v>
      </c>
      <c r="L1482" s="48">
        <v>9</v>
      </c>
      <c r="M1482" s="47"/>
      <c r="N1482" s="47">
        <v>2</v>
      </c>
      <c r="O1482" s="47"/>
      <c r="P1482" s="47"/>
      <c r="Q1482" s="47"/>
      <c r="R1482" s="47"/>
      <c r="S1482" s="48">
        <v>7</v>
      </c>
      <c r="T1482" s="47">
        <v>0</v>
      </c>
      <c r="U1482" s="47">
        <v>0</v>
      </c>
      <c r="V1482" s="47">
        <v>1</v>
      </c>
      <c r="W1482" s="47">
        <f>((2300+2000+2300+2900+2600+2300+1700)/7)*39.37/12</f>
        <v>7545.916666666667</v>
      </c>
      <c r="X1482" s="47"/>
      <c r="Y1482" s="47" t="s">
        <v>51</v>
      </c>
      <c r="Z1482" s="47" t="s">
        <v>1846</v>
      </c>
      <c r="AA1482" s="49"/>
      <c r="AB1482" s="49"/>
      <c r="AC1482" s="49"/>
      <c r="AD1482" s="50">
        <f>2+4/6</f>
        <v>2.6666666666666665</v>
      </c>
      <c r="AE1482" s="31" t="s">
        <v>342</v>
      </c>
      <c r="AF1482" s="47">
        <v>40</v>
      </c>
      <c r="AG1482"/>
      <c r="AH1482"/>
      <c r="AI1482"/>
      <c r="AJ1482"/>
      <c r="AK1482">
        <f>5*30+2*6</f>
        <v>162</v>
      </c>
      <c r="AL1482"/>
      <c r="AM1482"/>
      <c r="AN1482"/>
      <c r="AO1482"/>
      <c r="AP1482"/>
      <c r="AQ1482" s="32" t="s">
        <v>2796</v>
      </c>
      <c r="AR1482" s="32" t="s">
        <v>2814</v>
      </c>
      <c r="AU1482">
        <v>1481</v>
      </c>
    </row>
    <row r="1483" spans="1:47" x14ac:dyDescent="0.2">
      <c r="A1483" s="37">
        <v>6365</v>
      </c>
      <c r="B1483" s="39" t="s">
        <v>45</v>
      </c>
      <c r="C1483" s="38" t="s">
        <v>2542</v>
      </c>
      <c r="D1483" s="29"/>
      <c r="E1483" s="38" t="s">
        <v>2815</v>
      </c>
      <c r="F1483" s="31" t="s">
        <v>967</v>
      </c>
      <c r="G1483" s="47" t="s">
        <v>459</v>
      </c>
      <c r="H1483"/>
      <c r="I1483" s="47" t="b">
        <v>0</v>
      </c>
      <c r="J1483" s="47" t="b">
        <v>0</v>
      </c>
      <c r="K1483" s="47">
        <f>(2*30*10+2*6*50)*2.2</f>
        <v>2640</v>
      </c>
      <c r="L1483" s="48"/>
      <c r="M1483" s="47"/>
      <c r="N1483" s="47"/>
      <c r="O1483" s="47"/>
      <c r="P1483" s="47"/>
      <c r="Q1483" s="47"/>
      <c r="R1483" s="47"/>
      <c r="S1483" s="48">
        <v>4</v>
      </c>
      <c r="T1483" s="47"/>
      <c r="U1483" s="47"/>
      <c r="V1483" s="47"/>
      <c r="W1483" s="47">
        <f>((2300+2000+2300+2900)/4)*39.37/12</f>
        <v>7791.979166666667</v>
      </c>
      <c r="X1483" s="47"/>
      <c r="Y1483" s="47" t="s">
        <v>51</v>
      </c>
      <c r="Z1483" s="47" t="s">
        <v>1846</v>
      </c>
      <c r="AA1483" s="49"/>
      <c r="AB1483" s="49"/>
      <c r="AC1483" s="49"/>
      <c r="AD1483" s="50">
        <f>2+4/6</f>
        <v>2.6666666666666665</v>
      </c>
      <c r="AE1483" s="31" t="s">
        <v>342</v>
      </c>
      <c r="AF1483" s="47"/>
      <c r="AG1483"/>
      <c r="AH1483"/>
      <c r="AI1483"/>
      <c r="AJ1483"/>
      <c r="AK1483">
        <f>2*30+2*6</f>
        <v>72</v>
      </c>
      <c r="AL1483"/>
      <c r="AM1483"/>
      <c r="AN1483"/>
      <c r="AO1483"/>
      <c r="AP1483"/>
      <c r="AQ1483" s="32" t="s">
        <v>2796</v>
      </c>
      <c r="AR1483" s="32" t="s">
        <v>2816</v>
      </c>
      <c r="AU1483">
        <v>1482</v>
      </c>
    </row>
    <row r="1484" spans="1:47" x14ac:dyDescent="0.2">
      <c r="A1484" s="37">
        <v>6365</v>
      </c>
      <c r="B1484" s="39" t="s">
        <v>45</v>
      </c>
      <c r="C1484" s="38" t="s">
        <v>2542</v>
      </c>
      <c r="D1484" s="29"/>
      <c r="E1484" s="38" t="s">
        <v>1551</v>
      </c>
      <c r="F1484" s="31" t="s">
        <v>204</v>
      </c>
      <c r="G1484" s="47" t="s">
        <v>205</v>
      </c>
      <c r="H1484"/>
      <c r="I1484" s="47" t="b">
        <v>0</v>
      </c>
      <c r="J1484" s="47" t="b">
        <v>0</v>
      </c>
      <c r="K1484" s="47">
        <f>2*30*10*2.2</f>
        <v>1320</v>
      </c>
      <c r="L1484" s="48"/>
      <c r="M1484" s="47"/>
      <c r="N1484" s="47"/>
      <c r="O1484" s="47"/>
      <c r="P1484" s="47"/>
      <c r="Q1484" s="47"/>
      <c r="R1484" s="47"/>
      <c r="S1484" s="48">
        <v>2</v>
      </c>
      <c r="T1484" s="47"/>
      <c r="U1484" s="47"/>
      <c r="V1484" s="47"/>
      <c r="W1484" s="47">
        <f>((2600+2300)/2)*39.37/12</f>
        <v>8038.041666666667</v>
      </c>
      <c r="X1484" s="47"/>
      <c r="Y1484" s="47" t="s">
        <v>51</v>
      </c>
      <c r="Z1484" s="47" t="s">
        <v>1846</v>
      </c>
      <c r="AA1484" s="49"/>
      <c r="AB1484" s="49"/>
      <c r="AC1484" s="49"/>
      <c r="AD1484" s="50">
        <v>2.25</v>
      </c>
      <c r="AE1484" s="31" t="s">
        <v>342</v>
      </c>
      <c r="AF1484" s="47">
        <v>40</v>
      </c>
      <c r="AG1484"/>
      <c r="AH1484"/>
      <c r="AI1484"/>
      <c r="AJ1484"/>
      <c r="AK1484">
        <f>2*30</f>
        <v>60</v>
      </c>
      <c r="AL1484"/>
      <c r="AM1484"/>
      <c r="AN1484"/>
      <c r="AO1484"/>
      <c r="AP1484"/>
      <c r="AQ1484" s="32" t="s">
        <v>2796</v>
      </c>
      <c r="AR1484" s="32" t="s">
        <v>2817</v>
      </c>
      <c r="AU1484">
        <v>1483</v>
      </c>
    </row>
    <row r="1485" spans="1:47" x14ac:dyDescent="0.2">
      <c r="A1485" s="37">
        <v>6365</v>
      </c>
      <c r="B1485" s="39" t="s">
        <v>45</v>
      </c>
      <c r="C1485" s="38" t="s">
        <v>2542</v>
      </c>
      <c r="D1485" s="29"/>
      <c r="E1485" s="38" t="s">
        <v>153</v>
      </c>
      <c r="F1485" s="31" t="s">
        <v>1900</v>
      </c>
      <c r="G1485" s="47" t="s">
        <v>69</v>
      </c>
      <c r="H1485"/>
      <c r="I1485" s="47" t="b">
        <v>0</v>
      </c>
      <c r="J1485" s="47" t="b">
        <v>0</v>
      </c>
      <c r="K1485" s="47">
        <f>30*10*2.2</f>
        <v>660</v>
      </c>
      <c r="L1485" s="48"/>
      <c r="M1485" s="47"/>
      <c r="N1485" s="47"/>
      <c r="O1485" s="47"/>
      <c r="P1485" s="47"/>
      <c r="Q1485" s="47"/>
      <c r="R1485" s="47"/>
      <c r="S1485" s="48">
        <v>1</v>
      </c>
      <c r="T1485" s="47"/>
      <c r="U1485" s="47"/>
      <c r="V1485" s="47"/>
      <c r="W1485" s="47">
        <f>(1700)*39.37/12</f>
        <v>5577.416666666667</v>
      </c>
      <c r="X1485" s="47"/>
      <c r="Y1485" s="47" t="s">
        <v>51</v>
      </c>
      <c r="Z1485" s="47" t="s">
        <v>1846</v>
      </c>
      <c r="AA1485" s="49"/>
      <c r="AB1485" s="49"/>
      <c r="AC1485" s="49"/>
      <c r="AD1485" s="50">
        <f>1+35/60</f>
        <v>1.5833333333333335</v>
      </c>
      <c r="AE1485" s="31" t="s">
        <v>342</v>
      </c>
      <c r="AF1485" s="47">
        <v>40</v>
      </c>
      <c r="AG1485"/>
      <c r="AH1485"/>
      <c r="AI1485"/>
      <c r="AJ1485"/>
      <c r="AK1485">
        <v>30</v>
      </c>
      <c r="AL1485"/>
      <c r="AM1485"/>
      <c r="AN1485"/>
      <c r="AO1485"/>
      <c r="AP1485"/>
      <c r="AQ1485" s="32" t="s">
        <v>2796</v>
      </c>
      <c r="AR1485" s="32" t="s">
        <v>2818</v>
      </c>
      <c r="AU1485">
        <v>1484</v>
      </c>
    </row>
    <row r="1486" spans="1:47" x14ac:dyDescent="0.2">
      <c r="A1486" s="133">
        <v>6365</v>
      </c>
      <c r="B1486" s="39" t="s">
        <v>45</v>
      </c>
      <c r="C1486" s="39">
        <v>100</v>
      </c>
      <c r="D1486" s="29" t="b">
        <v>0</v>
      </c>
      <c r="E1486" s="39" t="s">
        <v>2819</v>
      </c>
      <c r="F1486" s="47" t="s">
        <v>2820</v>
      </c>
      <c r="G1486" s="47" t="s">
        <v>49</v>
      </c>
      <c r="H1486"/>
      <c r="I1486" s="47" t="b">
        <v>1</v>
      </c>
      <c r="J1486" s="47" t="b">
        <v>1</v>
      </c>
      <c r="K1486" s="47">
        <v>1798</v>
      </c>
      <c r="L1486" s="48">
        <v>8</v>
      </c>
      <c r="M1486" s="47">
        <v>-1</v>
      </c>
      <c r="N1486" s="47">
        <v>-1</v>
      </c>
      <c r="O1486" s="47">
        <v>-1</v>
      </c>
      <c r="P1486" s="47">
        <v>-1</v>
      </c>
      <c r="Q1486" s="47">
        <v>-1</v>
      </c>
      <c r="R1486" s="47">
        <v>-1</v>
      </c>
      <c r="S1486" s="48">
        <v>8</v>
      </c>
      <c r="T1486" s="47">
        <v>0</v>
      </c>
      <c r="U1486" s="47">
        <v>0</v>
      </c>
      <c r="V1486" s="47">
        <v>0</v>
      </c>
      <c r="W1486" s="47">
        <v>1000</v>
      </c>
      <c r="X1486" s="47">
        <v>76</v>
      </c>
      <c r="Y1486" s="47"/>
      <c r="Z1486" s="47" t="s">
        <v>2524</v>
      </c>
      <c r="AA1486" s="49"/>
      <c r="AB1486" s="49"/>
      <c r="AC1486" s="49"/>
      <c r="AD1486" s="50"/>
      <c r="AE1486" s="47" t="s">
        <v>2754</v>
      </c>
      <c r="AF1486" s="47">
        <v>65</v>
      </c>
      <c r="AG1486"/>
      <c r="AH1486"/>
      <c r="AI1486"/>
      <c r="AJ1486"/>
      <c r="AK1486"/>
      <c r="AL1486"/>
      <c r="AM1486"/>
      <c r="AN1486"/>
      <c r="AO1486"/>
      <c r="AP1486"/>
      <c r="AQ1486" t="s">
        <v>2526</v>
      </c>
      <c r="AU1486">
        <v>1485</v>
      </c>
    </row>
    <row r="1487" spans="1:47" x14ac:dyDescent="0.2">
      <c r="A1487" s="133">
        <v>6365</v>
      </c>
      <c r="B1487" s="39" t="s">
        <v>45</v>
      </c>
      <c r="C1487" s="39">
        <v>100</v>
      </c>
      <c r="D1487" s="29" t="b">
        <v>0</v>
      </c>
      <c r="E1487" s="39" t="s">
        <v>2821</v>
      </c>
      <c r="F1487" s="47" t="s">
        <v>220</v>
      </c>
      <c r="G1487" s="47" t="s">
        <v>49</v>
      </c>
      <c r="H1487"/>
      <c r="I1487" s="47" t="b">
        <v>0</v>
      </c>
      <c r="J1487" s="47" t="b">
        <v>0</v>
      </c>
      <c r="K1487" s="47">
        <v>902</v>
      </c>
      <c r="L1487" s="48">
        <v>8</v>
      </c>
      <c r="M1487" s="47">
        <v>-1</v>
      </c>
      <c r="N1487" s="47">
        <v>-1</v>
      </c>
      <c r="O1487" s="47">
        <v>-1</v>
      </c>
      <c r="P1487" s="47">
        <v>-1</v>
      </c>
      <c r="Q1487" s="47">
        <v>-1</v>
      </c>
      <c r="R1487" s="47">
        <v>-1</v>
      </c>
      <c r="S1487" s="48">
        <v>8</v>
      </c>
      <c r="T1487" s="47">
        <v>0</v>
      </c>
      <c r="U1487" s="47">
        <v>0</v>
      </c>
      <c r="V1487" s="47">
        <v>0</v>
      </c>
      <c r="W1487" s="47"/>
      <c r="X1487" s="47">
        <v>77</v>
      </c>
      <c r="Y1487" s="47"/>
      <c r="Z1487" s="47" t="s">
        <v>2524</v>
      </c>
      <c r="AA1487" s="49"/>
      <c r="AB1487" s="49"/>
      <c r="AC1487" s="49"/>
      <c r="AD1487" s="50"/>
      <c r="AE1487" s="47" t="s">
        <v>2754</v>
      </c>
      <c r="AF1487" s="47">
        <v>65</v>
      </c>
      <c r="AG1487"/>
      <c r="AH1487"/>
      <c r="AI1487"/>
      <c r="AJ1487"/>
      <c r="AK1487"/>
      <c r="AL1487"/>
      <c r="AM1487"/>
      <c r="AN1487"/>
      <c r="AO1487"/>
      <c r="AP1487"/>
      <c r="AQ1487" t="s">
        <v>2526</v>
      </c>
      <c r="AU1487">
        <v>1486</v>
      </c>
    </row>
    <row r="1488" spans="1:47" x14ac:dyDescent="0.2">
      <c r="A1488" s="133">
        <v>6365</v>
      </c>
      <c r="B1488" s="39" t="s">
        <v>45</v>
      </c>
      <c r="C1488" s="39">
        <v>100</v>
      </c>
      <c r="D1488" s="29" t="b">
        <v>0</v>
      </c>
      <c r="E1488" s="39" t="s">
        <v>2822</v>
      </c>
      <c r="F1488" s="47" t="s">
        <v>57</v>
      </c>
      <c r="G1488" s="47" t="s">
        <v>49</v>
      </c>
      <c r="H1488"/>
      <c r="I1488" s="47" t="b">
        <v>0</v>
      </c>
      <c r="J1488" s="47" t="b">
        <v>0</v>
      </c>
      <c r="K1488" s="47">
        <v>224</v>
      </c>
      <c r="L1488" s="48">
        <v>8</v>
      </c>
      <c r="M1488" s="47">
        <v>-1</v>
      </c>
      <c r="N1488" s="47">
        <v>-1</v>
      </c>
      <c r="O1488" s="47">
        <v>-1</v>
      </c>
      <c r="P1488" s="47">
        <v>-1</v>
      </c>
      <c r="Q1488" s="47">
        <v>-1</v>
      </c>
      <c r="R1488" s="47">
        <v>-1</v>
      </c>
      <c r="S1488" s="48">
        <v>8</v>
      </c>
      <c r="T1488" s="47">
        <v>0</v>
      </c>
      <c r="U1488" s="47">
        <v>0</v>
      </c>
      <c r="V1488" s="47">
        <v>0</v>
      </c>
      <c r="W1488" s="47">
        <v>1000</v>
      </c>
      <c r="X1488" s="47">
        <v>78</v>
      </c>
      <c r="Y1488" s="47"/>
      <c r="Z1488" s="47" t="s">
        <v>2524</v>
      </c>
      <c r="AA1488" s="49"/>
      <c r="AB1488" s="49"/>
      <c r="AC1488" s="49"/>
      <c r="AD1488" s="50"/>
      <c r="AE1488" s="47" t="s">
        <v>2754</v>
      </c>
      <c r="AF1488" s="47">
        <v>60</v>
      </c>
      <c r="AG1488"/>
      <c r="AH1488"/>
      <c r="AI1488"/>
      <c r="AJ1488"/>
      <c r="AK1488"/>
      <c r="AL1488"/>
      <c r="AM1488"/>
      <c r="AN1488"/>
      <c r="AO1488"/>
      <c r="AP1488"/>
      <c r="AQ1488" t="s">
        <v>2526</v>
      </c>
      <c r="AU1488">
        <v>1487</v>
      </c>
    </row>
    <row r="1489" spans="1:47" x14ac:dyDescent="0.2">
      <c r="A1489" s="133">
        <v>6365</v>
      </c>
      <c r="B1489" s="39" t="s">
        <v>45</v>
      </c>
      <c r="C1489" s="39">
        <v>100</v>
      </c>
      <c r="D1489" s="29" t="b">
        <v>0</v>
      </c>
      <c r="E1489" s="39" t="s">
        <v>2823</v>
      </c>
      <c r="F1489" s="47" t="s">
        <v>2824</v>
      </c>
      <c r="G1489" s="47" t="s">
        <v>49</v>
      </c>
      <c r="H1489"/>
      <c r="I1489" s="47" t="b">
        <v>0</v>
      </c>
      <c r="J1489" s="47" t="b">
        <v>0</v>
      </c>
      <c r="K1489" s="47">
        <v>448</v>
      </c>
      <c r="L1489" s="48">
        <v>8</v>
      </c>
      <c r="M1489" s="47">
        <v>-1</v>
      </c>
      <c r="N1489" s="47">
        <v>-1</v>
      </c>
      <c r="O1489" s="47">
        <v>-1</v>
      </c>
      <c r="P1489" s="47">
        <v>-1</v>
      </c>
      <c r="Q1489" s="47">
        <v>-1</v>
      </c>
      <c r="R1489" s="47">
        <v>-1</v>
      </c>
      <c r="S1489" s="48">
        <v>8</v>
      </c>
      <c r="T1489" s="47">
        <v>0</v>
      </c>
      <c r="U1489" s="47">
        <v>0</v>
      </c>
      <c r="V1489" s="47">
        <v>0</v>
      </c>
      <c r="W1489" s="47"/>
      <c r="X1489" s="47">
        <v>79</v>
      </c>
      <c r="Y1489" s="47"/>
      <c r="Z1489" s="47" t="s">
        <v>2524</v>
      </c>
      <c r="AA1489" s="49"/>
      <c r="AB1489" s="49"/>
      <c r="AC1489" s="49"/>
      <c r="AD1489" s="50"/>
      <c r="AE1489" s="47" t="s">
        <v>2754</v>
      </c>
      <c r="AF1489" s="47">
        <v>45</v>
      </c>
      <c r="AG1489"/>
      <c r="AH1489"/>
      <c r="AI1489"/>
      <c r="AJ1489"/>
      <c r="AK1489"/>
      <c r="AL1489"/>
      <c r="AM1489"/>
      <c r="AN1489"/>
      <c r="AO1489"/>
      <c r="AP1489"/>
      <c r="AQ1489" t="s">
        <v>2526</v>
      </c>
      <c r="AU1489">
        <v>1488</v>
      </c>
    </row>
    <row r="1490" spans="1:47" x14ac:dyDescent="0.2">
      <c r="A1490" s="26">
        <v>6365</v>
      </c>
      <c r="B1490" s="27">
        <v>2.0833333333333332E-2</v>
      </c>
      <c r="C1490" s="28"/>
      <c r="D1490" s="29"/>
      <c r="E1490" s="30" t="s">
        <v>1144</v>
      </c>
      <c r="H1490" s="32">
        <v>1</v>
      </c>
      <c r="I1490" s="32" t="s">
        <v>2825</v>
      </c>
      <c r="AG1490" s="32">
        <v>0</v>
      </c>
      <c r="AH1490" s="32">
        <v>4</v>
      </c>
      <c r="AI1490" s="32">
        <v>83983</v>
      </c>
      <c r="AK1490" s="32">
        <v>50</v>
      </c>
      <c r="AL1490" s="32">
        <v>1</v>
      </c>
      <c r="AO1490" s="32" t="s">
        <v>1006</v>
      </c>
      <c r="AP1490" s="32">
        <v>1</v>
      </c>
      <c r="AQ1490" s="32" t="s">
        <v>2673</v>
      </c>
      <c r="AU1490">
        <v>1489</v>
      </c>
    </row>
    <row r="1491" spans="1:47" x14ac:dyDescent="0.2">
      <c r="A1491" s="26">
        <v>6365</v>
      </c>
      <c r="B1491" s="27">
        <v>0.97222222222222221</v>
      </c>
      <c r="C1491" s="28"/>
      <c r="D1491" s="29"/>
      <c r="E1491" s="30" t="s">
        <v>1282</v>
      </c>
      <c r="H1491" s="32">
        <v>0</v>
      </c>
      <c r="I1491" s="32" t="s">
        <v>2561</v>
      </c>
      <c r="AG1491" s="32">
        <v>0</v>
      </c>
      <c r="AH1491" s="32">
        <v>0</v>
      </c>
      <c r="AI1491" s="32">
        <v>0</v>
      </c>
      <c r="AK1491" s="32">
        <v>0</v>
      </c>
      <c r="AL1491" s="32">
        <v>3</v>
      </c>
      <c r="AP1491" s="32">
        <v>3</v>
      </c>
      <c r="AQ1491" s="32" t="s">
        <v>1101</v>
      </c>
      <c r="AU1491">
        <v>1490</v>
      </c>
    </row>
    <row r="1492" spans="1:47" x14ac:dyDescent="0.2">
      <c r="A1492" s="26">
        <v>6365</v>
      </c>
      <c r="B1492" s="27">
        <v>0.98958333333333337</v>
      </c>
      <c r="C1492" s="28"/>
      <c r="D1492" s="29"/>
      <c r="E1492" s="30" t="s">
        <v>869</v>
      </c>
      <c r="H1492" s="32">
        <v>1</v>
      </c>
      <c r="I1492" s="32" t="s">
        <v>2826</v>
      </c>
      <c r="AG1492" s="32">
        <v>0</v>
      </c>
      <c r="AH1492" s="32">
        <v>0</v>
      </c>
      <c r="AI1492" s="32">
        <v>16209</v>
      </c>
      <c r="AK1492" s="32">
        <v>27</v>
      </c>
      <c r="AP1492" s="32">
        <v>2.5</v>
      </c>
      <c r="AQ1492" s="32" t="s">
        <v>871</v>
      </c>
      <c r="AU1492">
        <v>1491</v>
      </c>
    </row>
    <row r="1493" spans="1:47" x14ac:dyDescent="0.2">
      <c r="A1493" s="26">
        <v>6365</v>
      </c>
      <c r="B1493" s="27" t="s">
        <v>45</v>
      </c>
      <c r="C1493" s="28"/>
      <c r="D1493" s="29"/>
      <c r="E1493" s="30" t="s">
        <v>1531</v>
      </c>
      <c r="H1493" s="32">
        <v>1</v>
      </c>
      <c r="I1493" s="32" t="s">
        <v>2827</v>
      </c>
      <c r="AM1493" s="32">
        <f>498*60</f>
        <v>29880</v>
      </c>
      <c r="AO1493" s="32" t="s">
        <v>1533</v>
      </c>
      <c r="AQ1493" s="32" t="s">
        <v>1101</v>
      </c>
      <c r="AU1493">
        <v>1492</v>
      </c>
    </row>
    <row r="1494" spans="1:47" x14ac:dyDescent="0.2">
      <c r="A1494" s="26">
        <v>6365</v>
      </c>
      <c r="B1494" s="27" t="s">
        <v>45</v>
      </c>
      <c r="C1494" s="28"/>
      <c r="D1494" s="29"/>
      <c r="E1494" s="150" t="s">
        <v>2286</v>
      </c>
      <c r="H1494" s="32">
        <v>0</v>
      </c>
      <c r="I1494" s="32" t="s">
        <v>1824</v>
      </c>
      <c r="AG1494" s="32">
        <v>0</v>
      </c>
      <c r="AH1494" s="32">
        <v>0</v>
      </c>
      <c r="AI1494" s="32">
        <v>0</v>
      </c>
      <c r="AK1494" s="32">
        <v>0</v>
      </c>
      <c r="AM1494" s="32">
        <v>5000</v>
      </c>
      <c r="AO1494" s="73" t="s">
        <v>75</v>
      </c>
      <c r="AQ1494" s="32" t="s">
        <v>589</v>
      </c>
      <c r="AU1494">
        <v>1493</v>
      </c>
    </row>
    <row r="1495" spans="1:47" x14ac:dyDescent="0.2">
      <c r="A1495" s="26">
        <v>6365</v>
      </c>
      <c r="B1495" s="27"/>
      <c r="C1495" s="28"/>
      <c r="D1495" s="29"/>
      <c r="E1495" s="102" t="s">
        <v>1421</v>
      </c>
      <c r="H1495" s="32">
        <v>1</v>
      </c>
      <c r="I1495" s="32" t="s">
        <v>1422</v>
      </c>
      <c r="AK1495" s="32">
        <v>19</v>
      </c>
      <c r="AO1495" s="73"/>
      <c r="AQ1495" s="32" t="s">
        <v>589</v>
      </c>
      <c r="AU1495">
        <v>1494</v>
      </c>
    </row>
    <row r="1496" spans="1:47" x14ac:dyDescent="0.2">
      <c r="A1496" s="133">
        <v>6366</v>
      </c>
      <c r="B1496" s="39" t="s">
        <v>45</v>
      </c>
      <c r="C1496" s="39">
        <v>100</v>
      </c>
      <c r="D1496" s="29" t="b">
        <v>0</v>
      </c>
      <c r="E1496" s="39" t="s">
        <v>2828</v>
      </c>
      <c r="F1496" s="47" t="s">
        <v>2829</v>
      </c>
      <c r="G1496" s="47" t="s">
        <v>49</v>
      </c>
      <c r="H1496"/>
      <c r="I1496" s="47" t="b">
        <v>1</v>
      </c>
      <c r="J1496" s="47" t="b">
        <v>1</v>
      </c>
      <c r="K1496" s="47">
        <v>2582</v>
      </c>
      <c r="L1496" s="48">
        <v>11</v>
      </c>
      <c r="M1496" s="47">
        <v>-1</v>
      </c>
      <c r="N1496" s="47">
        <v>-1</v>
      </c>
      <c r="O1496" s="47">
        <v>-1</v>
      </c>
      <c r="P1496" s="47">
        <v>-1</v>
      </c>
      <c r="Q1496" s="47">
        <v>-1</v>
      </c>
      <c r="R1496" s="47">
        <v>-1</v>
      </c>
      <c r="S1496" s="48">
        <v>11</v>
      </c>
      <c r="T1496" s="47">
        <v>0</v>
      </c>
      <c r="U1496" s="47">
        <v>0</v>
      </c>
      <c r="V1496" s="47">
        <v>0</v>
      </c>
      <c r="W1496" s="47">
        <v>1100</v>
      </c>
      <c r="X1496" s="47">
        <v>80</v>
      </c>
      <c r="Y1496" s="47"/>
      <c r="Z1496" s="47" t="s">
        <v>2524</v>
      </c>
      <c r="AA1496" s="49"/>
      <c r="AB1496" s="49"/>
      <c r="AC1496" s="49"/>
      <c r="AD1496" s="50"/>
      <c r="AE1496" s="47" t="s">
        <v>2754</v>
      </c>
      <c r="AF1496" s="47">
        <v>50</v>
      </c>
      <c r="AG1496"/>
      <c r="AH1496"/>
      <c r="AI1496"/>
      <c r="AJ1496"/>
      <c r="AK1496"/>
      <c r="AL1496"/>
      <c r="AM1496"/>
      <c r="AN1496"/>
      <c r="AO1496"/>
      <c r="AP1496"/>
      <c r="AQ1496" t="s">
        <v>2526</v>
      </c>
      <c r="AU1496">
        <v>1495</v>
      </c>
    </row>
    <row r="1497" spans="1:47" x14ac:dyDescent="0.2">
      <c r="A1497" s="133">
        <v>6366</v>
      </c>
      <c r="B1497" s="39" t="s">
        <v>45</v>
      </c>
      <c r="C1497" s="39">
        <v>100</v>
      </c>
      <c r="D1497" s="29" t="b">
        <v>0</v>
      </c>
      <c r="E1497" s="39" t="s">
        <v>2780</v>
      </c>
      <c r="F1497" s="47" t="s">
        <v>220</v>
      </c>
      <c r="G1497" s="47" t="s">
        <v>49</v>
      </c>
      <c r="H1497"/>
      <c r="I1497" s="47" t="b">
        <v>0</v>
      </c>
      <c r="J1497" s="47" t="b">
        <v>0</v>
      </c>
      <c r="K1497" s="47">
        <v>790</v>
      </c>
      <c r="L1497" s="48">
        <v>11</v>
      </c>
      <c r="M1497" s="47">
        <v>-1</v>
      </c>
      <c r="N1497" s="47">
        <v>-1</v>
      </c>
      <c r="O1497" s="47">
        <v>-1</v>
      </c>
      <c r="P1497" s="47">
        <v>-1</v>
      </c>
      <c r="Q1497" s="47">
        <v>-1</v>
      </c>
      <c r="R1497" s="47">
        <v>-1</v>
      </c>
      <c r="S1497" s="48">
        <v>11</v>
      </c>
      <c r="T1497" s="47">
        <v>0</v>
      </c>
      <c r="U1497" s="47">
        <v>0</v>
      </c>
      <c r="V1497" s="47">
        <v>0</v>
      </c>
      <c r="W1497" s="47">
        <v>-1</v>
      </c>
      <c r="X1497" s="47">
        <v>81</v>
      </c>
      <c r="Y1497" s="47"/>
      <c r="Z1497" s="47" t="s">
        <v>2524</v>
      </c>
      <c r="AA1497" s="49"/>
      <c r="AB1497" s="49"/>
      <c r="AC1497" s="49"/>
      <c r="AD1497" s="50"/>
      <c r="AE1497" s="47" t="s">
        <v>2754</v>
      </c>
      <c r="AF1497" s="47">
        <v>50</v>
      </c>
      <c r="AG1497"/>
      <c r="AH1497"/>
      <c r="AI1497"/>
      <c r="AJ1497"/>
      <c r="AK1497"/>
      <c r="AL1497"/>
      <c r="AM1497"/>
      <c r="AN1497"/>
      <c r="AO1497"/>
      <c r="AP1497"/>
      <c r="AQ1497" t="s">
        <v>2526</v>
      </c>
      <c r="AU1497">
        <v>1496</v>
      </c>
    </row>
    <row r="1498" spans="1:47" x14ac:dyDescent="0.2">
      <c r="A1498" s="133">
        <v>6366</v>
      </c>
      <c r="B1498" s="39" t="s">
        <v>45</v>
      </c>
      <c r="C1498" s="39">
        <v>100</v>
      </c>
      <c r="D1498" s="29" t="b">
        <v>0</v>
      </c>
      <c r="E1498" s="39" t="s">
        <v>2830</v>
      </c>
      <c r="F1498" s="47" t="s">
        <v>57</v>
      </c>
      <c r="G1498" s="47" t="s">
        <v>49</v>
      </c>
      <c r="H1498"/>
      <c r="I1498" s="47" t="b">
        <v>0</v>
      </c>
      <c r="J1498" s="47" t="b">
        <v>0</v>
      </c>
      <c r="K1498" s="47">
        <v>224</v>
      </c>
      <c r="L1498" s="48">
        <v>11</v>
      </c>
      <c r="M1498" s="47">
        <v>-1</v>
      </c>
      <c r="N1498" s="47">
        <v>-1</v>
      </c>
      <c r="O1498" s="47">
        <v>-1</v>
      </c>
      <c r="P1498" s="47">
        <v>-1</v>
      </c>
      <c r="Q1498" s="47">
        <v>-1</v>
      </c>
      <c r="R1498" s="47">
        <v>-1</v>
      </c>
      <c r="S1498" s="48">
        <v>11</v>
      </c>
      <c r="T1498" s="47">
        <v>0</v>
      </c>
      <c r="U1498" s="47">
        <v>0</v>
      </c>
      <c r="V1498" s="47">
        <v>0</v>
      </c>
      <c r="W1498" s="47">
        <v>-1</v>
      </c>
      <c r="X1498" s="47">
        <v>82</v>
      </c>
      <c r="Y1498" s="47"/>
      <c r="Z1498" s="47" t="s">
        <v>2524</v>
      </c>
      <c r="AA1498" s="49"/>
      <c r="AB1498" s="49"/>
      <c r="AC1498" s="49"/>
      <c r="AD1498" s="50"/>
      <c r="AE1498" s="47" t="s">
        <v>2754</v>
      </c>
      <c r="AF1498" s="47">
        <v>55</v>
      </c>
      <c r="AG1498"/>
      <c r="AH1498"/>
      <c r="AI1498"/>
      <c r="AJ1498"/>
      <c r="AK1498"/>
      <c r="AL1498"/>
      <c r="AM1498"/>
      <c r="AN1498"/>
      <c r="AO1498"/>
      <c r="AP1498"/>
      <c r="AQ1498" t="s">
        <v>2526</v>
      </c>
      <c r="AU1498">
        <v>1497</v>
      </c>
    </row>
    <row r="1499" spans="1:47" x14ac:dyDescent="0.2">
      <c r="A1499" s="133">
        <v>6366</v>
      </c>
      <c r="B1499" s="39" t="s">
        <v>45</v>
      </c>
      <c r="C1499" s="39">
        <v>100</v>
      </c>
      <c r="D1499" s="29" t="b">
        <v>0</v>
      </c>
      <c r="E1499" s="39" t="s">
        <v>2821</v>
      </c>
      <c r="F1499" s="47" t="s">
        <v>2831</v>
      </c>
      <c r="G1499" s="47" t="s">
        <v>49</v>
      </c>
      <c r="H1499"/>
      <c r="I1499" s="47" t="b">
        <v>0</v>
      </c>
      <c r="J1499" s="47" t="b">
        <v>0</v>
      </c>
      <c r="K1499" s="47">
        <v>448</v>
      </c>
      <c r="L1499" s="48">
        <v>11</v>
      </c>
      <c r="M1499" s="47">
        <v>-1</v>
      </c>
      <c r="N1499" s="47">
        <v>-1</v>
      </c>
      <c r="O1499" s="47">
        <v>-1</v>
      </c>
      <c r="P1499" s="47">
        <v>-1</v>
      </c>
      <c r="Q1499" s="47">
        <v>-1</v>
      </c>
      <c r="R1499" s="47">
        <v>-1</v>
      </c>
      <c r="S1499" s="48">
        <v>11</v>
      </c>
      <c r="T1499" s="47">
        <v>0</v>
      </c>
      <c r="U1499" s="47">
        <v>0</v>
      </c>
      <c r="V1499" s="47">
        <v>0</v>
      </c>
      <c r="W1499" s="47">
        <v>-1</v>
      </c>
      <c r="X1499" s="47">
        <v>83</v>
      </c>
      <c r="Y1499" s="47"/>
      <c r="Z1499" s="47" t="s">
        <v>2524</v>
      </c>
      <c r="AA1499" s="49"/>
      <c r="AB1499" s="49"/>
      <c r="AC1499" s="49"/>
      <c r="AD1499" s="50"/>
      <c r="AE1499" s="47" t="s">
        <v>2754</v>
      </c>
      <c r="AF1499" s="47">
        <v>65</v>
      </c>
      <c r="AG1499"/>
      <c r="AH1499"/>
      <c r="AI1499"/>
      <c r="AJ1499"/>
      <c r="AK1499"/>
      <c r="AL1499"/>
      <c r="AM1499"/>
      <c r="AN1499"/>
      <c r="AO1499"/>
      <c r="AP1499"/>
      <c r="AQ1499" t="s">
        <v>2526</v>
      </c>
      <c r="AU1499">
        <v>1498</v>
      </c>
    </row>
    <row r="1500" spans="1:47" x14ac:dyDescent="0.2">
      <c r="A1500" s="133">
        <v>6366</v>
      </c>
      <c r="B1500" s="39" t="s">
        <v>45</v>
      </c>
      <c r="C1500" s="39">
        <v>100</v>
      </c>
      <c r="D1500" s="29" t="b">
        <v>0</v>
      </c>
      <c r="E1500" s="39" t="s">
        <v>2832</v>
      </c>
      <c r="F1500" s="47" t="s">
        <v>57</v>
      </c>
      <c r="G1500" s="47" t="s">
        <v>49</v>
      </c>
      <c r="H1500"/>
      <c r="I1500" s="47" t="b">
        <v>0</v>
      </c>
      <c r="J1500" s="47" t="b">
        <v>0</v>
      </c>
      <c r="K1500" s="47">
        <v>224</v>
      </c>
      <c r="L1500" s="48">
        <v>11</v>
      </c>
      <c r="M1500" s="47">
        <v>-1</v>
      </c>
      <c r="N1500" s="47">
        <v>-1</v>
      </c>
      <c r="O1500" s="47">
        <v>-1</v>
      </c>
      <c r="P1500" s="47">
        <v>-1</v>
      </c>
      <c r="Q1500" s="47">
        <v>-1</v>
      </c>
      <c r="R1500" s="47">
        <v>-1</v>
      </c>
      <c r="S1500" s="48">
        <v>11</v>
      </c>
      <c r="T1500" s="47">
        <v>0</v>
      </c>
      <c r="U1500" s="47">
        <v>0</v>
      </c>
      <c r="V1500" s="47">
        <v>0</v>
      </c>
      <c r="W1500" s="47">
        <v>1500</v>
      </c>
      <c r="X1500" s="47">
        <v>84</v>
      </c>
      <c r="Y1500" s="47"/>
      <c r="Z1500" s="47" t="s">
        <v>2524</v>
      </c>
      <c r="AA1500" s="49"/>
      <c r="AB1500" s="49"/>
      <c r="AC1500" s="49"/>
      <c r="AD1500" s="50"/>
      <c r="AE1500" s="47" t="s">
        <v>2754</v>
      </c>
      <c r="AF1500" s="47"/>
      <c r="AG1500"/>
      <c r="AH1500"/>
      <c r="AI1500"/>
      <c r="AJ1500"/>
      <c r="AK1500"/>
      <c r="AL1500"/>
      <c r="AM1500"/>
      <c r="AN1500"/>
      <c r="AO1500"/>
      <c r="AP1500"/>
      <c r="AQ1500" t="s">
        <v>2526</v>
      </c>
      <c r="AU1500">
        <v>1499</v>
      </c>
    </row>
    <row r="1501" spans="1:47" x14ac:dyDescent="0.2">
      <c r="A1501" s="133">
        <v>6366</v>
      </c>
      <c r="B1501" s="39" t="s">
        <v>45</v>
      </c>
      <c r="C1501" s="39">
        <v>100</v>
      </c>
      <c r="D1501" s="29" t="b">
        <v>0</v>
      </c>
      <c r="E1501" s="39" t="s">
        <v>2833</v>
      </c>
      <c r="F1501" s="47" t="s">
        <v>57</v>
      </c>
      <c r="G1501" s="47" t="s">
        <v>49</v>
      </c>
      <c r="H1501"/>
      <c r="I1501" s="47" t="b">
        <v>0</v>
      </c>
      <c r="J1501" s="47" t="b">
        <v>0</v>
      </c>
      <c r="K1501" s="47">
        <v>224</v>
      </c>
      <c r="L1501" s="48">
        <v>11</v>
      </c>
      <c r="M1501" s="47">
        <v>-1</v>
      </c>
      <c r="N1501" s="47">
        <v>-1</v>
      </c>
      <c r="O1501" s="47">
        <v>-1</v>
      </c>
      <c r="P1501" s="47">
        <v>-1</v>
      </c>
      <c r="Q1501" s="47">
        <v>-1</v>
      </c>
      <c r="R1501" s="47">
        <v>-1</v>
      </c>
      <c r="S1501" s="48">
        <v>11</v>
      </c>
      <c r="T1501" s="47">
        <v>0</v>
      </c>
      <c r="U1501" s="47">
        <v>0</v>
      </c>
      <c r="V1501" s="47">
        <v>0</v>
      </c>
      <c r="W1501" s="47">
        <v>-1</v>
      </c>
      <c r="X1501" s="47">
        <v>85</v>
      </c>
      <c r="Y1501" s="47"/>
      <c r="Z1501" s="47" t="s">
        <v>2524</v>
      </c>
      <c r="AA1501" s="49"/>
      <c r="AB1501" s="49"/>
      <c r="AC1501" s="49"/>
      <c r="AD1501" s="50"/>
      <c r="AE1501" s="47" t="s">
        <v>2754</v>
      </c>
      <c r="AF1501" s="47"/>
      <c r="AG1501"/>
      <c r="AH1501"/>
      <c r="AI1501"/>
      <c r="AJ1501"/>
      <c r="AK1501"/>
      <c r="AL1501"/>
      <c r="AM1501"/>
      <c r="AN1501"/>
      <c r="AO1501"/>
      <c r="AP1501"/>
      <c r="AQ1501" t="s">
        <v>2526</v>
      </c>
      <c r="AU1501">
        <v>1500</v>
      </c>
    </row>
    <row r="1502" spans="1:47" x14ac:dyDescent="0.2">
      <c r="A1502" s="133">
        <v>6366</v>
      </c>
      <c r="B1502" s="39" t="s">
        <v>45</v>
      </c>
      <c r="C1502" s="39">
        <v>100</v>
      </c>
      <c r="D1502" s="29" t="b">
        <v>0</v>
      </c>
      <c r="E1502" s="39" t="s">
        <v>2834</v>
      </c>
      <c r="F1502" s="47" t="s">
        <v>57</v>
      </c>
      <c r="G1502" s="47" t="s">
        <v>49</v>
      </c>
      <c r="H1502"/>
      <c r="I1502" s="47" t="b">
        <v>0</v>
      </c>
      <c r="J1502" s="47" t="b">
        <v>0</v>
      </c>
      <c r="K1502" s="47">
        <v>224</v>
      </c>
      <c r="L1502" s="48">
        <v>11</v>
      </c>
      <c r="M1502" s="47">
        <v>-1</v>
      </c>
      <c r="N1502" s="47">
        <v>-1</v>
      </c>
      <c r="O1502" s="47">
        <v>-1</v>
      </c>
      <c r="P1502" s="47">
        <v>-1</v>
      </c>
      <c r="Q1502" s="47">
        <v>-1</v>
      </c>
      <c r="R1502" s="47">
        <v>-1</v>
      </c>
      <c r="S1502" s="48">
        <v>11</v>
      </c>
      <c r="T1502" s="47">
        <v>0</v>
      </c>
      <c r="U1502" s="47">
        <v>0</v>
      </c>
      <c r="V1502" s="47">
        <v>0</v>
      </c>
      <c r="W1502" s="47">
        <v>-1</v>
      </c>
      <c r="X1502" s="47">
        <v>86</v>
      </c>
      <c r="Y1502" s="47"/>
      <c r="Z1502" s="47" t="s">
        <v>2524</v>
      </c>
      <c r="AA1502" s="49"/>
      <c r="AB1502" s="49"/>
      <c r="AC1502" s="49"/>
      <c r="AD1502" s="50"/>
      <c r="AE1502" s="47" t="s">
        <v>2754</v>
      </c>
      <c r="AF1502" s="47">
        <v>65</v>
      </c>
      <c r="AG1502"/>
      <c r="AH1502"/>
      <c r="AI1502"/>
      <c r="AJ1502"/>
      <c r="AK1502"/>
      <c r="AL1502"/>
      <c r="AM1502"/>
      <c r="AN1502"/>
      <c r="AO1502"/>
      <c r="AP1502"/>
      <c r="AQ1502" t="s">
        <v>2526</v>
      </c>
      <c r="AU1502">
        <v>1501</v>
      </c>
    </row>
    <row r="1503" spans="1:47" x14ac:dyDescent="0.2">
      <c r="A1503" s="133">
        <v>6366</v>
      </c>
      <c r="B1503" s="39" t="s">
        <v>45</v>
      </c>
      <c r="C1503" s="39">
        <v>100</v>
      </c>
      <c r="D1503" s="29" t="b">
        <v>0</v>
      </c>
      <c r="E1503" s="39" t="s">
        <v>2835</v>
      </c>
      <c r="F1503" s="47" t="s">
        <v>2617</v>
      </c>
      <c r="G1503" s="47" t="s">
        <v>49</v>
      </c>
      <c r="H1503"/>
      <c r="I1503" s="47" t="b">
        <v>0</v>
      </c>
      <c r="J1503" s="47" t="b">
        <v>0</v>
      </c>
      <c r="K1503" s="47">
        <v>448</v>
      </c>
      <c r="L1503" s="48">
        <v>11</v>
      </c>
      <c r="M1503" s="47">
        <v>-1</v>
      </c>
      <c r="N1503" s="47">
        <v>-1</v>
      </c>
      <c r="O1503" s="47">
        <v>-1</v>
      </c>
      <c r="P1503" s="47">
        <v>-1</v>
      </c>
      <c r="Q1503" s="47">
        <v>-1</v>
      </c>
      <c r="R1503" s="47">
        <v>-1</v>
      </c>
      <c r="S1503" s="48">
        <v>11</v>
      </c>
      <c r="T1503" s="47">
        <v>0</v>
      </c>
      <c r="U1503" s="47">
        <v>0</v>
      </c>
      <c r="V1503" s="47">
        <v>0</v>
      </c>
      <c r="W1503" s="47">
        <v>700</v>
      </c>
      <c r="X1503" s="47">
        <v>87</v>
      </c>
      <c r="Y1503" s="47"/>
      <c r="Z1503" s="47" t="s">
        <v>2524</v>
      </c>
      <c r="AA1503" s="49"/>
      <c r="AB1503" s="49"/>
      <c r="AC1503" s="49"/>
      <c r="AD1503" s="50"/>
      <c r="AE1503" s="47" t="s">
        <v>2754</v>
      </c>
      <c r="AF1503" s="47">
        <v>55</v>
      </c>
      <c r="AG1503"/>
      <c r="AH1503"/>
      <c r="AI1503"/>
      <c r="AJ1503"/>
      <c r="AK1503"/>
      <c r="AL1503"/>
      <c r="AM1503"/>
      <c r="AN1503"/>
      <c r="AO1503"/>
      <c r="AP1503"/>
      <c r="AQ1503" t="s">
        <v>2526</v>
      </c>
      <c r="AU1503">
        <v>1502</v>
      </c>
    </row>
    <row r="1504" spans="1:47" x14ac:dyDescent="0.2">
      <c r="A1504" s="26">
        <v>6366</v>
      </c>
      <c r="B1504" s="27">
        <v>3.8194444444444441E-2</v>
      </c>
      <c r="C1504" s="28"/>
      <c r="D1504" s="29"/>
      <c r="E1504" s="30" t="s">
        <v>78</v>
      </c>
      <c r="H1504" s="32">
        <v>1</v>
      </c>
      <c r="I1504" s="32"/>
      <c r="AG1504" s="32">
        <v>0</v>
      </c>
      <c r="AH1504" s="32">
        <v>0</v>
      </c>
      <c r="AJ1504" s="32">
        <v>18787</v>
      </c>
      <c r="AK1504" s="32">
        <v>35</v>
      </c>
      <c r="AO1504" s="32" t="s">
        <v>80</v>
      </c>
      <c r="AQ1504" s="32" t="s">
        <v>1101</v>
      </c>
      <c r="AU1504">
        <v>1503</v>
      </c>
    </row>
    <row r="1505" spans="1:47" x14ac:dyDescent="0.2">
      <c r="A1505" s="26">
        <v>6366</v>
      </c>
      <c r="B1505" s="27">
        <v>6.8750000000000006E-2</v>
      </c>
      <c r="C1505" s="28"/>
      <c r="D1505" s="29"/>
      <c r="E1505" s="102" t="s">
        <v>1102</v>
      </c>
      <c r="H1505" s="32">
        <v>0</v>
      </c>
      <c r="I1505" s="32" t="s">
        <v>1103</v>
      </c>
      <c r="AG1505" s="32">
        <v>0</v>
      </c>
      <c r="AH1505" s="32">
        <v>0</v>
      </c>
      <c r="AI1505" s="32">
        <v>0</v>
      </c>
      <c r="AK1505" s="32">
        <v>0</v>
      </c>
      <c r="AL1505" s="32">
        <f>19/60</f>
        <v>0.31666666666666665</v>
      </c>
      <c r="AO1505" s="73" t="s">
        <v>1006</v>
      </c>
      <c r="AP1505" s="32">
        <f>19/60</f>
        <v>0.31666666666666665</v>
      </c>
      <c r="AQ1505" s="32" t="s">
        <v>589</v>
      </c>
      <c r="AU1505">
        <v>1504</v>
      </c>
    </row>
    <row r="1506" spans="1:47" x14ac:dyDescent="0.2">
      <c r="A1506" s="133">
        <v>6367</v>
      </c>
      <c r="B1506" s="39" t="s">
        <v>45</v>
      </c>
      <c r="C1506" s="39">
        <v>100</v>
      </c>
      <c r="D1506" s="29" t="b">
        <v>0</v>
      </c>
      <c r="E1506" s="39" t="s">
        <v>2836</v>
      </c>
      <c r="F1506" s="47" t="s">
        <v>2837</v>
      </c>
      <c r="G1506" s="47" t="s">
        <v>49</v>
      </c>
      <c r="H1506"/>
      <c r="I1506" s="47" t="b">
        <v>1</v>
      </c>
      <c r="J1506" s="47" t="b">
        <v>1</v>
      </c>
      <c r="K1506" s="47">
        <v>3172</v>
      </c>
      <c r="L1506" s="48">
        <v>14</v>
      </c>
      <c r="M1506" s="47">
        <v>-1</v>
      </c>
      <c r="N1506" s="47">
        <v>-1</v>
      </c>
      <c r="O1506" s="47">
        <v>-1</v>
      </c>
      <c r="P1506" s="47">
        <v>-1</v>
      </c>
      <c r="Q1506" s="47">
        <v>-1</v>
      </c>
      <c r="R1506" s="47">
        <v>-1</v>
      </c>
      <c r="S1506" s="48">
        <v>14</v>
      </c>
      <c r="T1506" s="47">
        <v>0</v>
      </c>
      <c r="U1506" s="47">
        <v>0</v>
      </c>
      <c r="V1506" s="47">
        <v>0</v>
      </c>
      <c r="W1506" s="47">
        <v>1450</v>
      </c>
      <c r="X1506" s="47">
        <v>88</v>
      </c>
      <c r="Y1506" s="47"/>
      <c r="Z1506" s="47" t="s">
        <v>2524</v>
      </c>
      <c r="AA1506" s="49"/>
      <c r="AB1506" s="49"/>
      <c r="AC1506" s="49"/>
      <c r="AD1506" s="50"/>
      <c r="AE1506" s="47" t="s">
        <v>2754</v>
      </c>
      <c r="AF1506" s="47">
        <v>50</v>
      </c>
      <c r="AG1506"/>
      <c r="AH1506"/>
      <c r="AI1506"/>
      <c r="AJ1506"/>
      <c r="AK1506"/>
      <c r="AL1506"/>
      <c r="AM1506"/>
      <c r="AN1506"/>
      <c r="AO1506"/>
      <c r="AP1506"/>
      <c r="AQ1506" t="s">
        <v>2526</v>
      </c>
      <c r="AU1506">
        <v>1505</v>
      </c>
    </row>
    <row r="1507" spans="1:47" x14ac:dyDescent="0.2">
      <c r="A1507" s="133">
        <v>6367</v>
      </c>
      <c r="B1507" s="39" t="s">
        <v>45</v>
      </c>
      <c r="C1507" s="39">
        <v>100</v>
      </c>
      <c r="D1507" s="29" t="b">
        <v>0</v>
      </c>
      <c r="E1507" s="39" t="s">
        <v>2838</v>
      </c>
      <c r="F1507" s="47" t="s">
        <v>2839</v>
      </c>
      <c r="G1507" s="47" t="s">
        <v>49</v>
      </c>
      <c r="H1507"/>
      <c r="I1507" s="47" t="b">
        <v>0</v>
      </c>
      <c r="J1507" s="47" t="b">
        <v>0</v>
      </c>
      <c r="K1507" s="47">
        <v>908</v>
      </c>
      <c r="L1507" s="48">
        <v>14</v>
      </c>
      <c r="M1507" s="47">
        <v>-1</v>
      </c>
      <c r="N1507" s="47">
        <v>-1</v>
      </c>
      <c r="O1507" s="47">
        <v>-1</v>
      </c>
      <c r="P1507" s="47">
        <v>-1</v>
      </c>
      <c r="Q1507" s="47">
        <v>-1</v>
      </c>
      <c r="R1507" s="47">
        <v>-1</v>
      </c>
      <c r="S1507" s="48">
        <v>14</v>
      </c>
      <c r="T1507" s="47">
        <v>0</v>
      </c>
      <c r="U1507" s="47">
        <v>0</v>
      </c>
      <c r="V1507" s="47">
        <v>0</v>
      </c>
      <c r="W1507" s="47">
        <v>1250</v>
      </c>
      <c r="X1507" s="47">
        <v>89</v>
      </c>
      <c r="Y1507" s="47"/>
      <c r="Z1507" s="47" t="s">
        <v>2524</v>
      </c>
      <c r="AA1507" s="49"/>
      <c r="AB1507" s="49"/>
      <c r="AC1507" s="49"/>
      <c r="AD1507" s="50"/>
      <c r="AE1507" s="47" t="s">
        <v>2754</v>
      </c>
      <c r="AF1507" s="47">
        <v>50</v>
      </c>
      <c r="AG1507"/>
      <c r="AH1507"/>
      <c r="AI1507"/>
      <c r="AJ1507"/>
      <c r="AK1507"/>
      <c r="AL1507"/>
      <c r="AM1507"/>
      <c r="AN1507"/>
      <c r="AO1507"/>
      <c r="AP1507"/>
      <c r="AQ1507" t="s">
        <v>2526</v>
      </c>
      <c r="AU1507">
        <v>1506</v>
      </c>
    </row>
    <row r="1508" spans="1:47" x14ac:dyDescent="0.2">
      <c r="A1508" s="133">
        <v>6367</v>
      </c>
      <c r="B1508" s="39" t="s">
        <v>45</v>
      </c>
      <c r="C1508" s="39">
        <v>100</v>
      </c>
      <c r="D1508" s="29" t="b">
        <v>0</v>
      </c>
      <c r="E1508" s="39" t="s">
        <v>2784</v>
      </c>
      <c r="F1508" s="47" t="s">
        <v>2840</v>
      </c>
      <c r="G1508" s="47" t="s">
        <v>49</v>
      </c>
      <c r="H1508"/>
      <c r="I1508" s="47" t="b">
        <v>0</v>
      </c>
      <c r="J1508" s="47" t="b">
        <v>0</v>
      </c>
      <c r="K1508" s="47">
        <v>672</v>
      </c>
      <c r="L1508" s="48">
        <v>14</v>
      </c>
      <c r="M1508" s="47">
        <v>-1</v>
      </c>
      <c r="N1508" s="47">
        <v>-1</v>
      </c>
      <c r="O1508" s="47">
        <v>-1</v>
      </c>
      <c r="P1508" s="47">
        <v>-1</v>
      </c>
      <c r="Q1508" s="47">
        <v>-1</v>
      </c>
      <c r="R1508" s="47">
        <v>-1</v>
      </c>
      <c r="S1508" s="48">
        <v>14</v>
      </c>
      <c r="T1508" s="47">
        <v>0</v>
      </c>
      <c r="U1508" s="47">
        <v>0</v>
      </c>
      <c r="V1508" s="47">
        <v>0</v>
      </c>
      <c r="W1508" s="47">
        <v>2000</v>
      </c>
      <c r="X1508" s="47">
        <v>90</v>
      </c>
      <c r="Y1508" s="47"/>
      <c r="Z1508" s="47" t="s">
        <v>2524</v>
      </c>
      <c r="AA1508" s="49"/>
      <c r="AB1508" s="49"/>
      <c r="AC1508" s="49"/>
      <c r="AD1508" s="50"/>
      <c r="AE1508" s="47" t="s">
        <v>2754</v>
      </c>
      <c r="AF1508" s="47">
        <v>45</v>
      </c>
      <c r="AG1508"/>
      <c r="AH1508"/>
      <c r="AI1508"/>
      <c r="AJ1508"/>
      <c r="AK1508"/>
      <c r="AL1508"/>
      <c r="AM1508"/>
      <c r="AN1508"/>
      <c r="AO1508"/>
      <c r="AP1508"/>
      <c r="AQ1508" t="s">
        <v>2526</v>
      </c>
      <c r="AU1508">
        <v>1507</v>
      </c>
    </row>
    <row r="1509" spans="1:47" x14ac:dyDescent="0.2">
      <c r="A1509" s="133">
        <v>6367</v>
      </c>
      <c r="B1509" s="39" t="s">
        <v>45</v>
      </c>
      <c r="C1509" s="39">
        <v>100</v>
      </c>
      <c r="D1509" s="29" t="b">
        <v>0</v>
      </c>
      <c r="E1509" s="39" t="s">
        <v>2841</v>
      </c>
      <c r="F1509" s="47" t="s">
        <v>2842</v>
      </c>
      <c r="G1509" s="47" t="s">
        <v>73</v>
      </c>
      <c r="H1509"/>
      <c r="I1509" s="47" t="b">
        <v>0</v>
      </c>
      <c r="J1509" s="47" t="b">
        <v>0</v>
      </c>
      <c r="K1509" s="47">
        <v>460</v>
      </c>
      <c r="L1509" s="48">
        <v>14</v>
      </c>
      <c r="M1509" s="47">
        <v>-1</v>
      </c>
      <c r="N1509" s="47">
        <v>-1</v>
      </c>
      <c r="O1509" s="47">
        <v>-1</v>
      </c>
      <c r="P1509" s="47">
        <v>-1</v>
      </c>
      <c r="Q1509" s="47">
        <v>-1</v>
      </c>
      <c r="R1509" s="47">
        <v>-1</v>
      </c>
      <c r="S1509" s="48">
        <v>14</v>
      </c>
      <c r="T1509" s="47">
        <v>0</v>
      </c>
      <c r="U1509" s="47">
        <v>0</v>
      </c>
      <c r="V1509" s="47">
        <v>0</v>
      </c>
      <c r="W1509" s="47">
        <v>600</v>
      </c>
      <c r="X1509" s="47">
        <v>91</v>
      </c>
      <c r="Y1509" s="47"/>
      <c r="Z1509" s="47" t="s">
        <v>2524</v>
      </c>
      <c r="AA1509" s="49"/>
      <c r="AB1509" s="49"/>
      <c r="AC1509" s="49"/>
      <c r="AD1509" s="50"/>
      <c r="AE1509" s="47" t="s">
        <v>2754</v>
      </c>
      <c r="AF1509" s="47">
        <v>45</v>
      </c>
      <c r="AG1509"/>
      <c r="AH1509"/>
      <c r="AI1509"/>
      <c r="AJ1509"/>
      <c r="AK1509"/>
      <c r="AL1509"/>
      <c r="AM1509"/>
      <c r="AN1509"/>
      <c r="AO1509"/>
      <c r="AP1509"/>
      <c r="AQ1509" t="s">
        <v>2526</v>
      </c>
      <c r="AU1509">
        <v>1508</v>
      </c>
    </row>
    <row r="1510" spans="1:47" x14ac:dyDescent="0.2">
      <c r="A1510" s="133">
        <v>6367</v>
      </c>
      <c r="B1510" s="39" t="s">
        <v>45</v>
      </c>
      <c r="C1510" s="39">
        <v>100</v>
      </c>
      <c r="D1510" s="29" t="b">
        <v>0</v>
      </c>
      <c r="E1510" s="39" t="s">
        <v>2843</v>
      </c>
      <c r="F1510" s="47" t="s">
        <v>76</v>
      </c>
      <c r="G1510" s="47" t="s">
        <v>49</v>
      </c>
      <c r="H1510"/>
      <c r="I1510" s="47" t="b">
        <v>0</v>
      </c>
      <c r="J1510" s="47" t="b">
        <v>0</v>
      </c>
      <c r="K1510" s="47">
        <v>460</v>
      </c>
      <c r="L1510" s="48">
        <v>14</v>
      </c>
      <c r="M1510" s="47">
        <v>-1</v>
      </c>
      <c r="N1510" s="47">
        <v>-1</v>
      </c>
      <c r="O1510" s="47">
        <v>-1</v>
      </c>
      <c r="P1510" s="47">
        <v>-1</v>
      </c>
      <c r="Q1510" s="47">
        <v>-1</v>
      </c>
      <c r="R1510" s="47">
        <v>-1</v>
      </c>
      <c r="S1510" s="48">
        <v>14</v>
      </c>
      <c r="T1510" s="47">
        <v>0</v>
      </c>
      <c r="U1510" s="47">
        <v>0</v>
      </c>
      <c r="V1510" s="47">
        <v>0</v>
      </c>
      <c r="W1510" s="47">
        <v>-1</v>
      </c>
      <c r="X1510" s="47">
        <v>92</v>
      </c>
      <c r="Y1510" s="47"/>
      <c r="Z1510" s="47" t="s">
        <v>2524</v>
      </c>
      <c r="AA1510" s="49"/>
      <c r="AB1510" s="49"/>
      <c r="AC1510" s="49"/>
      <c r="AD1510" s="50"/>
      <c r="AE1510" s="47" t="s">
        <v>2754</v>
      </c>
      <c r="AF1510" s="47"/>
      <c r="AG1510"/>
      <c r="AH1510"/>
      <c r="AI1510"/>
      <c r="AJ1510"/>
      <c r="AK1510"/>
      <c r="AL1510"/>
      <c r="AM1510"/>
      <c r="AN1510"/>
      <c r="AO1510"/>
      <c r="AP1510"/>
      <c r="AQ1510" t="s">
        <v>2526</v>
      </c>
      <c r="AU1510">
        <v>1509</v>
      </c>
    </row>
    <row r="1511" spans="1:47" x14ac:dyDescent="0.2">
      <c r="A1511" s="133">
        <v>6367</v>
      </c>
      <c r="B1511" s="39" t="s">
        <v>45</v>
      </c>
      <c r="C1511" s="39">
        <v>100</v>
      </c>
      <c r="D1511" s="29" t="b">
        <v>0</v>
      </c>
      <c r="E1511" s="39" t="s">
        <v>2844</v>
      </c>
      <c r="F1511" s="47" t="s">
        <v>2845</v>
      </c>
      <c r="G1511" s="47" t="s">
        <v>49</v>
      </c>
      <c r="H1511"/>
      <c r="I1511" s="47" t="b">
        <v>0</v>
      </c>
      <c r="J1511" s="47" t="b">
        <v>0</v>
      </c>
      <c r="K1511" s="47">
        <v>672</v>
      </c>
      <c r="L1511" s="48">
        <v>14</v>
      </c>
      <c r="M1511" s="47">
        <v>-1</v>
      </c>
      <c r="N1511" s="47">
        <v>-1</v>
      </c>
      <c r="O1511" s="47">
        <v>-1</v>
      </c>
      <c r="P1511" s="47">
        <v>-1</v>
      </c>
      <c r="Q1511" s="47">
        <v>-1</v>
      </c>
      <c r="R1511" s="47">
        <v>-1</v>
      </c>
      <c r="S1511" s="48">
        <v>14</v>
      </c>
      <c r="T1511" s="47">
        <v>0</v>
      </c>
      <c r="U1511" s="47">
        <v>0</v>
      </c>
      <c r="V1511" s="47">
        <v>0</v>
      </c>
      <c r="W1511" s="47">
        <v>2000</v>
      </c>
      <c r="X1511" s="47">
        <v>93</v>
      </c>
      <c r="Y1511" s="47"/>
      <c r="Z1511" s="47" t="s">
        <v>2524</v>
      </c>
      <c r="AA1511" s="49"/>
      <c r="AB1511" s="49"/>
      <c r="AC1511" s="49"/>
      <c r="AD1511" s="50"/>
      <c r="AE1511" s="47" t="s">
        <v>2754</v>
      </c>
      <c r="AF1511" s="47">
        <v>65</v>
      </c>
      <c r="AG1511"/>
      <c r="AH1511"/>
      <c r="AI1511"/>
      <c r="AJ1511"/>
      <c r="AK1511"/>
      <c r="AL1511"/>
      <c r="AM1511"/>
      <c r="AN1511"/>
      <c r="AO1511"/>
      <c r="AP1511"/>
      <c r="AQ1511" t="s">
        <v>2526</v>
      </c>
      <c r="AU1511">
        <v>1510</v>
      </c>
    </row>
    <row r="1512" spans="1:47" x14ac:dyDescent="0.2">
      <c r="A1512" s="133">
        <v>6368</v>
      </c>
      <c r="B1512" s="39" t="s">
        <v>85</v>
      </c>
      <c r="C1512" s="39" t="s">
        <v>2579</v>
      </c>
      <c r="D1512" s="29"/>
      <c r="E1512" s="39" t="s">
        <v>2846</v>
      </c>
      <c r="F1512" s="47" t="s">
        <v>1473</v>
      </c>
      <c r="G1512" s="47" t="s">
        <v>69</v>
      </c>
      <c r="H1512"/>
      <c r="I1512" s="47" t="s">
        <v>2847</v>
      </c>
      <c r="J1512" s="47"/>
      <c r="K1512" s="47">
        <f>24*10*2.2</f>
        <v>528</v>
      </c>
      <c r="L1512" s="48">
        <v>12</v>
      </c>
      <c r="M1512" s="47"/>
      <c r="N1512" s="47">
        <v>6</v>
      </c>
      <c r="O1512" s="47"/>
      <c r="P1512" s="47"/>
      <c r="Q1512" s="47"/>
      <c r="R1512" s="47"/>
      <c r="S1512" s="48">
        <v>6</v>
      </c>
      <c r="T1512" s="47">
        <v>0</v>
      </c>
      <c r="U1512" s="47">
        <v>0</v>
      </c>
      <c r="V1512" s="47">
        <v>0</v>
      </c>
      <c r="W1512" s="47"/>
      <c r="X1512" s="47"/>
      <c r="Y1512" s="47" t="s">
        <v>120</v>
      </c>
      <c r="Z1512" s="47" t="s">
        <v>1809</v>
      </c>
      <c r="AA1512" s="49"/>
      <c r="AB1512" s="49"/>
      <c r="AC1512" s="49"/>
      <c r="AD1512" s="50"/>
      <c r="AE1512" s="47" t="s">
        <v>2470</v>
      </c>
      <c r="AF1512" s="47"/>
      <c r="AG1512"/>
      <c r="AH1512"/>
      <c r="AI1512"/>
      <c r="AJ1512"/>
      <c r="AK1512">
        <v>24</v>
      </c>
      <c r="AL1512"/>
      <c r="AM1512"/>
      <c r="AN1512"/>
      <c r="AO1512"/>
      <c r="AP1512"/>
      <c r="AQ1512" s="32" t="s">
        <v>2808</v>
      </c>
      <c r="AU1512">
        <v>1511</v>
      </c>
    </row>
    <row r="1513" spans="1:47" x14ac:dyDescent="0.2">
      <c r="A1513" s="133">
        <v>6368</v>
      </c>
      <c r="B1513" s="39" t="s">
        <v>85</v>
      </c>
      <c r="C1513" s="39" t="s">
        <v>2050</v>
      </c>
      <c r="D1513" s="29"/>
      <c r="E1513" s="39" t="s">
        <v>432</v>
      </c>
      <c r="F1513" s="47"/>
      <c r="G1513" s="47"/>
      <c r="H1513"/>
      <c r="I1513" s="32" t="s">
        <v>2415</v>
      </c>
      <c r="J1513" s="47"/>
      <c r="K1513" s="47"/>
      <c r="L1513" s="48"/>
      <c r="M1513" s="47"/>
      <c r="N1513" s="47"/>
      <c r="O1513" s="47"/>
      <c r="P1513" s="47"/>
      <c r="Q1513" s="47"/>
      <c r="R1513" s="47"/>
      <c r="S1513" s="48">
        <v>1</v>
      </c>
      <c r="T1513" s="47"/>
      <c r="U1513" s="47"/>
      <c r="V1513" s="47"/>
      <c r="W1513" s="47"/>
      <c r="X1513" s="47"/>
      <c r="Y1513" s="47"/>
      <c r="Z1513" s="31" t="s">
        <v>1809</v>
      </c>
      <c r="AA1513" s="49"/>
      <c r="AB1513" s="49"/>
      <c r="AC1513" s="49"/>
      <c r="AD1513" s="50"/>
      <c r="AE1513" s="31" t="s">
        <v>1736</v>
      </c>
      <c r="AF1513" s="47">
        <v>30</v>
      </c>
      <c r="AG1513"/>
      <c r="AH1513"/>
      <c r="AI1513"/>
      <c r="AJ1513"/>
      <c r="AK1513">
        <v>12</v>
      </c>
      <c r="AL1513"/>
      <c r="AM1513"/>
      <c r="AN1513"/>
      <c r="AO1513"/>
      <c r="AP1513"/>
      <c r="AQ1513" s="32" t="s">
        <v>2848</v>
      </c>
      <c r="AU1513">
        <v>1512</v>
      </c>
    </row>
    <row r="1514" spans="1:47" x14ac:dyDescent="0.2">
      <c r="A1514" s="133">
        <v>6368</v>
      </c>
      <c r="B1514" s="39" t="s">
        <v>45</v>
      </c>
      <c r="C1514" s="39">
        <v>100</v>
      </c>
      <c r="D1514" s="29" t="b">
        <v>0</v>
      </c>
      <c r="E1514" s="39" t="s">
        <v>2849</v>
      </c>
      <c r="F1514" s="47" t="s">
        <v>2850</v>
      </c>
      <c r="G1514" s="47" t="s">
        <v>49</v>
      </c>
      <c r="H1514"/>
      <c r="I1514" s="47" t="b">
        <v>1</v>
      </c>
      <c r="J1514" s="47" t="b">
        <v>1</v>
      </c>
      <c r="K1514" s="47">
        <v>3314</v>
      </c>
      <c r="L1514" s="48">
        <v>14</v>
      </c>
      <c r="M1514" s="47">
        <v>-1</v>
      </c>
      <c r="N1514" s="47">
        <v>-1</v>
      </c>
      <c r="O1514" s="47">
        <v>-1</v>
      </c>
      <c r="P1514" s="47">
        <v>-1</v>
      </c>
      <c r="Q1514" s="47">
        <v>-1</v>
      </c>
      <c r="R1514" s="47">
        <v>-1</v>
      </c>
      <c r="S1514" s="48">
        <v>14</v>
      </c>
      <c r="T1514" s="47">
        <v>0</v>
      </c>
      <c r="U1514" s="47">
        <v>0</v>
      </c>
      <c r="V1514" s="47">
        <v>0</v>
      </c>
      <c r="W1514" s="47">
        <v>-1</v>
      </c>
      <c r="X1514" s="47">
        <v>94</v>
      </c>
      <c r="Y1514" s="47"/>
      <c r="Z1514" s="47" t="s">
        <v>2524</v>
      </c>
      <c r="AA1514" s="49"/>
      <c r="AB1514" s="49"/>
      <c r="AC1514" s="49"/>
      <c r="AD1514" s="50"/>
      <c r="AE1514" s="47" t="s">
        <v>2754</v>
      </c>
      <c r="AF1514" s="47">
        <v>55</v>
      </c>
      <c r="AG1514"/>
      <c r="AH1514"/>
      <c r="AI1514"/>
      <c r="AJ1514"/>
      <c r="AK1514"/>
      <c r="AL1514"/>
      <c r="AM1514"/>
      <c r="AN1514"/>
      <c r="AO1514"/>
      <c r="AP1514"/>
      <c r="AQ1514" t="s">
        <v>2526</v>
      </c>
      <c r="AU1514">
        <v>1513</v>
      </c>
    </row>
    <row r="1515" spans="1:47" x14ac:dyDescent="0.2">
      <c r="A1515" s="133">
        <v>6368</v>
      </c>
      <c r="B1515" s="39" t="s">
        <v>45</v>
      </c>
      <c r="C1515" s="39">
        <v>100</v>
      </c>
      <c r="D1515" s="29" t="b">
        <v>0</v>
      </c>
      <c r="E1515" s="39" t="s">
        <v>2835</v>
      </c>
      <c r="F1515" s="47" t="s">
        <v>2851</v>
      </c>
      <c r="G1515" s="47" t="s">
        <v>49</v>
      </c>
      <c r="H1515"/>
      <c r="I1515" s="47" t="b">
        <v>0</v>
      </c>
      <c r="J1515" s="47" t="b">
        <v>0</v>
      </c>
      <c r="K1515" s="47">
        <v>1568</v>
      </c>
      <c r="L1515" s="48">
        <v>14</v>
      </c>
      <c r="M1515" s="47">
        <v>-1</v>
      </c>
      <c r="N1515" s="47">
        <v>-1</v>
      </c>
      <c r="O1515" s="47">
        <v>-1</v>
      </c>
      <c r="P1515" s="47">
        <v>-1</v>
      </c>
      <c r="Q1515" s="47">
        <v>-1</v>
      </c>
      <c r="R1515" s="47">
        <v>-1</v>
      </c>
      <c r="S1515" s="48">
        <v>14</v>
      </c>
      <c r="T1515" s="47">
        <v>0</v>
      </c>
      <c r="U1515" s="47">
        <v>0</v>
      </c>
      <c r="V1515" s="47">
        <v>0</v>
      </c>
      <c r="W1515" s="47">
        <v>-1</v>
      </c>
      <c r="X1515" s="47">
        <v>95</v>
      </c>
      <c r="Y1515" s="47"/>
      <c r="Z1515" s="47" t="s">
        <v>2524</v>
      </c>
      <c r="AA1515" s="49"/>
      <c r="AB1515" s="49"/>
      <c r="AC1515" s="49"/>
      <c r="AD1515" s="50"/>
      <c r="AE1515" s="47" t="s">
        <v>2754</v>
      </c>
      <c r="AF1515" s="47">
        <v>55</v>
      </c>
      <c r="AG1515"/>
      <c r="AH1515"/>
      <c r="AI1515"/>
      <c r="AJ1515"/>
      <c r="AK1515"/>
      <c r="AL1515"/>
      <c r="AM1515"/>
      <c r="AN1515"/>
      <c r="AO1515"/>
      <c r="AP1515"/>
      <c r="AQ1515" t="s">
        <v>2526</v>
      </c>
      <c r="AU1515">
        <v>1514</v>
      </c>
    </row>
    <row r="1516" spans="1:47" x14ac:dyDescent="0.2">
      <c r="A1516" s="133">
        <v>6368</v>
      </c>
      <c r="B1516" s="39" t="s">
        <v>45</v>
      </c>
      <c r="C1516" s="39">
        <v>100</v>
      </c>
      <c r="D1516" s="29" t="b">
        <v>0</v>
      </c>
      <c r="E1516" s="39" t="s">
        <v>2852</v>
      </c>
      <c r="F1516" s="47" t="s">
        <v>2853</v>
      </c>
      <c r="G1516" s="47" t="s">
        <v>49</v>
      </c>
      <c r="H1516"/>
      <c r="I1516" s="47" t="b">
        <v>0</v>
      </c>
      <c r="J1516" s="47" t="b">
        <v>0</v>
      </c>
      <c r="K1516" s="47">
        <v>224</v>
      </c>
      <c r="L1516" s="48">
        <v>14</v>
      </c>
      <c r="M1516" s="47">
        <v>-1</v>
      </c>
      <c r="N1516" s="47">
        <v>-1</v>
      </c>
      <c r="O1516" s="47">
        <v>-1</v>
      </c>
      <c r="P1516" s="47">
        <v>-1</v>
      </c>
      <c r="Q1516" s="47">
        <v>-1</v>
      </c>
      <c r="R1516" s="47">
        <v>-1</v>
      </c>
      <c r="S1516" s="48">
        <v>14</v>
      </c>
      <c r="T1516" s="47">
        <v>0</v>
      </c>
      <c r="U1516" s="47">
        <v>0</v>
      </c>
      <c r="V1516" s="47">
        <v>0</v>
      </c>
      <c r="W1516" s="47">
        <v>-1</v>
      </c>
      <c r="X1516" s="47">
        <v>96</v>
      </c>
      <c r="Y1516" s="47"/>
      <c r="Z1516" s="47" t="s">
        <v>2524</v>
      </c>
      <c r="AA1516" s="49"/>
      <c r="AB1516" s="49"/>
      <c r="AC1516" s="49"/>
      <c r="AD1516" s="50"/>
      <c r="AE1516" s="47" t="s">
        <v>2754</v>
      </c>
      <c r="AF1516" s="47">
        <v>65</v>
      </c>
      <c r="AG1516"/>
      <c r="AH1516"/>
      <c r="AI1516"/>
      <c r="AJ1516"/>
      <c r="AK1516"/>
      <c r="AL1516"/>
      <c r="AM1516"/>
      <c r="AN1516"/>
      <c r="AO1516"/>
      <c r="AP1516"/>
      <c r="AQ1516" t="s">
        <v>2526</v>
      </c>
      <c r="AU1516">
        <v>1515</v>
      </c>
    </row>
    <row r="1517" spans="1:47" x14ac:dyDescent="0.2">
      <c r="A1517" s="133">
        <v>6368</v>
      </c>
      <c r="B1517" s="39" t="s">
        <v>45</v>
      </c>
      <c r="C1517" s="39">
        <v>100</v>
      </c>
      <c r="D1517" s="29" t="b">
        <v>0</v>
      </c>
      <c r="E1517" s="39" t="s">
        <v>2784</v>
      </c>
      <c r="F1517" s="47" t="s">
        <v>2854</v>
      </c>
      <c r="G1517" s="47" t="s">
        <v>49</v>
      </c>
      <c r="H1517"/>
      <c r="I1517" s="47" t="b">
        <v>0</v>
      </c>
      <c r="J1517" s="47" t="b">
        <v>0</v>
      </c>
      <c r="K1517" s="47">
        <v>908</v>
      </c>
      <c r="L1517" s="48">
        <v>14</v>
      </c>
      <c r="M1517" s="47">
        <v>-1</v>
      </c>
      <c r="N1517" s="47">
        <v>-1</v>
      </c>
      <c r="O1517" s="47">
        <v>-1</v>
      </c>
      <c r="P1517" s="47">
        <v>-1</v>
      </c>
      <c r="Q1517" s="47">
        <v>-1</v>
      </c>
      <c r="R1517" s="47">
        <v>-1</v>
      </c>
      <c r="S1517" s="48">
        <v>14</v>
      </c>
      <c r="T1517" s="47">
        <v>0</v>
      </c>
      <c r="U1517" s="47">
        <v>0</v>
      </c>
      <c r="V1517" s="47">
        <v>0</v>
      </c>
      <c r="W1517" s="47">
        <v>-1</v>
      </c>
      <c r="X1517" s="47">
        <v>97</v>
      </c>
      <c r="Y1517" s="47"/>
      <c r="Z1517" s="47" t="s">
        <v>2524</v>
      </c>
      <c r="AA1517" s="49"/>
      <c r="AB1517" s="49"/>
      <c r="AC1517" s="49"/>
      <c r="AD1517" s="50"/>
      <c r="AE1517" s="47" t="s">
        <v>2754</v>
      </c>
      <c r="AF1517" s="47">
        <v>45</v>
      </c>
      <c r="AG1517"/>
      <c r="AH1517"/>
      <c r="AI1517"/>
      <c r="AJ1517"/>
      <c r="AK1517"/>
      <c r="AL1517"/>
      <c r="AM1517"/>
      <c r="AN1517"/>
      <c r="AO1517"/>
      <c r="AP1517"/>
      <c r="AQ1517" t="s">
        <v>2526</v>
      </c>
      <c r="AU1517">
        <v>1516</v>
      </c>
    </row>
    <row r="1518" spans="1:47" x14ac:dyDescent="0.2">
      <c r="A1518" s="133">
        <v>6368</v>
      </c>
      <c r="B1518" s="39" t="s">
        <v>45</v>
      </c>
      <c r="C1518" s="39">
        <v>100</v>
      </c>
      <c r="D1518" s="29" t="b">
        <v>0</v>
      </c>
      <c r="E1518" s="39" t="s">
        <v>2780</v>
      </c>
      <c r="F1518" s="47" t="s">
        <v>2855</v>
      </c>
      <c r="G1518" s="47" t="s">
        <v>49</v>
      </c>
      <c r="H1518"/>
      <c r="I1518" s="47" t="b">
        <v>0</v>
      </c>
      <c r="J1518" s="47" t="b">
        <v>0</v>
      </c>
      <c r="K1518" s="47">
        <v>160</v>
      </c>
      <c r="L1518" s="48">
        <v>14</v>
      </c>
      <c r="M1518" s="47">
        <v>-1</v>
      </c>
      <c r="N1518" s="47">
        <v>-1</v>
      </c>
      <c r="O1518" s="47">
        <v>-1</v>
      </c>
      <c r="P1518" s="47">
        <v>-1</v>
      </c>
      <c r="Q1518" s="47">
        <v>-1</v>
      </c>
      <c r="R1518" s="47">
        <v>-1</v>
      </c>
      <c r="S1518" s="48">
        <v>14</v>
      </c>
      <c r="T1518" s="47">
        <v>0</v>
      </c>
      <c r="U1518" s="47">
        <v>0</v>
      </c>
      <c r="V1518" s="47">
        <v>0</v>
      </c>
      <c r="W1518" s="47">
        <v>-1</v>
      </c>
      <c r="X1518" s="47">
        <v>98</v>
      </c>
      <c r="Y1518" s="47"/>
      <c r="Z1518" s="47" t="s">
        <v>2524</v>
      </c>
      <c r="AA1518" s="49"/>
      <c r="AB1518" s="49"/>
      <c r="AC1518" s="49"/>
      <c r="AD1518" s="50"/>
      <c r="AE1518" s="47" t="s">
        <v>2754</v>
      </c>
      <c r="AF1518" s="47">
        <v>50</v>
      </c>
      <c r="AG1518"/>
      <c r="AH1518"/>
      <c r="AI1518"/>
      <c r="AJ1518"/>
      <c r="AK1518"/>
      <c r="AL1518"/>
      <c r="AM1518"/>
      <c r="AN1518"/>
      <c r="AO1518"/>
      <c r="AP1518"/>
      <c r="AQ1518" t="s">
        <v>2526</v>
      </c>
      <c r="AU1518">
        <v>1517</v>
      </c>
    </row>
    <row r="1519" spans="1:47" x14ac:dyDescent="0.2">
      <c r="A1519" s="133">
        <v>6369</v>
      </c>
      <c r="B1519" s="39" t="s">
        <v>45</v>
      </c>
      <c r="C1519" s="39">
        <v>100</v>
      </c>
      <c r="D1519" s="29" t="b">
        <v>0</v>
      </c>
      <c r="E1519" s="39" t="s">
        <v>2856</v>
      </c>
      <c r="F1519" s="47" t="s">
        <v>2857</v>
      </c>
      <c r="G1519" s="47" t="s">
        <v>49</v>
      </c>
      <c r="H1519"/>
      <c r="I1519" s="47" t="b">
        <v>1</v>
      </c>
      <c r="J1519" s="47" t="b">
        <v>1</v>
      </c>
      <c r="K1519" s="47">
        <v>1574</v>
      </c>
      <c r="L1519" s="48">
        <v>7</v>
      </c>
      <c r="M1519" s="47">
        <v>-1</v>
      </c>
      <c r="N1519" s="47">
        <v>-1</v>
      </c>
      <c r="O1519" s="47">
        <v>-1</v>
      </c>
      <c r="P1519" s="47">
        <v>-1</v>
      </c>
      <c r="Q1519" s="47">
        <v>-1</v>
      </c>
      <c r="R1519" s="47">
        <v>-1</v>
      </c>
      <c r="S1519" s="48">
        <v>7</v>
      </c>
      <c r="T1519" s="47">
        <v>0</v>
      </c>
      <c r="U1519" s="47">
        <v>0</v>
      </c>
      <c r="V1519" s="47">
        <v>0</v>
      </c>
      <c r="W1519" s="47">
        <v>-1</v>
      </c>
      <c r="X1519" s="47">
        <v>99</v>
      </c>
      <c r="Y1519" s="47"/>
      <c r="Z1519" s="47" t="s">
        <v>2524</v>
      </c>
      <c r="AA1519" s="49"/>
      <c r="AB1519" s="49"/>
      <c r="AC1519" s="49"/>
      <c r="AD1519" s="50"/>
      <c r="AE1519" s="47" t="s">
        <v>2754</v>
      </c>
      <c r="AF1519" s="47">
        <v>45</v>
      </c>
      <c r="AG1519"/>
      <c r="AH1519"/>
      <c r="AI1519"/>
      <c r="AJ1519"/>
      <c r="AK1519"/>
      <c r="AL1519"/>
      <c r="AM1519"/>
      <c r="AN1519"/>
      <c r="AO1519"/>
      <c r="AP1519"/>
      <c r="AQ1519" t="s">
        <v>2526</v>
      </c>
      <c r="AU1519">
        <v>1518</v>
      </c>
    </row>
    <row r="1520" spans="1:47" x14ac:dyDescent="0.2">
      <c r="A1520" s="133">
        <v>6369</v>
      </c>
      <c r="B1520" s="39" t="s">
        <v>45</v>
      </c>
      <c r="C1520" s="39">
        <v>100</v>
      </c>
      <c r="D1520" s="29" t="b">
        <v>0</v>
      </c>
      <c r="E1520" s="39" t="s">
        <v>2784</v>
      </c>
      <c r="F1520" s="47" t="s">
        <v>76</v>
      </c>
      <c r="G1520" s="47" t="s">
        <v>49</v>
      </c>
      <c r="H1520"/>
      <c r="I1520" s="47" t="b">
        <v>0</v>
      </c>
      <c r="J1520" s="47" t="b">
        <v>0</v>
      </c>
      <c r="K1520" s="47">
        <v>448</v>
      </c>
      <c r="L1520" s="48">
        <v>7</v>
      </c>
      <c r="M1520" s="47">
        <v>-1</v>
      </c>
      <c r="N1520" s="47">
        <v>-1</v>
      </c>
      <c r="O1520" s="47">
        <v>-1</v>
      </c>
      <c r="P1520" s="47">
        <v>-1</v>
      </c>
      <c r="Q1520" s="47">
        <v>-1</v>
      </c>
      <c r="R1520" s="47">
        <v>-1</v>
      </c>
      <c r="S1520" s="48">
        <v>7</v>
      </c>
      <c r="T1520" s="47">
        <v>0</v>
      </c>
      <c r="U1520" s="47">
        <v>0</v>
      </c>
      <c r="V1520" s="47">
        <v>0</v>
      </c>
      <c r="W1520" s="47">
        <v>-1</v>
      </c>
      <c r="X1520" s="47">
        <v>100</v>
      </c>
      <c r="Y1520" s="47"/>
      <c r="Z1520" s="47" t="s">
        <v>2524</v>
      </c>
      <c r="AA1520" s="49"/>
      <c r="AB1520" s="49"/>
      <c r="AC1520" s="49"/>
      <c r="AD1520" s="50"/>
      <c r="AE1520" s="47" t="s">
        <v>2754</v>
      </c>
      <c r="AF1520" s="47">
        <v>45</v>
      </c>
      <c r="AG1520"/>
      <c r="AH1520"/>
      <c r="AI1520"/>
      <c r="AJ1520"/>
      <c r="AK1520"/>
      <c r="AL1520"/>
      <c r="AM1520"/>
      <c r="AN1520"/>
      <c r="AO1520"/>
      <c r="AP1520"/>
      <c r="AQ1520" t="s">
        <v>2526</v>
      </c>
      <c r="AU1520">
        <v>1519</v>
      </c>
    </row>
    <row r="1521" spans="1:47" x14ac:dyDescent="0.2">
      <c r="A1521" s="133">
        <v>6369</v>
      </c>
      <c r="B1521" s="39" t="s">
        <v>45</v>
      </c>
      <c r="C1521" s="39">
        <v>100</v>
      </c>
      <c r="D1521" s="29" t="b">
        <v>0</v>
      </c>
      <c r="E1521" s="39" t="s">
        <v>2841</v>
      </c>
      <c r="F1521" s="47" t="s">
        <v>2858</v>
      </c>
      <c r="G1521" s="47" t="s">
        <v>49</v>
      </c>
      <c r="H1521"/>
      <c r="I1521" s="47" t="b">
        <v>0</v>
      </c>
      <c r="J1521" s="47" t="b">
        <v>0</v>
      </c>
      <c r="K1521" s="47">
        <v>230</v>
      </c>
      <c r="L1521" s="48">
        <v>7</v>
      </c>
      <c r="M1521" s="47">
        <v>-1</v>
      </c>
      <c r="N1521" s="47">
        <v>-1</v>
      </c>
      <c r="O1521" s="47">
        <v>-1</v>
      </c>
      <c r="P1521" s="47">
        <v>-1</v>
      </c>
      <c r="Q1521" s="47">
        <v>-1</v>
      </c>
      <c r="R1521" s="47">
        <v>-1</v>
      </c>
      <c r="S1521" s="48">
        <v>7</v>
      </c>
      <c r="T1521" s="47">
        <v>0</v>
      </c>
      <c r="U1521" s="47">
        <v>0</v>
      </c>
      <c r="V1521" s="47">
        <v>0</v>
      </c>
      <c r="W1521" s="47">
        <v>-1</v>
      </c>
      <c r="X1521" s="47">
        <v>101</v>
      </c>
      <c r="Y1521" s="47"/>
      <c r="Z1521" s="47" t="s">
        <v>2524</v>
      </c>
      <c r="AA1521" s="49"/>
      <c r="AB1521" s="49"/>
      <c r="AC1521" s="49"/>
      <c r="AD1521" s="50"/>
      <c r="AE1521" s="47" t="s">
        <v>2754</v>
      </c>
      <c r="AF1521" s="47">
        <v>45</v>
      </c>
      <c r="AG1521"/>
      <c r="AH1521"/>
      <c r="AI1521"/>
      <c r="AJ1521"/>
      <c r="AK1521"/>
      <c r="AL1521"/>
      <c r="AM1521"/>
      <c r="AN1521"/>
      <c r="AO1521"/>
      <c r="AP1521"/>
      <c r="AQ1521" t="s">
        <v>2526</v>
      </c>
      <c r="AU1521">
        <v>1520</v>
      </c>
    </row>
    <row r="1522" spans="1:47" x14ac:dyDescent="0.2">
      <c r="A1522" s="133">
        <v>6369</v>
      </c>
      <c r="B1522" s="39" t="s">
        <v>45</v>
      </c>
      <c r="C1522" s="39">
        <v>100</v>
      </c>
      <c r="D1522" s="29" t="b">
        <v>0</v>
      </c>
      <c r="E1522" s="39" t="s">
        <v>2779</v>
      </c>
      <c r="F1522" s="47" t="s">
        <v>2859</v>
      </c>
      <c r="G1522" s="47" t="s">
        <v>49</v>
      </c>
      <c r="H1522"/>
      <c r="I1522" s="47" t="b">
        <v>0</v>
      </c>
      <c r="J1522" s="47" t="b">
        <v>0</v>
      </c>
      <c r="K1522" s="47">
        <v>896</v>
      </c>
      <c r="L1522" s="48">
        <v>7</v>
      </c>
      <c r="M1522" s="47">
        <v>-1</v>
      </c>
      <c r="N1522" s="47">
        <v>-1</v>
      </c>
      <c r="O1522" s="47">
        <v>-1</v>
      </c>
      <c r="P1522" s="47">
        <v>-1</v>
      </c>
      <c r="Q1522" s="47">
        <v>-1</v>
      </c>
      <c r="R1522" s="47">
        <v>-1</v>
      </c>
      <c r="S1522" s="48">
        <v>7</v>
      </c>
      <c r="T1522" s="47">
        <v>0</v>
      </c>
      <c r="U1522" s="47">
        <v>0</v>
      </c>
      <c r="V1522" s="47">
        <v>0</v>
      </c>
      <c r="W1522" s="47">
        <v>-1</v>
      </c>
      <c r="X1522" s="47">
        <v>102</v>
      </c>
      <c r="Y1522" s="47"/>
      <c r="Z1522" s="47" t="s">
        <v>2524</v>
      </c>
      <c r="AA1522" s="49"/>
      <c r="AB1522" s="49"/>
      <c r="AC1522" s="49"/>
      <c r="AD1522" s="50"/>
      <c r="AE1522" s="47" t="s">
        <v>2754</v>
      </c>
      <c r="AF1522" s="47">
        <v>45</v>
      </c>
      <c r="AG1522"/>
      <c r="AH1522"/>
      <c r="AI1522"/>
      <c r="AJ1522"/>
      <c r="AK1522"/>
      <c r="AL1522"/>
      <c r="AM1522"/>
      <c r="AN1522"/>
      <c r="AO1522"/>
      <c r="AP1522"/>
      <c r="AQ1522" t="s">
        <v>2526</v>
      </c>
      <c r="AU1522">
        <v>1521</v>
      </c>
    </row>
    <row r="1523" spans="1:47" x14ac:dyDescent="0.2">
      <c r="A1523" s="133">
        <v>6375</v>
      </c>
      <c r="B1523" s="39" t="s">
        <v>85</v>
      </c>
      <c r="C1523" s="39" t="s">
        <v>2579</v>
      </c>
      <c r="D1523" s="29"/>
      <c r="E1523" s="39" t="s">
        <v>2860</v>
      </c>
      <c r="F1523" s="47" t="s">
        <v>1091</v>
      </c>
      <c r="G1523" s="47" t="s">
        <v>73</v>
      </c>
      <c r="H1523"/>
      <c r="I1523" s="47" t="s">
        <v>2861</v>
      </c>
      <c r="J1523" s="47"/>
      <c r="K1523" s="47">
        <f>36*10*2.2</f>
        <v>792.00000000000011</v>
      </c>
      <c r="L1523" s="48">
        <v>9</v>
      </c>
      <c r="M1523" s="47"/>
      <c r="N1523" s="47">
        <v>7</v>
      </c>
      <c r="O1523" s="47"/>
      <c r="P1523" s="47"/>
      <c r="Q1523" s="47"/>
      <c r="R1523" s="47"/>
      <c r="S1523" s="48">
        <v>2</v>
      </c>
      <c r="T1523" s="47">
        <v>0</v>
      </c>
      <c r="U1523" s="47">
        <v>0</v>
      </c>
      <c r="V1523" s="47">
        <v>0</v>
      </c>
      <c r="W1523" s="47"/>
      <c r="X1523" s="47"/>
      <c r="Y1523" s="47" t="s">
        <v>51</v>
      </c>
      <c r="Z1523" s="47" t="s">
        <v>1809</v>
      </c>
      <c r="AA1523" s="49"/>
      <c r="AB1523" s="49"/>
      <c r="AC1523" s="49"/>
      <c r="AD1523" s="50"/>
      <c r="AE1523" s="47" t="s">
        <v>2470</v>
      </c>
      <c r="AF1523" s="47"/>
      <c r="AG1523"/>
      <c r="AH1523"/>
      <c r="AI1523"/>
      <c r="AJ1523"/>
      <c r="AK1523">
        <v>36</v>
      </c>
      <c r="AL1523"/>
      <c r="AM1523"/>
      <c r="AN1523"/>
      <c r="AO1523"/>
      <c r="AP1523"/>
      <c r="AQ1523" s="32" t="s">
        <v>2862</v>
      </c>
      <c r="AU1523">
        <v>1522</v>
      </c>
    </row>
    <row r="1524" spans="1:47" x14ac:dyDescent="0.2">
      <c r="A1524" s="133">
        <v>6376</v>
      </c>
      <c r="B1524" s="39" t="s">
        <v>45</v>
      </c>
      <c r="C1524" s="39" t="s">
        <v>142</v>
      </c>
      <c r="D1524" s="29"/>
      <c r="E1524" s="39" t="s">
        <v>2863</v>
      </c>
      <c r="F1524" s="47" t="s">
        <v>1091</v>
      </c>
      <c r="G1524" s="47" t="s">
        <v>73</v>
      </c>
      <c r="H1524"/>
      <c r="I1524" s="47" t="s">
        <v>2864</v>
      </c>
      <c r="J1524" s="47"/>
      <c r="K1524" s="47">
        <f>(167*10+54*23)*2.2</f>
        <v>6406.4000000000005</v>
      </c>
      <c r="L1524" s="48">
        <v>20</v>
      </c>
      <c r="M1524" s="47"/>
      <c r="N1524" s="47"/>
      <c r="O1524" s="47"/>
      <c r="P1524" s="47"/>
      <c r="Q1524" s="47"/>
      <c r="R1524" s="47"/>
      <c r="S1524" s="48">
        <v>20</v>
      </c>
      <c r="T1524" s="47">
        <v>0</v>
      </c>
      <c r="U1524" s="47">
        <v>0</v>
      </c>
      <c r="V1524" s="47">
        <v>0</v>
      </c>
      <c r="W1524" s="47"/>
      <c r="X1524" s="47"/>
      <c r="Y1524" s="47" t="s">
        <v>51</v>
      </c>
      <c r="Z1524" s="47" t="s">
        <v>2865</v>
      </c>
      <c r="AA1524" s="49">
        <v>0.94097222222222221</v>
      </c>
      <c r="AB1524" s="49">
        <v>0.22916666666666666</v>
      </c>
      <c r="AC1524" s="49">
        <v>8.1250000000000003E-2</v>
      </c>
      <c r="AD1524" s="50">
        <f>6+11/12</f>
        <v>6.916666666666667</v>
      </c>
      <c r="AE1524" s="47" t="s">
        <v>2470</v>
      </c>
      <c r="AF1524" s="47"/>
      <c r="AG1524"/>
      <c r="AH1524"/>
      <c r="AI1524"/>
      <c r="AJ1524"/>
      <c r="AK1524">
        <v>221</v>
      </c>
      <c r="AL1524"/>
      <c r="AM1524"/>
      <c r="AN1524"/>
      <c r="AO1524"/>
      <c r="AP1524"/>
      <c r="AQ1524" s="32" t="s">
        <v>2862</v>
      </c>
      <c r="AU1524">
        <v>1523</v>
      </c>
    </row>
    <row r="1525" spans="1:47" x14ac:dyDescent="0.2">
      <c r="A1525" s="133">
        <v>6376</v>
      </c>
      <c r="B1525" s="39" t="s">
        <v>45</v>
      </c>
      <c r="C1525" s="38" t="s">
        <v>2542</v>
      </c>
      <c r="D1525" s="29"/>
      <c r="E1525" s="39" t="s">
        <v>653</v>
      </c>
      <c r="F1525" s="47" t="s">
        <v>2866</v>
      </c>
      <c r="G1525" s="47" t="s">
        <v>49</v>
      </c>
      <c r="H1525"/>
      <c r="I1525" s="47" t="s">
        <v>2867</v>
      </c>
      <c r="J1525" s="47"/>
      <c r="K1525" s="47">
        <f>(2*30*10+6*50)*2.2</f>
        <v>1980.0000000000002</v>
      </c>
      <c r="L1525" s="48">
        <v>5</v>
      </c>
      <c r="M1525" s="47"/>
      <c r="N1525" s="47">
        <v>2</v>
      </c>
      <c r="O1525" s="47"/>
      <c r="P1525" s="47"/>
      <c r="Q1525" s="47"/>
      <c r="R1525" s="47"/>
      <c r="S1525" s="48">
        <v>3</v>
      </c>
      <c r="T1525" s="47">
        <v>0</v>
      </c>
      <c r="U1525" s="47">
        <v>0</v>
      </c>
      <c r="V1525" s="47">
        <v>0</v>
      </c>
      <c r="W1525" s="47">
        <f>((1800+2200+2600)/3)*39.37/12</f>
        <v>7217.833333333333</v>
      </c>
      <c r="X1525" s="47"/>
      <c r="Y1525" s="47" t="s">
        <v>51</v>
      </c>
      <c r="Z1525" s="47" t="s">
        <v>1846</v>
      </c>
      <c r="AA1525" s="49"/>
      <c r="AB1525" s="49"/>
      <c r="AC1525" s="49"/>
      <c r="AD1525" s="50">
        <f>1+5/6</f>
        <v>1.8333333333333335</v>
      </c>
      <c r="AE1525" s="31" t="s">
        <v>342</v>
      </c>
      <c r="AF1525" s="47">
        <v>45</v>
      </c>
      <c r="AG1525"/>
      <c r="AH1525"/>
      <c r="AI1525"/>
      <c r="AJ1525"/>
      <c r="AK1525">
        <f>30+30+6</f>
        <v>66</v>
      </c>
      <c r="AL1525"/>
      <c r="AM1525"/>
      <c r="AN1525"/>
      <c r="AO1525"/>
      <c r="AP1525"/>
      <c r="AQ1525" s="32" t="s">
        <v>2868</v>
      </c>
      <c r="AU1525">
        <v>1524</v>
      </c>
    </row>
    <row r="1526" spans="1:47" x14ac:dyDescent="0.2">
      <c r="A1526" s="133">
        <v>6376</v>
      </c>
      <c r="B1526" s="39" t="s">
        <v>45</v>
      </c>
      <c r="C1526" s="38" t="s">
        <v>2542</v>
      </c>
      <c r="D1526" s="29"/>
      <c r="E1526" s="39" t="s">
        <v>153</v>
      </c>
      <c r="F1526" s="47" t="s">
        <v>2869</v>
      </c>
      <c r="G1526" s="47" t="s">
        <v>69</v>
      </c>
      <c r="H1526"/>
      <c r="I1526" s="47" t="s">
        <v>2870</v>
      </c>
      <c r="J1526" s="47"/>
      <c r="K1526" s="47">
        <f>30*10*2.2</f>
        <v>660</v>
      </c>
      <c r="L1526" s="48">
        <v>1</v>
      </c>
      <c r="M1526" s="47"/>
      <c r="N1526" s="47"/>
      <c r="O1526" s="47"/>
      <c r="P1526" s="47"/>
      <c r="Q1526" s="47"/>
      <c r="R1526" s="47"/>
      <c r="S1526" s="48">
        <v>1</v>
      </c>
      <c r="T1526" s="47">
        <v>0</v>
      </c>
      <c r="U1526" s="47">
        <v>0</v>
      </c>
      <c r="V1526" s="47">
        <v>0</v>
      </c>
      <c r="W1526" s="47">
        <f>2200*39.37/12</f>
        <v>7217.833333333333</v>
      </c>
      <c r="X1526" s="47"/>
      <c r="Y1526" s="47" t="s">
        <v>51</v>
      </c>
      <c r="Z1526" s="47" t="s">
        <v>1846</v>
      </c>
      <c r="AA1526" s="49"/>
      <c r="AB1526" s="49"/>
      <c r="AC1526" s="49"/>
      <c r="AD1526" s="50">
        <f>1+55/60</f>
        <v>1.9166666666666665</v>
      </c>
      <c r="AE1526" s="31" t="s">
        <v>342</v>
      </c>
      <c r="AF1526" s="47">
        <v>40</v>
      </c>
      <c r="AG1526"/>
      <c r="AH1526"/>
      <c r="AI1526"/>
      <c r="AJ1526"/>
      <c r="AK1526">
        <v>30</v>
      </c>
      <c r="AL1526"/>
      <c r="AM1526"/>
      <c r="AN1526"/>
      <c r="AO1526"/>
      <c r="AP1526"/>
      <c r="AQ1526" s="32" t="s">
        <v>2868</v>
      </c>
      <c r="AU1526">
        <v>1525</v>
      </c>
    </row>
    <row r="1527" spans="1:47" x14ac:dyDescent="0.2">
      <c r="A1527" s="26">
        <v>6376</v>
      </c>
      <c r="B1527" s="27">
        <v>0.875</v>
      </c>
      <c r="C1527" s="28"/>
      <c r="D1527" s="29"/>
      <c r="E1527" s="30" t="s">
        <v>2871</v>
      </c>
      <c r="H1527" s="32">
        <v>1</v>
      </c>
      <c r="I1527" s="32" t="s">
        <v>2872</v>
      </c>
      <c r="AK1527" s="32">
        <v>16</v>
      </c>
      <c r="AO1527" s="46" t="s">
        <v>2873</v>
      </c>
      <c r="AP1527" s="18">
        <v>1</v>
      </c>
      <c r="AQ1527" s="32">
        <v>446</v>
      </c>
      <c r="AU1527">
        <v>1526</v>
      </c>
    </row>
    <row r="1528" spans="1:47" x14ac:dyDescent="0.2">
      <c r="A1528" s="26">
        <v>6376</v>
      </c>
      <c r="B1528" s="27">
        <v>0.99305555555555547</v>
      </c>
      <c r="C1528" s="28"/>
      <c r="D1528" s="29"/>
      <c r="E1528" s="30" t="s">
        <v>1282</v>
      </c>
      <c r="H1528" s="32">
        <v>0</v>
      </c>
      <c r="I1528" s="32" t="s">
        <v>2874</v>
      </c>
      <c r="AG1528" s="32">
        <v>0</v>
      </c>
      <c r="AH1528" s="32">
        <v>0</v>
      </c>
      <c r="AI1528" s="32">
        <v>0</v>
      </c>
      <c r="AK1528" s="32">
        <v>0</v>
      </c>
      <c r="AL1528" s="32">
        <f>2+55/60</f>
        <v>2.9166666666666665</v>
      </c>
      <c r="AP1528" s="32">
        <f>2+55/60</f>
        <v>2.9166666666666665</v>
      </c>
      <c r="AQ1528" s="32" t="s">
        <v>1101</v>
      </c>
      <c r="AU1528">
        <v>1527</v>
      </c>
    </row>
    <row r="1529" spans="1:47" x14ac:dyDescent="0.2">
      <c r="A1529" s="26">
        <v>6376</v>
      </c>
      <c r="B1529" s="27" t="s">
        <v>45</v>
      </c>
      <c r="C1529" s="28"/>
      <c r="D1529" s="29"/>
      <c r="E1529" s="30" t="s">
        <v>1531</v>
      </c>
      <c r="H1529" s="32">
        <v>1</v>
      </c>
      <c r="I1529" s="32" t="s">
        <v>2875</v>
      </c>
      <c r="AM1529" s="32">
        <f>498*950</f>
        <v>473100</v>
      </c>
      <c r="AO1529" s="32" t="s">
        <v>1533</v>
      </c>
      <c r="AQ1529" s="32" t="s">
        <v>1101</v>
      </c>
      <c r="AU1529">
        <v>1528</v>
      </c>
    </row>
    <row r="1530" spans="1:47" x14ac:dyDescent="0.2">
      <c r="A1530" s="26">
        <v>6376</v>
      </c>
      <c r="B1530" s="27" t="s">
        <v>45</v>
      </c>
      <c r="C1530" s="28"/>
      <c r="D1530" s="29"/>
      <c r="E1530" s="150" t="s">
        <v>2286</v>
      </c>
      <c r="H1530" s="32">
        <v>0</v>
      </c>
      <c r="I1530" s="32" t="s">
        <v>1824</v>
      </c>
      <c r="AG1530" s="32">
        <v>0</v>
      </c>
      <c r="AH1530" s="32">
        <v>0</v>
      </c>
      <c r="AI1530" s="32">
        <v>0</v>
      </c>
      <c r="AK1530" s="32">
        <v>0</v>
      </c>
      <c r="AM1530" s="32">
        <v>17500</v>
      </c>
      <c r="AO1530" s="73" t="s">
        <v>75</v>
      </c>
      <c r="AQ1530" s="32" t="s">
        <v>589</v>
      </c>
      <c r="AU1530">
        <v>1529</v>
      </c>
    </row>
    <row r="1531" spans="1:47" x14ac:dyDescent="0.2">
      <c r="A1531" s="44">
        <v>6377</v>
      </c>
      <c r="B1531" s="42" t="s">
        <v>85</v>
      </c>
      <c r="C1531" s="43" t="s">
        <v>2876</v>
      </c>
      <c r="D1531" s="29"/>
      <c r="E1531" s="36" t="s">
        <v>2877</v>
      </c>
      <c r="F1531" s="31" t="s">
        <v>2139</v>
      </c>
      <c r="G1531" s="31" t="s">
        <v>69</v>
      </c>
      <c r="H1531" s="32"/>
      <c r="I1531" s="32" t="s">
        <v>2878</v>
      </c>
      <c r="K1531" s="31">
        <f>6*10*2.2</f>
        <v>132</v>
      </c>
      <c r="L1531" s="33">
        <v>6</v>
      </c>
      <c r="N1531" s="31">
        <v>3</v>
      </c>
      <c r="S1531" s="33">
        <v>3</v>
      </c>
      <c r="T1531" s="31">
        <v>0</v>
      </c>
      <c r="U1531" s="31">
        <v>0</v>
      </c>
      <c r="V1531" s="31">
        <v>0</v>
      </c>
      <c r="Y1531" s="31" t="s">
        <v>51</v>
      </c>
      <c r="Z1531" s="47" t="s">
        <v>1809</v>
      </c>
      <c r="AE1531" s="47" t="s">
        <v>2470</v>
      </c>
      <c r="AK1531" s="32">
        <v>6</v>
      </c>
      <c r="AQ1531" s="32" t="s">
        <v>2862</v>
      </c>
      <c r="AU1531">
        <v>1530</v>
      </c>
    </row>
    <row r="1532" spans="1:47" x14ac:dyDescent="0.2">
      <c r="A1532" s="44">
        <v>6377</v>
      </c>
      <c r="B1532" s="39" t="s">
        <v>45</v>
      </c>
      <c r="C1532" s="38" t="s">
        <v>2542</v>
      </c>
      <c r="D1532" s="29"/>
      <c r="E1532" s="36" t="s">
        <v>2879</v>
      </c>
      <c r="F1532" s="31" t="s">
        <v>2880</v>
      </c>
      <c r="G1532" s="31" t="s">
        <v>481</v>
      </c>
      <c r="H1532" s="32"/>
      <c r="I1532" s="47" t="b">
        <v>1</v>
      </c>
      <c r="J1532" s="47" t="b">
        <v>1</v>
      </c>
      <c r="K1532" s="31">
        <f>(5*30*10+2*6*50)*2.2</f>
        <v>4620</v>
      </c>
      <c r="L1532" s="33">
        <v>7</v>
      </c>
      <c r="Q1532" s="31">
        <v>1</v>
      </c>
      <c r="S1532" s="33">
        <v>7</v>
      </c>
      <c r="T1532" s="31">
        <v>0</v>
      </c>
      <c r="U1532" s="31">
        <v>0</v>
      </c>
      <c r="V1532" s="31">
        <v>0</v>
      </c>
      <c r="W1532" s="47">
        <f>((2800+3000+2000+2400+3100+3700+2000)/7)*39.37/12</f>
        <v>8905.1190476190477</v>
      </c>
      <c r="Y1532" s="31" t="s">
        <v>51</v>
      </c>
      <c r="Z1532" s="47" t="s">
        <v>1846</v>
      </c>
      <c r="AD1532" s="35">
        <f>2+35/60</f>
        <v>2.5833333333333335</v>
      </c>
      <c r="AE1532" s="31" t="s">
        <v>342</v>
      </c>
      <c r="AF1532" s="31">
        <v>80</v>
      </c>
      <c r="AK1532" s="32">
        <f>5*30+2*6</f>
        <v>162</v>
      </c>
      <c r="AQ1532" s="32" t="s">
        <v>2881</v>
      </c>
      <c r="AU1532">
        <v>1531</v>
      </c>
    </row>
    <row r="1533" spans="1:47" x14ac:dyDescent="0.2">
      <c r="A1533" s="44">
        <v>6377</v>
      </c>
      <c r="B1533" s="39" t="s">
        <v>45</v>
      </c>
      <c r="C1533" s="38" t="s">
        <v>2542</v>
      </c>
      <c r="D1533" s="29"/>
      <c r="E1533" s="36" t="s">
        <v>2345</v>
      </c>
      <c r="F1533" s="31" t="s">
        <v>2882</v>
      </c>
      <c r="G1533" s="31" t="s">
        <v>481</v>
      </c>
      <c r="H1533" s="32"/>
      <c r="I1533" s="47" t="b">
        <v>0</v>
      </c>
      <c r="J1533" s="47" t="b">
        <v>0</v>
      </c>
      <c r="K1533" s="31">
        <f>(5*30*10+6*50)*2.2</f>
        <v>3960.0000000000005</v>
      </c>
      <c r="S1533" s="33">
        <v>6</v>
      </c>
      <c r="T1533" s="31">
        <v>0</v>
      </c>
      <c r="U1533" s="31">
        <v>0</v>
      </c>
      <c r="V1533" s="31">
        <v>0</v>
      </c>
      <c r="W1533" s="47">
        <f>((2800+3000+2000+2400+3100+3700)/6)*39.37/12</f>
        <v>9295.6944444444434</v>
      </c>
      <c r="Y1533" s="31" t="s">
        <v>51</v>
      </c>
      <c r="Z1533" s="47" t="s">
        <v>1846</v>
      </c>
      <c r="AD1533" s="35">
        <f>2+35/60</f>
        <v>2.5833333333333335</v>
      </c>
      <c r="AE1533" s="31" t="s">
        <v>342</v>
      </c>
      <c r="AF1533" s="31">
        <v>80</v>
      </c>
      <c r="AK1533" s="32">
        <f>5*30+6</f>
        <v>156</v>
      </c>
      <c r="AQ1533" s="32" t="s">
        <v>2881</v>
      </c>
      <c r="AR1533" s="32" t="s">
        <v>2883</v>
      </c>
      <c r="AU1533">
        <v>1532</v>
      </c>
    </row>
    <row r="1534" spans="1:47" x14ac:dyDescent="0.2">
      <c r="A1534" s="44">
        <v>6377</v>
      </c>
      <c r="B1534" s="39" t="s">
        <v>45</v>
      </c>
      <c r="C1534" s="38" t="s">
        <v>2542</v>
      </c>
      <c r="D1534" s="29"/>
      <c r="E1534" s="36" t="s">
        <v>2884</v>
      </c>
      <c r="F1534" s="31" t="s">
        <v>881</v>
      </c>
      <c r="G1534" s="31" t="s">
        <v>73</v>
      </c>
      <c r="H1534" s="32"/>
      <c r="I1534" s="47" t="b">
        <v>0</v>
      </c>
      <c r="J1534" s="47" t="b">
        <v>0</v>
      </c>
      <c r="K1534" s="31">
        <f>6*50*2.2</f>
        <v>660</v>
      </c>
      <c r="S1534" s="33">
        <v>1</v>
      </c>
      <c r="T1534" s="31">
        <v>0</v>
      </c>
      <c r="U1534" s="31">
        <v>0</v>
      </c>
      <c r="V1534" s="31">
        <v>0</v>
      </c>
      <c r="W1534" s="47">
        <f>2000*39.37/12</f>
        <v>6561.666666666667</v>
      </c>
      <c r="Y1534" s="31" t="s">
        <v>51</v>
      </c>
      <c r="Z1534" s="47" t="s">
        <v>1846</v>
      </c>
      <c r="AD1534" s="35">
        <v>2.33</v>
      </c>
      <c r="AE1534" s="31" t="s">
        <v>342</v>
      </c>
      <c r="AK1534" s="32">
        <v>6</v>
      </c>
      <c r="AQ1534" s="32" t="s">
        <v>2881</v>
      </c>
      <c r="AR1534" s="32" t="s">
        <v>2885</v>
      </c>
      <c r="AU1534">
        <v>1533</v>
      </c>
    </row>
    <row r="1535" spans="1:47" x14ac:dyDescent="0.2">
      <c r="A1535" s="26">
        <v>6377</v>
      </c>
      <c r="B1535" s="27">
        <v>0</v>
      </c>
      <c r="C1535" s="28"/>
      <c r="D1535" s="29"/>
      <c r="E1535" s="30" t="s">
        <v>869</v>
      </c>
      <c r="H1535" s="32">
        <v>0</v>
      </c>
      <c r="I1535" s="32" t="s">
        <v>2344</v>
      </c>
      <c r="AG1535" s="32">
        <v>0</v>
      </c>
      <c r="AH1535" s="32">
        <v>0</v>
      </c>
      <c r="AI1535" s="32">
        <v>0</v>
      </c>
      <c r="AK1535" s="32">
        <v>0</v>
      </c>
      <c r="AL1535" s="32">
        <f>25/60</f>
        <v>0.41666666666666669</v>
      </c>
      <c r="AP1535" s="32">
        <f>25/60</f>
        <v>0.41666666666666669</v>
      </c>
      <c r="AQ1535" s="32" t="s">
        <v>589</v>
      </c>
      <c r="AU1535">
        <v>1534</v>
      </c>
    </row>
    <row r="1536" spans="1:47" x14ac:dyDescent="0.2">
      <c r="A1536" s="26">
        <v>6377</v>
      </c>
      <c r="B1536" s="27">
        <v>0.99652777777777779</v>
      </c>
      <c r="C1536" s="28"/>
      <c r="D1536" s="29"/>
      <c r="E1536" s="30" t="s">
        <v>869</v>
      </c>
      <c r="H1536" s="32">
        <v>0</v>
      </c>
      <c r="I1536" s="32" t="s">
        <v>2344</v>
      </c>
      <c r="AG1536" s="32">
        <v>0</v>
      </c>
      <c r="AH1536" s="32">
        <v>0</v>
      </c>
      <c r="AI1536" s="32">
        <v>0</v>
      </c>
      <c r="AK1536" s="32">
        <v>0</v>
      </c>
      <c r="AL1536" s="32">
        <f>85/60</f>
        <v>1.4166666666666667</v>
      </c>
      <c r="AP1536" s="32">
        <f>85/60</f>
        <v>1.4166666666666667</v>
      </c>
      <c r="AQ1536" s="32" t="s">
        <v>589</v>
      </c>
      <c r="AU1536">
        <v>1535</v>
      </c>
    </row>
    <row r="1537" spans="1:47" x14ac:dyDescent="0.2">
      <c r="A1537" s="26">
        <v>6377</v>
      </c>
      <c r="B1537" s="27" t="s">
        <v>45</v>
      </c>
      <c r="C1537" s="28"/>
      <c r="D1537" s="29"/>
      <c r="E1537" s="30" t="s">
        <v>858</v>
      </c>
      <c r="H1537" s="32">
        <v>1</v>
      </c>
      <c r="I1537" s="32"/>
      <c r="AG1537" s="32">
        <v>0</v>
      </c>
      <c r="AH1537" s="32">
        <v>4</v>
      </c>
      <c r="AI1537" s="32">
        <v>148000</v>
      </c>
      <c r="AQ1537" s="32">
        <v>438</v>
      </c>
      <c r="AU1537">
        <v>1536</v>
      </c>
    </row>
    <row r="1538" spans="1:47" x14ac:dyDescent="0.2">
      <c r="A1538" s="26">
        <v>6377</v>
      </c>
      <c r="B1538" s="27" t="s">
        <v>45</v>
      </c>
      <c r="C1538" s="28"/>
      <c r="D1538" s="29"/>
      <c r="E1538" s="150" t="s">
        <v>2286</v>
      </c>
      <c r="H1538" s="32">
        <v>0</v>
      </c>
      <c r="I1538" s="32" t="s">
        <v>1824</v>
      </c>
      <c r="AG1538" s="32">
        <v>0</v>
      </c>
      <c r="AH1538" s="32">
        <v>0</v>
      </c>
      <c r="AI1538" s="32">
        <v>0</v>
      </c>
      <c r="AK1538" s="32">
        <v>0</v>
      </c>
      <c r="AM1538" s="32">
        <v>9000</v>
      </c>
      <c r="AO1538" s="73" t="s">
        <v>75</v>
      </c>
      <c r="AQ1538" s="32" t="s">
        <v>589</v>
      </c>
      <c r="AU1538">
        <v>1537</v>
      </c>
    </row>
    <row r="1539" spans="1:47" x14ac:dyDescent="0.2">
      <c r="A1539" s="37">
        <v>6378</v>
      </c>
      <c r="B1539" s="38" t="s">
        <v>85</v>
      </c>
      <c r="C1539" s="39" t="s">
        <v>1234</v>
      </c>
      <c r="D1539" s="29"/>
      <c r="E1539" s="38" t="s">
        <v>2886</v>
      </c>
      <c r="F1539" s="32" t="s">
        <v>246</v>
      </c>
      <c r="G1539" s="47" t="s">
        <v>49</v>
      </c>
      <c r="H1539"/>
      <c r="I1539" s="32" t="s">
        <v>2887</v>
      </c>
      <c r="J1539" s="47"/>
      <c r="K1539" s="47">
        <f>660*2.2</f>
        <v>1452.0000000000002</v>
      </c>
      <c r="L1539" s="48"/>
      <c r="M1539" s="47"/>
      <c r="N1539" s="47"/>
      <c r="O1539" s="47"/>
      <c r="P1539" s="47"/>
      <c r="Q1539" s="47"/>
      <c r="R1539" s="47"/>
      <c r="S1539" s="48">
        <v>6</v>
      </c>
      <c r="T1539" s="47">
        <v>0</v>
      </c>
      <c r="U1539" s="47"/>
      <c r="V1539" s="47"/>
      <c r="W1539" s="47"/>
      <c r="X1539" s="47"/>
      <c r="Y1539" s="47"/>
      <c r="Z1539" s="47" t="s">
        <v>1809</v>
      </c>
      <c r="AA1539" s="49"/>
      <c r="AB1539" s="49"/>
      <c r="AC1539" s="49"/>
      <c r="AD1539" s="50"/>
      <c r="AE1539" s="47" t="s">
        <v>1312</v>
      </c>
      <c r="AF1539" s="47">
        <v>65</v>
      </c>
      <c r="AG1539"/>
      <c r="AH1539"/>
      <c r="AI1539"/>
      <c r="AJ1539"/>
      <c r="AK1539"/>
      <c r="AL1539"/>
      <c r="AM1539"/>
      <c r="AN1539"/>
      <c r="AO1539"/>
      <c r="AP1539"/>
      <c r="AQ1539" t="s">
        <v>2794</v>
      </c>
      <c r="AU1539">
        <v>1538</v>
      </c>
    </row>
    <row r="1540" spans="1:47" x14ac:dyDescent="0.2">
      <c r="A1540" s="37">
        <v>6378</v>
      </c>
      <c r="B1540" s="38" t="s">
        <v>85</v>
      </c>
      <c r="C1540" s="39" t="s">
        <v>2579</v>
      </c>
      <c r="D1540" s="29"/>
      <c r="E1540" s="38" t="s">
        <v>2888</v>
      </c>
      <c r="F1540" s="32" t="s">
        <v>2889</v>
      </c>
      <c r="G1540" s="47" t="s">
        <v>73</v>
      </c>
      <c r="H1540"/>
      <c r="I1540" s="32" t="s">
        <v>2890</v>
      </c>
      <c r="J1540" s="47"/>
      <c r="K1540" s="47">
        <f>36*10*2.2</f>
        <v>792.00000000000011</v>
      </c>
      <c r="L1540" s="48">
        <v>11</v>
      </c>
      <c r="M1540" s="47"/>
      <c r="N1540" s="47">
        <v>2</v>
      </c>
      <c r="O1540" s="47"/>
      <c r="P1540" s="47"/>
      <c r="Q1540" s="47"/>
      <c r="R1540" s="47"/>
      <c r="S1540" s="48">
        <v>9</v>
      </c>
      <c r="T1540" s="47">
        <v>0</v>
      </c>
      <c r="U1540" s="47">
        <v>0</v>
      </c>
      <c r="V1540" s="47">
        <v>0</v>
      </c>
      <c r="W1540" s="47"/>
      <c r="X1540" s="47"/>
      <c r="Y1540" s="47" t="s">
        <v>51</v>
      </c>
      <c r="Z1540" s="47" t="s">
        <v>1809</v>
      </c>
      <c r="AA1540" s="49"/>
      <c r="AB1540" s="49"/>
      <c r="AC1540" s="49"/>
      <c r="AD1540" s="50"/>
      <c r="AE1540" s="47" t="s">
        <v>2470</v>
      </c>
      <c r="AF1540" s="47"/>
      <c r="AG1540"/>
      <c r="AH1540"/>
      <c r="AI1540"/>
      <c r="AJ1540"/>
      <c r="AK1540">
        <v>36</v>
      </c>
      <c r="AL1540"/>
      <c r="AM1540"/>
      <c r="AN1540"/>
      <c r="AO1540"/>
      <c r="AP1540"/>
      <c r="AQ1540" s="32" t="s">
        <v>2862</v>
      </c>
      <c r="AU1540">
        <v>1539</v>
      </c>
    </row>
    <row r="1541" spans="1:47" x14ac:dyDescent="0.2">
      <c r="A1541" s="26">
        <v>6378</v>
      </c>
      <c r="B1541" s="27">
        <v>0.99652777777777779</v>
      </c>
      <c r="C1541" s="28"/>
      <c r="D1541" s="29"/>
      <c r="E1541" s="30" t="s">
        <v>1282</v>
      </c>
      <c r="H1541" s="32">
        <v>0</v>
      </c>
      <c r="I1541" s="32"/>
      <c r="AG1541" s="32">
        <v>0</v>
      </c>
      <c r="AH1541" s="32">
        <v>0</v>
      </c>
      <c r="AI1541" s="32">
        <v>0</v>
      </c>
      <c r="AK1541" s="32">
        <v>0</v>
      </c>
      <c r="AL1541" s="32">
        <f>35/60</f>
        <v>0.58333333333333337</v>
      </c>
      <c r="AP1541" s="32">
        <f>35/60</f>
        <v>0.58333333333333337</v>
      </c>
      <c r="AQ1541" s="32" t="s">
        <v>1101</v>
      </c>
      <c r="AU1541">
        <v>1540</v>
      </c>
    </row>
    <row r="1542" spans="1:47" x14ac:dyDescent="0.2">
      <c r="A1542" s="37">
        <v>6379</v>
      </c>
      <c r="B1542" s="42" t="s">
        <v>45</v>
      </c>
      <c r="C1542" s="43" t="s">
        <v>2891</v>
      </c>
      <c r="D1542" s="29"/>
      <c r="E1542" s="36" t="s">
        <v>2892</v>
      </c>
      <c r="F1542" s="31" t="s">
        <v>2893</v>
      </c>
      <c r="G1542" s="31" t="s">
        <v>49</v>
      </c>
      <c r="H1542" s="32"/>
      <c r="I1542" s="32"/>
      <c r="K1542" s="31">
        <f>16*10*2.2</f>
        <v>352</v>
      </c>
      <c r="L1542" s="33">
        <v>1</v>
      </c>
      <c r="S1542" s="33">
        <v>1</v>
      </c>
      <c r="T1542" s="31">
        <v>0</v>
      </c>
      <c r="U1542" s="31">
        <v>0</v>
      </c>
      <c r="V1542" s="31">
        <v>0</v>
      </c>
      <c r="Y1542" s="31" t="s">
        <v>51</v>
      </c>
      <c r="Z1542" s="47" t="s">
        <v>2203</v>
      </c>
      <c r="AE1542" s="47" t="s">
        <v>2470</v>
      </c>
      <c r="AK1542" s="32">
        <v>16</v>
      </c>
      <c r="AQ1542" s="32" t="s">
        <v>2862</v>
      </c>
      <c r="AU1542">
        <v>1541</v>
      </c>
    </row>
    <row r="1543" spans="1:47" x14ac:dyDescent="0.2">
      <c r="A1543" s="37">
        <v>6380</v>
      </c>
      <c r="B1543" s="38" t="s">
        <v>85</v>
      </c>
      <c r="C1543" s="39" t="s">
        <v>1234</v>
      </c>
      <c r="D1543" s="29"/>
      <c r="E1543" s="38" t="s">
        <v>2894</v>
      </c>
      <c r="F1543" s="32" t="s">
        <v>2895</v>
      </c>
      <c r="G1543" s="47" t="s">
        <v>49</v>
      </c>
      <c r="H1543"/>
      <c r="I1543" s="32" t="s">
        <v>2896</v>
      </c>
      <c r="J1543" s="47"/>
      <c r="K1543" s="47">
        <f>660*2.2</f>
        <v>1452.0000000000002</v>
      </c>
      <c r="L1543" s="48"/>
      <c r="M1543" s="47"/>
      <c r="N1543" s="47"/>
      <c r="O1543" s="47"/>
      <c r="P1543" s="47"/>
      <c r="Q1543" s="47"/>
      <c r="R1543" s="47"/>
      <c r="S1543" s="48">
        <v>6</v>
      </c>
      <c r="T1543" s="47"/>
      <c r="U1543" s="47"/>
      <c r="V1543" s="47"/>
      <c r="W1543" s="47"/>
      <c r="X1543" s="47"/>
      <c r="Y1543" s="47"/>
      <c r="Z1543" s="47" t="s">
        <v>1809</v>
      </c>
      <c r="AA1543" s="49"/>
      <c r="AB1543" s="49"/>
      <c r="AC1543" s="49"/>
      <c r="AD1543" s="50"/>
      <c r="AE1543" s="47" t="s">
        <v>1312</v>
      </c>
      <c r="AF1543" s="47">
        <v>85</v>
      </c>
      <c r="AG1543"/>
      <c r="AH1543"/>
      <c r="AI1543"/>
      <c r="AJ1543"/>
      <c r="AK1543"/>
      <c r="AL1543"/>
      <c r="AM1543"/>
      <c r="AN1543"/>
      <c r="AO1543"/>
      <c r="AP1543"/>
      <c r="AQ1543" t="s">
        <v>2794</v>
      </c>
      <c r="AU1543">
        <v>1542</v>
      </c>
    </row>
    <row r="1544" spans="1:47" x14ac:dyDescent="0.2">
      <c r="A1544" s="37">
        <v>6385</v>
      </c>
      <c r="B1544" s="42" t="s">
        <v>45</v>
      </c>
      <c r="C1544" s="43" t="s">
        <v>2891</v>
      </c>
      <c r="D1544" s="29"/>
      <c r="E1544" s="38" t="s">
        <v>2897</v>
      </c>
      <c r="F1544" s="32" t="s">
        <v>2761</v>
      </c>
      <c r="G1544" s="47" t="s">
        <v>69</v>
      </c>
      <c r="H1544"/>
      <c r="I1544" s="32" t="s">
        <v>2898</v>
      </c>
      <c r="J1544" s="47"/>
      <c r="K1544" s="31">
        <f>16*10*2.2</f>
        <v>352</v>
      </c>
      <c r="L1544" s="33">
        <v>1</v>
      </c>
      <c r="S1544" s="33">
        <v>1</v>
      </c>
      <c r="T1544" s="31">
        <v>0</v>
      </c>
      <c r="U1544" s="31">
        <v>0</v>
      </c>
      <c r="V1544" s="31">
        <v>0</v>
      </c>
      <c r="Y1544" s="31" t="s">
        <v>51</v>
      </c>
      <c r="Z1544" s="47" t="s">
        <v>2203</v>
      </c>
      <c r="AE1544" s="47" t="s">
        <v>2470</v>
      </c>
      <c r="AK1544" s="32">
        <v>16</v>
      </c>
      <c r="AQ1544" s="32" t="s">
        <v>2899</v>
      </c>
      <c r="AU1544">
        <v>1543</v>
      </c>
    </row>
    <row r="1545" spans="1:47" x14ac:dyDescent="0.2">
      <c r="A1545" s="133">
        <v>6386</v>
      </c>
      <c r="B1545" s="39" t="s">
        <v>85</v>
      </c>
      <c r="C1545" s="39" t="s">
        <v>2900</v>
      </c>
      <c r="D1545" s="29"/>
      <c r="E1545" s="38" t="s">
        <v>2901</v>
      </c>
      <c r="F1545" s="32" t="s">
        <v>2351</v>
      </c>
      <c r="G1545" s="47" t="s">
        <v>69</v>
      </c>
      <c r="H1545"/>
      <c r="I1545" s="32" t="s">
        <v>2902</v>
      </c>
      <c r="J1545" s="47"/>
      <c r="K1545" s="31">
        <f>4*10*2.2</f>
        <v>88</v>
      </c>
      <c r="L1545" s="33">
        <v>4</v>
      </c>
      <c r="M1545" s="31">
        <v>3</v>
      </c>
      <c r="S1545" s="33">
        <v>1</v>
      </c>
      <c r="T1545" s="31">
        <v>0</v>
      </c>
      <c r="U1545" s="31">
        <v>0</v>
      </c>
      <c r="V1545" s="31">
        <v>0</v>
      </c>
      <c r="Y1545" s="31" t="s">
        <v>51</v>
      </c>
      <c r="Z1545" s="47" t="s">
        <v>1809</v>
      </c>
      <c r="AE1545" s="47" t="s">
        <v>2470</v>
      </c>
      <c r="AK1545" s="32">
        <v>4</v>
      </c>
      <c r="AQ1545" s="32" t="s">
        <v>2899</v>
      </c>
      <c r="AU1545">
        <v>1544</v>
      </c>
    </row>
    <row r="1546" spans="1:47" x14ac:dyDescent="0.2">
      <c r="A1546" s="133">
        <v>6386</v>
      </c>
      <c r="B1546" s="39" t="s">
        <v>45</v>
      </c>
      <c r="C1546" s="39" t="s">
        <v>142</v>
      </c>
      <c r="D1546" s="29"/>
      <c r="E1546" s="38" t="s">
        <v>2903</v>
      </c>
      <c r="F1546" s="32" t="s">
        <v>2904</v>
      </c>
      <c r="G1546" s="47" t="s">
        <v>73</v>
      </c>
      <c r="H1546"/>
      <c r="I1546" s="32" t="s">
        <v>2905</v>
      </c>
      <c r="J1546" s="47"/>
      <c r="K1546" s="31">
        <f>(139*10+6*23)*2.2</f>
        <v>3361.6000000000004</v>
      </c>
      <c r="L1546" s="33">
        <v>13</v>
      </c>
      <c r="M1546" s="31">
        <v>1</v>
      </c>
      <c r="S1546" s="33">
        <v>12</v>
      </c>
      <c r="T1546" s="31">
        <v>0</v>
      </c>
      <c r="U1546" s="31">
        <v>0</v>
      </c>
      <c r="V1546" s="31">
        <v>0</v>
      </c>
      <c r="Y1546" s="31" t="s">
        <v>51</v>
      </c>
      <c r="Z1546" s="47" t="s">
        <v>2203</v>
      </c>
      <c r="AE1546" s="47" t="s">
        <v>2470</v>
      </c>
      <c r="AK1546" s="32">
        <v>145</v>
      </c>
      <c r="AQ1546" s="32" t="s">
        <v>2899</v>
      </c>
      <c r="AU1546">
        <v>1545</v>
      </c>
    </row>
    <row r="1547" spans="1:47" x14ac:dyDescent="0.2">
      <c r="A1547" s="133">
        <v>6387</v>
      </c>
      <c r="B1547" s="38" t="s">
        <v>85</v>
      </c>
      <c r="C1547" s="39" t="s">
        <v>2579</v>
      </c>
      <c r="D1547" s="29"/>
      <c r="E1547" s="38" t="s">
        <v>2906</v>
      </c>
      <c r="F1547" s="32" t="s">
        <v>2907</v>
      </c>
      <c r="G1547" s="47" t="s">
        <v>69</v>
      </c>
      <c r="H1547"/>
      <c r="I1547" s="32" t="s">
        <v>2908</v>
      </c>
      <c r="J1547" s="47"/>
      <c r="K1547" s="47">
        <f>48*10*2.2</f>
        <v>1056</v>
      </c>
      <c r="L1547" s="48">
        <v>13</v>
      </c>
      <c r="M1547" s="47"/>
      <c r="N1547" s="47"/>
      <c r="O1547" s="47"/>
      <c r="P1547" s="47"/>
      <c r="Q1547" s="47"/>
      <c r="R1547" s="47"/>
      <c r="S1547" s="48">
        <v>13</v>
      </c>
      <c r="T1547" s="47">
        <v>0</v>
      </c>
      <c r="U1547" s="47">
        <v>0</v>
      </c>
      <c r="V1547" s="47">
        <v>0</v>
      </c>
      <c r="W1547" s="47"/>
      <c r="X1547" s="47"/>
      <c r="Y1547" s="47" t="s">
        <v>51</v>
      </c>
      <c r="Z1547" s="47" t="s">
        <v>1809</v>
      </c>
      <c r="AA1547" s="49"/>
      <c r="AB1547" s="49"/>
      <c r="AC1547" s="49"/>
      <c r="AD1547" s="50"/>
      <c r="AE1547" s="47" t="s">
        <v>2470</v>
      </c>
      <c r="AF1547" s="47"/>
      <c r="AG1547"/>
      <c r="AH1547"/>
      <c r="AI1547"/>
      <c r="AJ1547"/>
      <c r="AK1547" s="32">
        <v>48</v>
      </c>
      <c r="AL1547"/>
      <c r="AM1547"/>
      <c r="AN1547"/>
      <c r="AO1547"/>
      <c r="AP1547"/>
      <c r="AQ1547" s="32" t="s">
        <v>2899</v>
      </c>
      <c r="AU1547">
        <v>1546</v>
      </c>
    </row>
    <row r="1548" spans="1:47" x14ac:dyDescent="0.2">
      <c r="A1548" s="133">
        <v>6387</v>
      </c>
      <c r="B1548" s="39" t="s">
        <v>45</v>
      </c>
      <c r="C1548" s="43" t="s">
        <v>2891</v>
      </c>
      <c r="D1548" s="29"/>
      <c r="E1548" s="38" t="s">
        <v>2909</v>
      </c>
      <c r="F1548" s="32" t="s">
        <v>794</v>
      </c>
      <c r="G1548" s="47" t="s">
        <v>49</v>
      </c>
      <c r="H1548"/>
      <c r="I1548" s="32" t="s">
        <v>2910</v>
      </c>
      <c r="J1548" s="47"/>
      <c r="K1548" s="47">
        <f>16*10*2.2</f>
        <v>352</v>
      </c>
      <c r="L1548" s="48">
        <v>1</v>
      </c>
      <c r="M1548" s="47"/>
      <c r="N1548" s="47"/>
      <c r="O1548" s="47"/>
      <c r="P1548" s="47"/>
      <c r="Q1548" s="47"/>
      <c r="R1548" s="47"/>
      <c r="S1548" s="48">
        <v>1</v>
      </c>
      <c r="T1548" s="47">
        <v>0</v>
      </c>
      <c r="U1548" s="47">
        <v>0</v>
      </c>
      <c r="V1548" s="47">
        <v>0</v>
      </c>
      <c r="W1548" s="47"/>
      <c r="X1548" s="47"/>
      <c r="Y1548" s="47" t="s">
        <v>51</v>
      </c>
      <c r="Z1548" s="47" t="s">
        <v>2203</v>
      </c>
      <c r="AA1548" s="49"/>
      <c r="AB1548" s="49"/>
      <c r="AC1548" s="49"/>
      <c r="AD1548" s="50"/>
      <c r="AE1548" s="47" t="s">
        <v>2470</v>
      </c>
      <c r="AF1548" s="47"/>
      <c r="AG1548"/>
      <c r="AH1548"/>
      <c r="AI1548"/>
      <c r="AJ1548"/>
      <c r="AK1548" s="32">
        <v>16</v>
      </c>
      <c r="AL1548"/>
      <c r="AM1548"/>
      <c r="AN1548"/>
      <c r="AO1548"/>
      <c r="AP1548"/>
      <c r="AQ1548" s="32" t="s">
        <v>2899</v>
      </c>
      <c r="AU1548">
        <v>1547</v>
      </c>
    </row>
    <row r="1549" spans="1:47" x14ac:dyDescent="0.2">
      <c r="A1549" s="133">
        <v>6387</v>
      </c>
      <c r="B1549" s="39" t="s">
        <v>45</v>
      </c>
      <c r="C1549" s="39">
        <v>100</v>
      </c>
      <c r="D1549" s="29" t="b">
        <v>0</v>
      </c>
      <c r="E1549" s="39" t="s">
        <v>2911</v>
      </c>
      <c r="F1549" s="47" t="s">
        <v>529</v>
      </c>
      <c r="G1549" s="47" t="s">
        <v>205</v>
      </c>
      <c r="H1549"/>
      <c r="I1549" s="47" t="b">
        <v>0</v>
      </c>
      <c r="J1549" s="47" t="b">
        <v>1</v>
      </c>
      <c r="K1549" s="47">
        <v>1822</v>
      </c>
      <c r="L1549" s="48">
        <v>10</v>
      </c>
      <c r="M1549" s="47">
        <v>-1</v>
      </c>
      <c r="N1549" s="47">
        <v>-1</v>
      </c>
      <c r="O1549" s="47">
        <v>-1</v>
      </c>
      <c r="P1549" s="47">
        <v>-1</v>
      </c>
      <c r="Q1549" s="47">
        <v>-1</v>
      </c>
      <c r="R1549" s="47">
        <v>-1</v>
      </c>
      <c r="S1549" s="48">
        <v>8</v>
      </c>
      <c r="T1549" s="47">
        <v>0</v>
      </c>
      <c r="U1549" s="47">
        <v>0</v>
      </c>
      <c r="V1549" s="47">
        <v>0</v>
      </c>
      <c r="W1549" s="47">
        <v>-1</v>
      </c>
      <c r="X1549" s="47">
        <v>103</v>
      </c>
      <c r="Y1549" s="47"/>
      <c r="Z1549" s="47" t="s">
        <v>2524</v>
      </c>
      <c r="AA1549" s="49"/>
      <c r="AB1549" s="49"/>
      <c r="AC1549" s="49"/>
      <c r="AD1549" s="50"/>
      <c r="AE1549" s="47" t="s">
        <v>2754</v>
      </c>
      <c r="AF1549" s="47"/>
      <c r="AG1549"/>
      <c r="AH1549"/>
      <c r="AI1549"/>
      <c r="AJ1549"/>
      <c r="AK1549"/>
      <c r="AL1549"/>
      <c r="AM1549"/>
      <c r="AN1549"/>
      <c r="AO1549"/>
      <c r="AP1549"/>
      <c r="AQ1549" t="s">
        <v>2526</v>
      </c>
      <c r="AU1549">
        <v>1548</v>
      </c>
    </row>
    <row r="1550" spans="1:47" x14ac:dyDescent="0.2">
      <c r="A1550" s="133">
        <v>6388</v>
      </c>
      <c r="B1550" s="39" t="s">
        <v>45</v>
      </c>
      <c r="C1550" s="39">
        <v>100</v>
      </c>
      <c r="D1550" s="29" t="b">
        <v>0</v>
      </c>
      <c r="E1550" s="39" t="s">
        <v>2912</v>
      </c>
      <c r="F1550" s="47" t="s">
        <v>2913</v>
      </c>
      <c r="G1550" s="47" t="s">
        <v>205</v>
      </c>
      <c r="H1550"/>
      <c r="I1550" s="47" t="b">
        <v>1</v>
      </c>
      <c r="J1550" s="47" t="b">
        <v>1</v>
      </c>
      <c r="K1550" s="47">
        <v>1344</v>
      </c>
      <c r="L1550" s="48">
        <v>7</v>
      </c>
      <c r="M1550" s="47">
        <v>-1</v>
      </c>
      <c r="N1550" s="47">
        <v>-1</v>
      </c>
      <c r="O1550" s="47">
        <v>-1</v>
      </c>
      <c r="P1550" s="47">
        <v>-1</v>
      </c>
      <c r="Q1550" s="47">
        <v>-1</v>
      </c>
      <c r="R1550" s="47">
        <v>-1</v>
      </c>
      <c r="S1550" s="48">
        <v>6</v>
      </c>
      <c r="T1550" s="47">
        <v>0</v>
      </c>
      <c r="U1550" s="47">
        <v>0</v>
      </c>
      <c r="V1550" s="47">
        <v>1</v>
      </c>
      <c r="W1550" s="47">
        <v>-1</v>
      </c>
      <c r="X1550" s="47">
        <v>104</v>
      </c>
      <c r="Y1550" s="47"/>
      <c r="Z1550" s="47" t="s">
        <v>2524</v>
      </c>
      <c r="AA1550" s="49"/>
      <c r="AB1550" s="49"/>
      <c r="AC1550" s="49"/>
      <c r="AD1550" s="50"/>
      <c r="AE1550" s="47" t="s">
        <v>2754</v>
      </c>
      <c r="AF1550" s="47"/>
      <c r="AG1550"/>
      <c r="AH1550"/>
      <c r="AI1550"/>
      <c r="AJ1550"/>
      <c r="AK1550"/>
      <c r="AL1550"/>
      <c r="AM1550"/>
      <c r="AN1550"/>
      <c r="AO1550"/>
      <c r="AP1550"/>
      <c r="AQ1550" t="s">
        <v>2526</v>
      </c>
      <c r="AU1550">
        <v>1549</v>
      </c>
    </row>
    <row r="1551" spans="1:47" x14ac:dyDescent="0.2">
      <c r="A1551" s="133">
        <v>6388</v>
      </c>
      <c r="B1551" s="39" t="s">
        <v>45</v>
      </c>
      <c r="C1551" s="39">
        <v>100</v>
      </c>
      <c r="D1551" s="29" t="b">
        <v>0</v>
      </c>
      <c r="E1551" s="39" t="s">
        <v>2914</v>
      </c>
      <c r="F1551" s="47" t="s">
        <v>529</v>
      </c>
      <c r="G1551" s="47" t="s">
        <v>205</v>
      </c>
      <c r="H1551"/>
      <c r="I1551" s="47" t="b">
        <v>0</v>
      </c>
      <c r="J1551" s="47" t="b">
        <v>0</v>
      </c>
      <c r="K1551" s="47">
        <v>1120</v>
      </c>
      <c r="L1551" s="48">
        <v>7</v>
      </c>
      <c r="M1551" s="47">
        <v>-1</v>
      </c>
      <c r="N1551" s="47">
        <v>-1</v>
      </c>
      <c r="O1551" s="47">
        <v>-1</v>
      </c>
      <c r="P1551" s="47">
        <v>-1</v>
      </c>
      <c r="Q1551" s="47">
        <v>-1</v>
      </c>
      <c r="R1551" s="47">
        <v>-1</v>
      </c>
      <c r="S1551" s="48">
        <v>6</v>
      </c>
      <c r="T1551" s="47">
        <v>0</v>
      </c>
      <c r="U1551" s="47">
        <v>0</v>
      </c>
      <c r="V1551" s="47">
        <v>1</v>
      </c>
      <c r="W1551" s="47">
        <v>-1</v>
      </c>
      <c r="X1551" s="47">
        <v>105</v>
      </c>
      <c r="Y1551" s="47"/>
      <c r="Z1551" s="47" t="s">
        <v>2524</v>
      </c>
      <c r="AA1551" s="49"/>
      <c r="AB1551" s="49"/>
      <c r="AC1551" s="49"/>
      <c r="AD1551" s="50"/>
      <c r="AE1551" s="47" t="s">
        <v>2754</v>
      </c>
      <c r="AF1551" s="47"/>
      <c r="AG1551"/>
      <c r="AH1551"/>
      <c r="AI1551"/>
      <c r="AJ1551"/>
      <c r="AK1551"/>
      <c r="AL1551"/>
      <c r="AM1551"/>
      <c r="AN1551"/>
      <c r="AO1551"/>
      <c r="AP1551"/>
      <c r="AQ1551" t="s">
        <v>2526</v>
      </c>
      <c r="AU1551">
        <v>1550</v>
      </c>
    </row>
    <row r="1552" spans="1:47" x14ac:dyDescent="0.2">
      <c r="A1552" s="133">
        <v>6388</v>
      </c>
      <c r="B1552" s="39" t="s">
        <v>45</v>
      </c>
      <c r="C1552" s="39">
        <v>100</v>
      </c>
      <c r="D1552" s="29" t="b">
        <v>0</v>
      </c>
      <c r="E1552" s="39" t="s">
        <v>2835</v>
      </c>
      <c r="F1552" s="47" t="s">
        <v>2915</v>
      </c>
      <c r="G1552" s="47" t="s">
        <v>49</v>
      </c>
      <c r="H1552"/>
      <c r="I1552" s="47" t="b">
        <v>0</v>
      </c>
      <c r="J1552" s="47" t="b">
        <v>0</v>
      </c>
      <c r="K1552" s="47">
        <v>224</v>
      </c>
      <c r="L1552" s="48">
        <v>7</v>
      </c>
      <c r="M1552" s="47">
        <v>-1</v>
      </c>
      <c r="N1552" s="47">
        <v>-1</v>
      </c>
      <c r="O1552" s="47">
        <v>-1</v>
      </c>
      <c r="P1552" s="47">
        <v>-1</v>
      </c>
      <c r="Q1552" s="47">
        <v>-1</v>
      </c>
      <c r="R1552" s="47">
        <v>-1</v>
      </c>
      <c r="S1552" s="48">
        <v>6</v>
      </c>
      <c r="T1552" s="47">
        <v>0</v>
      </c>
      <c r="U1552" s="47">
        <v>0</v>
      </c>
      <c r="V1552" s="47">
        <v>1</v>
      </c>
      <c r="W1552" s="47">
        <v>800</v>
      </c>
      <c r="X1552" s="47">
        <v>106</v>
      </c>
      <c r="Y1552" s="47"/>
      <c r="Z1552" s="47" t="s">
        <v>2524</v>
      </c>
      <c r="AA1552" s="49"/>
      <c r="AB1552" s="49"/>
      <c r="AC1552" s="49"/>
      <c r="AD1552" s="50"/>
      <c r="AE1552" s="47" t="s">
        <v>2754</v>
      </c>
      <c r="AF1552" s="47">
        <v>55</v>
      </c>
      <c r="AG1552"/>
      <c r="AH1552"/>
      <c r="AI1552"/>
      <c r="AJ1552"/>
      <c r="AK1552"/>
      <c r="AL1552"/>
      <c r="AM1552"/>
      <c r="AN1552"/>
      <c r="AO1552"/>
      <c r="AP1552"/>
      <c r="AQ1552" t="s">
        <v>2526</v>
      </c>
      <c r="AU1552">
        <v>1551</v>
      </c>
    </row>
    <row r="1553" spans="1:47" x14ac:dyDescent="0.2">
      <c r="A1553" s="133">
        <v>6388</v>
      </c>
      <c r="B1553" s="39" t="s">
        <v>45</v>
      </c>
      <c r="C1553" s="43" t="s">
        <v>2916</v>
      </c>
      <c r="D1553" s="29"/>
      <c r="E1553" s="39" t="s">
        <v>2917</v>
      </c>
      <c r="F1553" s="47"/>
      <c r="G1553" s="47" t="s">
        <v>69</v>
      </c>
      <c r="H1553"/>
      <c r="I1553" s="47" t="s">
        <v>2918</v>
      </c>
      <c r="J1553" s="47"/>
      <c r="K1553" s="47">
        <f>(12*10+3*23)*2.2</f>
        <v>415.8</v>
      </c>
      <c r="L1553" s="48">
        <v>1</v>
      </c>
      <c r="M1553" s="47"/>
      <c r="N1553" s="47"/>
      <c r="O1553" s="47"/>
      <c r="P1553" s="47"/>
      <c r="Q1553" s="47"/>
      <c r="R1553" s="47"/>
      <c r="S1553" s="48">
        <v>1</v>
      </c>
      <c r="T1553" s="47">
        <v>0</v>
      </c>
      <c r="U1553" s="47">
        <v>0</v>
      </c>
      <c r="V1553" s="47">
        <v>0</v>
      </c>
      <c r="W1553" s="47"/>
      <c r="X1553" s="47"/>
      <c r="Y1553" s="47" t="s">
        <v>51</v>
      </c>
      <c r="Z1553" s="47" t="s">
        <v>2203</v>
      </c>
      <c r="AA1553" s="49"/>
      <c r="AB1553" s="49"/>
      <c r="AC1553" s="49"/>
      <c r="AD1553" s="50"/>
      <c r="AE1553" s="47" t="s">
        <v>2470</v>
      </c>
      <c r="AF1553" s="47">
        <v>50</v>
      </c>
      <c r="AG1553"/>
      <c r="AH1553"/>
      <c r="AI1553"/>
      <c r="AJ1553"/>
      <c r="AK1553">
        <v>15</v>
      </c>
      <c r="AL1553"/>
      <c r="AM1553"/>
      <c r="AN1553"/>
      <c r="AO1553"/>
      <c r="AP1553"/>
      <c r="AQ1553" s="32" t="s">
        <v>2899</v>
      </c>
      <c r="AU1553">
        <v>1552</v>
      </c>
    </row>
    <row r="1554" spans="1:47" x14ac:dyDescent="0.2">
      <c r="A1554" s="26">
        <v>6389</v>
      </c>
      <c r="B1554" s="27">
        <v>0.4201388888888889</v>
      </c>
      <c r="C1554" s="28"/>
      <c r="D1554" s="29"/>
      <c r="E1554" s="30" t="s">
        <v>869</v>
      </c>
      <c r="H1554" s="32">
        <v>0</v>
      </c>
      <c r="I1554" s="32" t="s">
        <v>2344</v>
      </c>
      <c r="AG1554" s="32">
        <v>0</v>
      </c>
      <c r="AH1554" s="32">
        <v>0</v>
      </c>
      <c r="AI1554" s="32">
        <v>0</v>
      </c>
      <c r="AK1554" s="32">
        <v>0</v>
      </c>
      <c r="AQ1554" s="32" t="s">
        <v>589</v>
      </c>
      <c r="AU1554">
        <v>1553</v>
      </c>
    </row>
    <row r="1555" spans="1:47" x14ac:dyDescent="0.2">
      <c r="A1555" s="26">
        <v>6389</v>
      </c>
      <c r="B1555" s="27">
        <v>0.85416666666666663</v>
      </c>
      <c r="C1555" s="28"/>
      <c r="D1555" s="29"/>
      <c r="E1555" s="30" t="s">
        <v>869</v>
      </c>
      <c r="H1555" s="32">
        <v>0</v>
      </c>
      <c r="I1555" s="32" t="s">
        <v>2344</v>
      </c>
      <c r="AG1555" s="32">
        <v>0</v>
      </c>
      <c r="AH1555" s="32">
        <v>0</v>
      </c>
      <c r="AI1555" s="32">
        <v>0</v>
      </c>
      <c r="AK1555" s="32">
        <v>0</v>
      </c>
      <c r="AL1555" s="32">
        <f>1/6</f>
        <v>0.16666666666666666</v>
      </c>
      <c r="AP1555" s="32">
        <f>1/6</f>
        <v>0.16666666666666666</v>
      </c>
      <c r="AQ1555" s="32" t="s">
        <v>589</v>
      </c>
      <c r="AU1555">
        <v>1554</v>
      </c>
    </row>
    <row r="1556" spans="1:47" x14ac:dyDescent="0.2">
      <c r="A1556" s="133">
        <v>6393</v>
      </c>
      <c r="B1556" s="39" t="s">
        <v>45</v>
      </c>
      <c r="C1556" s="39">
        <v>100</v>
      </c>
      <c r="D1556" s="29" t="b">
        <v>0</v>
      </c>
      <c r="E1556" s="39" t="s">
        <v>2919</v>
      </c>
      <c r="F1556" s="47" t="s">
        <v>2920</v>
      </c>
      <c r="G1556" s="47" t="s">
        <v>73</v>
      </c>
      <c r="H1556"/>
      <c r="I1556" s="47" t="b">
        <v>1</v>
      </c>
      <c r="J1556" s="47" t="b">
        <v>1</v>
      </c>
      <c r="K1556" s="47">
        <v>2730</v>
      </c>
      <c r="L1556" s="48">
        <v>8</v>
      </c>
      <c r="M1556" s="47">
        <v>-1</v>
      </c>
      <c r="N1556" s="47">
        <v>-1</v>
      </c>
      <c r="O1556" s="47">
        <v>-1</v>
      </c>
      <c r="P1556" s="47">
        <v>-1</v>
      </c>
      <c r="Q1556" s="47">
        <v>-1</v>
      </c>
      <c r="R1556" s="47">
        <v>-1</v>
      </c>
      <c r="S1556" s="48">
        <v>8</v>
      </c>
      <c r="T1556" s="47">
        <v>0</v>
      </c>
      <c r="U1556" s="47">
        <v>0</v>
      </c>
      <c r="V1556" s="47">
        <v>0</v>
      </c>
      <c r="W1556" s="47">
        <v>-1</v>
      </c>
      <c r="X1556" s="47">
        <v>107</v>
      </c>
      <c r="Y1556" s="47"/>
      <c r="Z1556" s="47" t="s">
        <v>2524</v>
      </c>
      <c r="AA1556" s="49"/>
      <c r="AB1556" s="49"/>
      <c r="AC1556" s="49"/>
      <c r="AD1556" s="50"/>
      <c r="AE1556" s="47" t="s">
        <v>2754</v>
      </c>
      <c r="AF1556" s="47"/>
      <c r="AG1556"/>
      <c r="AH1556"/>
      <c r="AI1556"/>
      <c r="AJ1556"/>
      <c r="AK1556"/>
      <c r="AL1556"/>
      <c r="AM1556"/>
      <c r="AN1556"/>
      <c r="AO1556"/>
      <c r="AP1556"/>
      <c r="AQ1556" t="s">
        <v>2526</v>
      </c>
      <c r="AU1556">
        <v>1555</v>
      </c>
    </row>
    <row r="1557" spans="1:47" x14ac:dyDescent="0.2">
      <c r="A1557" s="133">
        <v>6393</v>
      </c>
      <c r="B1557" s="39" t="s">
        <v>45</v>
      </c>
      <c r="C1557" s="39">
        <v>100</v>
      </c>
      <c r="D1557" s="29" t="b">
        <v>0</v>
      </c>
      <c r="E1557" s="39" t="s">
        <v>2921</v>
      </c>
      <c r="F1557" s="47" t="s">
        <v>2922</v>
      </c>
      <c r="G1557" s="47" t="s">
        <v>73</v>
      </c>
      <c r="H1557"/>
      <c r="I1557" s="47" t="b">
        <v>0</v>
      </c>
      <c r="J1557" s="47" t="b">
        <v>0</v>
      </c>
      <c r="K1557" s="47">
        <v>1822</v>
      </c>
      <c r="L1557" s="48">
        <v>8</v>
      </c>
      <c r="M1557" s="47">
        <v>-1</v>
      </c>
      <c r="N1557" s="47">
        <v>-1</v>
      </c>
      <c r="O1557" s="47">
        <v>-1</v>
      </c>
      <c r="P1557" s="47">
        <v>-1</v>
      </c>
      <c r="Q1557" s="47">
        <v>-1</v>
      </c>
      <c r="R1557" s="47">
        <v>-1</v>
      </c>
      <c r="S1557" s="48">
        <v>8</v>
      </c>
      <c r="T1557" s="47">
        <v>0</v>
      </c>
      <c r="U1557" s="47">
        <v>0</v>
      </c>
      <c r="V1557" s="47">
        <v>0</v>
      </c>
      <c r="W1557" s="47">
        <v>-1</v>
      </c>
      <c r="X1557" s="47">
        <v>108</v>
      </c>
      <c r="Y1557" s="47"/>
      <c r="Z1557" s="47" t="s">
        <v>2524</v>
      </c>
      <c r="AA1557" s="49"/>
      <c r="AB1557" s="49"/>
      <c r="AC1557" s="49"/>
      <c r="AD1557" s="50"/>
      <c r="AE1557" s="47" t="s">
        <v>2754</v>
      </c>
      <c r="AF1557" s="47"/>
      <c r="AG1557"/>
      <c r="AH1557"/>
      <c r="AI1557"/>
      <c r="AJ1557"/>
      <c r="AK1557"/>
      <c r="AL1557"/>
      <c r="AM1557"/>
      <c r="AN1557"/>
      <c r="AO1557"/>
      <c r="AP1557"/>
      <c r="AQ1557" t="s">
        <v>2526</v>
      </c>
      <c r="AU1557">
        <v>1556</v>
      </c>
    </row>
    <row r="1558" spans="1:47" x14ac:dyDescent="0.2">
      <c r="A1558" s="133">
        <v>6393</v>
      </c>
      <c r="B1558" s="39" t="s">
        <v>45</v>
      </c>
      <c r="C1558" s="39">
        <v>100</v>
      </c>
      <c r="D1558" s="29" t="b">
        <v>0</v>
      </c>
      <c r="E1558" s="39" t="s">
        <v>2923</v>
      </c>
      <c r="F1558" s="47" t="s">
        <v>2924</v>
      </c>
      <c r="G1558" s="47" t="s">
        <v>49</v>
      </c>
      <c r="H1558"/>
      <c r="I1558" s="47" t="b">
        <v>0</v>
      </c>
      <c r="J1558" s="47" t="b">
        <v>0</v>
      </c>
      <c r="K1558" s="47">
        <v>908</v>
      </c>
      <c r="L1558" s="48">
        <v>8</v>
      </c>
      <c r="M1558" s="47">
        <v>-1</v>
      </c>
      <c r="N1558" s="47">
        <v>-1</v>
      </c>
      <c r="O1558" s="47">
        <v>-1</v>
      </c>
      <c r="P1558" s="47">
        <v>-1</v>
      </c>
      <c r="Q1558" s="47">
        <v>-1</v>
      </c>
      <c r="R1558" s="47">
        <v>-1</v>
      </c>
      <c r="S1558" s="48">
        <v>8</v>
      </c>
      <c r="T1558" s="47">
        <v>0</v>
      </c>
      <c r="U1558" s="47">
        <v>0</v>
      </c>
      <c r="V1558" s="47">
        <v>0</v>
      </c>
      <c r="W1558" s="47">
        <v>-1</v>
      </c>
      <c r="X1558" s="47">
        <v>109</v>
      </c>
      <c r="Y1558" s="47"/>
      <c r="Z1558" s="47" t="s">
        <v>2524</v>
      </c>
      <c r="AA1558" s="49"/>
      <c r="AB1558" s="49"/>
      <c r="AC1558" s="49"/>
      <c r="AD1558" s="50"/>
      <c r="AE1558" s="47" t="s">
        <v>2754</v>
      </c>
      <c r="AF1558" s="47"/>
      <c r="AG1558"/>
      <c r="AH1558"/>
      <c r="AI1558"/>
      <c r="AJ1558"/>
      <c r="AK1558"/>
      <c r="AL1558"/>
      <c r="AM1558"/>
      <c r="AN1558"/>
      <c r="AO1558"/>
      <c r="AP1558"/>
      <c r="AQ1558" t="s">
        <v>2526</v>
      </c>
      <c r="AU1558">
        <v>1557</v>
      </c>
    </row>
    <row r="1559" spans="1:47" x14ac:dyDescent="0.2">
      <c r="A1559" s="133">
        <v>6394</v>
      </c>
      <c r="B1559" s="39" t="s">
        <v>45</v>
      </c>
      <c r="C1559" s="39">
        <v>100</v>
      </c>
      <c r="D1559" s="29" t="b">
        <v>0</v>
      </c>
      <c r="E1559" s="39" t="s">
        <v>2925</v>
      </c>
      <c r="F1559" s="47" t="s">
        <v>1969</v>
      </c>
      <c r="G1559" s="47" t="s">
        <v>205</v>
      </c>
      <c r="H1559"/>
      <c r="I1559" s="47" t="b">
        <v>1</v>
      </c>
      <c r="J1559" s="47" t="b">
        <v>1</v>
      </c>
      <c r="K1559" s="47">
        <v>2270</v>
      </c>
      <c r="L1559" s="48">
        <v>10</v>
      </c>
      <c r="M1559" s="47">
        <v>-1</v>
      </c>
      <c r="N1559" s="47">
        <v>-1</v>
      </c>
      <c r="O1559" s="47">
        <v>-1</v>
      </c>
      <c r="P1559" s="47">
        <v>-1</v>
      </c>
      <c r="Q1559" s="47">
        <v>-1</v>
      </c>
      <c r="R1559" s="47">
        <v>-1</v>
      </c>
      <c r="S1559" s="48">
        <v>10</v>
      </c>
      <c r="T1559" s="47">
        <v>0</v>
      </c>
      <c r="U1559" s="47">
        <v>0</v>
      </c>
      <c r="V1559" s="47">
        <v>0</v>
      </c>
      <c r="W1559" s="47">
        <v>1171</v>
      </c>
      <c r="X1559" s="47">
        <v>110</v>
      </c>
      <c r="Y1559" s="47"/>
      <c r="Z1559" s="47" t="s">
        <v>2524</v>
      </c>
      <c r="AA1559" s="49"/>
      <c r="AB1559" s="49"/>
      <c r="AC1559" s="49"/>
      <c r="AD1559" s="50"/>
      <c r="AE1559" s="47" t="s">
        <v>2754</v>
      </c>
      <c r="AF1559" s="47"/>
      <c r="AG1559"/>
      <c r="AH1559"/>
      <c r="AI1559"/>
      <c r="AJ1559"/>
      <c r="AK1559"/>
      <c r="AL1559"/>
      <c r="AM1559"/>
      <c r="AN1559"/>
      <c r="AO1559"/>
      <c r="AP1559"/>
      <c r="AQ1559" t="s">
        <v>2526</v>
      </c>
      <c r="AU1559">
        <v>1558</v>
      </c>
    </row>
    <row r="1560" spans="1:47" x14ac:dyDescent="0.2">
      <c r="A1560" s="133">
        <v>6394</v>
      </c>
      <c r="B1560" s="39" t="s">
        <v>45</v>
      </c>
      <c r="C1560" s="39">
        <v>100</v>
      </c>
      <c r="D1560" s="29" t="b">
        <v>0</v>
      </c>
      <c r="E1560" s="39" t="s">
        <v>2926</v>
      </c>
      <c r="F1560" s="47" t="s">
        <v>529</v>
      </c>
      <c r="G1560" s="47" t="s">
        <v>205</v>
      </c>
      <c r="H1560"/>
      <c r="I1560" s="47" t="b">
        <v>0</v>
      </c>
      <c r="J1560" s="47" t="b">
        <v>0</v>
      </c>
      <c r="K1560" s="47">
        <v>454</v>
      </c>
      <c r="L1560" s="48">
        <v>10</v>
      </c>
      <c r="M1560" s="47">
        <v>-1</v>
      </c>
      <c r="N1560" s="47">
        <v>-1</v>
      </c>
      <c r="O1560" s="47">
        <v>-1</v>
      </c>
      <c r="P1560" s="47">
        <v>-1</v>
      </c>
      <c r="Q1560" s="47">
        <v>-1</v>
      </c>
      <c r="R1560" s="47">
        <v>-1</v>
      </c>
      <c r="S1560" s="48">
        <v>10</v>
      </c>
      <c r="T1560" s="47">
        <v>0</v>
      </c>
      <c r="U1560" s="47">
        <v>0</v>
      </c>
      <c r="V1560" s="47">
        <v>0</v>
      </c>
      <c r="W1560" s="47">
        <v>800</v>
      </c>
      <c r="X1560" s="47">
        <v>111</v>
      </c>
      <c r="Y1560" s="47"/>
      <c r="Z1560" s="47" t="s">
        <v>2524</v>
      </c>
      <c r="AA1560" s="49"/>
      <c r="AB1560" s="49"/>
      <c r="AC1560" s="49"/>
      <c r="AD1560" s="50"/>
      <c r="AE1560" s="47" t="s">
        <v>2754</v>
      </c>
      <c r="AF1560" s="47"/>
      <c r="AG1560"/>
      <c r="AH1560"/>
      <c r="AI1560"/>
      <c r="AJ1560"/>
      <c r="AK1560"/>
      <c r="AL1560"/>
      <c r="AM1560"/>
      <c r="AN1560"/>
      <c r="AO1560"/>
      <c r="AP1560"/>
      <c r="AQ1560" t="s">
        <v>2526</v>
      </c>
      <c r="AU1560">
        <v>1559</v>
      </c>
    </row>
    <row r="1561" spans="1:47" x14ac:dyDescent="0.2">
      <c r="A1561" s="133">
        <v>6394</v>
      </c>
      <c r="B1561" s="39" t="s">
        <v>45</v>
      </c>
      <c r="C1561" s="39">
        <v>100</v>
      </c>
      <c r="D1561" s="29" t="b">
        <v>0</v>
      </c>
      <c r="E1561" s="39" t="s">
        <v>2927</v>
      </c>
      <c r="F1561" s="47" t="s">
        <v>529</v>
      </c>
      <c r="G1561" s="47" t="s">
        <v>205</v>
      </c>
      <c r="H1561"/>
      <c r="I1561" s="47" t="b">
        <v>0</v>
      </c>
      <c r="J1561" s="47" t="b">
        <v>0</v>
      </c>
      <c r="K1561" s="47">
        <v>230</v>
      </c>
      <c r="L1561" s="48">
        <v>10</v>
      </c>
      <c r="M1561" s="47">
        <v>-1</v>
      </c>
      <c r="N1561" s="47">
        <v>-1</v>
      </c>
      <c r="O1561" s="47">
        <v>-1</v>
      </c>
      <c r="P1561" s="47">
        <v>-1</v>
      </c>
      <c r="Q1561" s="47">
        <v>-1</v>
      </c>
      <c r="R1561" s="47">
        <v>-1</v>
      </c>
      <c r="S1561" s="48">
        <v>10</v>
      </c>
      <c r="T1561" s="47">
        <v>0</v>
      </c>
      <c r="U1561" s="47">
        <v>0</v>
      </c>
      <c r="V1561" s="47">
        <v>0</v>
      </c>
      <c r="W1561" s="47">
        <v>-1</v>
      </c>
      <c r="X1561" s="47">
        <v>112</v>
      </c>
      <c r="Y1561" s="47"/>
      <c r="Z1561" s="47" t="s">
        <v>2524</v>
      </c>
      <c r="AA1561" s="49"/>
      <c r="AB1561" s="49"/>
      <c r="AC1561" s="49"/>
      <c r="AD1561" s="50"/>
      <c r="AE1561" s="47" t="s">
        <v>2754</v>
      </c>
      <c r="AF1561" s="47"/>
      <c r="AG1561"/>
      <c r="AH1561"/>
      <c r="AI1561"/>
      <c r="AJ1561"/>
      <c r="AK1561"/>
      <c r="AL1561"/>
      <c r="AM1561"/>
      <c r="AN1561"/>
      <c r="AO1561"/>
      <c r="AP1561"/>
      <c r="AQ1561" t="s">
        <v>2526</v>
      </c>
      <c r="AU1561">
        <v>1560</v>
      </c>
    </row>
    <row r="1562" spans="1:47" x14ac:dyDescent="0.2">
      <c r="A1562" s="133">
        <v>6394</v>
      </c>
      <c r="B1562" s="39" t="s">
        <v>45</v>
      </c>
      <c r="C1562" s="39">
        <v>100</v>
      </c>
      <c r="D1562" s="29" t="b">
        <v>0</v>
      </c>
      <c r="E1562" s="39" t="s">
        <v>2928</v>
      </c>
      <c r="F1562" s="47" t="s">
        <v>2929</v>
      </c>
      <c r="G1562" s="47" t="s">
        <v>73</v>
      </c>
      <c r="H1562"/>
      <c r="I1562" s="47" t="b">
        <v>0</v>
      </c>
      <c r="J1562" s="47" t="b">
        <v>0</v>
      </c>
      <c r="K1562" s="47">
        <v>460</v>
      </c>
      <c r="L1562" s="48">
        <v>10</v>
      </c>
      <c r="M1562" s="47">
        <v>-1</v>
      </c>
      <c r="N1562" s="47">
        <v>-1</v>
      </c>
      <c r="O1562" s="47">
        <v>-1</v>
      </c>
      <c r="P1562" s="47">
        <v>-1</v>
      </c>
      <c r="Q1562" s="47">
        <v>-1</v>
      </c>
      <c r="R1562" s="47">
        <v>-1</v>
      </c>
      <c r="S1562" s="48">
        <v>10</v>
      </c>
      <c r="T1562" s="47">
        <v>0</v>
      </c>
      <c r="U1562" s="47">
        <v>0</v>
      </c>
      <c r="V1562" s="47">
        <v>0</v>
      </c>
      <c r="W1562" s="47">
        <v>750</v>
      </c>
      <c r="X1562" s="47">
        <v>113</v>
      </c>
      <c r="Y1562" s="47"/>
      <c r="Z1562" s="47" t="s">
        <v>2524</v>
      </c>
      <c r="AA1562" s="49"/>
      <c r="AB1562" s="49"/>
      <c r="AC1562" s="49"/>
      <c r="AD1562" s="50"/>
      <c r="AE1562" s="47" t="s">
        <v>2754</v>
      </c>
      <c r="AF1562" s="47">
        <v>50</v>
      </c>
      <c r="AG1562"/>
      <c r="AH1562"/>
      <c r="AI1562"/>
      <c r="AJ1562"/>
      <c r="AK1562"/>
      <c r="AL1562"/>
      <c r="AM1562"/>
      <c r="AN1562"/>
      <c r="AO1562"/>
      <c r="AP1562"/>
      <c r="AQ1562" t="s">
        <v>2526</v>
      </c>
      <c r="AU1562">
        <v>1561</v>
      </c>
    </row>
    <row r="1563" spans="1:47" x14ac:dyDescent="0.2">
      <c r="A1563" s="133">
        <v>6394</v>
      </c>
      <c r="B1563" s="39" t="s">
        <v>45</v>
      </c>
      <c r="C1563" s="39">
        <v>100</v>
      </c>
      <c r="D1563" s="29" t="b">
        <v>0</v>
      </c>
      <c r="E1563" s="39" t="s">
        <v>2930</v>
      </c>
      <c r="F1563" s="47" t="s">
        <v>2931</v>
      </c>
      <c r="G1563" s="47" t="s">
        <v>73</v>
      </c>
      <c r="H1563"/>
      <c r="I1563" s="47" t="b">
        <v>0</v>
      </c>
      <c r="J1563" s="47" t="b">
        <v>0</v>
      </c>
      <c r="K1563" s="47">
        <v>448</v>
      </c>
      <c r="L1563" s="48">
        <v>10</v>
      </c>
      <c r="M1563" s="47">
        <v>-1</v>
      </c>
      <c r="N1563" s="47">
        <v>-1</v>
      </c>
      <c r="O1563" s="47">
        <v>-1</v>
      </c>
      <c r="P1563" s="47">
        <v>-1</v>
      </c>
      <c r="Q1563" s="47">
        <v>-1</v>
      </c>
      <c r="R1563" s="47">
        <v>-1</v>
      </c>
      <c r="S1563" s="48">
        <v>10</v>
      </c>
      <c r="T1563" s="47">
        <v>0</v>
      </c>
      <c r="U1563" s="47">
        <v>0</v>
      </c>
      <c r="V1563" s="47">
        <v>0</v>
      </c>
      <c r="W1563" s="47">
        <v>1800</v>
      </c>
      <c r="X1563" s="47">
        <v>114</v>
      </c>
      <c r="Y1563" s="47"/>
      <c r="Z1563" s="47" t="s">
        <v>2524</v>
      </c>
      <c r="AA1563" s="49"/>
      <c r="AB1563" s="49"/>
      <c r="AC1563" s="49"/>
      <c r="AD1563" s="50"/>
      <c r="AE1563" s="47" t="s">
        <v>2754</v>
      </c>
      <c r="AF1563" s="47"/>
      <c r="AG1563"/>
      <c r="AH1563"/>
      <c r="AI1563"/>
      <c r="AJ1563"/>
      <c r="AK1563"/>
      <c r="AL1563"/>
      <c r="AM1563"/>
      <c r="AN1563"/>
      <c r="AO1563"/>
      <c r="AP1563"/>
      <c r="AQ1563" t="s">
        <v>2526</v>
      </c>
      <c r="AU1563">
        <v>1562</v>
      </c>
    </row>
    <row r="1564" spans="1:47" x14ac:dyDescent="0.2">
      <c r="A1564" s="133">
        <v>6394</v>
      </c>
      <c r="B1564" s="39" t="s">
        <v>45</v>
      </c>
      <c r="C1564" s="39">
        <v>100</v>
      </c>
      <c r="D1564" s="29" t="b">
        <v>0</v>
      </c>
      <c r="E1564" s="39" t="s">
        <v>2932</v>
      </c>
      <c r="F1564" s="47" t="s">
        <v>2933</v>
      </c>
      <c r="G1564" s="47" t="s">
        <v>49</v>
      </c>
      <c r="H1564"/>
      <c r="I1564" s="47" t="b">
        <v>0</v>
      </c>
      <c r="J1564" s="47" t="b">
        <v>0</v>
      </c>
      <c r="K1564" s="47">
        <v>230</v>
      </c>
      <c r="L1564" s="48">
        <v>10</v>
      </c>
      <c r="M1564" s="47">
        <v>-1</v>
      </c>
      <c r="N1564" s="47">
        <v>-1</v>
      </c>
      <c r="O1564" s="47">
        <v>-1</v>
      </c>
      <c r="P1564" s="47">
        <v>-1</v>
      </c>
      <c r="Q1564" s="47">
        <v>-1</v>
      </c>
      <c r="R1564" s="47">
        <v>-1</v>
      </c>
      <c r="S1564" s="48">
        <v>10</v>
      </c>
      <c r="T1564" s="47">
        <v>0</v>
      </c>
      <c r="U1564" s="47">
        <v>0</v>
      </c>
      <c r="V1564" s="47">
        <v>0</v>
      </c>
      <c r="W1564" s="47">
        <v>1400</v>
      </c>
      <c r="X1564" s="47">
        <v>115</v>
      </c>
      <c r="Y1564" s="47"/>
      <c r="Z1564" s="47" t="s">
        <v>2524</v>
      </c>
      <c r="AA1564" s="49"/>
      <c r="AB1564" s="49"/>
      <c r="AC1564" s="49"/>
      <c r="AD1564" s="50"/>
      <c r="AE1564" s="47" t="s">
        <v>2754</v>
      </c>
      <c r="AF1564" s="47">
        <v>55</v>
      </c>
      <c r="AG1564"/>
      <c r="AH1564"/>
      <c r="AI1564"/>
      <c r="AJ1564"/>
      <c r="AK1564"/>
      <c r="AL1564"/>
      <c r="AM1564"/>
      <c r="AN1564"/>
      <c r="AO1564"/>
      <c r="AP1564"/>
      <c r="AQ1564" t="s">
        <v>2526</v>
      </c>
      <c r="AU1564">
        <v>1563</v>
      </c>
    </row>
    <row r="1565" spans="1:47" x14ac:dyDescent="0.2">
      <c r="A1565" s="133">
        <v>6394</v>
      </c>
      <c r="B1565" s="39" t="s">
        <v>45</v>
      </c>
      <c r="C1565" s="39">
        <v>100</v>
      </c>
      <c r="D1565" s="29" t="b">
        <v>0</v>
      </c>
      <c r="E1565" s="39" t="s">
        <v>881</v>
      </c>
      <c r="F1565" s="47" t="s">
        <v>529</v>
      </c>
      <c r="G1565" s="47" t="s">
        <v>205</v>
      </c>
      <c r="H1565"/>
      <c r="I1565" s="47" t="b">
        <v>0</v>
      </c>
      <c r="J1565" s="47" t="b">
        <v>0</v>
      </c>
      <c r="K1565" s="47">
        <v>224</v>
      </c>
      <c r="L1565" s="48">
        <v>10</v>
      </c>
      <c r="M1565" s="47">
        <v>-1</v>
      </c>
      <c r="N1565" s="47">
        <v>-1</v>
      </c>
      <c r="O1565" s="47">
        <v>-1</v>
      </c>
      <c r="P1565" s="47">
        <v>-1</v>
      </c>
      <c r="Q1565" s="47">
        <v>-1</v>
      </c>
      <c r="R1565" s="47">
        <v>-1</v>
      </c>
      <c r="S1565" s="48">
        <v>10</v>
      </c>
      <c r="T1565" s="47">
        <v>0</v>
      </c>
      <c r="U1565" s="47">
        <v>0</v>
      </c>
      <c r="V1565" s="47">
        <v>0</v>
      </c>
      <c r="W1565" s="47">
        <v>900</v>
      </c>
      <c r="X1565" s="47">
        <v>116</v>
      </c>
      <c r="Y1565" s="47"/>
      <c r="Z1565" s="47" t="s">
        <v>2524</v>
      </c>
      <c r="AA1565" s="49"/>
      <c r="AB1565" s="49"/>
      <c r="AC1565" s="49"/>
      <c r="AD1565" s="50"/>
      <c r="AE1565" s="47" t="s">
        <v>2754</v>
      </c>
      <c r="AF1565" s="47"/>
      <c r="AG1565"/>
      <c r="AH1565"/>
      <c r="AI1565"/>
      <c r="AJ1565"/>
      <c r="AK1565"/>
      <c r="AL1565"/>
      <c r="AM1565"/>
      <c r="AN1565"/>
      <c r="AO1565"/>
      <c r="AP1565"/>
      <c r="AQ1565" t="s">
        <v>2526</v>
      </c>
      <c r="AU1565">
        <v>1564</v>
      </c>
    </row>
    <row r="1566" spans="1:47" x14ac:dyDescent="0.2">
      <c r="A1566" s="133">
        <v>6394</v>
      </c>
      <c r="B1566" s="39" t="s">
        <v>45</v>
      </c>
      <c r="C1566" s="39" t="s">
        <v>156</v>
      </c>
      <c r="D1566" s="29"/>
      <c r="E1566" s="39" t="s">
        <v>2934</v>
      </c>
      <c r="F1566" s="47" t="s">
        <v>246</v>
      </c>
      <c r="G1566" s="47" t="s">
        <v>49</v>
      </c>
      <c r="H1566"/>
      <c r="I1566" s="47" t="s">
        <v>2935</v>
      </c>
      <c r="J1566" s="47"/>
      <c r="K1566" s="47"/>
      <c r="L1566" s="48"/>
      <c r="M1566" s="47"/>
      <c r="N1566" s="47"/>
      <c r="O1566" s="47"/>
      <c r="P1566" s="47"/>
      <c r="Q1566" s="47"/>
      <c r="R1566" s="47"/>
      <c r="S1566" s="48">
        <v>13</v>
      </c>
      <c r="T1566" s="47"/>
      <c r="U1566" s="47"/>
      <c r="V1566" s="47"/>
      <c r="W1566" s="47"/>
      <c r="X1566" s="47"/>
      <c r="Y1566" s="47"/>
      <c r="Z1566" s="47"/>
      <c r="AA1566" s="49"/>
      <c r="AB1566" s="49"/>
      <c r="AC1566" s="49"/>
      <c r="AD1566" s="50"/>
      <c r="AE1566" s="31" t="s">
        <v>2743</v>
      </c>
      <c r="AF1566" s="47">
        <v>80</v>
      </c>
      <c r="AG1566"/>
      <c r="AH1566"/>
      <c r="AI1566"/>
      <c r="AJ1566"/>
      <c r="AK1566"/>
      <c r="AL1566"/>
      <c r="AM1566"/>
      <c r="AN1566"/>
      <c r="AO1566"/>
      <c r="AP1566"/>
      <c r="AQ1566"/>
      <c r="AU1566">
        <v>1565</v>
      </c>
    </row>
    <row r="1567" spans="1:47" x14ac:dyDescent="0.2">
      <c r="A1567" s="133">
        <v>6394</v>
      </c>
      <c r="B1567" s="39" t="s">
        <v>45</v>
      </c>
      <c r="C1567" s="39" t="s">
        <v>142</v>
      </c>
      <c r="D1567" s="29"/>
      <c r="E1567" s="39" t="s">
        <v>2936</v>
      </c>
      <c r="F1567" s="47" t="s">
        <v>2937</v>
      </c>
      <c r="G1567" s="47" t="s">
        <v>73</v>
      </c>
      <c r="H1567"/>
      <c r="I1567" s="47" t="s">
        <v>2938</v>
      </c>
      <c r="J1567" s="47"/>
      <c r="K1567" s="47">
        <f>(24*10+5*25)*2.2</f>
        <v>803.00000000000011</v>
      </c>
      <c r="L1567" s="48">
        <v>2</v>
      </c>
      <c r="M1567" s="47"/>
      <c r="N1567" s="47"/>
      <c r="O1567" s="47"/>
      <c r="P1567" s="47"/>
      <c r="Q1567" s="47"/>
      <c r="R1567" s="47"/>
      <c r="S1567" s="48">
        <v>2</v>
      </c>
      <c r="T1567" s="47">
        <v>0</v>
      </c>
      <c r="U1567" s="47">
        <v>0</v>
      </c>
      <c r="V1567" s="47">
        <v>0</v>
      </c>
      <c r="W1567" s="47"/>
      <c r="X1567" s="47"/>
      <c r="Y1567" s="47" t="s">
        <v>51</v>
      </c>
      <c r="Z1567" s="47" t="s">
        <v>2203</v>
      </c>
      <c r="AA1567" s="49"/>
      <c r="AB1567" s="49"/>
      <c r="AC1567" s="49"/>
      <c r="AD1567" s="50"/>
      <c r="AE1567" s="47" t="s">
        <v>2470</v>
      </c>
      <c r="AF1567" s="47"/>
      <c r="AG1567"/>
      <c r="AH1567"/>
      <c r="AI1567"/>
      <c r="AJ1567"/>
      <c r="AK1567">
        <v>29</v>
      </c>
      <c r="AL1567"/>
      <c r="AM1567"/>
      <c r="AN1567"/>
      <c r="AO1567"/>
      <c r="AP1567"/>
      <c r="AQ1567" s="32" t="s">
        <v>2899</v>
      </c>
      <c r="AU1567">
        <v>1566</v>
      </c>
    </row>
    <row r="1568" spans="1:47" x14ac:dyDescent="0.2">
      <c r="A1568" s="26">
        <v>6394</v>
      </c>
      <c r="B1568" s="27">
        <v>0.53125</v>
      </c>
      <c r="C1568" s="28"/>
      <c r="D1568" s="29"/>
      <c r="E1568" s="30" t="s">
        <v>869</v>
      </c>
      <c r="H1568" s="32">
        <v>0</v>
      </c>
      <c r="I1568" s="32" t="s">
        <v>2461</v>
      </c>
      <c r="AG1568" s="32">
        <v>0</v>
      </c>
      <c r="AH1568" s="32">
        <v>0</v>
      </c>
      <c r="AI1568" s="32">
        <v>0</v>
      </c>
      <c r="AK1568" s="32">
        <v>0</v>
      </c>
      <c r="AL1568" s="32">
        <f>23/60</f>
        <v>0.38333333333333336</v>
      </c>
      <c r="AP1568" s="32">
        <f>23/60</f>
        <v>0.38333333333333336</v>
      </c>
      <c r="AQ1568" s="32" t="s">
        <v>589</v>
      </c>
      <c r="AU1568">
        <v>1567</v>
      </c>
    </row>
    <row r="1569" spans="1:47" x14ac:dyDescent="0.2">
      <c r="A1569" s="26">
        <v>6394</v>
      </c>
      <c r="B1569" s="27">
        <v>0.99652777777777779</v>
      </c>
      <c r="C1569" s="28"/>
      <c r="D1569" s="29"/>
      <c r="E1569" s="30" t="s">
        <v>1282</v>
      </c>
      <c r="H1569" s="32">
        <v>1</v>
      </c>
      <c r="I1569" s="32" t="s">
        <v>2939</v>
      </c>
      <c r="AG1569" s="32">
        <v>0</v>
      </c>
      <c r="AH1569" s="32">
        <v>0</v>
      </c>
      <c r="AK1569" s="32">
        <v>11</v>
      </c>
      <c r="AL1569" s="32">
        <f>2+2/3</f>
        <v>2.6666666666666665</v>
      </c>
      <c r="AP1569" s="32">
        <f>2+2/3</f>
        <v>2.6666666666666665</v>
      </c>
      <c r="AQ1569" s="32" t="s">
        <v>1101</v>
      </c>
      <c r="AU1569">
        <v>1568</v>
      </c>
    </row>
    <row r="1570" spans="1:47" x14ac:dyDescent="0.2">
      <c r="A1570" s="26">
        <v>6394</v>
      </c>
      <c r="B1570" s="27"/>
      <c r="C1570" s="28"/>
      <c r="D1570" s="29"/>
      <c r="E1570" s="102" t="s">
        <v>1421</v>
      </c>
      <c r="H1570" s="32">
        <v>1</v>
      </c>
      <c r="I1570" s="32" t="s">
        <v>2940</v>
      </c>
      <c r="AK1570" s="32">
        <v>44</v>
      </c>
      <c r="AO1570" s="73"/>
      <c r="AQ1570" s="32" t="s">
        <v>589</v>
      </c>
      <c r="AU1570">
        <v>1569</v>
      </c>
    </row>
    <row r="1571" spans="1:47" x14ac:dyDescent="0.2">
      <c r="A1571" s="133">
        <v>6395</v>
      </c>
      <c r="B1571" s="39" t="s">
        <v>45</v>
      </c>
      <c r="C1571" s="43" t="s">
        <v>2891</v>
      </c>
      <c r="D1571" s="29"/>
      <c r="E1571" s="36" t="s">
        <v>2941</v>
      </c>
      <c r="G1571" s="31" t="s">
        <v>69</v>
      </c>
      <c r="H1571" s="32"/>
      <c r="I1571" s="32" t="s">
        <v>2942</v>
      </c>
      <c r="K1571" s="31">
        <f>6*10*2.2</f>
        <v>132</v>
      </c>
      <c r="L1571" s="33">
        <v>6</v>
      </c>
      <c r="M1571" s="31">
        <v>5</v>
      </c>
      <c r="S1571" s="33">
        <v>1</v>
      </c>
      <c r="T1571" s="31">
        <v>0</v>
      </c>
      <c r="U1571" s="31">
        <v>0</v>
      </c>
      <c r="V1571" s="31">
        <v>2</v>
      </c>
      <c r="Y1571" s="31" t="s">
        <v>51</v>
      </c>
      <c r="Z1571" s="47" t="s">
        <v>2203</v>
      </c>
      <c r="AE1571" s="47" t="s">
        <v>2470</v>
      </c>
      <c r="AK1571" s="32">
        <v>6</v>
      </c>
      <c r="AO1571" s="73"/>
      <c r="AQ1571" s="32" t="s">
        <v>2899</v>
      </c>
      <c r="AU1571">
        <v>1570</v>
      </c>
    </row>
    <row r="1572" spans="1:47" x14ac:dyDescent="0.2">
      <c r="A1572" s="133">
        <v>6396</v>
      </c>
      <c r="B1572" s="39" t="s">
        <v>45</v>
      </c>
      <c r="C1572" s="43" t="s">
        <v>2891</v>
      </c>
      <c r="D1572" s="29"/>
      <c r="E1572" s="36" t="s">
        <v>2943</v>
      </c>
      <c r="F1572" s="31" t="s">
        <v>2944</v>
      </c>
      <c r="G1572" s="31" t="s">
        <v>73</v>
      </c>
      <c r="H1572" s="32"/>
      <c r="I1572" s="32" t="s">
        <v>2945</v>
      </c>
      <c r="K1572" s="31">
        <f>(33*10+7*25)*2.2</f>
        <v>1111</v>
      </c>
      <c r="L1572" s="33">
        <v>4</v>
      </c>
      <c r="S1572" s="33">
        <v>4</v>
      </c>
      <c r="T1572" s="31">
        <v>0</v>
      </c>
      <c r="U1572" s="31">
        <v>0</v>
      </c>
      <c r="V1572" s="31">
        <v>0</v>
      </c>
      <c r="Y1572" s="31" t="s">
        <v>51</v>
      </c>
      <c r="Z1572" s="47" t="s">
        <v>2203</v>
      </c>
      <c r="AE1572" s="47" t="s">
        <v>2470</v>
      </c>
      <c r="AK1572" s="32">
        <f>33+7</f>
        <v>40</v>
      </c>
      <c r="AO1572" s="73"/>
      <c r="AQ1572" s="32" t="s">
        <v>2899</v>
      </c>
      <c r="AU1572">
        <v>1571</v>
      </c>
    </row>
    <row r="1573" spans="1:47" x14ac:dyDescent="0.2">
      <c r="A1573" s="133">
        <v>6396</v>
      </c>
      <c r="B1573" s="39" t="s">
        <v>45</v>
      </c>
      <c r="C1573" s="39">
        <v>100</v>
      </c>
      <c r="D1573" s="29" t="b">
        <v>0</v>
      </c>
      <c r="E1573" s="39" t="s">
        <v>2946</v>
      </c>
      <c r="F1573" s="47" t="s">
        <v>2947</v>
      </c>
      <c r="G1573" s="47" t="s">
        <v>49</v>
      </c>
      <c r="H1573"/>
      <c r="I1573" s="47" t="b">
        <v>1</v>
      </c>
      <c r="J1573" s="47" t="b">
        <v>1</v>
      </c>
      <c r="K1573" s="47">
        <v>320</v>
      </c>
      <c r="L1573" s="48">
        <v>2</v>
      </c>
      <c r="M1573" s="47">
        <v>-1</v>
      </c>
      <c r="N1573" s="47">
        <v>-1</v>
      </c>
      <c r="O1573" s="47">
        <v>-1</v>
      </c>
      <c r="P1573" s="47">
        <v>-1</v>
      </c>
      <c r="Q1573" s="47">
        <v>-1</v>
      </c>
      <c r="R1573" s="47">
        <v>-1</v>
      </c>
      <c r="S1573" s="48">
        <v>2</v>
      </c>
      <c r="T1573" s="47">
        <v>0</v>
      </c>
      <c r="U1573" s="47">
        <v>0</v>
      </c>
      <c r="V1573" s="47">
        <v>0</v>
      </c>
      <c r="W1573" s="47">
        <v>800</v>
      </c>
      <c r="X1573" s="47">
        <v>119</v>
      </c>
      <c r="Y1573" s="47"/>
      <c r="Z1573" s="47" t="s">
        <v>2524</v>
      </c>
      <c r="AA1573" s="49"/>
      <c r="AB1573" s="49"/>
      <c r="AC1573" s="49"/>
      <c r="AD1573" s="50"/>
      <c r="AE1573" s="47" t="s">
        <v>2754</v>
      </c>
      <c r="AF1573" s="47"/>
      <c r="AG1573"/>
      <c r="AH1573"/>
      <c r="AI1573"/>
      <c r="AJ1573"/>
      <c r="AK1573"/>
      <c r="AL1573"/>
      <c r="AM1573"/>
      <c r="AN1573"/>
      <c r="AO1573"/>
      <c r="AP1573"/>
      <c r="AQ1573" t="s">
        <v>2526</v>
      </c>
      <c r="AU1573">
        <v>1572</v>
      </c>
    </row>
    <row r="1574" spans="1:47" x14ac:dyDescent="0.2">
      <c r="A1574" s="133">
        <v>6396</v>
      </c>
      <c r="B1574" s="39" t="s">
        <v>45</v>
      </c>
      <c r="C1574" s="39">
        <v>100</v>
      </c>
      <c r="D1574" s="29" t="b">
        <v>0</v>
      </c>
      <c r="E1574" s="39" t="s">
        <v>2948</v>
      </c>
      <c r="F1574" s="47" t="s">
        <v>529</v>
      </c>
      <c r="G1574" s="47" t="s">
        <v>205</v>
      </c>
      <c r="H1574"/>
      <c r="I1574" s="47" t="b">
        <v>0</v>
      </c>
      <c r="J1574" s="47" t="b">
        <v>0</v>
      </c>
      <c r="K1574" s="47">
        <v>120</v>
      </c>
      <c r="L1574" s="48">
        <v>2</v>
      </c>
      <c r="M1574" s="47">
        <v>-1</v>
      </c>
      <c r="N1574" s="47">
        <v>-1</v>
      </c>
      <c r="O1574" s="47">
        <v>-1</v>
      </c>
      <c r="P1574" s="47">
        <v>-1</v>
      </c>
      <c r="Q1574" s="47">
        <v>-1</v>
      </c>
      <c r="R1574" s="47">
        <v>-1</v>
      </c>
      <c r="S1574" s="48">
        <v>2</v>
      </c>
      <c r="T1574" s="47">
        <v>0</v>
      </c>
      <c r="U1574" s="47">
        <v>0</v>
      </c>
      <c r="V1574" s="47">
        <v>0</v>
      </c>
      <c r="W1574" s="47">
        <v>1000</v>
      </c>
      <c r="X1574" s="47">
        <v>120</v>
      </c>
      <c r="Y1574" s="47"/>
      <c r="Z1574" s="47" t="s">
        <v>2524</v>
      </c>
      <c r="AA1574" s="49"/>
      <c r="AB1574" s="49"/>
      <c r="AC1574" s="49"/>
      <c r="AD1574" s="50"/>
      <c r="AE1574" s="47" t="s">
        <v>2754</v>
      </c>
      <c r="AF1574" s="47"/>
      <c r="AG1574"/>
      <c r="AH1574"/>
      <c r="AI1574"/>
      <c r="AJ1574"/>
      <c r="AK1574"/>
      <c r="AL1574"/>
      <c r="AM1574"/>
      <c r="AN1574"/>
      <c r="AO1574"/>
      <c r="AP1574"/>
      <c r="AQ1574" t="s">
        <v>2526</v>
      </c>
      <c r="AU1574">
        <v>1573</v>
      </c>
    </row>
    <row r="1575" spans="1:47" x14ac:dyDescent="0.2">
      <c r="A1575" s="133">
        <v>6396</v>
      </c>
      <c r="B1575" s="39" t="s">
        <v>45</v>
      </c>
      <c r="C1575" s="39">
        <v>100</v>
      </c>
      <c r="D1575" s="29" t="b">
        <v>0</v>
      </c>
      <c r="E1575" s="39" t="s">
        <v>2949</v>
      </c>
      <c r="F1575" s="47" t="s">
        <v>57</v>
      </c>
      <c r="G1575" s="47" t="s">
        <v>49</v>
      </c>
      <c r="H1575"/>
      <c r="I1575" s="47" t="b">
        <v>0</v>
      </c>
      <c r="J1575" s="47" t="b">
        <v>0</v>
      </c>
      <c r="K1575" s="47">
        <v>160</v>
      </c>
      <c r="L1575" s="48">
        <v>2</v>
      </c>
      <c r="M1575" s="47">
        <v>-1</v>
      </c>
      <c r="N1575" s="47">
        <v>-1</v>
      </c>
      <c r="O1575" s="47">
        <v>-1</v>
      </c>
      <c r="P1575" s="47">
        <v>-1</v>
      </c>
      <c r="Q1575" s="47">
        <v>-1</v>
      </c>
      <c r="R1575" s="47">
        <v>-1</v>
      </c>
      <c r="S1575" s="48">
        <v>2</v>
      </c>
      <c r="T1575" s="47">
        <v>0</v>
      </c>
      <c r="U1575" s="47">
        <v>0</v>
      </c>
      <c r="V1575" s="47">
        <v>0</v>
      </c>
      <c r="W1575" s="47">
        <v>900</v>
      </c>
      <c r="X1575" s="47">
        <v>117</v>
      </c>
      <c r="Y1575" s="47"/>
      <c r="Z1575" s="47" t="s">
        <v>2524</v>
      </c>
      <c r="AA1575" s="49"/>
      <c r="AB1575" s="49"/>
      <c r="AC1575" s="49"/>
      <c r="AD1575" s="50"/>
      <c r="AE1575" s="47" t="s">
        <v>2754</v>
      </c>
      <c r="AF1575" s="47">
        <v>50</v>
      </c>
      <c r="AG1575"/>
      <c r="AH1575"/>
      <c r="AI1575"/>
      <c r="AJ1575"/>
      <c r="AK1575"/>
      <c r="AL1575"/>
      <c r="AM1575"/>
      <c r="AN1575"/>
      <c r="AO1575"/>
      <c r="AP1575"/>
      <c r="AQ1575" t="s">
        <v>2526</v>
      </c>
      <c r="AU1575">
        <v>1574</v>
      </c>
    </row>
    <row r="1576" spans="1:47" x14ac:dyDescent="0.2">
      <c r="A1576" s="133">
        <v>6396</v>
      </c>
      <c r="B1576" s="39" t="s">
        <v>45</v>
      </c>
      <c r="C1576" s="39">
        <v>100</v>
      </c>
      <c r="D1576" s="29" t="b">
        <v>0</v>
      </c>
      <c r="E1576" s="39" t="s">
        <v>2950</v>
      </c>
      <c r="F1576" s="47" t="s">
        <v>57</v>
      </c>
      <c r="G1576" s="47" t="s">
        <v>49</v>
      </c>
      <c r="H1576"/>
      <c r="I1576" s="47" t="b">
        <v>0</v>
      </c>
      <c r="J1576" s="47" t="b">
        <v>0</v>
      </c>
      <c r="K1576" s="47">
        <v>40</v>
      </c>
      <c r="L1576" s="48">
        <v>2</v>
      </c>
      <c r="M1576" s="47">
        <v>-1</v>
      </c>
      <c r="N1576" s="47">
        <v>-1</v>
      </c>
      <c r="O1576" s="47">
        <v>-1</v>
      </c>
      <c r="P1576" s="47">
        <v>-1</v>
      </c>
      <c r="Q1576" s="47">
        <v>-1</v>
      </c>
      <c r="R1576" s="47">
        <v>-1</v>
      </c>
      <c r="S1576" s="48">
        <v>2</v>
      </c>
      <c r="T1576" s="47">
        <v>0</v>
      </c>
      <c r="U1576" s="47">
        <v>0</v>
      </c>
      <c r="V1576" s="47">
        <v>0</v>
      </c>
      <c r="W1576" s="47">
        <v>500</v>
      </c>
      <c r="X1576" s="47">
        <v>118</v>
      </c>
      <c r="Y1576" s="47"/>
      <c r="Z1576" s="47" t="s">
        <v>2524</v>
      </c>
      <c r="AA1576" s="49"/>
      <c r="AB1576" s="49"/>
      <c r="AC1576" s="49"/>
      <c r="AD1576" s="50"/>
      <c r="AE1576" s="47" t="s">
        <v>2754</v>
      </c>
      <c r="AF1576" s="47">
        <v>65</v>
      </c>
      <c r="AG1576"/>
      <c r="AH1576"/>
      <c r="AI1576"/>
      <c r="AJ1576"/>
      <c r="AK1576"/>
      <c r="AL1576"/>
      <c r="AM1576"/>
      <c r="AN1576"/>
      <c r="AO1576"/>
      <c r="AP1576"/>
      <c r="AQ1576" t="s">
        <v>2526</v>
      </c>
      <c r="AU1576">
        <v>1575</v>
      </c>
    </row>
    <row r="1577" spans="1:47" x14ac:dyDescent="0.2">
      <c r="A1577" s="26">
        <v>6396</v>
      </c>
      <c r="B1577" s="27" t="s">
        <v>45</v>
      </c>
      <c r="C1577" s="28"/>
      <c r="D1577" s="29"/>
      <c r="E1577" s="30" t="s">
        <v>1531</v>
      </c>
      <c r="H1577" s="32">
        <v>0</v>
      </c>
      <c r="I1577" s="32" t="s">
        <v>1532</v>
      </c>
      <c r="AG1577" s="32">
        <v>0</v>
      </c>
      <c r="AH1577" s="32">
        <v>0</v>
      </c>
      <c r="AI1577" s="32">
        <v>0</v>
      </c>
      <c r="AK1577" s="32">
        <v>0</v>
      </c>
      <c r="AM1577" s="32">
        <f>498*63</f>
        <v>31374</v>
      </c>
      <c r="AO1577" s="32" t="s">
        <v>1533</v>
      </c>
      <c r="AQ1577" s="32" t="s">
        <v>1101</v>
      </c>
      <c r="AU1577">
        <v>1576</v>
      </c>
    </row>
    <row r="1578" spans="1:47" x14ac:dyDescent="0.2">
      <c r="A1578" s="26">
        <v>6396</v>
      </c>
      <c r="B1578" s="27" t="s">
        <v>45</v>
      </c>
      <c r="C1578" s="28"/>
      <c r="D1578" s="29"/>
      <c r="E1578" s="150" t="s">
        <v>2286</v>
      </c>
      <c r="H1578" s="32">
        <v>0</v>
      </c>
      <c r="I1578" s="32" t="s">
        <v>1824</v>
      </c>
      <c r="AG1578" s="32">
        <v>0</v>
      </c>
      <c r="AH1578" s="32">
        <v>0</v>
      </c>
      <c r="AI1578" s="32">
        <v>0</v>
      </c>
      <c r="AK1578" s="32">
        <v>0</v>
      </c>
      <c r="AM1578" s="32">
        <v>5000</v>
      </c>
      <c r="AO1578" s="73" t="s">
        <v>75</v>
      </c>
      <c r="AQ1578" s="32" t="s">
        <v>589</v>
      </c>
      <c r="AU1578">
        <v>1577</v>
      </c>
    </row>
    <row r="1579" spans="1:47" x14ac:dyDescent="0.2">
      <c r="A1579" s="133">
        <v>6397</v>
      </c>
      <c r="B1579" s="39" t="s">
        <v>85</v>
      </c>
      <c r="C1579" s="39" t="s">
        <v>142</v>
      </c>
      <c r="D1579" s="29" t="b">
        <v>0</v>
      </c>
      <c r="E1579" s="39" t="s">
        <v>2951</v>
      </c>
      <c r="F1579" s="47" t="s">
        <v>2952</v>
      </c>
      <c r="G1579" s="31" t="s">
        <v>73</v>
      </c>
      <c r="H1579" s="32"/>
      <c r="I1579" s="32" t="s">
        <v>2953</v>
      </c>
      <c r="K1579" s="31">
        <f>44*10*2.2</f>
        <v>968.00000000000011</v>
      </c>
      <c r="L1579" s="33">
        <v>11</v>
      </c>
      <c r="S1579" s="33">
        <v>11</v>
      </c>
      <c r="T1579" s="31">
        <v>0</v>
      </c>
      <c r="U1579" s="31">
        <v>0</v>
      </c>
      <c r="V1579" s="31">
        <v>0</v>
      </c>
      <c r="Y1579" s="31" t="s">
        <v>51</v>
      </c>
      <c r="Z1579" s="31" t="s">
        <v>1809</v>
      </c>
      <c r="AE1579" s="47" t="s">
        <v>2470</v>
      </c>
      <c r="AK1579" s="32">
        <v>44</v>
      </c>
      <c r="AO1579" s="73"/>
      <c r="AQ1579" s="32" t="s">
        <v>2954</v>
      </c>
      <c r="AU1579">
        <v>1578</v>
      </c>
    </row>
    <row r="1580" spans="1:47" x14ac:dyDescent="0.2">
      <c r="A1580" s="133">
        <v>6397</v>
      </c>
      <c r="B1580" s="39" t="s">
        <v>45</v>
      </c>
      <c r="C1580" s="39">
        <v>100</v>
      </c>
      <c r="D1580" s="29" t="b">
        <v>0</v>
      </c>
      <c r="E1580" s="39" t="s">
        <v>2955</v>
      </c>
      <c r="F1580" s="47" t="s">
        <v>1969</v>
      </c>
      <c r="G1580" s="47" t="s">
        <v>205</v>
      </c>
      <c r="H1580"/>
      <c r="I1580" s="47" t="b">
        <v>1</v>
      </c>
      <c r="J1580" s="47" t="b">
        <v>1</v>
      </c>
      <c r="K1580" s="47">
        <v>2190</v>
      </c>
      <c r="L1580" s="48">
        <v>12</v>
      </c>
      <c r="M1580" s="47">
        <v>-1</v>
      </c>
      <c r="N1580" s="47">
        <v>-1</v>
      </c>
      <c r="O1580" s="47">
        <v>-1</v>
      </c>
      <c r="P1580" s="47">
        <v>-1</v>
      </c>
      <c r="Q1580" s="47">
        <v>-1</v>
      </c>
      <c r="R1580" s="47">
        <v>-1</v>
      </c>
      <c r="S1580" s="48">
        <v>12</v>
      </c>
      <c r="T1580" s="47">
        <v>0</v>
      </c>
      <c r="U1580" s="47">
        <v>0</v>
      </c>
      <c r="V1580" s="47">
        <v>1</v>
      </c>
      <c r="W1580" s="47">
        <v>-1</v>
      </c>
      <c r="X1580" s="47">
        <v>122</v>
      </c>
      <c r="Y1580" s="47"/>
      <c r="Z1580" s="47" t="s">
        <v>2524</v>
      </c>
      <c r="AA1580" s="49"/>
      <c r="AB1580" s="49"/>
      <c r="AC1580" s="49"/>
      <c r="AD1580" s="50"/>
      <c r="AE1580" s="47" t="s">
        <v>2754</v>
      </c>
      <c r="AF1580" s="47"/>
      <c r="AG1580"/>
      <c r="AH1580"/>
      <c r="AI1580"/>
      <c r="AJ1580"/>
      <c r="AK1580"/>
      <c r="AL1580"/>
      <c r="AM1580"/>
      <c r="AN1580"/>
      <c r="AO1580"/>
      <c r="AP1580"/>
      <c r="AQ1580" t="s">
        <v>2526</v>
      </c>
      <c r="AU1580">
        <v>1579</v>
      </c>
    </row>
    <row r="1581" spans="1:47" x14ac:dyDescent="0.2">
      <c r="A1581" s="133">
        <v>6397</v>
      </c>
      <c r="B1581" s="39" t="s">
        <v>45</v>
      </c>
      <c r="C1581" s="39">
        <v>100</v>
      </c>
      <c r="D1581" s="29" t="b">
        <v>0</v>
      </c>
      <c r="E1581" s="39" t="s">
        <v>2948</v>
      </c>
      <c r="F1581" s="47" t="s">
        <v>529</v>
      </c>
      <c r="G1581" s="47" t="s">
        <v>205</v>
      </c>
      <c r="H1581"/>
      <c r="I1581" s="47" t="b">
        <v>0</v>
      </c>
      <c r="J1581" s="47" t="b">
        <v>0</v>
      </c>
      <c r="K1581" s="47">
        <v>1960</v>
      </c>
      <c r="L1581" s="48">
        <v>12</v>
      </c>
      <c r="M1581" s="47">
        <v>-1</v>
      </c>
      <c r="N1581" s="47">
        <v>-1</v>
      </c>
      <c r="O1581" s="47">
        <v>-1</v>
      </c>
      <c r="P1581" s="47">
        <v>-1</v>
      </c>
      <c r="Q1581" s="47">
        <v>-1</v>
      </c>
      <c r="R1581" s="47">
        <v>-1</v>
      </c>
      <c r="S1581" s="48">
        <v>12</v>
      </c>
      <c r="T1581" s="47">
        <v>0</v>
      </c>
      <c r="U1581" s="47">
        <v>0</v>
      </c>
      <c r="V1581" s="47">
        <v>1</v>
      </c>
      <c r="W1581" s="47">
        <v>-1</v>
      </c>
      <c r="X1581" s="47">
        <v>123</v>
      </c>
      <c r="Y1581" s="47"/>
      <c r="Z1581" s="47" t="s">
        <v>2524</v>
      </c>
      <c r="AA1581" s="49"/>
      <c r="AB1581" s="49"/>
      <c r="AC1581" s="49"/>
      <c r="AD1581" s="50"/>
      <c r="AE1581" s="47" t="s">
        <v>2754</v>
      </c>
      <c r="AF1581" s="47"/>
      <c r="AG1581"/>
      <c r="AH1581"/>
      <c r="AI1581"/>
      <c r="AJ1581"/>
      <c r="AK1581"/>
      <c r="AL1581"/>
      <c r="AM1581"/>
      <c r="AN1581"/>
      <c r="AO1581"/>
      <c r="AP1581"/>
      <c r="AQ1581" t="s">
        <v>2526</v>
      </c>
      <c r="AU1581">
        <v>1580</v>
      </c>
    </row>
    <row r="1582" spans="1:47" x14ac:dyDescent="0.2">
      <c r="A1582" s="133">
        <v>6397</v>
      </c>
      <c r="B1582" s="39" t="s">
        <v>45</v>
      </c>
      <c r="C1582" s="39">
        <v>100</v>
      </c>
      <c r="D1582" s="29" t="b">
        <v>0</v>
      </c>
      <c r="E1582" s="39" t="s">
        <v>2956</v>
      </c>
      <c r="F1582" s="47" t="s">
        <v>529</v>
      </c>
      <c r="G1582" s="47" t="s">
        <v>205</v>
      </c>
      <c r="H1582"/>
      <c r="I1582" s="47" t="b">
        <v>0</v>
      </c>
      <c r="J1582" s="47" t="b">
        <v>0</v>
      </c>
      <c r="K1582" s="47">
        <v>230</v>
      </c>
      <c r="L1582" s="48">
        <v>12</v>
      </c>
      <c r="M1582" s="47">
        <v>-1</v>
      </c>
      <c r="N1582" s="47">
        <v>-1</v>
      </c>
      <c r="O1582" s="47">
        <v>-1</v>
      </c>
      <c r="P1582" s="47">
        <v>-1</v>
      </c>
      <c r="Q1582" s="47">
        <v>-1</v>
      </c>
      <c r="R1582" s="47">
        <v>-1</v>
      </c>
      <c r="S1582" s="48">
        <v>12</v>
      </c>
      <c r="T1582" s="47">
        <v>0</v>
      </c>
      <c r="U1582" s="47">
        <v>0</v>
      </c>
      <c r="V1582" s="47">
        <v>1</v>
      </c>
      <c r="W1582" s="47">
        <v>-1</v>
      </c>
      <c r="X1582" s="47">
        <v>121</v>
      </c>
      <c r="Y1582" s="47"/>
      <c r="Z1582" s="47" t="s">
        <v>2524</v>
      </c>
      <c r="AA1582" s="49"/>
      <c r="AB1582" s="49"/>
      <c r="AC1582" s="49"/>
      <c r="AD1582" s="50"/>
      <c r="AE1582" s="47" t="s">
        <v>2754</v>
      </c>
      <c r="AF1582" s="47">
        <v>65</v>
      </c>
      <c r="AG1582"/>
      <c r="AH1582"/>
      <c r="AI1582"/>
      <c r="AJ1582"/>
      <c r="AK1582"/>
      <c r="AL1582"/>
      <c r="AM1582"/>
      <c r="AN1582"/>
      <c r="AO1582"/>
      <c r="AP1582"/>
      <c r="AQ1582" t="s">
        <v>2526</v>
      </c>
      <c r="AU1582">
        <v>1581</v>
      </c>
    </row>
    <row r="1583" spans="1:47" x14ac:dyDescent="0.2">
      <c r="A1583" s="133">
        <v>6397</v>
      </c>
      <c r="B1583" s="39" t="s">
        <v>45</v>
      </c>
      <c r="C1583" s="39" t="s">
        <v>156</v>
      </c>
      <c r="D1583" s="29"/>
      <c r="E1583" s="39" t="s">
        <v>2957</v>
      </c>
      <c r="F1583" s="47" t="s">
        <v>2958</v>
      </c>
      <c r="G1583" s="47" t="s">
        <v>73</v>
      </c>
      <c r="H1583"/>
      <c r="I1583" s="47" t="s">
        <v>2959</v>
      </c>
      <c r="J1583" s="47"/>
      <c r="K1583" s="47"/>
      <c r="L1583" s="48"/>
      <c r="M1583" s="47"/>
      <c r="N1583" s="47"/>
      <c r="O1583" s="47"/>
      <c r="P1583" s="47"/>
      <c r="Q1583" s="47"/>
      <c r="R1583" s="47"/>
      <c r="S1583" s="48"/>
      <c r="T1583" s="47"/>
      <c r="U1583" s="47"/>
      <c r="V1583" s="47"/>
      <c r="W1583" s="47"/>
      <c r="X1583" s="47"/>
      <c r="Y1583" s="47"/>
      <c r="Z1583" s="47"/>
      <c r="AA1583" s="49"/>
      <c r="AB1583" s="49"/>
      <c r="AC1583" s="49"/>
      <c r="AD1583" s="50"/>
      <c r="AE1583" s="31" t="s">
        <v>2743</v>
      </c>
      <c r="AF1583" s="47"/>
      <c r="AG1583"/>
      <c r="AH1583"/>
      <c r="AI1583"/>
      <c r="AJ1583"/>
      <c r="AK1583"/>
      <c r="AL1583"/>
      <c r="AM1583"/>
      <c r="AN1583"/>
      <c r="AO1583"/>
      <c r="AP1583"/>
      <c r="AQ1583"/>
      <c r="AU1583">
        <v>1582</v>
      </c>
    </row>
    <row r="1584" spans="1:47" x14ac:dyDescent="0.2">
      <c r="A1584" s="133">
        <v>6397</v>
      </c>
      <c r="B1584" s="39" t="s">
        <v>45</v>
      </c>
      <c r="C1584" s="39" t="s">
        <v>2900</v>
      </c>
      <c r="D1584" s="29"/>
      <c r="E1584" s="39" t="s">
        <v>2960</v>
      </c>
      <c r="F1584" s="47" t="s">
        <v>2961</v>
      </c>
      <c r="G1584" s="47" t="s">
        <v>459</v>
      </c>
      <c r="H1584"/>
      <c r="I1584" s="47" t="b">
        <v>1</v>
      </c>
      <c r="J1584" s="47" t="b">
        <v>1</v>
      </c>
      <c r="K1584" s="47">
        <f>400*2.2</f>
        <v>880.00000000000011</v>
      </c>
      <c r="L1584" s="48">
        <v>4</v>
      </c>
      <c r="M1584" s="47"/>
      <c r="N1584" s="47"/>
      <c r="O1584" s="47"/>
      <c r="P1584" s="47">
        <v>2</v>
      </c>
      <c r="Q1584" s="47"/>
      <c r="R1584" s="47"/>
      <c r="S1584" s="48">
        <v>4</v>
      </c>
      <c r="T1584" s="47">
        <v>1</v>
      </c>
      <c r="U1584" s="47">
        <v>0</v>
      </c>
      <c r="V1584" s="47">
        <v>1</v>
      </c>
      <c r="W1584" s="47"/>
      <c r="X1584" s="47"/>
      <c r="Y1584" s="47" t="s">
        <v>51</v>
      </c>
      <c r="Z1584" s="47" t="s">
        <v>1809</v>
      </c>
      <c r="AA1584" s="49">
        <v>0.87847222222222221</v>
      </c>
      <c r="AB1584" s="49">
        <v>0.17708333333333334</v>
      </c>
      <c r="AC1584" s="119">
        <v>2.7777777777777776E-2</v>
      </c>
      <c r="AD1584" s="50">
        <f>7+1/6</f>
        <v>7.166666666666667</v>
      </c>
      <c r="AE1584" s="47" t="s">
        <v>2470</v>
      </c>
      <c r="AF1584" s="47"/>
      <c r="AG1584"/>
      <c r="AH1584"/>
      <c r="AI1584"/>
      <c r="AJ1584"/>
      <c r="AK1584">
        <v>40</v>
      </c>
      <c r="AL1584"/>
      <c r="AM1584"/>
      <c r="AN1584"/>
      <c r="AO1584"/>
      <c r="AP1584"/>
      <c r="AQ1584" s="32" t="s">
        <v>2962</v>
      </c>
      <c r="AR1584" s="47" t="s">
        <v>2963</v>
      </c>
      <c r="AU1584">
        <v>1583</v>
      </c>
    </row>
    <row r="1585" spans="1:47" x14ac:dyDescent="0.2">
      <c r="A1585" s="133">
        <v>6397</v>
      </c>
      <c r="B1585" s="39" t="s">
        <v>45</v>
      </c>
      <c r="C1585" s="39" t="s">
        <v>2900</v>
      </c>
      <c r="D1585" s="29"/>
      <c r="E1585" s="39" t="s">
        <v>2062</v>
      </c>
      <c r="F1585" s="47" t="s">
        <v>1663</v>
      </c>
      <c r="G1585" s="47" t="s">
        <v>459</v>
      </c>
      <c r="H1585"/>
      <c r="I1585" s="47" t="b">
        <v>0</v>
      </c>
      <c r="J1585" s="47" t="b">
        <v>0</v>
      </c>
      <c r="K1585" s="47">
        <f>20*10*2.2</f>
        <v>440.00000000000006</v>
      </c>
      <c r="L1585" s="48"/>
      <c r="M1585" s="47"/>
      <c r="N1585" s="47"/>
      <c r="O1585" s="47"/>
      <c r="P1585" s="47">
        <v>0</v>
      </c>
      <c r="Q1585" s="47"/>
      <c r="R1585" s="47"/>
      <c r="S1585" s="48">
        <v>2</v>
      </c>
      <c r="T1585" s="47">
        <v>1</v>
      </c>
      <c r="U1585" s="47">
        <v>0</v>
      </c>
      <c r="V1585" s="47">
        <v>1</v>
      </c>
      <c r="W1585" s="47"/>
      <c r="X1585" s="47"/>
      <c r="Y1585" s="47" t="s">
        <v>51</v>
      </c>
      <c r="Z1585" s="47" t="s">
        <v>1809</v>
      </c>
      <c r="AA1585" s="49"/>
      <c r="AB1585" s="49"/>
      <c r="AC1585" s="49"/>
      <c r="AD1585" s="50"/>
      <c r="AE1585" s="47" t="s">
        <v>2470</v>
      </c>
      <c r="AF1585" s="47"/>
      <c r="AG1585"/>
      <c r="AH1585"/>
      <c r="AI1585"/>
      <c r="AJ1585"/>
      <c r="AK1585">
        <v>20</v>
      </c>
      <c r="AL1585"/>
      <c r="AM1585"/>
      <c r="AN1585"/>
      <c r="AO1585"/>
      <c r="AP1585"/>
      <c r="AQ1585" s="32" t="s">
        <v>2962</v>
      </c>
      <c r="AU1585">
        <v>1584</v>
      </c>
    </row>
    <row r="1586" spans="1:47" x14ac:dyDescent="0.2">
      <c r="A1586" s="133">
        <v>6397</v>
      </c>
      <c r="B1586" s="39" t="s">
        <v>45</v>
      </c>
      <c r="C1586" s="39" t="s">
        <v>2900</v>
      </c>
      <c r="D1586" s="29"/>
      <c r="E1586" s="39" t="s">
        <v>2964</v>
      </c>
      <c r="F1586" s="31" t="s">
        <v>1191</v>
      </c>
      <c r="G1586" s="31" t="s">
        <v>73</v>
      </c>
      <c r="I1586" s="47" t="b">
        <v>0</v>
      </c>
      <c r="J1586" s="47" t="b">
        <v>0</v>
      </c>
      <c r="K1586" s="31">
        <f>10*10*2.2</f>
        <v>220.00000000000003</v>
      </c>
      <c r="P1586" s="31">
        <v>1</v>
      </c>
      <c r="S1586" s="33">
        <v>1</v>
      </c>
      <c r="T1586" s="31">
        <v>0</v>
      </c>
      <c r="U1586" s="31">
        <v>0</v>
      </c>
      <c r="V1586" s="31">
        <v>0</v>
      </c>
      <c r="Y1586" s="47" t="s">
        <v>51</v>
      </c>
      <c r="Z1586" s="47" t="s">
        <v>1809</v>
      </c>
      <c r="AA1586" s="49"/>
      <c r="AB1586" s="49"/>
      <c r="AC1586" s="49"/>
      <c r="AD1586" s="50"/>
      <c r="AE1586" s="47" t="s">
        <v>2470</v>
      </c>
      <c r="AF1586" s="31">
        <v>325</v>
      </c>
      <c r="AK1586" s="32">
        <v>10</v>
      </c>
      <c r="AQ1586" s="32" t="s">
        <v>2962</v>
      </c>
      <c r="AU1586">
        <v>1585</v>
      </c>
    </row>
    <row r="1587" spans="1:47" x14ac:dyDescent="0.2">
      <c r="A1587" s="133">
        <v>6397</v>
      </c>
      <c r="B1587" s="39" t="s">
        <v>45</v>
      </c>
      <c r="C1587" s="39" t="s">
        <v>2900</v>
      </c>
      <c r="D1587" s="29"/>
      <c r="E1587" s="39" t="s">
        <v>1006</v>
      </c>
      <c r="F1587" s="47" t="s">
        <v>150</v>
      </c>
      <c r="G1587" s="31" t="s">
        <v>49</v>
      </c>
      <c r="I1587" s="47" t="b">
        <v>0</v>
      </c>
      <c r="J1587" s="47" t="b">
        <v>0</v>
      </c>
      <c r="K1587" s="31">
        <f>10*10*2.2</f>
        <v>220.00000000000003</v>
      </c>
      <c r="P1587" s="31">
        <v>1</v>
      </c>
      <c r="S1587" s="33">
        <v>1</v>
      </c>
      <c r="T1587" s="31">
        <v>0</v>
      </c>
      <c r="U1587" s="31">
        <v>0</v>
      </c>
      <c r="V1587" s="31">
        <v>0</v>
      </c>
      <c r="Y1587" s="47" t="s">
        <v>51</v>
      </c>
      <c r="Z1587" s="47" t="s">
        <v>1809</v>
      </c>
      <c r="AA1587" s="49"/>
      <c r="AB1587" s="49"/>
      <c r="AC1587" s="49"/>
      <c r="AD1587" s="50"/>
      <c r="AE1587" s="47" t="s">
        <v>2470</v>
      </c>
      <c r="AK1587" s="32">
        <v>10</v>
      </c>
      <c r="AQ1587" s="32" t="s">
        <v>2962</v>
      </c>
      <c r="AU1587">
        <v>1586</v>
      </c>
    </row>
    <row r="1588" spans="1:47" x14ac:dyDescent="0.2">
      <c r="A1588" s="133">
        <v>6397</v>
      </c>
      <c r="B1588" s="39" t="s">
        <v>45</v>
      </c>
      <c r="C1588" s="39" t="s">
        <v>2965</v>
      </c>
      <c r="D1588" s="29"/>
      <c r="E1588" s="39" t="s">
        <v>1006</v>
      </c>
      <c r="F1588" s="47" t="s">
        <v>150</v>
      </c>
      <c r="G1588" s="47" t="s">
        <v>49</v>
      </c>
      <c r="H1588"/>
      <c r="I1588" s="47" t="s">
        <v>2966</v>
      </c>
      <c r="J1588" s="47"/>
      <c r="K1588" s="47">
        <f>2650*2.2</f>
        <v>5830.0000000000009</v>
      </c>
      <c r="L1588" s="48">
        <v>11</v>
      </c>
      <c r="M1588" s="47"/>
      <c r="N1588" s="47"/>
      <c r="O1588" s="47"/>
      <c r="P1588" s="47"/>
      <c r="Q1588" s="47"/>
      <c r="R1588" s="47"/>
      <c r="S1588" s="48">
        <v>11</v>
      </c>
      <c r="T1588" s="47"/>
      <c r="U1588" s="47"/>
      <c r="V1588" s="47"/>
      <c r="W1588" s="47"/>
      <c r="X1588" s="47"/>
      <c r="Y1588" s="47"/>
      <c r="Z1588" s="47"/>
      <c r="AA1588" s="49">
        <v>0.95138888888888884</v>
      </c>
      <c r="AB1588" s="49"/>
      <c r="AC1588" s="49"/>
      <c r="AD1588" s="50"/>
      <c r="AE1588" s="47"/>
      <c r="AF1588" s="47"/>
      <c r="AG1588"/>
      <c r="AH1588"/>
      <c r="AI1588"/>
      <c r="AJ1588"/>
      <c r="AK1588"/>
      <c r="AL1588"/>
      <c r="AM1588"/>
      <c r="AN1588"/>
      <c r="AO1588"/>
      <c r="AP1588"/>
      <c r="AQ1588" s="32" t="s">
        <v>2967</v>
      </c>
      <c r="AU1588">
        <v>1587</v>
      </c>
    </row>
    <row r="1589" spans="1:47" x14ac:dyDescent="0.2">
      <c r="A1589" s="133">
        <v>6397</v>
      </c>
      <c r="B1589" s="39" t="s">
        <v>45</v>
      </c>
      <c r="C1589" s="39" t="s">
        <v>142</v>
      </c>
      <c r="D1589" s="29"/>
      <c r="E1589" s="39" t="s">
        <v>2968</v>
      </c>
      <c r="F1589" s="47" t="s">
        <v>2969</v>
      </c>
      <c r="G1589" s="47" t="s">
        <v>73</v>
      </c>
      <c r="H1589"/>
      <c r="I1589" s="47" t="s">
        <v>2970</v>
      </c>
      <c r="J1589" s="47"/>
      <c r="K1589" s="47">
        <f>(116*10+35*25)*2.2</f>
        <v>4477</v>
      </c>
      <c r="L1589" s="48">
        <v>16</v>
      </c>
      <c r="M1589" s="47"/>
      <c r="N1589" s="47">
        <v>3</v>
      </c>
      <c r="O1589" s="47"/>
      <c r="P1589" s="47"/>
      <c r="Q1589" s="47"/>
      <c r="R1589" s="47"/>
      <c r="S1589" s="48">
        <v>13</v>
      </c>
      <c r="T1589" s="47">
        <v>0</v>
      </c>
      <c r="U1589" s="47">
        <v>0</v>
      </c>
      <c r="V1589" s="47">
        <v>0</v>
      </c>
      <c r="W1589" s="47"/>
      <c r="X1589" s="47"/>
      <c r="Y1589" s="47" t="s">
        <v>51</v>
      </c>
      <c r="Z1589" s="47" t="s">
        <v>2865</v>
      </c>
      <c r="AA1589" s="49"/>
      <c r="AB1589" s="49"/>
      <c r="AC1589" s="49"/>
      <c r="AD1589" s="50"/>
      <c r="AE1589" s="47" t="s">
        <v>2470</v>
      </c>
      <c r="AF1589" s="47"/>
      <c r="AG1589"/>
      <c r="AH1589"/>
      <c r="AI1589"/>
      <c r="AJ1589"/>
      <c r="AK1589">
        <f>116+35</f>
        <v>151</v>
      </c>
      <c r="AL1589"/>
      <c r="AM1589"/>
      <c r="AN1589"/>
      <c r="AO1589"/>
      <c r="AP1589"/>
      <c r="AQ1589" s="32" t="s">
        <v>2954</v>
      </c>
      <c r="AU1589">
        <v>1588</v>
      </c>
    </row>
    <row r="1590" spans="1:47" x14ac:dyDescent="0.2">
      <c r="A1590" s="133">
        <v>6397</v>
      </c>
      <c r="B1590" s="39" t="s">
        <v>45</v>
      </c>
      <c r="C1590" s="39" t="s">
        <v>2971</v>
      </c>
      <c r="D1590" s="29"/>
      <c r="E1590" s="39" t="s">
        <v>631</v>
      </c>
      <c r="F1590" s="47" t="s">
        <v>626</v>
      </c>
      <c r="G1590" s="47"/>
      <c r="H1590"/>
      <c r="I1590" s="47" t="s">
        <v>2972</v>
      </c>
      <c r="J1590" s="47"/>
      <c r="K1590" s="47">
        <f>250*2.2</f>
        <v>550</v>
      </c>
      <c r="L1590" s="48"/>
      <c r="M1590" s="47"/>
      <c r="N1590" s="47"/>
      <c r="O1590" s="47"/>
      <c r="P1590" s="47"/>
      <c r="Q1590" s="47"/>
      <c r="R1590" s="47"/>
      <c r="S1590" s="48"/>
      <c r="T1590" s="47"/>
      <c r="U1590" s="47"/>
      <c r="V1590" s="47"/>
      <c r="W1590" s="47"/>
      <c r="X1590" s="47"/>
      <c r="Y1590" s="47"/>
      <c r="Z1590" s="47" t="s">
        <v>1080</v>
      </c>
      <c r="AA1590" s="49"/>
      <c r="AB1590" s="49"/>
      <c r="AC1590" s="49"/>
      <c r="AD1590" s="50"/>
      <c r="AE1590" s="47" t="s">
        <v>1312</v>
      </c>
      <c r="AF1590" s="47">
        <v>210</v>
      </c>
      <c r="AG1590"/>
      <c r="AH1590"/>
      <c r="AI1590"/>
      <c r="AJ1590"/>
      <c r="AK1590"/>
      <c r="AL1590"/>
      <c r="AM1590"/>
      <c r="AN1590"/>
      <c r="AO1590"/>
      <c r="AP1590"/>
      <c r="AQ1590" s="32" t="s">
        <v>2973</v>
      </c>
      <c r="AU1590">
        <v>1589</v>
      </c>
    </row>
    <row r="1591" spans="1:47" x14ac:dyDescent="0.2">
      <c r="A1591" s="133">
        <v>6397</v>
      </c>
      <c r="B1591" s="39" t="s">
        <v>45</v>
      </c>
      <c r="C1591" s="38" t="s">
        <v>2542</v>
      </c>
      <c r="D1591" s="45"/>
      <c r="E1591" s="39" t="s">
        <v>2974</v>
      </c>
      <c r="F1591" s="47" t="s">
        <v>2975</v>
      </c>
      <c r="G1591" s="47" t="s">
        <v>722</v>
      </c>
      <c r="H1591"/>
      <c r="I1591" s="47" t="b">
        <v>1</v>
      </c>
      <c r="J1591" s="47" t="b">
        <v>1</v>
      </c>
      <c r="K1591" s="47">
        <f>1320+550+660</f>
        <v>2530</v>
      </c>
      <c r="L1591" s="48">
        <v>6</v>
      </c>
      <c r="M1591" s="47"/>
      <c r="N1591" s="47">
        <v>2</v>
      </c>
      <c r="O1591" s="47"/>
      <c r="P1591" s="47"/>
      <c r="Q1591" s="47"/>
      <c r="R1591" s="47"/>
      <c r="S1591" s="48">
        <v>4</v>
      </c>
      <c r="T1591" s="47">
        <v>0</v>
      </c>
      <c r="U1591" s="47">
        <v>0</v>
      </c>
      <c r="V1591" s="47">
        <v>0</v>
      </c>
      <c r="W1591" s="47">
        <f>((2500+2800+3100+2100)/4)*39.37/12</f>
        <v>8612.1875</v>
      </c>
      <c r="X1591" s="47"/>
      <c r="Y1591" s="47" t="s">
        <v>51</v>
      </c>
      <c r="Z1591" s="47" t="s">
        <v>1846</v>
      </c>
      <c r="AA1591" s="49"/>
      <c r="AB1591" s="49"/>
      <c r="AC1591" s="49"/>
      <c r="AD1591" s="50">
        <f>5+5/60</f>
        <v>5.083333333333333</v>
      </c>
      <c r="AE1591" s="31" t="s">
        <v>342</v>
      </c>
      <c r="AF1591" s="47">
        <v>185</v>
      </c>
      <c r="AG1591"/>
      <c r="AH1591"/>
      <c r="AI1591"/>
      <c r="AJ1591"/>
      <c r="AK1591">
        <f>6+6+25+30</f>
        <v>67</v>
      </c>
      <c r="AL1591"/>
      <c r="AM1591"/>
      <c r="AN1591"/>
      <c r="AO1591"/>
      <c r="AP1591"/>
      <c r="AQ1591" s="32" t="s">
        <v>2976</v>
      </c>
      <c r="AR1591" s="32" t="s">
        <v>2977</v>
      </c>
      <c r="AU1591">
        <v>1590</v>
      </c>
    </row>
    <row r="1592" spans="1:47" x14ac:dyDescent="0.2">
      <c r="A1592" s="133">
        <v>6397</v>
      </c>
      <c r="B1592" s="39" t="s">
        <v>45</v>
      </c>
      <c r="C1592" s="38" t="s">
        <v>2542</v>
      </c>
      <c r="D1592" s="45"/>
      <c r="E1592" s="39" t="s">
        <v>1006</v>
      </c>
      <c r="F1592" s="47" t="s">
        <v>111</v>
      </c>
      <c r="G1592" s="47" t="s">
        <v>722</v>
      </c>
      <c r="H1592"/>
      <c r="I1592" s="47" t="b">
        <v>0</v>
      </c>
      <c r="J1592" s="47" t="b">
        <v>0</v>
      </c>
      <c r="K1592" s="47">
        <f>2*6*50*2.2</f>
        <v>1320</v>
      </c>
      <c r="O1592" s="47"/>
      <c r="P1592" s="47"/>
      <c r="Q1592" s="47"/>
      <c r="R1592" s="47"/>
      <c r="S1592" s="48">
        <v>2</v>
      </c>
      <c r="T1592" s="47"/>
      <c r="U1592" s="47"/>
      <c r="V1592" s="47"/>
      <c r="W1592" s="47">
        <f>((2500+2800)/2)*39.37/12</f>
        <v>8694.2083333333339</v>
      </c>
      <c r="X1592" s="47"/>
      <c r="Y1592" s="47" t="s">
        <v>51</v>
      </c>
      <c r="Z1592" s="47" t="s">
        <v>1846</v>
      </c>
      <c r="AA1592" s="49"/>
      <c r="AB1592" s="49"/>
      <c r="AC1592" s="49"/>
      <c r="AD1592" s="50">
        <v>3.25</v>
      </c>
      <c r="AE1592" s="31" t="s">
        <v>342</v>
      </c>
      <c r="AF1592" s="47">
        <v>120</v>
      </c>
      <c r="AG1592"/>
      <c r="AH1592"/>
      <c r="AI1592"/>
      <c r="AJ1592"/>
      <c r="AK1592">
        <f>6+6</f>
        <v>12</v>
      </c>
      <c r="AL1592"/>
      <c r="AM1592"/>
      <c r="AN1592"/>
      <c r="AO1592"/>
      <c r="AP1592"/>
      <c r="AQ1592" s="32" t="s">
        <v>2976</v>
      </c>
      <c r="AR1592" s="32" t="s">
        <v>2978</v>
      </c>
      <c r="AU1592">
        <v>1591</v>
      </c>
    </row>
    <row r="1593" spans="1:47" x14ac:dyDescent="0.2">
      <c r="A1593" s="133">
        <v>6397</v>
      </c>
      <c r="B1593" s="39" t="s">
        <v>45</v>
      </c>
      <c r="C1593" s="38" t="s">
        <v>2542</v>
      </c>
      <c r="D1593" s="45"/>
      <c r="E1593" s="39" t="s">
        <v>631</v>
      </c>
      <c r="F1593" s="47" t="s">
        <v>111</v>
      </c>
      <c r="G1593" s="47" t="s">
        <v>722</v>
      </c>
      <c r="H1593"/>
      <c r="I1593" s="47" t="b">
        <v>0</v>
      </c>
      <c r="J1593" s="47" t="b">
        <v>0</v>
      </c>
      <c r="K1593" s="47">
        <f>25*10*2.2</f>
        <v>550</v>
      </c>
      <c r="L1593" s="48"/>
      <c r="M1593" s="47"/>
      <c r="N1593" s="47"/>
      <c r="O1593" s="47"/>
      <c r="P1593" s="47"/>
      <c r="Q1593" s="47"/>
      <c r="R1593" s="47"/>
      <c r="S1593" s="48">
        <v>1</v>
      </c>
      <c r="T1593" s="47"/>
      <c r="U1593" s="47"/>
      <c r="V1593" s="47"/>
      <c r="W1593" s="47">
        <f>3100*39.37/12</f>
        <v>10170.583333333332</v>
      </c>
      <c r="X1593" s="47"/>
      <c r="Y1593" s="47" t="s">
        <v>51</v>
      </c>
      <c r="Z1593" s="47" t="s">
        <v>1846</v>
      </c>
      <c r="AA1593" s="49"/>
      <c r="AB1593" s="49"/>
      <c r="AC1593" s="49"/>
      <c r="AD1593" s="50">
        <f>5+5/60</f>
        <v>5.083333333333333</v>
      </c>
      <c r="AE1593" s="31" t="s">
        <v>342</v>
      </c>
      <c r="AF1593" s="47">
        <v>185</v>
      </c>
      <c r="AG1593"/>
      <c r="AH1593"/>
      <c r="AI1593"/>
      <c r="AJ1593"/>
      <c r="AK1593">
        <v>25</v>
      </c>
      <c r="AL1593"/>
      <c r="AM1593"/>
      <c r="AN1593"/>
      <c r="AO1593"/>
      <c r="AP1593"/>
      <c r="AQ1593" s="32" t="s">
        <v>2976</v>
      </c>
      <c r="AR1593" s="32" t="s">
        <v>2979</v>
      </c>
      <c r="AU1593">
        <v>1592</v>
      </c>
    </row>
    <row r="1594" spans="1:47" x14ac:dyDescent="0.2">
      <c r="A1594" s="133">
        <v>6397</v>
      </c>
      <c r="B1594" s="39" t="s">
        <v>45</v>
      </c>
      <c r="C1594" s="38" t="s">
        <v>2542</v>
      </c>
      <c r="D1594" s="45"/>
      <c r="E1594" s="39" t="s">
        <v>2980</v>
      </c>
      <c r="F1594" s="47" t="s">
        <v>2003</v>
      </c>
      <c r="G1594" s="47" t="s">
        <v>722</v>
      </c>
      <c r="H1594"/>
      <c r="I1594" s="47" t="b">
        <v>0</v>
      </c>
      <c r="J1594" s="47" t="b">
        <v>0</v>
      </c>
      <c r="K1594" s="54">
        <f>30*10*2.2</f>
        <v>660</v>
      </c>
      <c r="L1594" s="48"/>
      <c r="M1594" s="47"/>
      <c r="N1594" s="47"/>
      <c r="O1594" s="47"/>
      <c r="P1594" s="47"/>
      <c r="Q1594" s="47"/>
      <c r="R1594" s="47"/>
      <c r="S1594" s="48">
        <v>1</v>
      </c>
      <c r="T1594" s="47"/>
      <c r="U1594" s="47"/>
      <c r="V1594" s="47"/>
      <c r="W1594" s="47">
        <f>2100*39.37/12</f>
        <v>6889.75</v>
      </c>
      <c r="X1594" s="47"/>
      <c r="Y1594" s="47" t="s">
        <v>51</v>
      </c>
      <c r="Z1594" s="47" t="s">
        <v>1846</v>
      </c>
      <c r="AA1594" s="49"/>
      <c r="AB1594" s="49"/>
      <c r="AC1594" s="49"/>
      <c r="AD1594" s="50">
        <v>2</v>
      </c>
      <c r="AE1594" s="31" t="s">
        <v>342</v>
      </c>
      <c r="AF1594" s="47"/>
      <c r="AG1594"/>
      <c r="AH1594"/>
      <c r="AI1594"/>
      <c r="AJ1594"/>
      <c r="AK1594" s="90">
        <v>30</v>
      </c>
      <c r="AL1594"/>
      <c r="AM1594"/>
      <c r="AN1594"/>
      <c r="AO1594"/>
      <c r="AP1594"/>
      <c r="AQ1594" s="32" t="s">
        <v>2976</v>
      </c>
      <c r="AR1594" s="32" t="s">
        <v>2981</v>
      </c>
      <c r="AU1594">
        <v>1593</v>
      </c>
    </row>
    <row r="1595" spans="1:47" x14ac:dyDescent="0.2">
      <c r="A1595" s="26">
        <v>6397</v>
      </c>
      <c r="B1595" s="27">
        <v>0.96875</v>
      </c>
      <c r="C1595" s="28"/>
      <c r="D1595" s="45"/>
      <c r="E1595" s="30" t="s">
        <v>78</v>
      </c>
      <c r="H1595" s="32">
        <v>1</v>
      </c>
      <c r="I1595" s="32"/>
      <c r="AG1595" s="32">
        <v>0</v>
      </c>
      <c r="AH1595" s="32">
        <v>0</v>
      </c>
      <c r="AJ1595" s="32">
        <v>11388</v>
      </c>
      <c r="AK1595" s="32">
        <v>4</v>
      </c>
      <c r="AO1595" s="32" t="s">
        <v>80</v>
      </c>
      <c r="AQ1595" s="32" t="s">
        <v>1101</v>
      </c>
      <c r="AU1595">
        <v>1594</v>
      </c>
    </row>
    <row r="1596" spans="1:47" x14ac:dyDescent="0.2">
      <c r="A1596" s="26">
        <v>6397</v>
      </c>
      <c r="B1596" s="27" t="s">
        <v>45</v>
      </c>
      <c r="C1596" s="28"/>
      <c r="D1596" s="29"/>
      <c r="E1596" s="30" t="s">
        <v>2982</v>
      </c>
      <c r="H1596" s="32">
        <v>1</v>
      </c>
      <c r="I1596" s="32" t="s">
        <v>2983</v>
      </c>
      <c r="AG1596" s="32">
        <v>0</v>
      </c>
      <c r="AH1596" s="32">
        <v>0</v>
      </c>
      <c r="AI1596" s="32">
        <v>300</v>
      </c>
      <c r="AK1596" s="32">
        <v>20</v>
      </c>
      <c r="AQ1596" s="32">
        <v>467</v>
      </c>
      <c r="AU1596">
        <v>1595</v>
      </c>
    </row>
    <row r="1597" spans="1:47" x14ac:dyDescent="0.2">
      <c r="A1597" s="26">
        <v>6397</v>
      </c>
      <c r="B1597" s="27" t="s">
        <v>45</v>
      </c>
      <c r="C1597" s="28"/>
      <c r="D1597" s="29"/>
      <c r="E1597" s="30" t="s">
        <v>1531</v>
      </c>
      <c r="H1597" s="32">
        <v>0</v>
      </c>
      <c r="I1597" s="32" t="s">
        <v>2553</v>
      </c>
      <c r="AG1597" s="32">
        <v>0</v>
      </c>
      <c r="AH1597" s="32">
        <v>0</v>
      </c>
      <c r="AI1597" s="32">
        <v>0</v>
      </c>
      <c r="AK1597" s="32">
        <v>0</v>
      </c>
      <c r="AM1597" s="18">
        <f>498*140</f>
        <v>69720</v>
      </c>
      <c r="AO1597" s="32" t="s">
        <v>1533</v>
      </c>
      <c r="AQ1597" s="32" t="s">
        <v>1101</v>
      </c>
      <c r="AU1597">
        <v>1596</v>
      </c>
    </row>
    <row r="1598" spans="1:47" x14ac:dyDescent="0.2">
      <c r="A1598" s="26">
        <v>6397</v>
      </c>
      <c r="B1598" s="27" t="s">
        <v>45</v>
      </c>
      <c r="C1598" s="28"/>
      <c r="D1598" s="29"/>
      <c r="E1598" s="150" t="s">
        <v>2286</v>
      </c>
      <c r="H1598" s="32">
        <v>0</v>
      </c>
      <c r="I1598" s="32" t="s">
        <v>1824</v>
      </c>
      <c r="AG1598" s="32">
        <v>0</v>
      </c>
      <c r="AH1598" s="32">
        <v>0</v>
      </c>
      <c r="AI1598" s="32">
        <v>0</v>
      </c>
      <c r="AK1598" s="32">
        <v>0</v>
      </c>
      <c r="AM1598" s="32">
        <v>30000</v>
      </c>
      <c r="AO1598" s="73" t="s">
        <v>75</v>
      </c>
      <c r="AQ1598" s="32" t="s">
        <v>589</v>
      </c>
      <c r="AU1598">
        <v>1597</v>
      </c>
    </row>
    <row r="1599" spans="1:47" x14ac:dyDescent="0.2">
      <c r="A1599" s="133">
        <v>6398</v>
      </c>
      <c r="B1599" s="39" t="s">
        <v>85</v>
      </c>
      <c r="C1599" s="39" t="s">
        <v>142</v>
      </c>
      <c r="D1599" s="29" t="b">
        <v>0</v>
      </c>
      <c r="E1599" s="39" t="s">
        <v>2984</v>
      </c>
      <c r="F1599" s="31" t="s">
        <v>2985</v>
      </c>
      <c r="G1599" s="31" t="s">
        <v>69</v>
      </c>
      <c r="H1599" s="32"/>
      <c r="I1599" s="32" t="s">
        <v>2953</v>
      </c>
      <c r="K1599" s="31">
        <f>24*10*2.2</f>
        <v>528</v>
      </c>
      <c r="L1599" s="33">
        <v>6</v>
      </c>
      <c r="S1599" s="33">
        <v>6</v>
      </c>
      <c r="T1599" s="31">
        <v>0</v>
      </c>
      <c r="U1599" s="31">
        <v>0</v>
      </c>
      <c r="V1599" s="31">
        <v>0</v>
      </c>
      <c r="Y1599" s="31" t="s">
        <v>120</v>
      </c>
      <c r="Z1599" s="47" t="s">
        <v>1809</v>
      </c>
      <c r="AE1599" s="47" t="s">
        <v>2470</v>
      </c>
      <c r="AK1599" s="32">
        <v>24</v>
      </c>
      <c r="AQ1599" s="32" t="s">
        <v>2986</v>
      </c>
      <c r="AU1599">
        <v>1598</v>
      </c>
    </row>
    <row r="1600" spans="1:47" x14ac:dyDescent="0.2">
      <c r="A1600" s="133">
        <v>6398</v>
      </c>
      <c r="B1600" s="39" t="s">
        <v>45</v>
      </c>
      <c r="C1600" s="39">
        <v>100</v>
      </c>
      <c r="D1600" s="29" t="b">
        <v>0</v>
      </c>
      <c r="E1600" s="39" t="s">
        <v>2987</v>
      </c>
      <c r="F1600" s="47" t="s">
        <v>2988</v>
      </c>
      <c r="G1600" s="47" t="s">
        <v>205</v>
      </c>
      <c r="H1600"/>
      <c r="I1600" s="47" t="b">
        <v>1</v>
      </c>
      <c r="J1600" s="47" t="b">
        <v>1</v>
      </c>
      <c r="K1600" s="47">
        <v>1872</v>
      </c>
      <c r="L1600" s="48">
        <v>8</v>
      </c>
      <c r="M1600" s="47">
        <v>-1</v>
      </c>
      <c r="N1600" s="47">
        <v>-1</v>
      </c>
      <c r="O1600" s="47">
        <v>-1</v>
      </c>
      <c r="P1600" s="47">
        <v>-1</v>
      </c>
      <c r="Q1600" s="47">
        <v>-1</v>
      </c>
      <c r="R1600" s="47">
        <v>-1</v>
      </c>
      <c r="S1600" s="48">
        <v>8</v>
      </c>
      <c r="T1600" s="47">
        <v>0</v>
      </c>
      <c r="U1600" s="47">
        <v>0</v>
      </c>
      <c r="V1600" s="47">
        <v>0</v>
      </c>
      <c r="W1600" s="47">
        <v>1900</v>
      </c>
      <c r="X1600" s="47">
        <v>127</v>
      </c>
      <c r="Y1600" s="47"/>
      <c r="Z1600" s="47" t="s">
        <v>2524</v>
      </c>
      <c r="AA1600" s="49"/>
      <c r="AB1600" s="49"/>
      <c r="AC1600" s="49"/>
      <c r="AD1600" s="50"/>
      <c r="AE1600" s="47" t="s">
        <v>2754</v>
      </c>
      <c r="AF1600" s="47">
        <v>65</v>
      </c>
      <c r="AG1600"/>
      <c r="AH1600"/>
      <c r="AI1600"/>
      <c r="AJ1600"/>
      <c r="AK1600"/>
      <c r="AL1600"/>
      <c r="AM1600"/>
      <c r="AN1600"/>
      <c r="AO1600"/>
      <c r="AP1600"/>
      <c r="AQ1600" t="s">
        <v>2526</v>
      </c>
      <c r="AU1600">
        <v>1599</v>
      </c>
    </row>
    <row r="1601" spans="1:47" x14ac:dyDescent="0.2">
      <c r="A1601" s="133">
        <v>6398</v>
      </c>
      <c r="B1601" s="39" t="s">
        <v>45</v>
      </c>
      <c r="C1601" s="39">
        <v>100</v>
      </c>
      <c r="D1601" s="29" t="b">
        <v>0</v>
      </c>
      <c r="E1601" s="39" t="s">
        <v>2989</v>
      </c>
      <c r="F1601" s="47" t="s">
        <v>529</v>
      </c>
      <c r="G1601" s="47" t="s">
        <v>205</v>
      </c>
      <c r="H1601"/>
      <c r="I1601" s="47" t="b">
        <v>0</v>
      </c>
      <c r="J1601" s="47" t="b">
        <v>0</v>
      </c>
      <c r="K1601" s="47">
        <v>1306</v>
      </c>
      <c r="L1601" s="48">
        <v>8</v>
      </c>
      <c r="M1601" s="47">
        <v>-1</v>
      </c>
      <c r="N1601" s="47">
        <v>-1</v>
      </c>
      <c r="O1601" s="47">
        <v>-1</v>
      </c>
      <c r="P1601" s="47">
        <v>-1</v>
      </c>
      <c r="Q1601" s="47">
        <v>-1</v>
      </c>
      <c r="R1601" s="47">
        <v>-1</v>
      </c>
      <c r="S1601" s="48">
        <v>8</v>
      </c>
      <c r="T1601" s="47">
        <v>0</v>
      </c>
      <c r="U1601" s="47">
        <v>0</v>
      </c>
      <c r="V1601" s="47">
        <v>0</v>
      </c>
      <c r="W1601" s="47">
        <v>-1</v>
      </c>
      <c r="X1601" s="47">
        <v>128</v>
      </c>
      <c r="Y1601" s="47"/>
      <c r="Z1601" s="47" t="s">
        <v>2524</v>
      </c>
      <c r="AA1601" s="49"/>
      <c r="AB1601" s="49"/>
      <c r="AC1601" s="49"/>
      <c r="AD1601" s="50"/>
      <c r="AE1601" s="47" t="s">
        <v>2754</v>
      </c>
      <c r="AF1601" s="47">
        <v>65</v>
      </c>
      <c r="AG1601"/>
      <c r="AH1601"/>
      <c r="AI1601"/>
      <c r="AJ1601"/>
      <c r="AK1601"/>
      <c r="AL1601"/>
      <c r="AM1601"/>
      <c r="AN1601"/>
      <c r="AO1601"/>
      <c r="AP1601"/>
      <c r="AQ1601" t="s">
        <v>2526</v>
      </c>
      <c r="AU1601">
        <v>1600</v>
      </c>
    </row>
    <row r="1602" spans="1:47" x14ac:dyDescent="0.2">
      <c r="A1602" s="133">
        <v>6398</v>
      </c>
      <c r="B1602" s="39" t="s">
        <v>45</v>
      </c>
      <c r="C1602" s="39">
        <v>100</v>
      </c>
      <c r="D1602" s="29" t="b">
        <v>0</v>
      </c>
      <c r="E1602" s="39" t="s">
        <v>2990</v>
      </c>
      <c r="F1602" s="47" t="s">
        <v>2991</v>
      </c>
      <c r="G1602" s="47" t="s">
        <v>49</v>
      </c>
      <c r="H1602"/>
      <c r="I1602" s="47" t="b">
        <v>0</v>
      </c>
      <c r="J1602" s="47" t="b">
        <v>0</v>
      </c>
      <c r="K1602" s="47">
        <v>112</v>
      </c>
      <c r="L1602" s="48">
        <v>8</v>
      </c>
      <c r="M1602" s="47">
        <v>-1</v>
      </c>
      <c r="N1602" s="47">
        <v>-1</v>
      </c>
      <c r="O1602" s="47">
        <v>-1</v>
      </c>
      <c r="P1602" s="47">
        <v>-1</v>
      </c>
      <c r="Q1602" s="47">
        <v>-1</v>
      </c>
      <c r="R1602" s="47">
        <v>-1</v>
      </c>
      <c r="S1602" s="48">
        <v>8</v>
      </c>
      <c r="T1602" s="47">
        <v>0</v>
      </c>
      <c r="U1602" s="47">
        <v>0</v>
      </c>
      <c r="V1602" s="47">
        <v>0</v>
      </c>
      <c r="W1602" s="47">
        <v>1200</v>
      </c>
      <c r="X1602" s="47">
        <v>124</v>
      </c>
      <c r="Y1602" s="47"/>
      <c r="Z1602" s="47" t="s">
        <v>2524</v>
      </c>
      <c r="AA1602" s="49"/>
      <c r="AB1602" s="49"/>
      <c r="AC1602" s="49"/>
      <c r="AD1602" s="50"/>
      <c r="AE1602" s="47" t="s">
        <v>2754</v>
      </c>
      <c r="AF1602" s="47"/>
      <c r="AG1602"/>
      <c r="AH1602"/>
      <c r="AI1602"/>
      <c r="AJ1602"/>
      <c r="AK1602"/>
      <c r="AL1602"/>
      <c r="AM1602"/>
      <c r="AN1602"/>
      <c r="AO1602"/>
      <c r="AP1602"/>
      <c r="AQ1602" t="s">
        <v>2526</v>
      </c>
      <c r="AU1602">
        <v>1601</v>
      </c>
    </row>
    <row r="1603" spans="1:47" x14ac:dyDescent="0.2">
      <c r="A1603" s="133">
        <v>6398</v>
      </c>
      <c r="B1603" s="39" t="s">
        <v>45</v>
      </c>
      <c r="C1603" s="39">
        <v>100</v>
      </c>
      <c r="D1603" s="29" t="b">
        <v>0</v>
      </c>
      <c r="E1603" s="39" t="s">
        <v>2992</v>
      </c>
      <c r="F1603" s="47" t="s">
        <v>57</v>
      </c>
      <c r="G1603" s="47" t="s">
        <v>49</v>
      </c>
      <c r="H1603"/>
      <c r="I1603" s="47" t="b">
        <v>0</v>
      </c>
      <c r="J1603" s="47" t="b">
        <v>0</v>
      </c>
      <c r="K1603" s="47">
        <v>230</v>
      </c>
      <c r="L1603" s="48">
        <v>8</v>
      </c>
      <c r="M1603" s="47">
        <v>-1</v>
      </c>
      <c r="N1603" s="47">
        <v>-1</v>
      </c>
      <c r="O1603" s="47">
        <v>-1</v>
      </c>
      <c r="P1603" s="47">
        <v>-1</v>
      </c>
      <c r="Q1603" s="47">
        <v>-1</v>
      </c>
      <c r="R1603" s="47">
        <v>-1</v>
      </c>
      <c r="S1603" s="48">
        <v>8</v>
      </c>
      <c r="T1603" s="47">
        <v>0</v>
      </c>
      <c r="U1603" s="47">
        <v>0</v>
      </c>
      <c r="V1603" s="47">
        <v>0</v>
      </c>
      <c r="W1603" s="47">
        <v>1500</v>
      </c>
      <c r="X1603" s="47">
        <v>125</v>
      </c>
      <c r="Y1603" s="47"/>
      <c r="Z1603" s="47" t="s">
        <v>2524</v>
      </c>
      <c r="AA1603" s="49"/>
      <c r="AB1603" s="49"/>
      <c r="AC1603" s="49"/>
      <c r="AD1603" s="50"/>
      <c r="AE1603" s="47" t="s">
        <v>2754</v>
      </c>
      <c r="AF1603" s="47">
        <v>50</v>
      </c>
      <c r="AG1603"/>
      <c r="AH1603"/>
      <c r="AI1603"/>
      <c r="AJ1603"/>
      <c r="AK1603"/>
      <c r="AL1603"/>
      <c r="AM1603"/>
      <c r="AN1603"/>
      <c r="AO1603"/>
      <c r="AP1603"/>
      <c r="AQ1603" t="s">
        <v>2526</v>
      </c>
      <c r="AU1603">
        <v>1602</v>
      </c>
    </row>
    <row r="1604" spans="1:47" x14ac:dyDescent="0.2">
      <c r="A1604" s="133">
        <v>6398</v>
      </c>
      <c r="B1604" s="39" t="s">
        <v>45</v>
      </c>
      <c r="C1604" s="39">
        <v>100</v>
      </c>
      <c r="D1604" s="29" t="b">
        <v>0</v>
      </c>
      <c r="E1604" s="39" t="s">
        <v>2993</v>
      </c>
      <c r="F1604" s="47" t="s">
        <v>2994</v>
      </c>
      <c r="G1604" s="47" t="s">
        <v>73</v>
      </c>
      <c r="H1604"/>
      <c r="I1604" s="47" t="b">
        <v>0</v>
      </c>
      <c r="J1604" s="47" t="b">
        <v>0</v>
      </c>
      <c r="K1604" s="47">
        <v>224</v>
      </c>
      <c r="L1604" s="48">
        <v>8</v>
      </c>
      <c r="M1604" s="47">
        <v>-1</v>
      </c>
      <c r="N1604" s="47">
        <v>-1</v>
      </c>
      <c r="O1604" s="47">
        <v>-1</v>
      </c>
      <c r="P1604" s="47">
        <v>-1</v>
      </c>
      <c r="Q1604" s="47">
        <v>-1</v>
      </c>
      <c r="R1604" s="47">
        <v>-1</v>
      </c>
      <c r="S1604" s="48">
        <v>8</v>
      </c>
      <c r="T1604" s="47">
        <v>0</v>
      </c>
      <c r="U1604" s="47">
        <v>0</v>
      </c>
      <c r="V1604" s="47">
        <v>0</v>
      </c>
      <c r="W1604" s="47">
        <v>3000</v>
      </c>
      <c r="X1604" s="47">
        <v>126</v>
      </c>
      <c r="Y1604" s="47"/>
      <c r="Z1604" s="47" t="s">
        <v>2524</v>
      </c>
      <c r="AA1604" s="49"/>
      <c r="AB1604" s="49"/>
      <c r="AC1604" s="49"/>
      <c r="AD1604" s="50"/>
      <c r="AE1604" s="47" t="s">
        <v>2754</v>
      </c>
      <c r="AF1604" s="47"/>
      <c r="AG1604"/>
      <c r="AH1604"/>
      <c r="AI1604"/>
      <c r="AJ1604"/>
      <c r="AK1604"/>
      <c r="AL1604"/>
      <c r="AM1604"/>
      <c r="AN1604"/>
      <c r="AO1604"/>
      <c r="AP1604"/>
      <c r="AQ1604" t="s">
        <v>2526</v>
      </c>
      <c r="AU1604">
        <v>1603</v>
      </c>
    </row>
    <row r="1605" spans="1:47" x14ac:dyDescent="0.2">
      <c r="A1605" s="26">
        <v>6398</v>
      </c>
      <c r="B1605" s="27">
        <v>1.3888888888888888E-2</v>
      </c>
      <c r="C1605" s="28"/>
      <c r="D1605" s="29"/>
      <c r="E1605" s="30" t="s">
        <v>869</v>
      </c>
      <c r="H1605" s="32">
        <v>0</v>
      </c>
      <c r="I1605" s="32" t="s">
        <v>2344</v>
      </c>
      <c r="AG1605" s="32">
        <v>0</v>
      </c>
      <c r="AH1605" s="32">
        <v>0</v>
      </c>
      <c r="AI1605" s="32">
        <v>0</v>
      </c>
      <c r="AK1605" s="32">
        <v>0</v>
      </c>
      <c r="AL1605" s="32">
        <v>1.667</v>
      </c>
      <c r="AP1605" s="32">
        <v>1.667</v>
      </c>
      <c r="AQ1605" s="32" t="s">
        <v>589</v>
      </c>
      <c r="AU1605">
        <v>1604</v>
      </c>
    </row>
    <row r="1606" spans="1:47" x14ac:dyDescent="0.2">
      <c r="A1606" s="26">
        <v>6398</v>
      </c>
      <c r="B1606" s="27">
        <v>0.54166666666666663</v>
      </c>
      <c r="C1606" s="28"/>
      <c r="D1606" s="29"/>
      <c r="E1606" s="30" t="s">
        <v>1028</v>
      </c>
      <c r="H1606" s="32">
        <v>1</v>
      </c>
      <c r="I1606" s="32" t="s">
        <v>2995</v>
      </c>
      <c r="AG1606" s="32">
        <v>0</v>
      </c>
      <c r="AH1606" s="32">
        <v>0</v>
      </c>
      <c r="AI1606" s="32">
        <v>0</v>
      </c>
      <c r="AL1606" s="32">
        <v>0</v>
      </c>
      <c r="AO1606" s="32" t="s">
        <v>1030</v>
      </c>
      <c r="AQ1606" s="32">
        <v>432</v>
      </c>
      <c r="AU1606">
        <v>1605</v>
      </c>
    </row>
    <row r="1607" spans="1:47" x14ac:dyDescent="0.2">
      <c r="A1607" s="26">
        <v>6398</v>
      </c>
      <c r="B1607" s="27">
        <v>0.97916666666666663</v>
      </c>
      <c r="C1607" s="28"/>
      <c r="D1607" s="29"/>
      <c r="E1607" s="30" t="s">
        <v>2087</v>
      </c>
      <c r="H1607" s="32">
        <v>1</v>
      </c>
      <c r="I1607" s="32" t="s">
        <v>2996</v>
      </c>
      <c r="AG1607" s="32">
        <v>0</v>
      </c>
      <c r="AH1607" s="32">
        <v>0</v>
      </c>
      <c r="AK1607" s="32">
        <v>2</v>
      </c>
      <c r="AL1607" s="32">
        <v>0</v>
      </c>
      <c r="AP1607" s="32">
        <v>0.25</v>
      </c>
      <c r="AQ1607" s="32" t="s">
        <v>1101</v>
      </c>
      <c r="AU1607">
        <v>1606</v>
      </c>
    </row>
    <row r="1608" spans="1:47" x14ac:dyDescent="0.2">
      <c r="A1608" s="26">
        <v>6398</v>
      </c>
      <c r="B1608" s="27">
        <v>0.97916666666666663</v>
      </c>
      <c r="C1608" s="28"/>
      <c r="D1608" s="29"/>
      <c r="E1608" s="30" t="s">
        <v>2997</v>
      </c>
      <c r="H1608" s="32">
        <v>1</v>
      </c>
      <c r="I1608" s="32" t="s">
        <v>2998</v>
      </c>
      <c r="AG1608" s="32">
        <v>0</v>
      </c>
      <c r="AH1608" s="32">
        <v>0</v>
      </c>
      <c r="AI1608" s="32">
        <f>89673+723+14732</f>
        <v>105128</v>
      </c>
      <c r="AK1608" s="32">
        <f>45+3</f>
        <v>48</v>
      </c>
      <c r="AL1608" s="32">
        <v>3.25</v>
      </c>
      <c r="AM1608" s="32">
        <v>232</v>
      </c>
      <c r="AO1608" s="32" t="s">
        <v>2999</v>
      </c>
      <c r="AP1608" s="32">
        <v>3.25</v>
      </c>
      <c r="AQ1608" s="91" t="s">
        <v>3000</v>
      </c>
      <c r="AU1608">
        <v>1607</v>
      </c>
    </row>
    <row r="1609" spans="1:47" x14ac:dyDescent="0.2">
      <c r="A1609" s="26">
        <v>6398</v>
      </c>
      <c r="B1609" s="27"/>
      <c r="C1609" s="28"/>
      <c r="D1609" s="29"/>
      <c r="E1609" s="102" t="s">
        <v>1421</v>
      </c>
      <c r="H1609" s="32">
        <v>1</v>
      </c>
      <c r="I1609" s="32" t="s">
        <v>1422</v>
      </c>
      <c r="AK1609" s="32">
        <v>1</v>
      </c>
      <c r="AO1609" s="73"/>
      <c r="AQ1609" s="32" t="s">
        <v>589</v>
      </c>
      <c r="AU1609">
        <v>1608</v>
      </c>
    </row>
    <row r="1610" spans="1:47" x14ac:dyDescent="0.2">
      <c r="A1610" s="133">
        <v>6400</v>
      </c>
      <c r="B1610" s="39" t="s">
        <v>45</v>
      </c>
      <c r="C1610" s="39">
        <v>100</v>
      </c>
      <c r="D1610" s="29" t="b">
        <v>0</v>
      </c>
      <c r="E1610" s="39" t="s">
        <v>3001</v>
      </c>
      <c r="F1610" s="47" t="s">
        <v>1757</v>
      </c>
      <c r="G1610" s="47" t="s">
        <v>49</v>
      </c>
      <c r="H1610"/>
      <c r="I1610" s="47" t="b">
        <v>1</v>
      </c>
      <c r="J1610" s="47" t="b">
        <v>1</v>
      </c>
      <c r="K1610" s="47">
        <v>1040</v>
      </c>
      <c r="L1610" s="48">
        <v>4</v>
      </c>
      <c r="M1610" s="47">
        <v>-1</v>
      </c>
      <c r="N1610" s="47">
        <v>-1</v>
      </c>
      <c r="O1610" s="47">
        <v>-1</v>
      </c>
      <c r="P1610" s="47">
        <v>-1</v>
      </c>
      <c r="Q1610" s="47">
        <v>-1</v>
      </c>
      <c r="R1610" s="47">
        <v>-1</v>
      </c>
      <c r="S1610" s="48">
        <v>4</v>
      </c>
      <c r="T1610" s="47">
        <v>0</v>
      </c>
      <c r="U1610" s="47">
        <v>0</v>
      </c>
      <c r="V1610" s="47">
        <v>0</v>
      </c>
      <c r="W1610" s="47">
        <v>1225</v>
      </c>
      <c r="X1610" s="47">
        <v>129</v>
      </c>
      <c r="Y1610" s="47"/>
      <c r="Z1610" s="47" t="s">
        <v>2524</v>
      </c>
      <c r="AA1610" s="49"/>
      <c r="AB1610" s="49"/>
      <c r="AC1610" s="49"/>
      <c r="AD1610" s="50"/>
      <c r="AE1610" s="47" t="s">
        <v>2754</v>
      </c>
      <c r="AF1610" s="47">
        <v>45</v>
      </c>
      <c r="AG1610"/>
      <c r="AH1610"/>
      <c r="AI1610"/>
      <c r="AJ1610"/>
      <c r="AK1610"/>
      <c r="AL1610"/>
      <c r="AM1610"/>
      <c r="AN1610"/>
      <c r="AO1610"/>
      <c r="AP1610"/>
      <c r="AQ1610" t="s">
        <v>2526</v>
      </c>
      <c r="AU1610">
        <v>1609</v>
      </c>
    </row>
    <row r="1611" spans="1:47" x14ac:dyDescent="0.2">
      <c r="A1611" s="133">
        <v>6400</v>
      </c>
      <c r="B1611" s="39" t="s">
        <v>45</v>
      </c>
      <c r="C1611" s="39">
        <v>100</v>
      </c>
      <c r="D1611" s="29" t="b">
        <v>0</v>
      </c>
      <c r="E1611" s="39" t="s">
        <v>3002</v>
      </c>
      <c r="F1611" s="47" t="s">
        <v>2991</v>
      </c>
      <c r="G1611" s="47" t="s">
        <v>49</v>
      </c>
      <c r="H1611"/>
      <c r="I1611" s="47" t="b">
        <v>0</v>
      </c>
      <c r="J1611" s="47" t="b">
        <v>0</v>
      </c>
      <c r="K1611" s="47">
        <v>270</v>
      </c>
      <c r="L1611" s="48">
        <v>4</v>
      </c>
      <c r="M1611" s="47">
        <v>-1</v>
      </c>
      <c r="N1611" s="47">
        <v>-1</v>
      </c>
      <c r="O1611" s="47">
        <v>-1</v>
      </c>
      <c r="P1611" s="47">
        <v>-1</v>
      </c>
      <c r="Q1611" s="47">
        <v>-1</v>
      </c>
      <c r="R1611" s="47">
        <v>-1</v>
      </c>
      <c r="S1611" s="48">
        <v>4</v>
      </c>
      <c r="T1611" s="47">
        <v>0</v>
      </c>
      <c r="U1611" s="47">
        <v>0</v>
      </c>
      <c r="V1611" s="47">
        <v>0</v>
      </c>
      <c r="W1611" s="47">
        <v>1000</v>
      </c>
      <c r="X1611" s="47">
        <v>130</v>
      </c>
      <c r="Y1611" s="47"/>
      <c r="Z1611" s="47" t="s">
        <v>2524</v>
      </c>
      <c r="AA1611" s="49"/>
      <c r="AB1611" s="49"/>
      <c r="AC1611" s="49"/>
      <c r="AD1611" s="50"/>
      <c r="AE1611" s="47" t="s">
        <v>2754</v>
      </c>
      <c r="AF1611" s="47">
        <v>55</v>
      </c>
      <c r="AG1611"/>
      <c r="AH1611"/>
      <c r="AI1611"/>
      <c r="AJ1611"/>
      <c r="AK1611"/>
      <c r="AL1611"/>
      <c r="AM1611"/>
      <c r="AN1611"/>
      <c r="AO1611"/>
      <c r="AP1611"/>
      <c r="AQ1611" t="s">
        <v>2526</v>
      </c>
      <c r="AU1611">
        <v>1610</v>
      </c>
    </row>
    <row r="1612" spans="1:47" x14ac:dyDescent="0.2">
      <c r="A1612" s="133">
        <v>6400</v>
      </c>
      <c r="B1612" s="39" t="s">
        <v>45</v>
      </c>
      <c r="C1612" s="39">
        <v>100</v>
      </c>
      <c r="D1612" s="29" t="b">
        <v>0</v>
      </c>
      <c r="E1612" s="39" t="s">
        <v>3003</v>
      </c>
      <c r="F1612" s="47" t="s">
        <v>662</v>
      </c>
      <c r="G1612" s="47" t="s">
        <v>49</v>
      </c>
      <c r="H1612"/>
      <c r="I1612" s="47" t="b">
        <v>0</v>
      </c>
      <c r="J1612" s="47" t="b">
        <v>0</v>
      </c>
      <c r="K1612" s="47">
        <v>270</v>
      </c>
      <c r="L1612" s="48">
        <v>4</v>
      </c>
      <c r="M1612" s="47">
        <v>-1</v>
      </c>
      <c r="N1612" s="47">
        <v>-1</v>
      </c>
      <c r="O1612" s="47">
        <v>-1</v>
      </c>
      <c r="P1612" s="47">
        <v>-1</v>
      </c>
      <c r="Q1612" s="47">
        <v>-1</v>
      </c>
      <c r="R1612" s="47">
        <v>-1</v>
      </c>
      <c r="S1612" s="48">
        <v>4</v>
      </c>
      <c r="T1612" s="47">
        <v>0</v>
      </c>
      <c r="U1612" s="47">
        <v>0</v>
      </c>
      <c r="V1612" s="47">
        <v>0</v>
      </c>
      <c r="W1612" s="47">
        <v>2000</v>
      </c>
      <c r="X1612" s="47">
        <v>131</v>
      </c>
      <c r="Y1612" s="47"/>
      <c r="Z1612" s="47" t="s">
        <v>2524</v>
      </c>
      <c r="AA1612" s="49"/>
      <c r="AB1612" s="49"/>
      <c r="AC1612" s="49"/>
      <c r="AD1612" s="50"/>
      <c r="AE1612" s="47" t="s">
        <v>2754</v>
      </c>
      <c r="AF1612" s="47">
        <v>45</v>
      </c>
      <c r="AG1612"/>
      <c r="AH1612"/>
      <c r="AI1612"/>
      <c r="AJ1612"/>
      <c r="AK1612"/>
      <c r="AL1612"/>
      <c r="AM1612"/>
      <c r="AN1612"/>
      <c r="AO1612"/>
      <c r="AP1612"/>
      <c r="AQ1612" t="s">
        <v>2526</v>
      </c>
      <c r="AU1612">
        <v>1611</v>
      </c>
    </row>
    <row r="1613" spans="1:47" x14ac:dyDescent="0.2">
      <c r="A1613" s="133">
        <v>6400</v>
      </c>
      <c r="B1613" s="39" t="s">
        <v>45</v>
      </c>
      <c r="C1613" s="39">
        <v>100</v>
      </c>
      <c r="D1613" s="29" t="b">
        <v>0</v>
      </c>
      <c r="E1613" s="39" t="s">
        <v>2784</v>
      </c>
      <c r="F1613" s="47" t="s">
        <v>3004</v>
      </c>
      <c r="G1613" s="47" t="s">
        <v>73</v>
      </c>
      <c r="H1613"/>
      <c r="I1613" s="47" t="b">
        <v>0</v>
      </c>
      <c r="J1613" s="47" t="b">
        <v>0</v>
      </c>
      <c r="K1613" s="47">
        <v>270</v>
      </c>
      <c r="L1613" s="48">
        <v>4</v>
      </c>
      <c r="M1613" s="47">
        <v>-1</v>
      </c>
      <c r="N1613" s="47">
        <v>-1</v>
      </c>
      <c r="O1613" s="47">
        <v>-1</v>
      </c>
      <c r="P1613" s="47">
        <v>-1</v>
      </c>
      <c r="Q1613" s="47">
        <v>-1</v>
      </c>
      <c r="R1613" s="47">
        <v>-1</v>
      </c>
      <c r="S1613" s="48">
        <v>4</v>
      </c>
      <c r="T1613" s="47">
        <v>0</v>
      </c>
      <c r="U1613" s="47">
        <v>0</v>
      </c>
      <c r="V1613" s="47">
        <v>0</v>
      </c>
      <c r="W1613" s="47">
        <v>1000</v>
      </c>
      <c r="X1613" s="47">
        <v>132</v>
      </c>
      <c r="Y1613" s="47"/>
      <c r="Z1613" s="47" t="s">
        <v>2524</v>
      </c>
      <c r="AA1613" s="49"/>
      <c r="AB1613" s="49"/>
      <c r="AC1613" s="49"/>
      <c r="AD1613" s="50"/>
      <c r="AE1613" s="47" t="s">
        <v>2754</v>
      </c>
      <c r="AF1613" s="47">
        <v>45</v>
      </c>
      <c r="AG1613"/>
      <c r="AH1613"/>
      <c r="AI1613"/>
      <c r="AJ1613"/>
      <c r="AK1613"/>
      <c r="AL1613"/>
      <c r="AM1613"/>
      <c r="AN1613"/>
      <c r="AO1613"/>
      <c r="AP1613"/>
      <c r="AQ1613" t="s">
        <v>2526</v>
      </c>
      <c r="AU1613">
        <v>1612</v>
      </c>
    </row>
    <row r="1614" spans="1:47" x14ac:dyDescent="0.2">
      <c r="A1614" s="133">
        <v>6400</v>
      </c>
      <c r="B1614" s="39" t="s">
        <v>45</v>
      </c>
      <c r="C1614" s="39">
        <v>100</v>
      </c>
      <c r="D1614" s="29" t="b">
        <v>0</v>
      </c>
      <c r="E1614" s="39" t="s">
        <v>2780</v>
      </c>
      <c r="F1614" s="47" t="s">
        <v>220</v>
      </c>
      <c r="G1614" s="47" t="s">
        <v>49</v>
      </c>
      <c r="H1614"/>
      <c r="I1614" s="47" t="b">
        <v>0</v>
      </c>
      <c r="J1614" s="47" t="b">
        <v>0</v>
      </c>
      <c r="K1614" s="47">
        <v>230</v>
      </c>
      <c r="L1614" s="48">
        <v>4</v>
      </c>
      <c r="M1614" s="47">
        <v>-1</v>
      </c>
      <c r="N1614" s="47">
        <v>-1</v>
      </c>
      <c r="O1614" s="47">
        <v>-1</v>
      </c>
      <c r="P1614" s="47">
        <v>-1</v>
      </c>
      <c r="Q1614" s="47">
        <v>-1</v>
      </c>
      <c r="R1614" s="47">
        <v>-1</v>
      </c>
      <c r="S1614" s="48">
        <v>4</v>
      </c>
      <c r="T1614" s="47">
        <v>0</v>
      </c>
      <c r="U1614" s="47">
        <v>0</v>
      </c>
      <c r="V1614" s="47">
        <v>0</v>
      </c>
      <c r="W1614" s="47">
        <v>900</v>
      </c>
      <c r="X1614" s="47">
        <v>133</v>
      </c>
      <c r="Y1614" s="47"/>
      <c r="Z1614" s="47" t="s">
        <v>2524</v>
      </c>
      <c r="AA1614" s="49"/>
      <c r="AB1614" s="49"/>
      <c r="AC1614" s="49"/>
      <c r="AD1614" s="50"/>
      <c r="AE1614" s="47" t="s">
        <v>2754</v>
      </c>
      <c r="AF1614" s="47">
        <v>50</v>
      </c>
      <c r="AG1614"/>
      <c r="AH1614"/>
      <c r="AI1614"/>
      <c r="AJ1614"/>
      <c r="AK1614"/>
      <c r="AL1614"/>
      <c r="AM1614"/>
      <c r="AN1614"/>
      <c r="AO1614"/>
      <c r="AP1614"/>
      <c r="AQ1614" t="s">
        <v>2526</v>
      </c>
      <c r="AU1614">
        <v>1613</v>
      </c>
    </row>
    <row r="1615" spans="1:47" x14ac:dyDescent="0.2">
      <c r="A1615" s="133">
        <v>6401</v>
      </c>
      <c r="B1615" s="39" t="s">
        <v>45</v>
      </c>
      <c r="C1615" s="39">
        <v>100</v>
      </c>
      <c r="D1615" s="29" t="b">
        <v>0</v>
      </c>
      <c r="E1615" s="39" t="s">
        <v>3005</v>
      </c>
      <c r="F1615" s="47" t="s">
        <v>3006</v>
      </c>
      <c r="G1615" s="47" t="s">
        <v>205</v>
      </c>
      <c r="H1615"/>
      <c r="I1615" s="47" t="b">
        <v>1</v>
      </c>
      <c r="J1615" s="47" t="b">
        <v>1</v>
      </c>
      <c r="K1615" s="47">
        <v>2028</v>
      </c>
      <c r="L1615" s="48">
        <v>9</v>
      </c>
      <c r="M1615" s="47">
        <v>-1</v>
      </c>
      <c r="N1615" s="47">
        <v>-1</v>
      </c>
      <c r="O1615" s="47">
        <v>-1</v>
      </c>
      <c r="P1615" s="47">
        <v>-1</v>
      </c>
      <c r="Q1615" s="47">
        <v>-1</v>
      </c>
      <c r="R1615" s="47">
        <v>-1</v>
      </c>
      <c r="S1615" s="48">
        <v>9</v>
      </c>
      <c r="T1615" s="47">
        <v>0</v>
      </c>
      <c r="U1615" s="47">
        <v>0</v>
      </c>
      <c r="V1615" s="47">
        <v>0</v>
      </c>
      <c r="W1615" s="47">
        <v>1500</v>
      </c>
      <c r="X1615" s="47">
        <v>135</v>
      </c>
      <c r="Y1615" s="47"/>
      <c r="Z1615" s="47" t="s">
        <v>2524</v>
      </c>
      <c r="AA1615" s="49"/>
      <c r="AB1615" s="49"/>
      <c r="AC1615" s="49"/>
      <c r="AD1615" s="50"/>
      <c r="AE1615" s="47" t="s">
        <v>2754</v>
      </c>
      <c r="AF1615" s="47"/>
      <c r="AG1615"/>
      <c r="AH1615"/>
      <c r="AI1615"/>
      <c r="AJ1615"/>
      <c r="AK1615"/>
      <c r="AL1615"/>
      <c r="AM1615"/>
      <c r="AN1615"/>
      <c r="AO1615"/>
      <c r="AP1615"/>
      <c r="AQ1615" t="s">
        <v>2526</v>
      </c>
      <c r="AU1615">
        <v>1614</v>
      </c>
    </row>
    <row r="1616" spans="1:47" x14ac:dyDescent="0.2">
      <c r="A1616" s="133">
        <v>6401</v>
      </c>
      <c r="B1616" s="39" t="s">
        <v>45</v>
      </c>
      <c r="C1616" s="39">
        <v>100</v>
      </c>
      <c r="D1616" s="29" t="b">
        <v>0</v>
      </c>
      <c r="E1616" s="39" t="s">
        <v>2948</v>
      </c>
      <c r="F1616" s="47" t="s">
        <v>529</v>
      </c>
      <c r="G1616" s="47" t="s">
        <v>205</v>
      </c>
      <c r="H1616"/>
      <c r="I1616" s="47" t="b">
        <v>0</v>
      </c>
      <c r="J1616" s="47" t="b">
        <v>0</v>
      </c>
      <c r="K1616" s="47">
        <v>810</v>
      </c>
      <c r="L1616" s="48">
        <v>9</v>
      </c>
      <c r="M1616" s="47">
        <v>-1</v>
      </c>
      <c r="N1616" s="47">
        <v>-1</v>
      </c>
      <c r="O1616" s="47">
        <v>-1</v>
      </c>
      <c r="P1616" s="47">
        <v>-1</v>
      </c>
      <c r="Q1616" s="47">
        <v>-1</v>
      </c>
      <c r="R1616" s="47">
        <v>-1</v>
      </c>
      <c r="S1616" s="48">
        <v>9</v>
      </c>
      <c r="T1616" s="47">
        <v>0</v>
      </c>
      <c r="U1616" s="47">
        <v>0</v>
      </c>
      <c r="V1616" s="47">
        <v>0</v>
      </c>
      <c r="W1616" s="47">
        <v>1150</v>
      </c>
      <c r="X1616" s="47">
        <v>136</v>
      </c>
      <c r="Y1616" s="47"/>
      <c r="Z1616" s="47" t="s">
        <v>2524</v>
      </c>
      <c r="AA1616" s="49"/>
      <c r="AB1616" s="49"/>
      <c r="AC1616" s="49"/>
      <c r="AD1616" s="50"/>
      <c r="AE1616" s="47" t="s">
        <v>2754</v>
      </c>
      <c r="AF1616" s="47"/>
      <c r="AG1616"/>
      <c r="AH1616"/>
      <c r="AI1616"/>
      <c r="AJ1616"/>
      <c r="AK1616"/>
      <c r="AL1616"/>
      <c r="AM1616"/>
      <c r="AN1616"/>
      <c r="AO1616"/>
      <c r="AP1616"/>
      <c r="AQ1616" t="s">
        <v>2526</v>
      </c>
      <c r="AU1616">
        <v>1615</v>
      </c>
    </row>
    <row r="1617" spans="1:47" x14ac:dyDescent="0.2">
      <c r="A1617" s="133">
        <v>6401</v>
      </c>
      <c r="B1617" s="39" t="s">
        <v>45</v>
      </c>
      <c r="C1617" s="39">
        <v>100</v>
      </c>
      <c r="D1617" s="29" t="b">
        <v>0</v>
      </c>
      <c r="E1617" s="39" t="s">
        <v>2989</v>
      </c>
      <c r="F1617" s="47" t="s">
        <v>529</v>
      </c>
      <c r="G1617" s="47" t="s">
        <v>205</v>
      </c>
      <c r="H1617"/>
      <c r="I1617" s="47" t="b">
        <v>0</v>
      </c>
      <c r="J1617" s="47" t="b">
        <v>0</v>
      </c>
      <c r="K1617" s="47">
        <v>270</v>
      </c>
      <c r="L1617" s="48">
        <v>9</v>
      </c>
      <c r="M1617" s="47">
        <v>-1</v>
      </c>
      <c r="N1617" s="47">
        <v>-1</v>
      </c>
      <c r="O1617" s="47">
        <v>-1</v>
      </c>
      <c r="P1617" s="47">
        <v>-1</v>
      </c>
      <c r="Q1617" s="47">
        <v>-1</v>
      </c>
      <c r="R1617" s="47">
        <v>-1</v>
      </c>
      <c r="S1617" s="48">
        <v>9</v>
      </c>
      <c r="T1617" s="47">
        <v>0</v>
      </c>
      <c r="U1617" s="47">
        <v>0</v>
      </c>
      <c r="V1617" s="47">
        <v>0</v>
      </c>
      <c r="W1617" s="47">
        <v>2000</v>
      </c>
      <c r="X1617" s="47">
        <v>137</v>
      </c>
      <c r="Y1617" s="47"/>
      <c r="Z1617" s="47" t="s">
        <v>2524</v>
      </c>
      <c r="AA1617" s="49"/>
      <c r="AB1617" s="49"/>
      <c r="AC1617" s="49"/>
      <c r="AD1617" s="50"/>
      <c r="AE1617" s="47" t="s">
        <v>2754</v>
      </c>
      <c r="AF1617" s="47">
        <v>65</v>
      </c>
      <c r="AG1617"/>
      <c r="AH1617"/>
      <c r="AI1617"/>
      <c r="AJ1617"/>
      <c r="AK1617"/>
      <c r="AL1617"/>
      <c r="AM1617"/>
      <c r="AN1617"/>
      <c r="AO1617"/>
      <c r="AP1617"/>
      <c r="AQ1617" t="s">
        <v>2526</v>
      </c>
      <c r="AU1617">
        <v>1616</v>
      </c>
    </row>
    <row r="1618" spans="1:47" x14ac:dyDescent="0.2">
      <c r="A1618" s="133">
        <v>6401</v>
      </c>
      <c r="B1618" s="39" t="s">
        <v>45</v>
      </c>
      <c r="C1618" s="39">
        <v>100</v>
      </c>
      <c r="D1618" s="29" t="b">
        <v>0</v>
      </c>
      <c r="E1618" s="39" t="s">
        <v>2835</v>
      </c>
      <c r="F1618" s="47" t="s">
        <v>3007</v>
      </c>
      <c r="G1618" s="47" t="s">
        <v>49</v>
      </c>
      <c r="H1618"/>
      <c r="I1618" s="47" t="b">
        <v>0</v>
      </c>
      <c r="J1618" s="47" t="b">
        <v>0</v>
      </c>
      <c r="K1618" s="47">
        <v>718</v>
      </c>
      <c r="L1618" s="48">
        <v>9</v>
      </c>
      <c r="M1618" s="47">
        <v>-1</v>
      </c>
      <c r="N1618" s="47">
        <v>-1</v>
      </c>
      <c r="O1618" s="47">
        <v>-1</v>
      </c>
      <c r="P1618" s="47">
        <v>-1</v>
      </c>
      <c r="Q1618" s="47">
        <v>-1</v>
      </c>
      <c r="R1618" s="47">
        <v>-1</v>
      </c>
      <c r="S1618" s="48">
        <v>9</v>
      </c>
      <c r="T1618" s="47">
        <v>0</v>
      </c>
      <c r="U1618" s="47">
        <v>0</v>
      </c>
      <c r="V1618" s="47">
        <v>0</v>
      </c>
      <c r="W1618" s="47">
        <v>1400</v>
      </c>
      <c r="X1618" s="47">
        <v>138</v>
      </c>
      <c r="Y1618" s="47"/>
      <c r="Z1618" s="47" t="s">
        <v>2524</v>
      </c>
      <c r="AA1618" s="49"/>
      <c r="AB1618" s="49"/>
      <c r="AC1618" s="49"/>
      <c r="AD1618" s="50"/>
      <c r="AE1618" s="47" t="s">
        <v>2754</v>
      </c>
      <c r="AF1618" s="47">
        <v>55</v>
      </c>
      <c r="AG1618"/>
      <c r="AH1618"/>
      <c r="AI1618"/>
      <c r="AJ1618"/>
      <c r="AK1618"/>
      <c r="AL1618"/>
      <c r="AM1618"/>
      <c r="AN1618"/>
      <c r="AO1618"/>
      <c r="AP1618"/>
      <c r="AQ1618" t="s">
        <v>2526</v>
      </c>
      <c r="AU1618">
        <v>1617</v>
      </c>
    </row>
    <row r="1619" spans="1:47" x14ac:dyDescent="0.2">
      <c r="A1619" s="133">
        <v>6401</v>
      </c>
      <c r="B1619" s="39" t="s">
        <v>45</v>
      </c>
      <c r="C1619" s="39">
        <v>100</v>
      </c>
      <c r="D1619" s="29" t="b">
        <v>0</v>
      </c>
      <c r="E1619" s="39" t="s">
        <v>3008</v>
      </c>
      <c r="F1619" s="47" t="s">
        <v>348</v>
      </c>
      <c r="G1619" s="47" t="s">
        <v>49</v>
      </c>
      <c r="H1619"/>
      <c r="I1619" s="47" t="b">
        <v>0</v>
      </c>
      <c r="J1619" s="47" t="b">
        <v>0</v>
      </c>
      <c r="K1619" s="47">
        <v>230</v>
      </c>
      <c r="L1619" s="48">
        <v>9</v>
      </c>
      <c r="M1619" s="47">
        <v>-1</v>
      </c>
      <c r="N1619" s="47">
        <v>-1</v>
      </c>
      <c r="O1619" s="47">
        <v>-1</v>
      </c>
      <c r="P1619" s="47">
        <v>-1</v>
      </c>
      <c r="Q1619" s="47">
        <v>-1</v>
      </c>
      <c r="R1619" s="47">
        <v>-1</v>
      </c>
      <c r="S1619" s="48">
        <v>9</v>
      </c>
      <c r="T1619" s="47">
        <v>0</v>
      </c>
      <c r="U1619" s="47">
        <v>0</v>
      </c>
      <c r="V1619" s="47">
        <v>0</v>
      </c>
      <c r="W1619" s="47">
        <v>-1</v>
      </c>
      <c r="X1619" s="47">
        <v>134</v>
      </c>
      <c r="Y1619" s="47"/>
      <c r="Z1619" s="47" t="s">
        <v>2524</v>
      </c>
      <c r="AA1619" s="49"/>
      <c r="AB1619" s="49"/>
      <c r="AC1619" s="49"/>
      <c r="AD1619" s="50"/>
      <c r="AE1619" s="47" t="s">
        <v>2754</v>
      </c>
      <c r="AF1619" s="47">
        <v>45</v>
      </c>
      <c r="AG1619"/>
      <c r="AH1619"/>
      <c r="AI1619"/>
      <c r="AJ1619"/>
      <c r="AK1619"/>
      <c r="AL1619"/>
      <c r="AM1619"/>
      <c r="AN1619"/>
      <c r="AO1619"/>
      <c r="AP1619"/>
      <c r="AQ1619" t="s">
        <v>2526</v>
      </c>
      <c r="AU1619">
        <v>1618</v>
      </c>
    </row>
    <row r="1620" spans="1:47" x14ac:dyDescent="0.2">
      <c r="A1620" s="37">
        <v>6402</v>
      </c>
      <c r="B1620" s="38" t="s">
        <v>85</v>
      </c>
      <c r="C1620" s="39" t="s">
        <v>1234</v>
      </c>
      <c r="D1620" s="29"/>
      <c r="E1620" s="38" t="s">
        <v>107</v>
      </c>
      <c r="F1620" s="32" t="s">
        <v>529</v>
      </c>
      <c r="G1620" s="47"/>
      <c r="H1620"/>
      <c r="I1620" s="32" t="s">
        <v>3009</v>
      </c>
      <c r="J1620" s="47"/>
      <c r="K1620" s="47"/>
      <c r="L1620" s="48"/>
      <c r="M1620" s="47"/>
      <c r="N1620" s="47"/>
      <c r="O1620" s="47"/>
      <c r="P1620" s="47"/>
      <c r="Q1620" s="47"/>
      <c r="R1620" s="47"/>
      <c r="S1620" s="48"/>
      <c r="T1620" s="47"/>
      <c r="U1620" s="47"/>
      <c r="V1620" s="47"/>
      <c r="W1620" s="47"/>
      <c r="X1620" s="47"/>
      <c r="Y1620" s="47"/>
      <c r="Z1620" s="47" t="s">
        <v>1809</v>
      </c>
      <c r="AA1620" s="49"/>
      <c r="AB1620" s="49"/>
      <c r="AC1620" s="49"/>
      <c r="AD1620" s="50"/>
      <c r="AE1620" s="47" t="s">
        <v>1312</v>
      </c>
      <c r="AF1620" s="47"/>
      <c r="AG1620"/>
      <c r="AH1620"/>
      <c r="AI1620"/>
      <c r="AJ1620"/>
      <c r="AK1620"/>
      <c r="AL1620"/>
      <c r="AM1620"/>
      <c r="AN1620"/>
      <c r="AO1620"/>
      <c r="AP1620"/>
      <c r="AQ1620" t="s">
        <v>3010</v>
      </c>
      <c r="AU1620">
        <v>1619</v>
      </c>
    </row>
    <row r="1621" spans="1:47" x14ac:dyDescent="0.2">
      <c r="A1621" s="133">
        <v>6402</v>
      </c>
      <c r="B1621" s="39" t="s">
        <v>45</v>
      </c>
      <c r="C1621" s="39">
        <v>100</v>
      </c>
      <c r="D1621" s="29" t="b">
        <v>0</v>
      </c>
      <c r="E1621" s="39" t="s">
        <v>3011</v>
      </c>
      <c r="F1621" s="47" t="s">
        <v>3012</v>
      </c>
      <c r="G1621" s="47" t="s">
        <v>205</v>
      </c>
      <c r="H1621"/>
      <c r="I1621" s="47" t="b">
        <v>1</v>
      </c>
      <c r="J1621" s="47" t="b">
        <v>1</v>
      </c>
      <c r="K1621" s="47">
        <v>2258</v>
      </c>
      <c r="L1621" s="48">
        <v>9</v>
      </c>
      <c r="M1621" s="47">
        <v>-1</v>
      </c>
      <c r="N1621" s="47">
        <v>-1</v>
      </c>
      <c r="O1621" s="47">
        <v>-1</v>
      </c>
      <c r="P1621" s="47">
        <v>-1</v>
      </c>
      <c r="Q1621" s="47">
        <v>-1</v>
      </c>
      <c r="R1621" s="47">
        <v>-1</v>
      </c>
      <c r="S1621" s="48">
        <v>9</v>
      </c>
      <c r="T1621" s="47">
        <v>0</v>
      </c>
      <c r="U1621" s="47">
        <v>0</v>
      </c>
      <c r="V1621" s="47">
        <v>0</v>
      </c>
      <c r="W1621" s="47">
        <v>1200</v>
      </c>
      <c r="X1621" s="47">
        <v>140</v>
      </c>
      <c r="Y1621" s="47"/>
      <c r="Z1621" s="47" t="s">
        <v>2524</v>
      </c>
      <c r="AA1621" s="49"/>
      <c r="AB1621" s="49"/>
      <c r="AC1621" s="49"/>
      <c r="AD1621" s="50"/>
      <c r="AE1621" s="47" t="s">
        <v>2754</v>
      </c>
      <c r="AF1621" s="47"/>
      <c r="AG1621"/>
      <c r="AH1621"/>
      <c r="AI1621"/>
      <c r="AJ1621"/>
      <c r="AK1621"/>
      <c r="AL1621"/>
      <c r="AM1621"/>
      <c r="AN1621"/>
      <c r="AO1621"/>
      <c r="AP1621"/>
      <c r="AQ1621" t="s">
        <v>2526</v>
      </c>
      <c r="AU1621">
        <v>1620</v>
      </c>
    </row>
    <row r="1622" spans="1:47" x14ac:dyDescent="0.2">
      <c r="A1622" s="133">
        <v>6402</v>
      </c>
      <c r="B1622" s="39" t="s">
        <v>45</v>
      </c>
      <c r="C1622" s="39">
        <v>100</v>
      </c>
      <c r="D1622" s="29" t="b">
        <v>0</v>
      </c>
      <c r="E1622" s="39" t="s">
        <v>3013</v>
      </c>
      <c r="F1622" s="47" t="s">
        <v>529</v>
      </c>
      <c r="G1622" s="47" t="s">
        <v>205</v>
      </c>
      <c r="H1622"/>
      <c r="I1622" s="47" t="b">
        <v>0</v>
      </c>
      <c r="J1622" s="47" t="b">
        <v>0</v>
      </c>
      <c r="K1622" s="47">
        <v>1034</v>
      </c>
      <c r="L1622" s="48">
        <v>9</v>
      </c>
      <c r="M1622" s="47">
        <v>-1</v>
      </c>
      <c r="N1622" s="47">
        <v>-1</v>
      </c>
      <c r="O1622" s="47">
        <v>-1</v>
      </c>
      <c r="P1622" s="47">
        <v>-1</v>
      </c>
      <c r="Q1622" s="47">
        <v>-1</v>
      </c>
      <c r="R1622" s="47">
        <v>-1</v>
      </c>
      <c r="S1622" s="48">
        <v>9</v>
      </c>
      <c r="T1622" s="47">
        <v>0</v>
      </c>
      <c r="U1622" s="47">
        <v>0</v>
      </c>
      <c r="V1622" s="47">
        <v>0</v>
      </c>
      <c r="W1622" s="47">
        <v>-1</v>
      </c>
      <c r="X1622" s="47">
        <v>139</v>
      </c>
      <c r="Y1622" s="47"/>
      <c r="Z1622" s="47" t="s">
        <v>2524</v>
      </c>
      <c r="AA1622" s="49"/>
      <c r="AB1622" s="49"/>
      <c r="AC1622" s="49"/>
      <c r="AD1622" s="50"/>
      <c r="AE1622" s="47" t="s">
        <v>2754</v>
      </c>
      <c r="AF1622" s="47"/>
      <c r="AG1622"/>
      <c r="AH1622"/>
      <c r="AI1622"/>
      <c r="AJ1622"/>
      <c r="AK1622"/>
      <c r="AL1622"/>
      <c r="AM1622"/>
      <c r="AN1622"/>
      <c r="AO1622"/>
      <c r="AP1622"/>
      <c r="AQ1622" t="s">
        <v>2526</v>
      </c>
      <c r="AU1622">
        <v>1621</v>
      </c>
    </row>
    <row r="1623" spans="1:47" x14ac:dyDescent="0.2">
      <c r="A1623" s="133">
        <v>6402</v>
      </c>
      <c r="B1623" s="39" t="s">
        <v>45</v>
      </c>
      <c r="C1623" s="39">
        <v>100</v>
      </c>
      <c r="D1623" s="29" t="b">
        <v>0</v>
      </c>
      <c r="E1623" s="39" t="s">
        <v>3014</v>
      </c>
      <c r="F1623" s="47" t="s">
        <v>529</v>
      </c>
      <c r="G1623" s="47" t="s">
        <v>205</v>
      </c>
      <c r="H1623"/>
      <c r="I1623" s="47" t="b">
        <v>0</v>
      </c>
      <c r="J1623" s="47" t="b">
        <v>0</v>
      </c>
      <c r="K1623" s="47">
        <v>724</v>
      </c>
      <c r="L1623" s="48">
        <v>9</v>
      </c>
      <c r="M1623" s="47">
        <v>-1</v>
      </c>
      <c r="N1623" s="47">
        <v>-1</v>
      </c>
      <c r="O1623" s="47">
        <v>-1</v>
      </c>
      <c r="P1623" s="47">
        <v>-1</v>
      </c>
      <c r="Q1623" s="47">
        <v>-1</v>
      </c>
      <c r="R1623" s="47">
        <v>-1</v>
      </c>
      <c r="S1623" s="48">
        <v>9</v>
      </c>
      <c r="T1623" s="47">
        <v>0</v>
      </c>
      <c r="U1623" s="47">
        <v>0</v>
      </c>
      <c r="V1623" s="47">
        <v>0</v>
      </c>
      <c r="W1623" s="47">
        <v>1200</v>
      </c>
      <c r="X1623" s="47">
        <v>141</v>
      </c>
      <c r="Y1623" s="47"/>
      <c r="Z1623" s="47" t="s">
        <v>2524</v>
      </c>
      <c r="AA1623" s="49"/>
      <c r="AB1623" s="49"/>
      <c r="AC1623" s="49"/>
      <c r="AD1623" s="50"/>
      <c r="AE1623" s="47" t="s">
        <v>2754</v>
      </c>
      <c r="AF1623" s="47"/>
      <c r="AG1623"/>
      <c r="AH1623"/>
      <c r="AI1623"/>
      <c r="AJ1623"/>
      <c r="AK1623"/>
      <c r="AL1623"/>
      <c r="AM1623"/>
      <c r="AN1623"/>
      <c r="AO1623"/>
      <c r="AP1623"/>
      <c r="AQ1623" t="s">
        <v>2526</v>
      </c>
      <c r="AU1623">
        <v>1622</v>
      </c>
    </row>
    <row r="1624" spans="1:47" x14ac:dyDescent="0.2">
      <c r="A1624" s="133">
        <v>6402</v>
      </c>
      <c r="B1624" s="39" t="s">
        <v>45</v>
      </c>
      <c r="C1624" s="39">
        <v>100</v>
      </c>
      <c r="D1624" s="29" t="b">
        <v>0</v>
      </c>
      <c r="E1624" s="39" t="s">
        <v>2835</v>
      </c>
      <c r="F1624" s="47" t="s">
        <v>3015</v>
      </c>
      <c r="G1624" s="47" t="s">
        <v>73</v>
      </c>
      <c r="H1624"/>
      <c r="I1624" s="47" t="b">
        <v>0</v>
      </c>
      <c r="J1624" s="47" t="b">
        <v>0</v>
      </c>
      <c r="K1624" s="47">
        <v>270</v>
      </c>
      <c r="L1624" s="48">
        <v>9</v>
      </c>
      <c r="M1624" s="47">
        <v>-1</v>
      </c>
      <c r="N1624" s="47">
        <v>-1</v>
      </c>
      <c r="O1624" s="47">
        <v>-1</v>
      </c>
      <c r="P1624" s="47">
        <v>-1</v>
      </c>
      <c r="Q1624" s="47">
        <v>-1</v>
      </c>
      <c r="R1624" s="47">
        <v>-1</v>
      </c>
      <c r="S1624" s="48">
        <v>9</v>
      </c>
      <c r="T1624" s="47">
        <v>0</v>
      </c>
      <c r="U1624" s="47">
        <v>0</v>
      </c>
      <c r="V1624" s="47">
        <v>0</v>
      </c>
      <c r="W1624" s="47">
        <v>2000</v>
      </c>
      <c r="X1624" s="47">
        <v>142</v>
      </c>
      <c r="Y1624" s="47"/>
      <c r="Z1624" s="47" t="s">
        <v>2524</v>
      </c>
      <c r="AA1624" s="49"/>
      <c r="AB1624" s="49"/>
      <c r="AC1624" s="49"/>
      <c r="AD1624" s="50"/>
      <c r="AE1624" s="47" t="s">
        <v>2754</v>
      </c>
      <c r="AF1624" s="47">
        <v>55</v>
      </c>
      <c r="AG1624"/>
      <c r="AH1624"/>
      <c r="AI1624"/>
      <c r="AJ1624"/>
      <c r="AK1624"/>
      <c r="AL1624"/>
      <c r="AM1624"/>
      <c r="AN1624"/>
      <c r="AO1624"/>
      <c r="AP1624"/>
      <c r="AQ1624" t="s">
        <v>2526</v>
      </c>
      <c r="AU1624">
        <v>1623</v>
      </c>
    </row>
    <row r="1625" spans="1:47" x14ac:dyDescent="0.2">
      <c r="A1625" s="133">
        <v>6403</v>
      </c>
      <c r="B1625" s="39" t="s">
        <v>85</v>
      </c>
      <c r="C1625" s="39" t="s">
        <v>142</v>
      </c>
      <c r="D1625" s="29"/>
      <c r="E1625" s="39" t="s">
        <v>3016</v>
      </c>
      <c r="F1625" s="47" t="s">
        <v>3017</v>
      </c>
      <c r="G1625" s="47" t="s">
        <v>69</v>
      </c>
      <c r="H1625"/>
      <c r="I1625" s="47" t="s">
        <v>3018</v>
      </c>
      <c r="J1625" s="47"/>
      <c r="K1625" s="47">
        <f>40*10*2.2</f>
        <v>880.00000000000011</v>
      </c>
      <c r="L1625" s="48">
        <v>18</v>
      </c>
      <c r="M1625" s="47">
        <v>3</v>
      </c>
      <c r="N1625" s="47">
        <v>4</v>
      </c>
      <c r="O1625" s="47">
        <v>1</v>
      </c>
      <c r="P1625" s="47"/>
      <c r="Q1625" s="47"/>
      <c r="R1625" s="47"/>
      <c r="S1625" s="48">
        <v>10</v>
      </c>
      <c r="T1625" s="47">
        <v>0</v>
      </c>
      <c r="U1625" s="47">
        <v>0</v>
      </c>
      <c r="V1625" s="47">
        <v>2</v>
      </c>
      <c r="W1625" s="47"/>
      <c r="X1625" s="47"/>
      <c r="Y1625" s="47" t="s">
        <v>51</v>
      </c>
      <c r="Z1625" s="47" t="s">
        <v>1809</v>
      </c>
      <c r="AA1625" s="49"/>
      <c r="AB1625" s="49"/>
      <c r="AC1625" s="49"/>
      <c r="AD1625" s="50"/>
      <c r="AE1625" s="47" t="s">
        <v>2470</v>
      </c>
      <c r="AF1625" s="47"/>
      <c r="AG1625"/>
      <c r="AH1625"/>
      <c r="AI1625"/>
      <c r="AJ1625"/>
      <c r="AK1625">
        <v>40</v>
      </c>
      <c r="AL1625"/>
      <c r="AM1625"/>
      <c r="AN1625"/>
      <c r="AO1625"/>
      <c r="AP1625"/>
      <c r="AQ1625" s="32" t="s">
        <v>3019</v>
      </c>
      <c r="AU1625">
        <v>1624</v>
      </c>
    </row>
    <row r="1626" spans="1:47" x14ac:dyDescent="0.2">
      <c r="A1626" s="133">
        <v>6403</v>
      </c>
      <c r="B1626" s="39" t="s">
        <v>45</v>
      </c>
      <c r="C1626" s="39">
        <v>100</v>
      </c>
      <c r="D1626" s="29" t="b">
        <v>0</v>
      </c>
      <c r="E1626" s="39" t="s">
        <v>3020</v>
      </c>
      <c r="F1626" s="47" t="s">
        <v>3021</v>
      </c>
      <c r="G1626" s="47" t="s">
        <v>205</v>
      </c>
      <c r="H1626"/>
      <c r="I1626" s="47" t="b">
        <v>1</v>
      </c>
      <c r="J1626" s="47" t="b">
        <v>1</v>
      </c>
      <c r="K1626" s="47">
        <v>2458</v>
      </c>
      <c r="L1626" s="48">
        <v>10</v>
      </c>
      <c r="M1626" s="47">
        <v>-1</v>
      </c>
      <c r="N1626" s="47">
        <v>-1</v>
      </c>
      <c r="O1626" s="47">
        <v>-1</v>
      </c>
      <c r="P1626" s="47">
        <v>-1</v>
      </c>
      <c r="Q1626" s="47">
        <v>-1</v>
      </c>
      <c r="R1626" s="47">
        <v>-1</v>
      </c>
      <c r="S1626" s="48">
        <v>10</v>
      </c>
      <c r="T1626" s="47">
        <v>0</v>
      </c>
      <c r="U1626" s="47">
        <v>0</v>
      </c>
      <c r="V1626" s="47">
        <v>0</v>
      </c>
      <c r="W1626" s="47">
        <v>1288</v>
      </c>
      <c r="X1626" s="47">
        <v>144</v>
      </c>
      <c r="Y1626" s="47"/>
      <c r="Z1626" s="47" t="s">
        <v>2524</v>
      </c>
      <c r="AA1626" s="49"/>
      <c r="AB1626" s="49"/>
      <c r="AC1626" s="49"/>
      <c r="AD1626" s="50"/>
      <c r="AE1626" s="47" t="s">
        <v>2754</v>
      </c>
      <c r="AF1626" s="47"/>
      <c r="AG1626"/>
      <c r="AH1626"/>
      <c r="AI1626"/>
      <c r="AJ1626"/>
      <c r="AK1626"/>
      <c r="AL1626"/>
      <c r="AM1626"/>
      <c r="AN1626"/>
      <c r="AO1626"/>
      <c r="AP1626"/>
      <c r="AQ1626" t="s">
        <v>2526</v>
      </c>
      <c r="AU1626">
        <v>1625</v>
      </c>
    </row>
    <row r="1627" spans="1:47" x14ac:dyDescent="0.2">
      <c r="A1627" s="133">
        <v>6403</v>
      </c>
      <c r="B1627" s="39" t="s">
        <v>45</v>
      </c>
      <c r="C1627" s="39">
        <v>100</v>
      </c>
      <c r="D1627" s="29" t="b">
        <v>0</v>
      </c>
      <c r="E1627" s="39" t="s">
        <v>3022</v>
      </c>
      <c r="F1627" s="47" t="s">
        <v>529</v>
      </c>
      <c r="G1627" s="47" t="s">
        <v>205</v>
      </c>
      <c r="H1627"/>
      <c r="I1627" s="47" t="b">
        <v>0</v>
      </c>
      <c r="J1627" s="47" t="b">
        <v>0</v>
      </c>
      <c r="K1627" s="47">
        <v>540</v>
      </c>
      <c r="L1627" s="48">
        <v>10</v>
      </c>
      <c r="M1627" s="47">
        <v>-1</v>
      </c>
      <c r="N1627" s="47">
        <v>-1</v>
      </c>
      <c r="O1627" s="47">
        <v>-1</v>
      </c>
      <c r="P1627" s="47">
        <v>-1</v>
      </c>
      <c r="Q1627" s="47">
        <v>-1</v>
      </c>
      <c r="R1627" s="47">
        <v>-1</v>
      </c>
      <c r="S1627" s="48">
        <v>10</v>
      </c>
      <c r="T1627" s="47">
        <v>0</v>
      </c>
      <c r="U1627" s="47">
        <v>0</v>
      </c>
      <c r="V1627" s="47">
        <v>0</v>
      </c>
      <c r="W1627" s="47">
        <v>1150</v>
      </c>
      <c r="X1627" s="47">
        <v>145</v>
      </c>
      <c r="Y1627" s="47"/>
      <c r="Z1627" s="47" t="s">
        <v>2524</v>
      </c>
      <c r="AA1627" s="49"/>
      <c r="AB1627" s="49"/>
      <c r="AC1627" s="49"/>
      <c r="AD1627" s="50"/>
      <c r="AE1627" s="47" t="s">
        <v>2754</v>
      </c>
      <c r="AF1627" s="47"/>
      <c r="AG1627"/>
      <c r="AH1627"/>
      <c r="AI1627"/>
      <c r="AJ1627"/>
      <c r="AK1627"/>
      <c r="AL1627"/>
      <c r="AM1627"/>
      <c r="AN1627"/>
      <c r="AO1627"/>
      <c r="AP1627"/>
      <c r="AQ1627" t="s">
        <v>2526</v>
      </c>
      <c r="AU1627">
        <v>1626</v>
      </c>
    </row>
    <row r="1628" spans="1:47" x14ac:dyDescent="0.2">
      <c r="A1628" s="133">
        <v>6403</v>
      </c>
      <c r="B1628" s="39" t="s">
        <v>45</v>
      </c>
      <c r="C1628" s="39">
        <v>100</v>
      </c>
      <c r="D1628" s="29" t="b">
        <v>0</v>
      </c>
      <c r="E1628" s="39" t="s">
        <v>3023</v>
      </c>
      <c r="F1628" s="47" t="s">
        <v>529</v>
      </c>
      <c r="G1628" s="47" t="s">
        <v>205</v>
      </c>
      <c r="H1628"/>
      <c r="I1628" s="47" t="b">
        <v>0</v>
      </c>
      <c r="J1628" s="47" t="b">
        <v>0</v>
      </c>
      <c r="K1628" s="47">
        <v>224</v>
      </c>
      <c r="L1628" s="48">
        <v>10</v>
      </c>
      <c r="M1628" s="47">
        <v>-1</v>
      </c>
      <c r="N1628" s="47">
        <v>-1</v>
      </c>
      <c r="O1628" s="47">
        <v>-1</v>
      </c>
      <c r="P1628" s="47">
        <v>-1</v>
      </c>
      <c r="Q1628" s="47">
        <v>-1</v>
      </c>
      <c r="R1628" s="47">
        <v>-1</v>
      </c>
      <c r="S1628" s="48">
        <v>10</v>
      </c>
      <c r="T1628" s="47">
        <v>0</v>
      </c>
      <c r="U1628" s="47">
        <v>0</v>
      </c>
      <c r="V1628" s="47">
        <v>0</v>
      </c>
      <c r="W1628" s="47">
        <v>1000</v>
      </c>
      <c r="X1628" s="47">
        <v>146</v>
      </c>
      <c r="Y1628" s="47"/>
      <c r="Z1628" s="47" t="s">
        <v>2524</v>
      </c>
      <c r="AA1628" s="49"/>
      <c r="AB1628" s="49"/>
      <c r="AC1628" s="49"/>
      <c r="AD1628" s="50"/>
      <c r="AE1628" s="47" t="s">
        <v>2754</v>
      </c>
      <c r="AF1628" s="47"/>
      <c r="AG1628"/>
      <c r="AH1628"/>
      <c r="AI1628"/>
      <c r="AJ1628"/>
      <c r="AK1628"/>
      <c r="AL1628"/>
      <c r="AM1628"/>
      <c r="AN1628"/>
      <c r="AO1628"/>
      <c r="AP1628"/>
      <c r="AQ1628" t="s">
        <v>2526</v>
      </c>
      <c r="AU1628">
        <v>1627</v>
      </c>
    </row>
    <row r="1629" spans="1:47" x14ac:dyDescent="0.2">
      <c r="A1629" s="133">
        <v>6403</v>
      </c>
      <c r="B1629" s="39" t="s">
        <v>45</v>
      </c>
      <c r="C1629" s="39">
        <v>100</v>
      </c>
      <c r="D1629" s="29" t="b">
        <v>0</v>
      </c>
      <c r="E1629" s="39" t="s">
        <v>3024</v>
      </c>
      <c r="F1629" s="47" t="s">
        <v>3025</v>
      </c>
      <c r="G1629" s="47" t="s">
        <v>49</v>
      </c>
      <c r="H1629"/>
      <c r="I1629" s="47" t="b">
        <v>0</v>
      </c>
      <c r="J1629" s="47" t="b">
        <v>0</v>
      </c>
      <c r="K1629" s="47">
        <v>654</v>
      </c>
      <c r="L1629" s="48">
        <v>10</v>
      </c>
      <c r="M1629" s="47">
        <v>-1</v>
      </c>
      <c r="N1629" s="47">
        <v>-1</v>
      </c>
      <c r="O1629" s="47">
        <v>-1</v>
      </c>
      <c r="P1629" s="47">
        <v>-1</v>
      </c>
      <c r="Q1629" s="47">
        <v>-1</v>
      </c>
      <c r="R1629" s="47">
        <v>-1</v>
      </c>
      <c r="S1629" s="48">
        <v>10</v>
      </c>
      <c r="T1629" s="47">
        <v>0</v>
      </c>
      <c r="U1629" s="47">
        <v>0</v>
      </c>
      <c r="V1629" s="47">
        <v>0</v>
      </c>
      <c r="W1629" s="47">
        <v>-1</v>
      </c>
      <c r="X1629" s="47">
        <v>143</v>
      </c>
      <c r="Y1629" s="47"/>
      <c r="Z1629" s="47" t="s">
        <v>2524</v>
      </c>
      <c r="AA1629" s="49"/>
      <c r="AB1629" s="49"/>
      <c r="AC1629" s="49"/>
      <c r="AD1629" s="50"/>
      <c r="AE1629" s="47" t="s">
        <v>2754</v>
      </c>
      <c r="AF1629" s="47">
        <v>55</v>
      </c>
      <c r="AG1629"/>
      <c r="AH1629"/>
      <c r="AI1629"/>
      <c r="AJ1629"/>
      <c r="AK1629"/>
      <c r="AL1629"/>
      <c r="AM1629"/>
      <c r="AN1629"/>
      <c r="AO1629"/>
      <c r="AP1629"/>
      <c r="AQ1629" t="s">
        <v>2526</v>
      </c>
      <c r="AU1629">
        <v>1628</v>
      </c>
    </row>
    <row r="1630" spans="1:47" x14ac:dyDescent="0.2">
      <c r="A1630" s="133">
        <v>6403</v>
      </c>
      <c r="B1630" s="39" t="s">
        <v>45</v>
      </c>
      <c r="C1630" s="39">
        <v>100</v>
      </c>
      <c r="D1630" s="29" t="b">
        <v>0</v>
      </c>
      <c r="E1630" s="39" t="s">
        <v>3026</v>
      </c>
      <c r="F1630" s="47" t="s">
        <v>3027</v>
      </c>
      <c r="G1630" s="47" t="s">
        <v>73</v>
      </c>
      <c r="H1630"/>
      <c r="I1630" s="47" t="b">
        <v>0</v>
      </c>
      <c r="J1630" s="47" t="b">
        <v>0</v>
      </c>
      <c r="K1630" s="47">
        <v>500</v>
      </c>
      <c r="L1630" s="48">
        <v>10</v>
      </c>
      <c r="M1630" s="47">
        <v>-1</v>
      </c>
      <c r="N1630" s="47">
        <v>-1</v>
      </c>
      <c r="O1630" s="47">
        <v>-1</v>
      </c>
      <c r="P1630" s="47">
        <v>-1</v>
      </c>
      <c r="Q1630" s="47">
        <v>-1</v>
      </c>
      <c r="R1630" s="47">
        <v>-1</v>
      </c>
      <c r="S1630" s="48">
        <v>10</v>
      </c>
      <c r="T1630" s="47">
        <v>0</v>
      </c>
      <c r="U1630" s="47">
        <v>0</v>
      </c>
      <c r="V1630" s="47">
        <v>0</v>
      </c>
      <c r="W1630" s="47">
        <v>-1</v>
      </c>
      <c r="X1630" s="47">
        <v>147</v>
      </c>
      <c r="Y1630" s="47"/>
      <c r="Z1630" s="47" t="s">
        <v>2524</v>
      </c>
      <c r="AA1630" s="49"/>
      <c r="AB1630" s="49"/>
      <c r="AC1630" s="49"/>
      <c r="AD1630" s="50"/>
      <c r="AE1630" s="47" t="s">
        <v>2754</v>
      </c>
      <c r="AF1630" s="47">
        <v>50</v>
      </c>
      <c r="AG1630"/>
      <c r="AH1630"/>
      <c r="AI1630"/>
      <c r="AJ1630"/>
      <c r="AK1630"/>
      <c r="AL1630"/>
      <c r="AM1630"/>
      <c r="AN1630"/>
      <c r="AO1630"/>
      <c r="AP1630"/>
      <c r="AQ1630" t="s">
        <v>2526</v>
      </c>
      <c r="AU1630">
        <v>1629</v>
      </c>
    </row>
    <row r="1631" spans="1:47" x14ac:dyDescent="0.2">
      <c r="A1631" s="133">
        <v>6403</v>
      </c>
      <c r="B1631" s="39" t="s">
        <v>45</v>
      </c>
      <c r="C1631" s="39">
        <v>100</v>
      </c>
      <c r="D1631" s="29" t="b">
        <v>0</v>
      </c>
      <c r="E1631" s="39" t="s">
        <v>3028</v>
      </c>
      <c r="F1631" s="47" t="s">
        <v>881</v>
      </c>
      <c r="G1631" s="47" t="s">
        <v>73</v>
      </c>
      <c r="H1631"/>
      <c r="I1631" s="47" t="b">
        <v>0</v>
      </c>
      <c r="J1631" s="47" t="b">
        <v>0</v>
      </c>
      <c r="K1631" s="47">
        <v>270</v>
      </c>
      <c r="L1631" s="48">
        <v>10</v>
      </c>
      <c r="M1631" s="47">
        <v>-1</v>
      </c>
      <c r="N1631" s="47">
        <v>-1</v>
      </c>
      <c r="O1631" s="47">
        <v>-1</v>
      </c>
      <c r="P1631" s="47">
        <v>-1</v>
      </c>
      <c r="Q1631" s="47">
        <v>-1</v>
      </c>
      <c r="R1631" s="47">
        <v>-1</v>
      </c>
      <c r="S1631" s="48">
        <v>10</v>
      </c>
      <c r="T1631" s="47">
        <v>0</v>
      </c>
      <c r="U1631" s="47">
        <v>0</v>
      </c>
      <c r="V1631" s="47">
        <v>0</v>
      </c>
      <c r="W1631" s="47">
        <v>1500</v>
      </c>
      <c r="X1631" s="47">
        <v>148</v>
      </c>
      <c r="Y1631" s="47"/>
      <c r="Z1631" s="47" t="s">
        <v>2524</v>
      </c>
      <c r="AA1631" s="49"/>
      <c r="AB1631" s="49"/>
      <c r="AC1631" s="49"/>
      <c r="AD1631" s="50"/>
      <c r="AE1631" s="47" t="s">
        <v>2754</v>
      </c>
      <c r="AF1631" s="47"/>
      <c r="AG1631"/>
      <c r="AH1631"/>
      <c r="AI1631"/>
      <c r="AJ1631"/>
      <c r="AK1631"/>
      <c r="AL1631"/>
      <c r="AM1631"/>
      <c r="AN1631"/>
      <c r="AO1631"/>
      <c r="AP1631"/>
      <c r="AQ1631" t="s">
        <v>2526</v>
      </c>
      <c r="AU1631">
        <v>1630</v>
      </c>
    </row>
    <row r="1632" spans="1:47" x14ac:dyDescent="0.2">
      <c r="A1632" s="133">
        <v>6403</v>
      </c>
      <c r="B1632" s="39" t="s">
        <v>45</v>
      </c>
      <c r="C1632" s="39">
        <v>100</v>
      </c>
      <c r="D1632" s="29" t="b">
        <v>0</v>
      </c>
      <c r="E1632" s="39" t="s">
        <v>3029</v>
      </c>
      <c r="F1632" s="47" t="s">
        <v>2991</v>
      </c>
      <c r="G1632" s="47" t="s">
        <v>49</v>
      </c>
      <c r="H1632"/>
      <c r="I1632" s="47" t="b">
        <v>0</v>
      </c>
      <c r="J1632" s="47" t="b">
        <v>0</v>
      </c>
      <c r="K1632" s="47">
        <v>270</v>
      </c>
      <c r="L1632" s="48">
        <v>10</v>
      </c>
      <c r="M1632" s="47">
        <v>-1</v>
      </c>
      <c r="N1632" s="47">
        <v>-1</v>
      </c>
      <c r="O1632" s="47">
        <v>-1</v>
      </c>
      <c r="P1632" s="47">
        <v>-1</v>
      </c>
      <c r="Q1632" s="47">
        <v>-1</v>
      </c>
      <c r="R1632" s="47">
        <v>-1</v>
      </c>
      <c r="S1632" s="48">
        <v>10</v>
      </c>
      <c r="T1632" s="47">
        <v>0</v>
      </c>
      <c r="U1632" s="47">
        <v>0</v>
      </c>
      <c r="V1632" s="47">
        <v>0</v>
      </c>
      <c r="W1632" s="47">
        <v>1500</v>
      </c>
      <c r="X1632" s="47">
        <v>149</v>
      </c>
      <c r="Y1632" s="47"/>
      <c r="Z1632" s="47" t="s">
        <v>2524</v>
      </c>
      <c r="AA1632" s="49"/>
      <c r="AB1632" s="49"/>
      <c r="AC1632" s="49"/>
      <c r="AD1632" s="50"/>
      <c r="AE1632" s="47" t="s">
        <v>2754</v>
      </c>
      <c r="AF1632" s="47"/>
      <c r="AG1632"/>
      <c r="AH1632"/>
      <c r="AI1632"/>
      <c r="AJ1632"/>
      <c r="AK1632"/>
      <c r="AL1632"/>
      <c r="AM1632"/>
      <c r="AN1632"/>
      <c r="AO1632"/>
      <c r="AP1632"/>
      <c r="AQ1632" t="s">
        <v>2526</v>
      </c>
      <c r="AU1632">
        <v>1631</v>
      </c>
    </row>
    <row r="1633" spans="1:47" x14ac:dyDescent="0.2">
      <c r="A1633" s="133">
        <v>6403</v>
      </c>
      <c r="B1633" s="39" t="s">
        <v>45</v>
      </c>
      <c r="C1633" s="39" t="s">
        <v>142</v>
      </c>
      <c r="D1633" s="29"/>
      <c r="E1633" s="39" t="s">
        <v>3030</v>
      </c>
      <c r="F1633" s="47" t="s">
        <v>3031</v>
      </c>
      <c r="G1633" s="47" t="s">
        <v>69</v>
      </c>
      <c r="H1633"/>
      <c r="I1633" s="47" t="s">
        <v>3032</v>
      </c>
      <c r="J1633" s="47"/>
      <c r="K1633" s="47">
        <f>(86*10+27*25)*2.2</f>
        <v>3377.0000000000005</v>
      </c>
      <c r="L1633" s="48">
        <v>9</v>
      </c>
      <c r="M1633" s="47"/>
      <c r="N1633" s="47"/>
      <c r="O1633" s="47"/>
      <c r="P1633" s="47"/>
      <c r="Q1633" s="47"/>
      <c r="R1633" s="47"/>
      <c r="S1633" s="48">
        <v>9</v>
      </c>
      <c r="T1633" s="47">
        <v>0</v>
      </c>
      <c r="U1633" s="47">
        <v>0</v>
      </c>
      <c r="V1633" s="47">
        <v>0</v>
      </c>
      <c r="W1633" s="47"/>
      <c r="X1633" s="47"/>
      <c r="Y1633" s="47" t="s">
        <v>51</v>
      </c>
      <c r="Z1633" s="47"/>
      <c r="AA1633" s="49"/>
      <c r="AB1633" s="49"/>
      <c r="AC1633" s="49"/>
      <c r="AD1633" s="50"/>
      <c r="AE1633" s="47" t="s">
        <v>2470</v>
      </c>
      <c r="AF1633" s="47"/>
      <c r="AG1633"/>
      <c r="AH1633"/>
      <c r="AI1633"/>
      <c r="AJ1633"/>
      <c r="AK1633">
        <f>86+27</f>
        <v>113</v>
      </c>
      <c r="AL1633"/>
      <c r="AM1633"/>
      <c r="AN1633"/>
      <c r="AO1633"/>
      <c r="AP1633"/>
      <c r="AQ1633" s="32" t="s">
        <v>3019</v>
      </c>
      <c r="AU1633">
        <v>1632</v>
      </c>
    </row>
    <row r="1634" spans="1:47" x14ac:dyDescent="0.2">
      <c r="A1634" s="133">
        <v>6403</v>
      </c>
      <c r="B1634" s="39" t="s">
        <v>45</v>
      </c>
      <c r="C1634" s="38" t="s">
        <v>2542</v>
      </c>
      <c r="D1634" s="29"/>
      <c r="E1634" s="39" t="s">
        <v>3033</v>
      </c>
      <c r="F1634" s="47" t="s">
        <v>3034</v>
      </c>
      <c r="G1634" s="47" t="s">
        <v>49</v>
      </c>
      <c r="H1634"/>
      <c r="I1634" s="47" t="b">
        <v>1</v>
      </c>
      <c r="J1634" s="47" t="b">
        <v>1</v>
      </c>
      <c r="K1634" s="47">
        <f>((5*30*10)+(3*6*50))*2.2</f>
        <v>5280</v>
      </c>
      <c r="L1634" s="48">
        <v>9</v>
      </c>
      <c r="M1634" s="47"/>
      <c r="N1634" s="47">
        <v>1</v>
      </c>
      <c r="O1634" s="47"/>
      <c r="P1634" s="47"/>
      <c r="Q1634" s="47">
        <v>1</v>
      </c>
      <c r="R1634" s="47"/>
      <c r="S1634" s="48">
        <v>8</v>
      </c>
      <c r="T1634" s="47">
        <v>0</v>
      </c>
      <c r="U1634" s="47">
        <v>0</v>
      </c>
      <c r="V1634" s="47">
        <v>0</v>
      </c>
      <c r="W1634" s="47">
        <f>((2000+2700+2500+2700+2400+2800+2500+2400)/8)*39.37/12</f>
        <v>8202.0833333333339</v>
      </c>
      <c r="X1634" s="47"/>
      <c r="Y1634" s="47" t="s">
        <v>51</v>
      </c>
      <c r="Z1634" s="47" t="s">
        <v>1846</v>
      </c>
      <c r="AA1634" s="49"/>
      <c r="AB1634" s="49"/>
      <c r="AC1634" s="49"/>
      <c r="AD1634" s="50">
        <f>2+25/60</f>
        <v>2.4166666666666665</v>
      </c>
      <c r="AE1634" s="31" t="s">
        <v>342</v>
      </c>
      <c r="AF1634" s="47">
        <v>70</v>
      </c>
      <c r="AG1634"/>
      <c r="AH1634"/>
      <c r="AI1634"/>
      <c r="AJ1634"/>
      <c r="AK1634">
        <f>138+30</f>
        <v>168</v>
      </c>
      <c r="AL1634"/>
      <c r="AM1634"/>
      <c r="AN1634"/>
      <c r="AO1634"/>
      <c r="AP1634"/>
      <c r="AQ1634" s="32" t="s">
        <v>3035</v>
      </c>
      <c r="AR1634" s="32" t="s">
        <v>3036</v>
      </c>
      <c r="AU1634">
        <v>1633</v>
      </c>
    </row>
    <row r="1635" spans="1:47" x14ac:dyDescent="0.2">
      <c r="A1635" s="133">
        <v>6403</v>
      </c>
      <c r="B1635" s="39" t="s">
        <v>45</v>
      </c>
      <c r="C1635" s="38" t="s">
        <v>2542</v>
      </c>
      <c r="D1635" s="29"/>
      <c r="E1635" s="39" t="s">
        <v>1764</v>
      </c>
      <c r="F1635" s="47" t="s">
        <v>220</v>
      </c>
      <c r="G1635" s="47" t="s">
        <v>49</v>
      </c>
      <c r="H1635"/>
      <c r="I1635" s="47" t="b">
        <v>0</v>
      </c>
      <c r="J1635" s="47" t="b">
        <v>0</v>
      </c>
      <c r="K1635" s="47">
        <f>((4*30*10)+(3*6*50))*2.2</f>
        <v>4620</v>
      </c>
      <c r="L1635" s="48"/>
      <c r="M1635" s="47"/>
      <c r="N1635" s="47"/>
      <c r="O1635" s="47"/>
      <c r="P1635" s="47"/>
      <c r="Q1635" s="47"/>
      <c r="R1635" s="47"/>
      <c r="S1635" s="48">
        <v>7</v>
      </c>
      <c r="T1635" s="47"/>
      <c r="U1635" s="47"/>
      <c r="V1635" s="47"/>
      <c r="W1635" s="47">
        <f>((2700+2500+2700+2400+2800+2500+2400)/7)*39.37/12</f>
        <v>8436.4285714285706</v>
      </c>
      <c r="X1635" s="47"/>
      <c r="Y1635" s="47" t="s">
        <v>51</v>
      </c>
      <c r="Z1635" s="47" t="s">
        <v>1846</v>
      </c>
      <c r="AA1635" s="49"/>
      <c r="AB1635" s="49"/>
      <c r="AC1635" s="49"/>
      <c r="AD1635" s="50">
        <f>2+25/60</f>
        <v>2.4166666666666665</v>
      </c>
      <c r="AE1635" s="31" t="s">
        <v>342</v>
      </c>
      <c r="AF1635" s="47">
        <v>70</v>
      </c>
      <c r="AG1635"/>
      <c r="AH1635"/>
      <c r="AI1635"/>
      <c r="AJ1635"/>
      <c r="AK1635">
        <f>4*30+3*6</f>
        <v>138</v>
      </c>
      <c r="AL1635"/>
      <c r="AM1635"/>
      <c r="AN1635"/>
      <c r="AO1635"/>
      <c r="AP1635"/>
      <c r="AQ1635" s="32" t="s">
        <v>3035</v>
      </c>
      <c r="AR1635" s="32" t="s">
        <v>3037</v>
      </c>
      <c r="AU1635">
        <v>1634</v>
      </c>
    </row>
    <row r="1636" spans="1:47" x14ac:dyDescent="0.2">
      <c r="A1636" s="133">
        <v>6403</v>
      </c>
      <c r="B1636" s="39" t="s">
        <v>45</v>
      </c>
      <c r="C1636" s="38" t="s">
        <v>2542</v>
      </c>
      <c r="D1636" s="29"/>
      <c r="E1636" s="39" t="s">
        <v>405</v>
      </c>
      <c r="F1636" s="47" t="s">
        <v>220</v>
      </c>
      <c r="G1636" s="47" t="s">
        <v>49</v>
      </c>
      <c r="H1636"/>
      <c r="I1636" s="47" t="b">
        <v>0</v>
      </c>
      <c r="J1636" s="47" t="b">
        <v>0</v>
      </c>
      <c r="K1636" s="47">
        <f>30*10*2.2</f>
        <v>660</v>
      </c>
      <c r="L1636" s="48"/>
      <c r="M1636" s="47"/>
      <c r="N1636" s="47"/>
      <c r="O1636" s="47"/>
      <c r="P1636" s="47"/>
      <c r="Q1636" s="47"/>
      <c r="R1636" s="47"/>
      <c r="S1636" s="48">
        <v>1</v>
      </c>
      <c r="T1636" s="47"/>
      <c r="U1636" s="47"/>
      <c r="V1636" s="47"/>
      <c r="W1636" s="47">
        <f>2000*39.37/12</f>
        <v>6561.666666666667</v>
      </c>
      <c r="X1636" s="47"/>
      <c r="Y1636" s="47" t="s">
        <v>51</v>
      </c>
      <c r="Z1636" s="47" t="s">
        <v>1846</v>
      </c>
      <c r="AA1636" s="49"/>
      <c r="AB1636" s="49"/>
      <c r="AC1636" s="49"/>
      <c r="AD1636" s="50">
        <v>2.3330000000000002</v>
      </c>
      <c r="AE1636" s="31" t="s">
        <v>342</v>
      </c>
      <c r="AF1636" s="47">
        <v>40</v>
      </c>
      <c r="AG1636"/>
      <c r="AH1636"/>
      <c r="AI1636"/>
      <c r="AJ1636"/>
      <c r="AK1636">
        <v>30</v>
      </c>
      <c r="AL1636"/>
      <c r="AM1636"/>
      <c r="AN1636"/>
      <c r="AO1636"/>
      <c r="AP1636"/>
      <c r="AQ1636" s="32" t="s">
        <v>3035</v>
      </c>
      <c r="AR1636" s="32" t="s">
        <v>3038</v>
      </c>
      <c r="AU1636">
        <v>1635</v>
      </c>
    </row>
    <row r="1637" spans="1:47" x14ac:dyDescent="0.2">
      <c r="A1637" s="26">
        <v>6403</v>
      </c>
      <c r="B1637" s="27" t="s">
        <v>45</v>
      </c>
      <c r="C1637" s="28"/>
      <c r="D1637" s="29"/>
      <c r="E1637" s="30" t="s">
        <v>1531</v>
      </c>
      <c r="H1637" s="32">
        <v>0</v>
      </c>
      <c r="I1637" s="32" t="s">
        <v>1706</v>
      </c>
      <c r="AG1637" s="32">
        <v>0</v>
      </c>
      <c r="AH1637" s="32">
        <v>0</v>
      </c>
      <c r="AI1637" s="32">
        <v>0</v>
      </c>
      <c r="AK1637" s="32">
        <v>0</v>
      </c>
      <c r="AM1637" s="32">
        <f>498*135</f>
        <v>67230</v>
      </c>
      <c r="AO1637" s="32" t="s">
        <v>1533</v>
      </c>
      <c r="AQ1637" s="32" t="s">
        <v>1101</v>
      </c>
      <c r="AU1637">
        <v>1636</v>
      </c>
    </row>
    <row r="1638" spans="1:47" x14ac:dyDescent="0.2">
      <c r="A1638" s="26">
        <v>6403</v>
      </c>
      <c r="B1638" s="27" t="s">
        <v>45</v>
      </c>
      <c r="C1638" s="28"/>
      <c r="D1638" s="29"/>
      <c r="E1638" s="150" t="s">
        <v>2286</v>
      </c>
      <c r="H1638" s="32">
        <v>0</v>
      </c>
      <c r="I1638" s="32" t="s">
        <v>1824</v>
      </c>
      <c r="AG1638" s="32">
        <v>0</v>
      </c>
      <c r="AH1638" s="32">
        <v>0</v>
      </c>
      <c r="AI1638" s="32">
        <v>0</v>
      </c>
      <c r="AK1638" s="32">
        <v>0</v>
      </c>
      <c r="AM1638" s="32">
        <v>25000</v>
      </c>
      <c r="AO1638" s="73" t="s">
        <v>75</v>
      </c>
      <c r="AQ1638" s="32" t="s">
        <v>589</v>
      </c>
      <c r="AU1638">
        <v>1637</v>
      </c>
    </row>
    <row r="1639" spans="1:47" x14ac:dyDescent="0.2">
      <c r="A1639" s="26">
        <v>6403</v>
      </c>
      <c r="B1639" s="27"/>
      <c r="C1639" s="28"/>
      <c r="D1639" s="29"/>
      <c r="E1639" s="102" t="s">
        <v>1421</v>
      </c>
      <c r="H1639" s="32">
        <v>1</v>
      </c>
      <c r="I1639" s="32" t="s">
        <v>3039</v>
      </c>
      <c r="AK1639" s="32">
        <v>5</v>
      </c>
      <c r="AO1639" s="73"/>
      <c r="AQ1639" s="32" t="s">
        <v>589</v>
      </c>
      <c r="AU1639">
        <v>1638</v>
      </c>
    </row>
    <row r="1640" spans="1:47" x14ac:dyDescent="0.2">
      <c r="A1640" s="133">
        <v>6404</v>
      </c>
      <c r="B1640" s="39" t="s">
        <v>45</v>
      </c>
      <c r="C1640" s="39">
        <v>100</v>
      </c>
      <c r="D1640" s="29" t="b">
        <v>0</v>
      </c>
      <c r="E1640" s="39" t="s">
        <v>3040</v>
      </c>
      <c r="F1640" s="47" t="s">
        <v>3041</v>
      </c>
      <c r="G1640" s="47" t="s">
        <v>49</v>
      </c>
      <c r="H1640"/>
      <c r="I1640" s="47" t="b">
        <v>1</v>
      </c>
      <c r="J1640" s="47" t="b">
        <v>1</v>
      </c>
      <c r="K1640" s="47">
        <v>2430</v>
      </c>
      <c r="L1640" s="48">
        <v>9</v>
      </c>
      <c r="M1640" s="47">
        <v>-1</v>
      </c>
      <c r="N1640" s="47">
        <v>-1</v>
      </c>
      <c r="O1640" s="47">
        <v>-1</v>
      </c>
      <c r="P1640" s="47">
        <v>-1</v>
      </c>
      <c r="Q1640" s="47">
        <v>-1</v>
      </c>
      <c r="R1640" s="47">
        <v>-1</v>
      </c>
      <c r="S1640" s="48">
        <v>9</v>
      </c>
      <c r="T1640" s="47">
        <v>0</v>
      </c>
      <c r="U1640" s="47">
        <v>0</v>
      </c>
      <c r="V1640" s="47">
        <v>0</v>
      </c>
      <c r="W1640" s="47">
        <v>1333</v>
      </c>
      <c r="X1640" s="47">
        <v>151</v>
      </c>
      <c r="Y1640" s="47"/>
      <c r="Z1640" s="47" t="s">
        <v>2524</v>
      </c>
      <c r="AA1640" s="49"/>
      <c r="AB1640" s="49"/>
      <c r="AC1640" s="49"/>
      <c r="AD1640" s="50"/>
      <c r="AE1640" s="47" t="s">
        <v>2754</v>
      </c>
      <c r="AF1640" s="47">
        <v>50</v>
      </c>
      <c r="AG1640"/>
      <c r="AH1640"/>
      <c r="AI1640"/>
      <c r="AJ1640"/>
      <c r="AK1640"/>
      <c r="AL1640"/>
      <c r="AM1640"/>
      <c r="AN1640"/>
      <c r="AO1640"/>
      <c r="AP1640"/>
      <c r="AQ1640" t="s">
        <v>2526</v>
      </c>
      <c r="AU1640">
        <v>1639</v>
      </c>
    </row>
    <row r="1641" spans="1:47" x14ac:dyDescent="0.2">
      <c r="A1641" s="133">
        <v>6404</v>
      </c>
      <c r="B1641" s="39" t="s">
        <v>45</v>
      </c>
      <c r="C1641" s="39">
        <v>100</v>
      </c>
      <c r="D1641" s="29" t="b">
        <v>0</v>
      </c>
      <c r="E1641" s="39" t="s">
        <v>2780</v>
      </c>
      <c r="F1641" s="47" t="s">
        <v>3042</v>
      </c>
      <c r="G1641" s="47" t="s">
        <v>49</v>
      </c>
      <c r="H1641"/>
      <c r="I1641" s="47" t="b">
        <v>0</v>
      </c>
      <c r="J1641" s="47" t="b">
        <v>0</v>
      </c>
      <c r="K1641" s="47">
        <v>1040</v>
      </c>
      <c r="L1641" s="48">
        <v>9</v>
      </c>
      <c r="M1641" s="47">
        <v>-1</v>
      </c>
      <c r="N1641" s="47">
        <v>-1</v>
      </c>
      <c r="O1641" s="47">
        <v>-1</v>
      </c>
      <c r="P1641" s="47">
        <v>-1</v>
      </c>
      <c r="Q1641" s="47">
        <v>-1</v>
      </c>
      <c r="R1641" s="47">
        <v>-1</v>
      </c>
      <c r="S1641" s="48">
        <v>9</v>
      </c>
      <c r="T1641" s="47">
        <v>0</v>
      </c>
      <c r="U1641" s="47">
        <v>0</v>
      </c>
      <c r="V1641" s="47">
        <v>0</v>
      </c>
      <c r="W1641" s="47">
        <v>-1</v>
      </c>
      <c r="X1641" s="47">
        <v>150</v>
      </c>
      <c r="Y1641" s="47"/>
      <c r="Z1641" s="47" t="s">
        <v>2524</v>
      </c>
      <c r="AA1641" s="49"/>
      <c r="AB1641" s="49"/>
      <c r="AC1641" s="49"/>
      <c r="AD1641" s="50"/>
      <c r="AE1641" s="47" t="s">
        <v>2754</v>
      </c>
      <c r="AF1641" s="47">
        <v>50</v>
      </c>
      <c r="AG1641"/>
      <c r="AH1641"/>
      <c r="AI1641"/>
      <c r="AJ1641"/>
      <c r="AK1641"/>
      <c r="AL1641"/>
      <c r="AM1641"/>
      <c r="AN1641"/>
      <c r="AO1641"/>
      <c r="AP1641"/>
      <c r="AQ1641" t="s">
        <v>2526</v>
      </c>
      <c r="AU1641">
        <v>1640</v>
      </c>
    </row>
    <row r="1642" spans="1:47" x14ac:dyDescent="0.2">
      <c r="A1642" s="133">
        <v>6404</v>
      </c>
      <c r="B1642" s="39" t="s">
        <v>45</v>
      </c>
      <c r="C1642" s="39">
        <v>100</v>
      </c>
      <c r="D1642" s="29" t="b">
        <v>0</v>
      </c>
      <c r="E1642" s="39" t="s">
        <v>3043</v>
      </c>
      <c r="F1642" s="47" t="s">
        <v>3044</v>
      </c>
      <c r="G1642" s="47" t="s">
        <v>73</v>
      </c>
      <c r="H1642"/>
      <c r="I1642" s="47" t="b">
        <v>0</v>
      </c>
      <c r="J1642" s="47" t="b">
        <v>0</v>
      </c>
      <c r="K1642" s="47">
        <v>270</v>
      </c>
      <c r="L1642" s="48">
        <v>9</v>
      </c>
      <c r="M1642" s="47">
        <v>-1</v>
      </c>
      <c r="N1642" s="47">
        <v>-1</v>
      </c>
      <c r="O1642" s="47">
        <v>-1</v>
      </c>
      <c r="P1642" s="47">
        <v>-1</v>
      </c>
      <c r="Q1642" s="47">
        <v>-1</v>
      </c>
      <c r="R1642" s="47">
        <v>-1</v>
      </c>
      <c r="S1642" s="48">
        <v>9</v>
      </c>
      <c r="T1642" s="47">
        <v>0</v>
      </c>
      <c r="U1642" s="47">
        <v>0</v>
      </c>
      <c r="V1642" s="47">
        <v>0</v>
      </c>
      <c r="W1642" s="47">
        <v>1500</v>
      </c>
      <c r="X1642" s="47">
        <v>152</v>
      </c>
      <c r="Y1642" s="47"/>
      <c r="Z1642" s="47" t="s">
        <v>2524</v>
      </c>
      <c r="AA1642" s="49"/>
      <c r="AB1642" s="49"/>
      <c r="AC1642" s="49"/>
      <c r="AD1642" s="50"/>
      <c r="AE1642" s="47" t="s">
        <v>2754</v>
      </c>
      <c r="AF1642" s="47"/>
      <c r="AG1642"/>
      <c r="AH1642"/>
      <c r="AI1642"/>
      <c r="AJ1642"/>
      <c r="AK1642"/>
      <c r="AL1642"/>
      <c r="AM1642"/>
      <c r="AN1642"/>
      <c r="AO1642"/>
      <c r="AP1642"/>
      <c r="AQ1642" t="s">
        <v>2526</v>
      </c>
      <c r="AU1642">
        <v>1641</v>
      </c>
    </row>
    <row r="1643" spans="1:47" x14ac:dyDescent="0.2">
      <c r="A1643" s="133">
        <v>6404</v>
      </c>
      <c r="B1643" s="39" t="s">
        <v>45</v>
      </c>
      <c r="C1643" s="39">
        <v>100</v>
      </c>
      <c r="D1643" s="29" t="b">
        <v>0</v>
      </c>
      <c r="E1643" s="39" t="s">
        <v>3045</v>
      </c>
      <c r="F1643" s="47" t="s">
        <v>220</v>
      </c>
      <c r="G1643" s="47" t="s">
        <v>49</v>
      </c>
      <c r="H1643"/>
      <c r="I1643" s="47" t="b">
        <v>0</v>
      </c>
      <c r="J1643" s="47" t="b">
        <v>0</v>
      </c>
      <c r="K1643" s="47">
        <v>810</v>
      </c>
      <c r="L1643" s="48">
        <v>9</v>
      </c>
      <c r="M1643" s="47">
        <v>-1</v>
      </c>
      <c r="N1643" s="47">
        <v>-1</v>
      </c>
      <c r="O1643" s="47">
        <v>-1</v>
      </c>
      <c r="P1643" s="47">
        <v>-1</v>
      </c>
      <c r="Q1643" s="47">
        <v>-1</v>
      </c>
      <c r="R1643" s="47">
        <v>-1</v>
      </c>
      <c r="S1643" s="48">
        <v>9</v>
      </c>
      <c r="T1643" s="47">
        <v>0</v>
      </c>
      <c r="U1643" s="47">
        <v>0</v>
      </c>
      <c r="V1643" s="47">
        <v>0</v>
      </c>
      <c r="W1643" s="47">
        <v>-1</v>
      </c>
      <c r="X1643" s="47">
        <v>153</v>
      </c>
      <c r="Y1643" s="47"/>
      <c r="Z1643" s="47" t="s">
        <v>2524</v>
      </c>
      <c r="AA1643" s="49"/>
      <c r="AB1643" s="49"/>
      <c r="AC1643" s="49"/>
      <c r="AD1643" s="50"/>
      <c r="AE1643" s="47" t="s">
        <v>2754</v>
      </c>
      <c r="AF1643" s="47">
        <v>50</v>
      </c>
      <c r="AG1643"/>
      <c r="AH1643"/>
      <c r="AI1643"/>
      <c r="AJ1643"/>
      <c r="AK1643"/>
      <c r="AL1643"/>
      <c r="AM1643"/>
      <c r="AN1643"/>
      <c r="AO1643"/>
      <c r="AP1643"/>
      <c r="AQ1643" t="s">
        <v>2526</v>
      </c>
      <c r="AU1643">
        <v>1642</v>
      </c>
    </row>
    <row r="1644" spans="1:47" x14ac:dyDescent="0.2">
      <c r="A1644" s="133">
        <v>6404</v>
      </c>
      <c r="B1644" s="39" t="s">
        <v>45</v>
      </c>
      <c r="C1644" s="39">
        <v>100</v>
      </c>
      <c r="D1644" s="29" t="b">
        <v>0</v>
      </c>
      <c r="E1644" s="39" t="s">
        <v>2781</v>
      </c>
      <c r="F1644" s="47" t="s">
        <v>3046</v>
      </c>
      <c r="G1644" s="47" t="s">
        <v>49</v>
      </c>
      <c r="H1644"/>
      <c r="I1644" s="47" t="b">
        <v>0</v>
      </c>
      <c r="J1644" s="47" t="b">
        <v>0</v>
      </c>
      <c r="K1644" s="47">
        <v>310</v>
      </c>
      <c r="L1644" s="48">
        <v>9</v>
      </c>
      <c r="M1644" s="47">
        <v>-1</v>
      </c>
      <c r="N1644" s="47">
        <v>-1</v>
      </c>
      <c r="O1644" s="47">
        <v>-1</v>
      </c>
      <c r="P1644" s="47">
        <v>-1</v>
      </c>
      <c r="Q1644" s="47">
        <v>-1</v>
      </c>
      <c r="R1644" s="47">
        <v>-1</v>
      </c>
      <c r="S1644" s="48">
        <v>9</v>
      </c>
      <c r="T1644" s="47">
        <v>0</v>
      </c>
      <c r="U1644" s="47">
        <v>0</v>
      </c>
      <c r="V1644" s="47">
        <v>0</v>
      </c>
      <c r="W1644" s="47">
        <v>1000</v>
      </c>
      <c r="X1644" s="47">
        <v>154</v>
      </c>
      <c r="Y1644" s="47"/>
      <c r="Z1644" s="47" t="s">
        <v>2524</v>
      </c>
      <c r="AA1644" s="49"/>
      <c r="AB1644" s="49"/>
      <c r="AC1644" s="49"/>
      <c r="AD1644" s="50"/>
      <c r="AE1644" s="47" t="s">
        <v>2754</v>
      </c>
      <c r="AF1644" s="47"/>
      <c r="AG1644"/>
      <c r="AH1644"/>
      <c r="AI1644"/>
      <c r="AJ1644"/>
      <c r="AK1644"/>
      <c r="AL1644"/>
      <c r="AM1644"/>
      <c r="AN1644"/>
      <c r="AO1644"/>
      <c r="AP1644"/>
      <c r="AQ1644" t="s">
        <v>2526</v>
      </c>
      <c r="AU1644">
        <v>1643</v>
      </c>
    </row>
    <row r="1645" spans="1:47" x14ac:dyDescent="0.2">
      <c r="A1645" s="133">
        <v>6404</v>
      </c>
      <c r="B1645" s="39" t="s">
        <v>45</v>
      </c>
      <c r="C1645" s="39">
        <v>100</v>
      </c>
      <c r="D1645" s="29" t="b">
        <v>0</v>
      </c>
      <c r="E1645" s="39" t="s">
        <v>3028</v>
      </c>
      <c r="F1645" s="47" t="s">
        <v>3042</v>
      </c>
      <c r="G1645" s="47" t="s">
        <v>49</v>
      </c>
      <c r="H1645"/>
      <c r="I1645" s="47" t="b">
        <v>0</v>
      </c>
      <c r="J1645" s="47" t="b">
        <v>0</v>
      </c>
      <c r="K1645" s="47">
        <v>230</v>
      </c>
      <c r="L1645" s="48">
        <v>9</v>
      </c>
      <c r="M1645" s="47">
        <v>-1</v>
      </c>
      <c r="N1645" s="47">
        <v>-1</v>
      </c>
      <c r="O1645" s="47">
        <v>-1</v>
      </c>
      <c r="P1645" s="47">
        <v>-1</v>
      </c>
      <c r="Q1645" s="47">
        <v>-1</v>
      </c>
      <c r="R1645" s="47">
        <v>-1</v>
      </c>
      <c r="S1645" s="48">
        <v>9</v>
      </c>
      <c r="T1645" s="47">
        <v>0</v>
      </c>
      <c r="U1645" s="47">
        <v>0</v>
      </c>
      <c r="V1645" s="47">
        <v>0</v>
      </c>
      <c r="W1645" s="47">
        <v>1500</v>
      </c>
      <c r="X1645" s="47">
        <v>155</v>
      </c>
      <c r="Y1645" s="47"/>
      <c r="Z1645" s="47" t="s">
        <v>2524</v>
      </c>
      <c r="AA1645" s="49"/>
      <c r="AB1645" s="49"/>
      <c r="AC1645" s="49"/>
      <c r="AD1645" s="50"/>
      <c r="AE1645" s="47" t="s">
        <v>2754</v>
      </c>
      <c r="AF1645" s="47"/>
      <c r="AG1645"/>
      <c r="AH1645"/>
      <c r="AI1645"/>
      <c r="AJ1645"/>
      <c r="AK1645"/>
      <c r="AL1645"/>
      <c r="AM1645"/>
      <c r="AN1645"/>
      <c r="AO1645"/>
      <c r="AP1645"/>
      <c r="AQ1645" t="s">
        <v>2526</v>
      </c>
      <c r="AU1645">
        <v>1644</v>
      </c>
    </row>
    <row r="1646" spans="1:47" x14ac:dyDescent="0.2">
      <c r="A1646" s="133">
        <v>6404</v>
      </c>
      <c r="B1646" s="39" t="s">
        <v>45</v>
      </c>
      <c r="C1646" s="39" t="s">
        <v>142</v>
      </c>
      <c r="D1646" s="29"/>
      <c r="E1646" s="39" t="s">
        <v>3047</v>
      </c>
      <c r="F1646" s="47" t="s">
        <v>3048</v>
      </c>
      <c r="G1646" s="47" t="s">
        <v>69</v>
      </c>
      <c r="H1646"/>
      <c r="I1646" s="47" t="s">
        <v>3049</v>
      </c>
      <c r="J1646" s="47"/>
      <c r="K1646" s="47">
        <f>(113*10+16*25)*2.2</f>
        <v>3366.0000000000005</v>
      </c>
      <c r="L1646" s="48">
        <v>11</v>
      </c>
      <c r="M1646" s="47"/>
      <c r="N1646" s="47"/>
      <c r="O1646" s="47"/>
      <c r="P1646" s="47"/>
      <c r="Q1646" s="47"/>
      <c r="R1646" s="47"/>
      <c r="S1646" s="48">
        <v>11</v>
      </c>
      <c r="T1646" s="47">
        <v>0</v>
      </c>
      <c r="U1646" s="47">
        <v>0</v>
      </c>
      <c r="V1646" s="47">
        <v>0</v>
      </c>
      <c r="W1646" s="47"/>
      <c r="X1646" s="47"/>
      <c r="Y1646" s="47" t="s">
        <v>51</v>
      </c>
      <c r="Z1646" s="47" t="s">
        <v>2865</v>
      </c>
      <c r="AA1646" s="49"/>
      <c r="AB1646" s="49"/>
      <c r="AC1646" s="49"/>
      <c r="AD1646" s="50"/>
      <c r="AE1646" s="47" t="s">
        <v>2470</v>
      </c>
      <c r="AF1646" s="47"/>
      <c r="AG1646"/>
      <c r="AH1646"/>
      <c r="AI1646"/>
      <c r="AJ1646"/>
      <c r="AK1646">
        <f>113+16</f>
        <v>129</v>
      </c>
      <c r="AL1646"/>
      <c r="AM1646"/>
      <c r="AN1646"/>
      <c r="AO1646"/>
      <c r="AP1646"/>
      <c r="AQ1646" s="32" t="s">
        <v>3019</v>
      </c>
      <c r="AU1646">
        <v>1645</v>
      </c>
    </row>
    <row r="1647" spans="1:47" x14ac:dyDescent="0.2">
      <c r="A1647" s="133">
        <v>6404</v>
      </c>
      <c r="B1647" s="39"/>
      <c r="C1647" s="39" t="s">
        <v>332</v>
      </c>
      <c r="D1647" s="29"/>
      <c r="E1647" s="39"/>
      <c r="F1647" s="47" t="s">
        <v>1091</v>
      </c>
      <c r="G1647" s="47"/>
      <c r="H1647"/>
      <c r="I1647" s="47" t="s">
        <v>2765</v>
      </c>
      <c r="J1647" s="47"/>
      <c r="K1647" s="47"/>
      <c r="L1647" s="48"/>
      <c r="M1647" s="47"/>
      <c r="N1647" s="47"/>
      <c r="O1647" s="47"/>
      <c r="P1647" s="47"/>
      <c r="Q1647" s="47"/>
      <c r="R1647" s="47"/>
      <c r="S1647" s="48"/>
      <c r="T1647" s="47"/>
      <c r="U1647" s="47"/>
      <c r="V1647" s="47"/>
      <c r="W1647" s="47"/>
      <c r="X1647" s="47"/>
      <c r="Y1647" s="47"/>
      <c r="Z1647" s="47" t="s">
        <v>2670</v>
      </c>
      <c r="AA1647" s="49"/>
      <c r="AB1647" s="49"/>
      <c r="AC1647" s="49"/>
      <c r="AD1647" s="50"/>
      <c r="AE1647" s="47"/>
      <c r="AF1647" s="47"/>
      <c r="AG1647"/>
      <c r="AH1647"/>
      <c r="AI1647"/>
      <c r="AJ1647"/>
      <c r="AK1647"/>
      <c r="AL1647"/>
      <c r="AM1647"/>
      <c r="AN1647"/>
      <c r="AO1647"/>
      <c r="AP1647"/>
      <c r="AQ1647"/>
      <c r="AU1647">
        <v>1646</v>
      </c>
    </row>
    <row r="1648" spans="1:47" x14ac:dyDescent="0.2">
      <c r="A1648" s="26">
        <v>6404</v>
      </c>
      <c r="B1648" s="27">
        <v>0.125</v>
      </c>
      <c r="C1648" s="28"/>
      <c r="D1648" s="29"/>
      <c r="E1648" s="30" t="s">
        <v>1124</v>
      </c>
      <c r="H1648" s="32">
        <v>1</v>
      </c>
      <c r="I1648" s="32" t="s">
        <v>1246</v>
      </c>
      <c r="AG1648" s="32">
        <v>0</v>
      </c>
      <c r="AH1648" s="32">
        <v>0</v>
      </c>
      <c r="AK1648" s="32">
        <v>23</v>
      </c>
      <c r="AL1648" s="32">
        <v>0.5</v>
      </c>
      <c r="AO1648" s="46" t="s">
        <v>1126</v>
      </c>
      <c r="AP1648" s="32">
        <v>0.5</v>
      </c>
      <c r="AQ1648" s="32" t="s">
        <v>589</v>
      </c>
      <c r="AU1648">
        <v>1647</v>
      </c>
    </row>
    <row r="1649" spans="1:47" x14ac:dyDescent="0.2">
      <c r="A1649" s="26">
        <v>6404</v>
      </c>
      <c r="B1649" s="27" t="s">
        <v>85</v>
      </c>
      <c r="C1649" s="28"/>
      <c r="D1649" s="29"/>
      <c r="E1649" s="30" t="s">
        <v>1285</v>
      </c>
      <c r="H1649" s="32">
        <v>1</v>
      </c>
      <c r="I1649" s="32" t="s">
        <v>3050</v>
      </c>
      <c r="AI1649" s="32">
        <v>493</v>
      </c>
      <c r="AO1649" s="32" t="s">
        <v>472</v>
      </c>
      <c r="AQ1649" s="32" t="s">
        <v>589</v>
      </c>
      <c r="AU1649">
        <v>1648</v>
      </c>
    </row>
    <row r="1650" spans="1:47" x14ac:dyDescent="0.2">
      <c r="A1650" s="133">
        <v>6406</v>
      </c>
      <c r="B1650" s="39" t="s">
        <v>45</v>
      </c>
      <c r="C1650" s="39">
        <v>100</v>
      </c>
      <c r="D1650" s="29" t="b">
        <v>0</v>
      </c>
      <c r="E1650" s="39" t="s">
        <v>3051</v>
      </c>
      <c r="F1650" s="47" t="s">
        <v>3052</v>
      </c>
      <c r="G1650" s="47" t="s">
        <v>73</v>
      </c>
      <c r="H1650"/>
      <c r="I1650" s="47" t="b">
        <v>1</v>
      </c>
      <c r="J1650" s="47" t="b">
        <v>1</v>
      </c>
      <c r="K1650" s="47">
        <v>1704</v>
      </c>
      <c r="L1650" s="48">
        <v>11</v>
      </c>
      <c r="M1650" s="47">
        <v>-1</v>
      </c>
      <c r="N1650" s="47">
        <v>-1</v>
      </c>
      <c r="O1650" s="47">
        <v>-1</v>
      </c>
      <c r="P1650" s="47">
        <v>-1</v>
      </c>
      <c r="Q1650" s="47">
        <v>-1</v>
      </c>
      <c r="R1650" s="47">
        <v>-1</v>
      </c>
      <c r="S1650" s="48">
        <v>11</v>
      </c>
      <c r="T1650" s="47">
        <v>0</v>
      </c>
      <c r="U1650" s="47">
        <v>0</v>
      </c>
      <c r="V1650" s="47">
        <v>0</v>
      </c>
      <c r="W1650" s="47">
        <v>1100</v>
      </c>
      <c r="X1650" s="47">
        <v>156</v>
      </c>
      <c r="Y1650" s="47"/>
      <c r="Z1650" s="47" t="s">
        <v>2524</v>
      </c>
      <c r="AA1650" s="49"/>
      <c r="AB1650" s="49"/>
      <c r="AC1650" s="49"/>
      <c r="AD1650" s="50"/>
      <c r="AE1650" s="47" t="s">
        <v>2754</v>
      </c>
      <c r="AF1650" s="47">
        <v>45</v>
      </c>
      <c r="AG1650"/>
      <c r="AH1650"/>
      <c r="AI1650"/>
      <c r="AJ1650"/>
      <c r="AK1650"/>
      <c r="AL1650"/>
      <c r="AM1650"/>
      <c r="AN1650"/>
      <c r="AO1650"/>
      <c r="AP1650"/>
      <c r="AQ1650" t="s">
        <v>2526</v>
      </c>
      <c r="AU1650">
        <v>1649</v>
      </c>
    </row>
    <row r="1651" spans="1:47" x14ac:dyDescent="0.2">
      <c r="A1651" s="133">
        <v>6406</v>
      </c>
      <c r="B1651" s="39" t="s">
        <v>45</v>
      </c>
      <c r="C1651" s="39">
        <v>100</v>
      </c>
      <c r="D1651" s="29" t="b">
        <v>0</v>
      </c>
      <c r="E1651" s="39" t="s">
        <v>3051</v>
      </c>
      <c r="F1651" s="47" t="s">
        <v>3052</v>
      </c>
      <c r="G1651" s="47" t="s">
        <v>73</v>
      </c>
      <c r="H1651"/>
      <c r="I1651" s="47" t="b">
        <v>0</v>
      </c>
      <c r="J1651" s="47" t="b">
        <v>0</v>
      </c>
      <c r="K1651" s="47">
        <v>1584</v>
      </c>
      <c r="L1651" s="48">
        <v>11</v>
      </c>
      <c r="M1651" s="47">
        <v>-1</v>
      </c>
      <c r="N1651" s="47">
        <v>-1</v>
      </c>
      <c r="O1651" s="47">
        <v>-1</v>
      </c>
      <c r="P1651" s="47">
        <v>-1</v>
      </c>
      <c r="Q1651" s="47">
        <v>-1</v>
      </c>
      <c r="R1651" s="47">
        <v>-1</v>
      </c>
      <c r="S1651" s="48">
        <v>11</v>
      </c>
      <c r="T1651" s="47">
        <v>0</v>
      </c>
      <c r="U1651" s="47">
        <v>0</v>
      </c>
      <c r="V1651" s="47">
        <v>0</v>
      </c>
      <c r="W1651" s="47">
        <v>1100</v>
      </c>
      <c r="X1651" s="47">
        <v>157</v>
      </c>
      <c r="Y1651" s="47"/>
      <c r="Z1651" s="47" t="s">
        <v>2524</v>
      </c>
      <c r="AA1651" s="49"/>
      <c r="AB1651" s="49"/>
      <c r="AC1651" s="49"/>
      <c r="AD1651" s="50"/>
      <c r="AE1651" s="47" t="s">
        <v>2754</v>
      </c>
      <c r="AF1651" s="47">
        <v>45</v>
      </c>
      <c r="AG1651"/>
      <c r="AH1651"/>
      <c r="AI1651"/>
      <c r="AJ1651"/>
      <c r="AK1651"/>
      <c r="AL1651"/>
      <c r="AM1651"/>
      <c r="AN1651"/>
      <c r="AO1651"/>
      <c r="AP1651"/>
      <c r="AQ1651" t="s">
        <v>2526</v>
      </c>
      <c r="AU1651">
        <v>1650</v>
      </c>
    </row>
    <row r="1652" spans="1:47" x14ac:dyDescent="0.2">
      <c r="A1652" s="133">
        <v>6406</v>
      </c>
      <c r="B1652" s="39" t="s">
        <v>45</v>
      </c>
      <c r="C1652" s="39">
        <v>100</v>
      </c>
      <c r="D1652" s="29" t="b">
        <v>0</v>
      </c>
      <c r="E1652" s="39" t="s">
        <v>3053</v>
      </c>
      <c r="F1652" s="47" t="s">
        <v>3054</v>
      </c>
      <c r="G1652" s="47" t="s">
        <v>73</v>
      </c>
      <c r="H1652"/>
      <c r="I1652" s="47" t="b">
        <v>0</v>
      </c>
      <c r="J1652" s="47" t="b">
        <v>0</v>
      </c>
      <c r="K1652" s="47">
        <v>80</v>
      </c>
      <c r="L1652" s="48">
        <v>11</v>
      </c>
      <c r="M1652" s="47">
        <v>-1</v>
      </c>
      <c r="N1652" s="47">
        <v>-1</v>
      </c>
      <c r="O1652" s="47">
        <v>-1</v>
      </c>
      <c r="P1652" s="47">
        <v>-1</v>
      </c>
      <c r="Q1652" s="47">
        <v>-1</v>
      </c>
      <c r="R1652" s="47">
        <v>-1</v>
      </c>
      <c r="S1652" s="48">
        <v>11</v>
      </c>
      <c r="T1652" s="47">
        <v>0</v>
      </c>
      <c r="U1652" s="47">
        <v>0</v>
      </c>
      <c r="V1652" s="47">
        <v>0</v>
      </c>
      <c r="W1652" s="47">
        <v>1500</v>
      </c>
      <c r="X1652" s="47">
        <v>158</v>
      </c>
      <c r="Y1652" s="47"/>
      <c r="Z1652" s="47" t="s">
        <v>2524</v>
      </c>
      <c r="AA1652" s="49"/>
      <c r="AB1652" s="49"/>
      <c r="AC1652" s="49"/>
      <c r="AD1652" s="50"/>
      <c r="AE1652" s="47" t="s">
        <v>2754</v>
      </c>
      <c r="AF1652" s="47">
        <v>45</v>
      </c>
      <c r="AG1652"/>
      <c r="AH1652"/>
      <c r="AI1652"/>
      <c r="AJ1652"/>
      <c r="AK1652"/>
      <c r="AL1652"/>
      <c r="AM1652"/>
      <c r="AN1652"/>
      <c r="AO1652"/>
      <c r="AP1652"/>
      <c r="AQ1652" t="s">
        <v>2526</v>
      </c>
      <c r="AU1652">
        <v>1651</v>
      </c>
    </row>
    <row r="1653" spans="1:47" x14ac:dyDescent="0.2">
      <c r="A1653" s="133">
        <v>6406</v>
      </c>
      <c r="B1653" s="39" t="s">
        <v>45</v>
      </c>
      <c r="C1653" s="39">
        <v>100</v>
      </c>
      <c r="D1653" s="29" t="b">
        <v>0</v>
      </c>
      <c r="E1653" s="39" t="s">
        <v>2781</v>
      </c>
      <c r="F1653" s="47" t="s">
        <v>3055</v>
      </c>
      <c r="G1653" s="47" t="s">
        <v>49</v>
      </c>
      <c r="H1653"/>
      <c r="I1653" s="47" t="b">
        <v>0</v>
      </c>
      <c r="J1653" s="47" t="b">
        <v>0</v>
      </c>
      <c r="K1653" s="47">
        <v>40</v>
      </c>
      <c r="L1653" s="48">
        <v>11</v>
      </c>
      <c r="M1653" s="47">
        <v>-1</v>
      </c>
      <c r="N1653" s="47">
        <v>-1</v>
      </c>
      <c r="O1653" s="47">
        <v>-1</v>
      </c>
      <c r="P1653" s="47">
        <v>-1</v>
      </c>
      <c r="Q1653" s="47">
        <v>-1</v>
      </c>
      <c r="R1653" s="47">
        <v>-1</v>
      </c>
      <c r="S1653" s="48">
        <v>11</v>
      </c>
      <c r="T1653" s="47">
        <v>0</v>
      </c>
      <c r="U1653" s="47">
        <v>0</v>
      </c>
      <c r="V1653" s="47">
        <v>0</v>
      </c>
      <c r="W1653" s="47">
        <v>1500</v>
      </c>
      <c r="X1653" s="47">
        <v>159</v>
      </c>
      <c r="Y1653" s="47"/>
      <c r="Z1653" s="47" t="s">
        <v>2524</v>
      </c>
      <c r="AA1653" s="49"/>
      <c r="AB1653" s="49"/>
      <c r="AC1653" s="49"/>
      <c r="AD1653" s="50"/>
      <c r="AE1653" s="47" t="s">
        <v>2754</v>
      </c>
      <c r="AF1653" s="47"/>
      <c r="AG1653"/>
      <c r="AH1653"/>
      <c r="AI1653"/>
      <c r="AJ1653"/>
      <c r="AK1653"/>
      <c r="AL1653"/>
      <c r="AM1653"/>
      <c r="AN1653"/>
      <c r="AO1653"/>
      <c r="AP1653"/>
      <c r="AQ1653" t="s">
        <v>2526</v>
      </c>
      <c r="AU1653">
        <v>1652</v>
      </c>
    </row>
    <row r="1654" spans="1:47" x14ac:dyDescent="0.2">
      <c r="A1654" s="37">
        <v>6407</v>
      </c>
      <c r="B1654" s="38" t="s">
        <v>85</v>
      </c>
      <c r="C1654" s="39" t="s">
        <v>2689</v>
      </c>
      <c r="D1654" s="29"/>
      <c r="E1654" s="38" t="s">
        <v>528</v>
      </c>
      <c r="F1654" s="32" t="s">
        <v>529</v>
      </c>
      <c r="G1654" s="47" t="s">
        <v>205</v>
      </c>
      <c r="H1654"/>
      <c r="I1654" s="32" t="s">
        <v>3056</v>
      </c>
      <c r="J1654" s="47"/>
      <c r="K1654" s="47">
        <f>120*2.2</f>
        <v>264</v>
      </c>
      <c r="L1654" s="48"/>
      <c r="M1654" s="47"/>
      <c r="N1654" s="47"/>
      <c r="O1654" s="47"/>
      <c r="P1654" s="47"/>
      <c r="Q1654" s="47"/>
      <c r="R1654" s="47"/>
      <c r="S1654" s="48">
        <v>1</v>
      </c>
      <c r="T1654" s="47"/>
      <c r="U1654" s="47"/>
      <c r="V1654" s="47"/>
      <c r="W1654" s="47"/>
      <c r="X1654" s="47"/>
      <c r="Y1654" s="47"/>
      <c r="Z1654" s="47" t="s">
        <v>1809</v>
      </c>
      <c r="AA1654" s="49"/>
      <c r="AB1654" s="49"/>
      <c r="AC1654" s="49"/>
      <c r="AD1654" s="50"/>
      <c r="AE1654" s="47" t="s">
        <v>1312</v>
      </c>
      <c r="AF1654" s="47">
        <v>140</v>
      </c>
      <c r="AG1654"/>
      <c r="AH1654"/>
      <c r="AI1654"/>
      <c r="AJ1654"/>
      <c r="AK1654"/>
      <c r="AL1654"/>
      <c r="AM1654"/>
      <c r="AN1654"/>
      <c r="AO1654"/>
      <c r="AP1654"/>
      <c r="AQ1654" t="s">
        <v>3057</v>
      </c>
      <c r="AU1654">
        <v>1653</v>
      </c>
    </row>
    <row r="1655" spans="1:47" x14ac:dyDescent="0.2">
      <c r="A1655" s="37">
        <v>6413</v>
      </c>
      <c r="B1655" s="38" t="s">
        <v>85</v>
      </c>
      <c r="C1655" s="39" t="s">
        <v>142</v>
      </c>
      <c r="D1655" s="29"/>
      <c r="E1655" s="38" t="s">
        <v>3058</v>
      </c>
      <c r="F1655" s="32" t="s">
        <v>3059</v>
      </c>
      <c r="G1655" s="47" t="s">
        <v>73</v>
      </c>
      <c r="H1655"/>
      <c r="I1655" s="32" t="s">
        <v>3060</v>
      </c>
      <c r="J1655" s="47"/>
      <c r="K1655" s="47">
        <f>20*10*2.2</f>
        <v>440.00000000000006</v>
      </c>
      <c r="L1655" s="48">
        <v>10</v>
      </c>
      <c r="M1655" s="47"/>
      <c r="N1655" s="47">
        <v>5</v>
      </c>
      <c r="O1655" s="47"/>
      <c r="P1655" s="47"/>
      <c r="Q1655" s="47"/>
      <c r="R1655" s="47"/>
      <c r="S1655" s="48">
        <v>5</v>
      </c>
      <c r="T1655" s="47">
        <v>0</v>
      </c>
      <c r="U1655" s="47">
        <v>0</v>
      </c>
      <c r="V1655" s="47">
        <v>0</v>
      </c>
      <c r="W1655" s="47"/>
      <c r="X1655" s="47"/>
      <c r="Y1655" s="47" t="s">
        <v>51</v>
      </c>
      <c r="Z1655" s="47" t="s">
        <v>1809</v>
      </c>
      <c r="AA1655" s="49"/>
      <c r="AB1655" s="49"/>
      <c r="AC1655" s="49"/>
      <c r="AD1655" s="50"/>
      <c r="AE1655" s="47" t="s">
        <v>2470</v>
      </c>
      <c r="AF1655" s="47"/>
      <c r="AG1655"/>
      <c r="AH1655"/>
      <c r="AI1655"/>
      <c r="AJ1655"/>
      <c r="AK1655">
        <v>20</v>
      </c>
      <c r="AL1655"/>
      <c r="AM1655"/>
      <c r="AN1655"/>
      <c r="AO1655"/>
      <c r="AP1655"/>
      <c r="AQ1655" s="32" t="s">
        <v>3019</v>
      </c>
      <c r="AU1655">
        <v>1654</v>
      </c>
    </row>
    <row r="1656" spans="1:47" x14ac:dyDescent="0.2">
      <c r="A1656" s="37">
        <v>6413</v>
      </c>
      <c r="B1656" s="38" t="s">
        <v>45</v>
      </c>
      <c r="C1656" s="39" t="s">
        <v>142</v>
      </c>
      <c r="D1656" s="29"/>
      <c r="E1656" s="38" t="s">
        <v>3061</v>
      </c>
      <c r="F1656" s="32" t="s">
        <v>2889</v>
      </c>
      <c r="G1656" s="47" t="s">
        <v>73</v>
      </c>
      <c r="H1656"/>
      <c r="I1656" s="32" t="s">
        <v>3062</v>
      </c>
      <c r="J1656" s="47"/>
      <c r="K1656" s="47">
        <f>(121*10+9*25)*2.2</f>
        <v>3157.0000000000005</v>
      </c>
      <c r="L1656" s="48">
        <v>14</v>
      </c>
      <c r="M1656" s="47"/>
      <c r="N1656" s="47"/>
      <c r="O1656" s="47"/>
      <c r="P1656" s="47"/>
      <c r="Q1656" s="47"/>
      <c r="R1656" s="47"/>
      <c r="S1656" s="48">
        <v>14</v>
      </c>
      <c r="T1656" s="47">
        <v>0</v>
      </c>
      <c r="U1656" s="47">
        <v>0</v>
      </c>
      <c r="V1656" s="47">
        <v>0</v>
      </c>
      <c r="W1656" s="47"/>
      <c r="X1656" s="47"/>
      <c r="Y1656" s="47" t="s">
        <v>51</v>
      </c>
      <c r="Z1656" s="47" t="s">
        <v>2865</v>
      </c>
      <c r="AA1656" s="49"/>
      <c r="AB1656" s="49"/>
      <c r="AC1656" s="49"/>
      <c r="AD1656" s="50"/>
      <c r="AE1656" s="47" t="s">
        <v>2470</v>
      </c>
      <c r="AF1656" s="47"/>
      <c r="AG1656"/>
      <c r="AH1656"/>
      <c r="AI1656"/>
      <c r="AJ1656"/>
      <c r="AK1656">
        <v>130</v>
      </c>
      <c r="AL1656"/>
      <c r="AM1656"/>
      <c r="AN1656"/>
      <c r="AO1656"/>
      <c r="AP1656"/>
      <c r="AQ1656" s="32" t="s">
        <v>3019</v>
      </c>
      <c r="AU1656">
        <v>1655</v>
      </c>
    </row>
    <row r="1657" spans="1:47" x14ac:dyDescent="0.2">
      <c r="A1657" s="37">
        <v>6413</v>
      </c>
      <c r="B1657" s="38" t="s">
        <v>45</v>
      </c>
      <c r="C1657" s="38" t="s">
        <v>156</v>
      </c>
      <c r="D1657" s="29"/>
      <c r="E1657" s="38" t="s">
        <v>3063</v>
      </c>
      <c r="F1657" s="32" t="s">
        <v>150</v>
      </c>
      <c r="G1657" s="47" t="s">
        <v>49</v>
      </c>
      <c r="H1657"/>
      <c r="J1657" s="47"/>
      <c r="K1657" s="47"/>
      <c r="L1657" s="48"/>
      <c r="M1657" s="47"/>
      <c r="N1657" s="47"/>
      <c r="O1657" s="47"/>
      <c r="P1657" s="47"/>
      <c r="Q1657" s="47"/>
      <c r="R1657" s="47"/>
      <c r="S1657" s="48"/>
      <c r="T1657" s="47"/>
      <c r="U1657" s="47"/>
      <c r="V1657" s="47"/>
      <c r="W1657" s="47"/>
      <c r="X1657" s="47"/>
      <c r="Y1657" s="47"/>
      <c r="Z1657" s="47"/>
      <c r="AA1657" s="49"/>
      <c r="AB1657" s="49"/>
      <c r="AC1657" s="49"/>
      <c r="AD1657" s="50"/>
      <c r="AE1657" s="31" t="s">
        <v>2743</v>
      </c>
      <c r="AF1657" s="47">
        <v>90</v>
      </c>
      <c r="AG1657"/>
      <c r="AH1657"/>
      <c r="AI1657"/>
      <c r="AJ1657"/>
      <c r="AK1657"/>
      <c r="AL1657"/>
      <c r="AM1657"/>
      <c r="AN1657"/>
      <c r="AO1657"/>
      <c r="AP1657"/>
      <c r="AQ1657"/>
      <c r="AU1657">
        <v>1656</v>
      </c>
    </row>
    <row r="1658" spans="1:47" x14ac:dyDescent="0.2">
      <c r="A1658" s="37">
        <v>6413</v>
      </c>
      <c r="B1658" s="39" t="s">
        <v>45</v>
      </c>
      <c r="C1658" s="38" t="s">
        <v>2542</v>
      </c>
      <c r="D1658" s="29"/>
      <c r="E1658" s="39" t="s">
        <v>1764</v>
      </c>
      <c r="F1658" s="47" t="s">
        <v>220</v>
      </c>
      <c r="G1658" s="47" t="s">
        <v>49</v>
      </c>
      <c r="H1658"/>
      <c r="I1658" s="31" t="s">
        <v>3064</v>
      </c>
      <c r="J1658" s="47"/>
      <c r="K1658" s="47">
        <f>(3*30*10+(5+6)*50)*2.2</f>
        <v>3190.0000000000005</v>
      </c>
      <c r="L1658" s="48">
        <v>5</v>
      </c>
      <c r="M1658" s="47"/>
      <c r="N1658" s="47"/>
      <c r="O1658" s="47"/>
      <c r="P1658" s="47"/>
      <c r="Q1658" s="47"/>
      <c r="R1658" s="47"/>
      <c r="S1658" s="48">
        <v>5</v>
      </c>
      <c r="T1658" s="47">
        <v>0</v>
      </c>
      <c r="U1658" s="47">
        <v>0</v>
      </c>
      <c r="V1658" s="47">
        <v>0</v>
      </c>
      <c r="W1658" s="47">
        <f>((2400+2800+3200+2400+2200)/5)*39.37/12</f>
        <v>8530.1666666666661</v>
      </c>
      <c r="X1658" s="47"/>
      <c r="Y1658" s="47" t="s">
        <v>51</v>
      </c>
      <c r="Z1658" s="47" t="s">
        <v>1846</v>
      </c>
      <c r="AA1658" s="49"/>
      <c r="AB1658" s="49"/>
      <c r="AC1658" s="49"/>
      <c r="AD1658" s="50">
        <v>2.5</v>
      </c>
      <c r="AE1658" s="31" t="s">
        <v>342</v>
      </c>
      <c r="AF1658" s="47">
        <v>70</v>
      </c>
      <c r="AG1658"/>
      <c r="AH1658"/>
      <c r="AI1658"/>
      <c r="AJ1658"/>
      <c r="AK1658">
        <f>3*30+5+6</f>
        <v>101</v>
      </c>
      <c r="AL1658"/>
      <c r="AM1658"/>
      <c r="AN1658"/>
      <c r="AO1658"/>
      <c r="AP1658"/>
      <c r="AQ1658" s="32" t="s">
        <v>3065</v>
      </c>
      <c r="AU1658">
        <v>1657</v>
      </c>
    </row>
    <row r="1659" spans="1:47" x14ac:dyDescent="0.2">
      <c r="A1659" s="37">
        <v>6413</v>
      </c>
      <c r="B1659" s="39" t="s">
        <v>45</v>
      </c>
      <c r="C1659" s="38" t="s">
        <v>2542</v>
      </c>
      <c r="D1659" s="29"/>
      <c r="E1659" s="39" t="s">
        <v>405</v>
      </c>
      <c r="F1659" s="47" t="s">
        <v>220</v>
      </c>
      <c r="G1659" s="47" t="s">
        <v>49</v>
      </c>
      <c r="H1659"/>
      <c r="I1659" s="31" t="s">
        <v>3066</v>
      </c>
      <c r="J1659" s="47"/>
      <c r="K1659" s="47">
        <f>6*50*2.2</f>
        <v>660</v>
      </c>
      <c r="L1659" s="48">
        <v>1</v>
      </c>
      <c r="M1659" s="47"/>
      <c r="N1659" s="47"/>
      <c r="O1659" s="47"/>
      <c r="P1659" s="47"/>
      <c r="Q1659" s="47"/>
      <c r="R1659" s="47"/>
      <c r="S1659" s="48">
        <v>1</v>
      </c>
      <c r="T1659" s="47">
        <v>0</v>
      </c>
      <c r="U1659" s="47">
        <v>0</v>
      </c>
      <c r="V1659" s="47">
        <v>0</v>
      </c>
      <c r="W1659" s="47">
        <f>900*39.37/12</f>
        <v>2952.75</v>
      </c>
      <c r="X1659" s="47"/>
      <c r="Y1659" s="47" t="s">
        <v>51</v>
      </c>
      <c r="Z1659" s="47" t="s">
        <v>1846</v>
      </c>
      <c r="AA1659" s="49"/>
      <c r="AB1659" s="49"/>
      <c r="AC1659" s="49"/>
      <c r="AD1659" s="50">
        <f>1+5/6</f>
        <v>1.8333333333333335</v>
      </c>
      <c r="AE1659" s="31" t="s">
        <v>342</v>
      </c>
      <c r="AF1659" s="47">
        <v>40</v>
      </c>
      <c r="AG1659"/>
      <c r="AH1659"/>
      <c r="AI1659"/>
      <c r="AJ1659"/>
      <c r="AK1659">
        <v>6</v>
      </c>
      <c r="AL1659"/>
      <c r="AM1659"/>
      <c r="AN1659"/>
      <c r="AO1659"/>
      <c r="AP1659"/>
      <c r="AQ1659" s="32" t="s">
        <v>3065</v>
      </c>
      <c r="AU1659">
        <v>1658</v>
      </c>
    </row>
    <row r="1660" spans="1:47" x14ac:dyDescent="0.2">
      <c r="A1660" s="26">
        <v>6413</v>
      </c>
      <c r="B1660" s="27">
        <v>0.55555555555555558</v>
      </c>
      <c r="C1660" s="28"/>
      <c r="D1660" s="29"/>
      <c r="E1660" s="30" t="s">
        <v>464</v>
      </c>
      <c r="H1660" s="32">
        <v>1</v>
      </c>
      <c r="I1660" s="32"/>
      <c r="AG1660" s="32">
        <v>0</v>
      </c>
      <c r="AH1660" s="32">
        <v>0</v>
      </c>
      <c r="AL1660" s="32">
        <f>16/60</f>
        <v>0.26666666666666666</v>
      </c>
      <c r="AO1660" s="32" t="s">
        <v>1898</v>
      </c>
      <c r="AP1660" s="32">
        <f>16/60</f>
        <v>0.26666666666666666</v>
      </c>
      <c r="AQ1660" s="32" t="s">
        <v>3067</v>
      </c>
      <c r="AU1660">
        <v>1659</v>
      </c>
    </row>
    <row r="1661" spans="1:47" x14ac:dyDescent="0.2">
      <c r="A1661" s="26">
        <v>6413</v>
      </c>
      <c r="B1661" s="27">
        <v>0.96319444444444446</v>
      </c>
      <c r="C1661" s="28"/>
      <c r="D1661" s="29"/>
      <c r="E1661" s="30" t="s">
        <v>464</v>
      </c>
      <c r="H1661" s="32">
        <v>1</v>
      </c>
      <c r="I1661" s="32" t="s">
        <v>3068</v>
      </c>
      <c r="AG1661" s="32">
        <v>0</v>
      </c>
      <c r="AH1661" s="32">
        <v>0</v>
      </c>
      <c r="AK1661" s="32">
        <v>2</v>
      </c>
      <c r="AL1661" s="32">
        <f>193/60</f>
        <v>3.2166666666666668</v>
      </c>
      <c r="AO1661" s="32" t="s">
        <v>1898</v>
      </c>
      <c r="AP1661" s="32">
        <f>193/60</f>
        <v>3.2166666666666668</v>
      </c>
      <c r="AQ1661" s="32" t="s">
        <v>1522</v>
      </c>
      <c r="AU1661">
        <v>1660</v>
      </c>
    </row>
    <row r="1662" spans="1:47" x14ac:dyDescent="0.2">
      <c r="A1662" s="26">
        <v>6413</v>
      </c>
      <c r="B1662" s="27" t="s">
        <v>85</v>
      </c>
      <c r="C1662" s="28"/>
      <c r="D1662" s="29"/>
      <c r="E1662" s="30" t="s">
        <v>1285</v>
      </c>
      <c r="H1662" s="32">
        <v>1</v>
      </c>
      <c r="I1662" s="32" t="s">
        <v>3069</v>
      </c>
      <c r="AI1662" s="32">
        <v>590</v>
      </c>
      <c r="AO1662" s="32" t="s">
        <v>472</v>
      </c>
      <c r="AQ1662" s="32" t="s">
        <v>589</v>
      </c>
      <c r="AU1662">
        <v>1661</v>
      </c>
    </row>
    <row r="1663" spans="1:47" x14ac:dyDescent="0.2">
      <c r="A1663" s="26">
        <v>6413</v>
      </c>
      <c r="B1663" s="27" t="s">
        <v>45</v>
      </c>
      <c r="C1663" s="28"/>
      <c r="D1663" s="29"/>
      <c r="E1663" s="30" t="s">
        <v>1531</v>
      </c>
      <c r="H1663" s="32">
        <v>0</v>
      </c>
      <c r="I1663" s="32" t="s">
        <v>1532</v>
      </c>
      <c r="AG1663" s="32">
        <v>0</v>
      </c>
      <c r="AH1663" s="32">
        <v>0</v>
      </c>
      <c r="AI1663" s="32">
        <v>0</v>
      </c>
      <c r="AK1663" s="32">
        <v>0</v>
      </c>
      <c r="AM1663" s="32">
        <f>498*54</f>
        <v>26892</v>
      </c>
      <c r="AO1663" s="32" t="s">
        <v>1533</v>
      </c>
      <c r="AQ1663" s="32" t="s">
        <v>1101</v>
      </c>
      <c r="AU1663">
        <v>1662</v>
      </c>
    </row>
    <row r="1664" spans="1:47" x14ac:dyDescent="0.2">
      <c r="A1664" s="26">
        <v>6413</v>
      </c>
      <c r="B1664" s="27" t="s">
        <v>45</v>
      </c>
      <c r="C1664" s="28"/>
      <c r="D1664" s="29"/>
      <c r="E1664" s="150" t="s">
        <v>2286</v>
      </c>
      <c r="H1664" s="32">
        <v>0</v>
      </c>
      <c r="I1664" s="32" t="s">
        <v>1824</v>
      </c>
      <c r="AG1664" s="32">
        <v>0</v>
      </c>
      <c r="AH1664" s="32">
        <v>0</v>
      </c>
      <c r="AI1664" s="32">
        <v>0</v>
      </c>
      <c r="AK1664" s="32">
        <v>0</v>
      </c>
      <c r="AM1664" s="32">
        <v>13500</v>
      </c>
      <c r="AO1664" s="73" t="s">
        <v>75</v>
      </c>
      <c r="AQ1664" s="32" t="s">
        <v>589</v>
      </c>
      <c r="AU1664">
        <v>1663</v>
      </c>
    </row>
    <row r="1665" spans="1:47" x14ac:dyDescent="0.2">
      <c r="A1665" s="26">
        <v>6413</v>
      </c>
      <c r="B1665" s="27"/>
      <c r="C1665" s="28"/>
      <c r="D1665" s="29"/>
      <c r="E1665" s="102" t="s">
        <v>1421</v>
      </c>
      <c r="H1665" s="32">
        <v>1</v>
      </c>
      <c r="I1665" s="32" t="s">
        <v>1422</v>
      </c>
      <c r="AK1665" s="32">
        <v>6</v>
      </c>
      <c r="AO1665" s="73"/>
      <c r="AQ1665" s="32" t="s">
        <v>589</v>
      </c>
      <c r="AU1665">
        <v>1664</v>
      </c>
    </row>
    <row r="1666" spans="1:47" x14ac:dyDescent="0.2">
      <c r="A1666" s="37">
        <v>6414</v>
      </c>
      <c r="B1666" s="38" t="s">
        <v>85</v>
      </c>
      <c r="C1666" s="85" t="s">
        <v>142</v>
      </c>
      <c r="D1666" s="29"/>
      <c r="E1666" s="38" t="s">
        <v>3070</v>
      </c>
      <c r="F1666" s="31" t="s">
        <v>246</v>
      </c>
      <c r="G1666" s="31" t="s">
        <v>49</v>
      </c>
      <c r="H1666" s="32"/>
      <c r="I1666" s="32" t="s">
        <v>2953</v>
      </c>
      <c r="K1666" s="31">
        <f>20*10*2.2</f>
        <v>440.00000000000006</v>
      </c>
      <c r="L1666" s="33">
        <v>4</v>
      </c>
      <c r="S1666" s="33">
        <v>4</v>
      </c>
      <c r="T1666" s="31">
        <v>0</v>
      </c>
      <c r="U1666" s="31">
        <v>0</v>
      </c>
      <c r="V1666" s="31">
        <v>0</v>
      </c>
      <c r="Y1666" s="31" t="s">
        <v>120</v>
      </c>
      <c r="Z1666" s="31" t="s">
        <v>1809</v>
      </c>
      <c r="AE1666" s="47" t="s">
        <v>2470</v>
      </c>
      <c r="AK1666" s="32">
        <v>20</v>
      </c>
      <c r="AO1666" s="73"/>
      <c r="AQ1666" s="32" t="s">
        <v>3071</v>
      </c>
      <c r="AU1666">
        <v>1665</v>
      </c>
    </row>
    <row r="1667" spans="1:47" x14ac:dyDescent="0.2">
      <c r="A1667" s="133">
        <v>6414</v>
      </c>
      <c r="B1667" s="39" t="s">
        <v>45</v>
      </c>
      <c r="C1667" s="39">
        <v>100</v>
      </c>
      <c r="D1667" s="29" t="b">
        <v>0</v>
      </c>
      <c r="E1667" s="39" t="s">
        <v>3072</v>
      </c>
      <c r="F1667" s="47" t="s">
        <v>3073</v>
      </c>
      <c r="G1667" s="47" t="s">
        <v>73</v>
      </c>
      <c r="H1667"/>
      <c r="I1667" s="47" t="b">
        <v>1</v>
      </c>
      <c r="J1667" s="47" t="b">
        <v>1</v>
      </c>
      <c r="K1667" s="47">
        <v>1350</v>
      </c>
      <c r="L1667" s="48">
        <v>5</v>
      </c>
      <c r="M1667" s="47">
        <v>-1</v>
      </c>
      <c r="N1667" s="47">
        <v>-1</v>
      </c>
      <c r="O1667" s="47">
        <v>-1</v>
      </c>
      <c r="P1667" s="47">
        <v>-1</v>
      </c>
      <c r="Q1667" s="47">
        <v>-1</v>
      </c>
      <c r="R1667" s="47">
        <v>-1</v>
      </c>
      <c r="S1667" s="48">
        <v>5</v>
      </c>
      <c r="T1667" s="47">
        <v>0</v>
      </c>
      <c r="U1667" s="47">
        <v>0</v>
      </c>
      <c r="V1667" s="47">
        <v>0</v>
      </c>
      <c r="W1667" s="47">
        <v>-1</v>
      </c>
      <c r="X1667" s="47">
        <v>161</v>
      </c>
      <c r="Y1667" s="47"/>
      <c r="Z1667" s="47" t="s">
        <v>2524</v>
      </c>
      <c r="AA1667" s="49"/>
      <c r="AB1667" s="49"/>
      <c r="AC1667" s="49"/>
      <c r="AD1667" s="50"/>
      <c r="AE1667" s="47" t="s">
        <v>2754</v>
      </c>
      <c r="AF1667" s="47">
        <v>45</v>
      </c>
      <c r="AG1667"/>
      <c r="AH1667"/>
      <c r="AI1667"/>
      <c r="AJ1667"/>
      <c r="AK1667"/>
      <c r="AL1667"/>
      <c r="AM1667"/>
      <c r="AN1667"/>
      <c r="AO1667"/>
      <c r="AP1667"/>
      <c r="AQ1667" t="s">
        <v>2526</v>
      </c>
      <c r="AU1667">
        <v>1666</v>
      </c>
    </row>
    <row r="1668" spans="1:47" x14ac:dyDescent="0.2">
      <c r="A1668" s="133">
        <v>6414</v>
      </c>
      <c r="B1668" s="39" t="s">
        <v>45</v>
      </c>
      <c r="C1668" s="39">
        <v>100</v>
      </c>
      <c r="D1668" s="29" t="b">
        <v>0</v>
      </c>
      <c r="E1668" s="39" t="s">
        <v>2779</v>
      </c>
      <c r="F1668" s="47" t="s">
        <v>3074</v>
      </c>
      <c r="G1668" s="47" t="s">
        <v>73</v>
      </c>
      <c r="H1668"/>
      <c r="I1668" s="47" t="b">
        <v>0</v>
      </c>
      <c r="J1668" s="47" t="b">
        <v>0</v>
      </c>
      <c r="K1668" s="47">
        <v>540</v>
      </c>
      <c r="L1668" s="48">
        <v>5</v>
      </c>
      <c r="M1668" s="47">
        <v>-1</v>
      </c>
      <c r="N1668" s="47">
        <v>-1</v>
      </c>
      <c r="O1668" s="47">
        <v>-1</v>
      </c>
      <c r="P1668" s="47">
        <v>-1</v>
      </c>
      <c r="Q1668" s="47">
        <v>-1</v>
      </c>
      <c r="R1668" s="47">
        <v>-1</v>
      </c>
      <c r="S1668" s="48">
        <v>5</v>
      </c>
      <c r="T1668" s="47">
        <v>0</v>
      </c>
      <c r="U1668" s="47">
        <v>0</v>
      </c>
      <c r="V1668" s="47">
        <v>0</v>
      </c>
      <c r="W1668" s="47">
        <v>-1</v>
      </c>
      <c r="X1668" s="47">
        <v>162</v>
      </c>
      <c r="Y1668" s="47"/>
      <c r="Z1668" s="47" t="s">
        <v>2524</v>
      </c>
      <c r="AA1668" s="49"/>
      <c r="AB1668" s="49"/>
      <c r="AC1668" s="49"/>
      <c r="AD1668" s="50"/>
      <c r="AE1668" s="47" t="s">
        <v>2754</v>
      </c>
      <c r="AF1668" s="47">
        <v>45</v>
      </c>
      <c r="AG1668"/>
      <c r="AH1668"/>
      <c r="AI1668"/>
      <c r="AJ1668"/>
      <c r="AK1668"/>
      <c r="AL1668"/>
      <c r="AM1668"/>
      <c r="AN1668"/>
      <c r="AO1668"/>
      <c r="AP1668"/>
      <c r="AQ1668" t="s">
        <v>2526</v>
      </c>
      <c r="AU1668">
        <v>1667</v>
      </c>
    </row>
    <row r="1669" spans="1:47" x14ac:dyDescent="0.2">
      <c r="A1669" s="133">
        <v>6414</v>
      </c>
      <c r="B1669" s="39" t="s">
        <v>45</v>
      </c>
      <c r="C1669" s="39">
        <v>100</v>
      </c>
      <c r="D1669" s="29" t="b">
        <v>0</v>
      </c>
      <c r="E1669" s="39" t="s">
        <v>3075</v>
      </c>
      <c r="F1669" s="47" t="s">
        <v>348</v>
      </c>
      <c r="G1669" s="47" t="s">
        <v>49</v>
      </c>
      <c r="H1669"/>
      <c r="I1669" s="47" t="b">
        <v>0</v>
      </c>
      <c r="J1669" s="47" t="b">
        <v>0</v>
      </c>
      <c r="K1669" s="47">
        <v>270</v>
      </c>
      <c r="L1669" s="48">
        <v>5</v>
      </c>
      <c r="M1669" s="47">
        <v>-1</v>
      </c>
      <c r="N1669" s="47">
        <v>-1</v>
      </c>
      <c r="O1669" s="47">
        <v>-1</v>
      </c>
      <c r="P1669" s="47">
        <v>-1</v>
      </c>
      <c r="Q1669" s="47">
        <v>-1</v>
      </c>
      <c r="R1669" s="47">
        <v>-1</v>
      </c>
      <c r="S1669" s="48">
        <v>5</v>
      </c>
      <c r="T1669" s="47">
        <v>0</v>
      </c>
      <c r="U1669" s="47">
        <v>0</v>
      </c>
      <c r="V1669" s="47">
        <v>0</v>
      </c>
      <c r="W1669" s="47">
        <v>-1</v>
      </c>
      <c r="X1669" s="47">
        <v>163</v>
      </c>
      <c r="Y1669" s="47"/>
      <c r="Z1669" s="47" t="s">
        <v>2524</v>
      </c>
      <c r="AA1669" s="49"/>
      <c r="AB1669" s="49"/>
      <c r="AC1669" s="49"/>
      <c r="AD1669" s="50"/>
      <c r="AE1669" s="47" t="s">
        <v>2754</v>
      </c>
      <c r="AF1669" s="47"/>
      <c r="AG1669"/>
      <c r="AH1669"/>
      <c r="AI1669"/>
      <c r="AJ1669"/>
      <c r="AK1669"/>
      <c r="AL1669"/>
      <c r="AM1669"/>
      <c r="AN1669"/>
      <c r="AO1669"/>
      <c r="AP1669"/>
      <c r="AQ1669" t="s">
        <v>2526</v>
      </c>
      <c r="AU1669">
        <v>1668</v>
      </c>
    </row>
    <row r="1670" spans="1:47" x14ac:dyDescent="0.2">
      <c r="A1670" s="133">
        <v>6414</v>
      </c>
      <c r="B1670" s="39" t="s">
        <v>45</v>
      </c>
      <c r="C1670" s="39">
        <v>100</v>
      </c>
      <c r="D1670" s="29" t="b">
        <v>0</v>
      </c>
      <c r="E1670" s="39" t="s">
        <v>3076</v>
      </c>
      <c r="F1670" s="47" t="s">
        <v>3077</v>
      </c>
      <c r="G1670" s="47" t="s">
        <v>73</v>
      </c>
      <c r="H1670"/>
      <c r="I1670" s="47" t="b">
        <v>0</v>
      </c>
      <c r="J1670" s="47" t="b">
        <v>0</v>
      </c>
      <c r="K1670" s="47">
        <v>270</v>
      </c>
      <c r="L1670" s="48">
        <v>5</v>
      </c>
      <c r="M1670" s="47">
        <v>-1</v>
      </c>
      <c r="N1670" s="47">
        <v>-1</v>
      </c>
      <c r="O1670" s="47">
        <v>-1</v>
      </c>
      <c r="P1670" s="47">
        <v>-1</v>
      </c>
      <c r="Q1670" s="47">
        <v>-1</v>
      </c>
      <c r="R1670" s="47">
        <v>-1</v>
      </c>
      <c r="S1670" s="48">
        <v>5</v>
      </c>
      <c r="T1670" s="47">
        <v>0</v>
      </c>
      <c r="U1670" s="47">
        <v>0</v>
      </c>
      <c r="V1670" s="47">
        <v>0</v>
      </c>
      <c r="W1670" s="47">
        <v>-1</v>
      </c>
      <c r="X1670" s="47">
        <v>160</v>
      </c>
      <c r="Y1670" s="47"/>
      <c r="Z1670" s="47" t="s">
        <v>2524</v>
      </c>
      <c r="AA1670" s="49"/>
      <c r="AB1670" s="49"/>
      <c r="AC1670" s="49"/>
      <c r="AD1670" s="50"/>
      <c r="AE1670" s="47" t="s">
        <v>2754</v>
      </c>
      <c r="AF1670" s="47"/>
      <c r="AG1670"/>
      <c r="AH1670"/>
      <c r="AI1670"/>
      <c r="AJ1670"/>
      <c r="AK1670"/>
      <c r="AL1670"/>
      <c r="AM1670"/>
      <c r="AN1670"/>
      <c r="AO1670"/>
      <c r="AP1670"/>
      <c r="AQ1670" t="s">
        <v>2526</v>
      </c>
      <c r="AU1670">
        <v>1669</v>
      </c>
    </row>
    <row r="1671" spans="1:47" x14ac:dyDescent="0.2">
      <c r="A1671" s="133">
        <v>6414</v>
      </c>
      <c r="B1671" s="39" t="s">
        <v>45</v>
      </c>
      <c r="C1671" s="39">
        <v>100</v>
      </c>
      <c r="D1671" s="29" t="b">
        <v>0</v>
      </c>
      <c r="E1671" s="39" t="s">
        <v>3078</v>
      </c>
      <c r="F1671" s="47" t="s">
        <v>3027</v>
      </c>
      <c r="G1671" s="47" t="s">
        <v>73</v>
      </c>
      <c r="H1671"/>
      <c r="I1671" s="47" t="b">
        <v>0</v>
      </c>
      <c r="J1671" s="47" t="b">
        <v>0</v>
      </c>
      <c r="K1671" s="47">
        <v>270</v>
      </c>
      <c r="L1671" s="48">
        <v>5</v>
      </c>
      <c r="M1671" s="47">
        <v>-1</v>
      </c>
      <c r="N1671" s="47">
        <v>-1</v>
      </c>
      <c r="O1671" s="47">
        <v>-1</v>
      </c>
      <c r="P1671" s="47">
        <v>-1</v>
      </c>
      <c r="Q1671" s="47">
        <v>-1</v>
      </c>
      <c r="R1671" s="47">
        <v>-1</v>
      </c>
      <c r="S1671" s="48">
        <v>5</v>
      </c>
      <c r="T1671" s="47">
        <v>0</v>
      </c>
      <c r="U1671" s="47">
        <v>0</v>
      </c>
      <c r="V1671" s="47">
        <v>0</v>
      </c>
      <c r="W1671" s="47">
        <v>-1</v>
      </c>
      <c r="X1671" s="47">
        <v>164</v>
      </c>
      <c r="Y1671" s="47"/>
      <c r="Z1671" s="47" t="s">
        <v>2524</v>
      </c>
      <c r="AA1671" s="49"/>
      <c r="AB1671" s="49"/>
      <c r="AC1671" s="49"/>
      <c r="AD1671" s="50"/>
      <c r="AE1671" s="47" t="s">
        <v>2754</v>
      </c>
      <c r="AF1671" s="47"/>
      <c r="AG1671"/>
      <c r="AH1671"/>
      <c r="AI1671"/>
      <c r="AJ1671"/>
      <c r="AK1671"/>
      <c r="AL1671"/>
      <c r="AM1671"/>
      <c r="AN1671"/>
      <c r="AO1671"/>
      <c r="AP1671"/>
      <c r="AQ1671" t="s">
        <v>2526</v>
      </c>
      <c r="AU1671">
        <v>1670</v>
      </c>
    </row>
    <row r="1672" spans="1:47" x14ac:dyDescent="0.2">
      <c r="A1672" s="133">
        <v>6414</v>
      </c>
      <c r="B1672" s="39" t="s">
        <v>45</v>
      </c>
      <c r="C1672" s="38" t="s">
        <v>2542</v>
      </c>
      <c r="D1672" s="29"/>
      <c r="E1672" s="39" t="s">
        <v>1764</v>
      </c>
      <c r="F1672" s="47" t="s">
        <v>3079</v>
      </c>
      <c r="G1672" s="47" t="s">
        <v>49</v>
      </c>
      <c r="H1672"/>
      <c r="I1672" s="47" t="s">
        <v>3080</v>
      </c>
      <c r="J1672" s="47"/>
      <c r="K1672" s="47">
        <f>(3*30*10+2*6*50)*2.2</f>
        <v>3300.0000000000005</v>
      </c>
      <c r="L1672" s="48">
        <v>5</v>
      </c>
      <c r="M1672" s="47"/>
      <c r="N1672" s="47"/>
      <c r="O1672" s="47"/>
      <c r="P1672" s="47"/>
      <c r="Q1672" s="47"/>
      <c r="R1672" s="47"/>
      <c r="S1672" s="48">
        <v>5</v>
      </c>
      <c r="T1672" s="47">
        <v>0</v>
      </c>
      <c r="U1672" s="47">
        <v>0</v>
      </c>
      <c r="V1672" s="47">
        <v>0</v>
      </c>
      <c r="W1672" s="47">
        <f>((2300+2800+3000+2700+2600)/5)*39.37/12</f>
        <v>8792.6333333333332</v>
      </c>
      <c r="X1672" s="47"/>
      <c r="Y1672" s="47" t="s">
        <v>51</v>
      </c>
      <c r="Z1672" s="47" t="s">
        <v>1846</v>
      </c>
      <c r="AA1672" s="49"/>
      <c r="AB1672" s="49"/>
      <c r="AC1672" s="49"/>
      <c r="AD1672" s="50">
        <f>2+20/60</f>
        <v>2.3333333333333335</v>
      </c>
      <c r="AE1672" s="31" t="s">
        <v>342</v>
      </c>
      <c r="AF1672" s="47">
        <v>70</v>
      </c>
      <c r="AG1672"/>
      <c r="AH1672"/>
      <c r="AI1672"/>
      <c r="AJ1672"/>
      <c r="AK1672">
        <f>3*30+2*6</f>
        <v>102</v>
      </c>
      <c r="AL1672"/>
      <c r="AM1672"/>
      <c r="AN1672"/>
      <c r="AO1672"/>
      <c r="AP1672"/>
      <c r="AQ1672" s="32" t="s">
        <v>3081</v>
      </c>
      <c r="AU1672">
        <v>1671</v>
      </c>
    </row>
    <row r="1673" spans="1:47" x14ac:dyDescent="0.2">
      <c r="A1673" s="133">
        <v>6414</v>
      </c>
      <c r="B1673" s="39" t="s">
        <v>45</v>
      </c>
      <c r="C1673" s="38" t="s">
        <v>2542</v>
      </c>
      <c r="D1673" s="29"/>
      <c r="E1673" s="39" t="s">
        <v>3082</v>
      </c>
      <c r="F1673" s="47" t="s">
        <v>220</v>
      </c>
      <c r="G1673" s="47" t="s">
        <v>49</v>
      </c>
      <c r="H1673"/>
      <c r="I1673" s="47" t="s">
        <v>3083</v>
      </c>
      <c r="J1673" s="47"/>
      <c r="K1673" s="47">
        <f>(30*10+6*50)*2.2</f>
        <v>1320</v>
      </c>
      <c r="L1673" s="48">
        <v>2</v>
      </c>
      <c r="M1673" s="47"/>
      <c r="N1673" s="47"/>
      <c r="O1673" s="47"/>
      <c r="P1673" s="47"/>
      <c r="Q1673" s="47"/>
      <c r="R1673" s="47"/>
      <c r="S1673" s="48">
        <v>2</v>
      </c>
      <c r="T1673" s="47">
        <v>0</v>
      </c>
      <c r="U1673" s="47">
        <v>0</v>
      </c>
      <c r="V1673" s="47">
        <v>0</v>
      </c>
      <c r="W1673" s="47">
        <f>((2000+1950)/2)*39.37/12</f>
        <v>6479.645833333333</v>
      </c>
      <c r="X1673" s="47"/>
      <c r="Y1673" s="47" t="s">
        <v>51</v>
      </c>
      <c r="Z1673" s="47" t="s">
        <v>1846</v>
      </c>
      <c r="AA1673" s="49"/>
      <c r="AB1673" s="49"/>
      <c r="AC1673" s="49"/>
      <c r="AD1673" s="50">
        <f>2+5/60</f>
        <v>2.0833333333333335</v>
      </c>
      <c r="AE1673" s="31" t="s">
        <v>342</v>
      </c>
      <c r="AF1673" s="47">
        <v>45</v>
      </c>
      <c r="AG1673"/>
      <c r="AH1673"/>
      <c r="AI1673"/>
      <c r="AJ1673"/>
      <c r="AK1673">
        <f>30+6</f>
        <v>36</v>
      </c>
      <c r="AL1673"/>
      <c r="AM1673"/>
      <c r="AN1673"/>
      <c r="AO1673"/>
      <c r="AP1673"/>
      <c r="AQ1673" s="32" t="s">
        <v>3081</v>
      </c>
      <c r="AU1673">
        <v>1672</v>
      </c>
    </row>
    <row r="1674" spans="1:47" x14ac:dyDescent="0.2">
      <c r="A1674" s="26">
        <v>6414</v>
      </c>
      <c r="B1674" s="27">
        <v>1.0416666666666666E-2</v>
      </c>
      <c r="C1674" s="28"/>
      <c r="D1674" s="29"/>
      <c r="E1674" s="30" t="s">
        <v>78</v>
      </c>
      <c r="H1674" s="32">
        <v>1</v>
      </c>
      <c r="I1674" s="32"/>
      <c r="AG1674" s="32">
        <v>0</v>
      </c>
      <c r="AH1674" s="32">
        <v>2</v>
      </c>
      <c r="AJ1674" s="32">
        <v>636</v>
      </c>
      <c r="AK1674" s="32">
        <v>5</v>
      </c>
      <c r="AO1674" s="32" t="s">
        <v>80</v>
      </c>
      <c r="AQ1674" s="32" t="s">
        <v>1101</v>
      </c>
      <c r="AU1674">
        <v>1673</v>
      </c>
    </row>
    <row r="1675" spans="1:47" x14ac:dyDescent="0.2">
      <c r="A1675" s="26">
        <v>6414</v>
      </c>
      <c r="B1675" s="27">
        <v>2.0833333333333332E-2</v>
      </c>
      <c r="C1675" s="124"/>
      <c r="D1675" s="29"/>
      <c r="E1675" s="30" t="s">
        <v>2087</v>
      </c>
      <c r="H1675" s="32">
        <v>0</v>
      </c>
      <c r="I1675" s="32" t="s">
        <v>2521</v>
      </c>
      <c r="AG1675" s="32">
        <v>0</v>
      </c>
      <c r="AH1675" s="32">
        <v>0</v>
      </c>
      <c r="AI1675" s="32">
        <v>0</v>
      </c>
      <c r="AK1675" s="32">
        <v>0</v>
      </c>
      <c r="AL1675" s="32">
        <v>0</v>
      </c>
      <c r="AP1675" s="32">
        <v>0.33300000000000002</v>
      </c>
      <c r="AQ1675" s="32" t="s">
        <v>1101</v>
      </c>
      <c r="AU1675">
        <v>1674</v>
      </c>
    </row>
    <row r="1676" spans="1:47" x14ac:dyDescent="0.2">
      <c r="A1676" s="26">
        <v>6414</v>
      </c>
      <c r="B1676" s="27">
        <v>4.1666666666666664E-2</v>
      </c>
      <c r="C1676" s="28"/>
      <c r="D1676" s="29"/>
      <c r="E1676" s="30" t="s">
        <v>869</v>
      </c>
      <c r="H1676" s="32">
        <v>0</v>
      </c>
      <c r="I1676" s="32" t="s">
        <v>2344</v>
      </c>
      <c r="AG1676" s="32">
        <v>0</v>
      </c>
      <c r="AH1676" s="32">
        <v>0</v>
      </c>
      <c r="AI1676" s="32">
        <v>0</v>
      </c>
      <c r="AK1676" s="32">
        <v>0</v>
      </c>
      <c r="AL1676" s="32">
        <v>0.33300000000000002</v>
      </c>
      <c r="AP1676" s="32">
        <v>0.33300000000000002</v>
      </c>
      <c r="AQ1676" s="32" t="s">
        <v>589</v>
      </c>
      <c r="AU1676">
        <v>1675</v>
      </c>
    </row>
    <row r="1677" spans="1:47" x14ac:dyDescent="0.2">
      <c r="A1677" s="26">
        <v>6414</v>
      </c>
      <c r="B1677" s="27">
        <v>0.95833333333333337</v>
      </c>
      <c r="C1677" s="28"/>
      <c r="D1677" s="29"/>
      <c r="E1677" s="30" t="s">
        <v>464</v>
      </c>
      <c r="H1677" s="32">
        <v>1</v>
      </c>
      <c r="I1677" s="32" t="s">
        <v>3084</v>
      </c>
      <c r="AG1677" s="32">
        <v>0</v>
      </c>
      <c r="AH1677" s="32">
        <v>0</v>
      </c>
      <c r="AL1677" s="32">
        <v>3.3330000000000002</v>
      </c>
      <c r="AO1677" s="32" t="s">
        <v>3085</v>
      </c>
      <c r="AP1677" s="32">
        <v>3.3330000000000002</v>
      </c>
      <c r="AQ1677" s="32" t="s">
        <v>3086</v>
      </c>
      <c r="AU1677">
        <v>1676</v>
      </c>
    </row>
    <row r="1678" spans="1:47" x14ac:dyDescent="0.2">
      <c r="A1678" s="26">
        <v>6414</v>
      </c>
      <c r="B1678" s="27" t="s">
        <v>45</v>
      </c>
      <c r="C1678" s="28"/>
      <c r="D1678" s="29"/>
      <c r="E1678" s="30" t="s">
        <v>1531</v>
      </c>
      <c r="H1678" s="32">
        <v>0</v>
      </c>
      <c r="I1678" s="32" t="s">
        <v>1706</v>
      </c>
      <c r="AG1678" s="32">
        <v>0</v>
      </c>
      <c r="AH1678" s="32">
        <v>0</v>
      </c>
      <c r="AI1678" s="32">
        <v>0</v>
      </c>
      <c r="AK1678" s="32">
        <v>0</v>
      </c>
      <c r="AM1678" s="32">
        <f>498*140</f>
        <v>69720</v>
      </c>
      <c r="AO1678" s="32" t="s">
        <v>1533</v>
      </c>
      <c r="AQ1678" s="32" t="s">
        <v>1101</v>
      </c>
      <c r="AU1678">
        <v>1677</v>
      </c>
    </row>
    <row r="1679" spans="1:47" x14ac:dyDescent="0.2">
      <c r="A1679" s="26">
        <v>6414</v>
      </c>
      <c r="B1679" s="27" t="s">
        <v>45</v>
      </c>
      <c r="C1679" s="28"/>
      <c r="D1679" s="29"/>
      <c r="E1679" s="150" t="s">
        <v>2286</v>
      </c>
      <c r="H1679" s="32">
        <v>0</v>
      </c>
      <c r="I1679" s="32" t="s">
        <v>1824</v>
      </c>
      <c r="AG1679" s="32">
        <v>0</v>
      </c>
      <c r="AH1679" s="32">
        <v>0</v>
      </c>
      <c r="AI1679" s="32">
        <v>0</v>
      </c>
      <c r="AK1679" s="32">
        <v>0</v>
      </c>
      <c r="AM1679" s="32">
        <f>55*500</f>
        <v>27500</v>
      </c>
      <c r="AO1679" s="73" t="s">
        <v>75</v>
      </c>
      <c r="AQ1679" s="32" t="s">
        <v>589</v>
      </c>
      <c r="AU1679">
        <v>1678</v>
      </c>
    </row>
    <row r="1680" spans="1:47" x14ac:dyDescent="0.2">
      <c r="A1680" s="44">
        <v>6415</v>
      </c>
      <c r="B1680" s="42"/>
      <c r="C1680" s="43" t="s">
        <v>3087</v>
      </c>
      <c r="D1680" s="29"/>
      <c r="E1680" s="36" t="s">
        <v>609</v>
      </c>
      <c r="H1680" s="32"/>
      <c r="I1680" s="32" t="s">
        <v>3088</v>
      </c>
      <c r="Z1680" s="31" t="s">
        <v>2670</v>
      </c>
      <c r="AE1680" s="31" t="s">
        <v>3089</v>
      </c>
      <c r="AU1680">
        <v>1679</v>
      </c>
    </row>
    <row r="1681" spans="1:47" x14ac:dyDescent="0.2">
      <c r="A1681" s="44">
        <v>6415</v>
      </c>
      <c r="B1681" s="42"/>
      <c r="C1681" s="43" t="s">
        <v>332</v>
      </c>
      <c r="D1681" s="29"/>
      <c r="E1681" s="36" t="s">
        <v>3090</v>
      </c>
      <c r="F1681" s="31" t="s">
        <v>3091</v>
      </c>
      <c r="H1681" s="32"/>
      <c r="I1681" s="32" t="s">
        <v>3092</v>
      </c>
      <c r="Z1681" s="47" t="s">
        <v>2670</v>
      </c>
      <c r="AU1681">
        <v>1680</v>
      </c>
    </row>
    <row r="1682" spans="1:47" x14ac:dyDescent="0.2">
      <c r="A1682" s="44">
        <v>6415</v>
      </c>
      <c r="B1682" s="39" t="s">
        <v>45</v>
      </c>
      <c r="C1682" s="38" t="s">
        <v>2542</v>
      </c>
      <c r="D1682" s="29"/>
      <c r="E1682" s="39" t="s">
        <v>1764</v>
      </c>
      <c r="F1682" s="47" t="s">
        <v>3093</v>
      </c>
      <c r="G1682" s="47" t="s">
        <v>49</v>
      </c>
      <c r="H1682" s="32"/>
      <c r="I1682" s="137" t="s">
        <v>3094</v>
      </c>
      <c r="K1682" s="31">
        <f>(3*30*10+6*50)*2.2</f>
        <v>2640</v>
      </c>
      <c r="L1682" s="33">
        <v>8</v>
      </c>
      <c r="N1682" s="31">
        <v>4</v>
      </c>
      <c r="S1682" s="33">
        <v>4</v>
      </c>
      <c r="T1682" s="31">
        <v>0</v>
      </c>
      <c r="U1682" s="31">
        <v>0</v>
      </c>
      <c r="V1682" s="31">
        <v>0</v>
      </c>
      <c r="W1682" s="47">
        <f>((3200+2200+2500+2600)/4)*39.37/12</f>
        <v>8612.1875</v>
      </c>
      <c r="Y1682" s="31" t="s">
        <v>51</v>
      </c>
      <c r="Z1682" s="47" t="s">
        <v>1846</v>
      </c>
      <c r="AD1682" s="35">
        <v>2.33</v>
      </c>
      <c r="AE1682" s="31" t="s">
        <v>342</v>
      </c>
      <c r="AF1682" s="31">
        <v>70</v>
      </c>
      <c r="AK1682" s="32">
        <f>3*30+6</f>
        <v>96</v>
      </c>
      <c r="AQ1682" s="32" t="s">
        <v>3095</v>
      </c>
      <c r="AU1682">
        <v>1681</v>
      </c>
    </row>
    <row r="1683" spans="1:47" x14ac:dyDescent="0.2">
      <c r="A1683" s="26">
        <v>6415</v>
      </c>
      <c r="B1683" s="27">
        <v>4.1666666666666664E-2</v>
      </c>
      <c r="C1683" s="28"/>
      <c r="D1683" s="29"/>
      <c r="E1683" s="30" t="s">
        <v>1282</v>
      </c>
      <c r="H1683" s="32">
        <v>0</v>
      </c>
      <c r="I1683" s="32" t="s">
        <v>2244</v>
      </c>
      <c r="AG1683" s="32">
        <v>0</v>
      </c>
      <c r="AH1683" s="32">
        <v>0</v>
      </c>
      <c r="AI1683" s="32">
        <v>0</v>
      </c>
      <c r="AK1683" s="32">
        <v>0</v>
      </c>
      <c r="AL1683" s="32">
        <v>1</v>
      </c>
      <c r="AP1683" s="32">
        <v>1</v>
      </c>
      <c r="AQ1683" s="32" t="s">
        <v>1101</v>
      </c>
      <c r="AU1683">
        <v>1682</v>
      </c>
    </row>
    <row r="1684" spans="1:47" x14ac:dyDescent="0.2">
      <c r="A1684" s="26">
        <v>6415</v>
      </c>
      <c r="B1684" s="27">
        <v>0.54861111111111105</v>
      </c>
      <c r="C1684" s="28"/>
      <c r="D1684" s="29"/>
      <c r="E1684" s="30" t="s">
        <v>78</v>
      </c>
      <c r="H1684" s="32">
        <v>1</v>
      </c>
      <c r="I1684" s="32" t="s">
        <v>3096</v>
      </c>
      <c r="AG1684" s="32">
        <v>0</v>
      </c>
      <c r="AH1684" s="32">
        <v>0</v>
      </c>
      <c r="AJ1684" s="32">
        <v>2487</v>
      </c>
      <c r="AK1684" s="32">
        <v>5</v>
      </c>
      <c r="AO1684" s="32" t="s">
        <v>80</v>
      </c>
      <c r="AQ1684" s="32" t="s">
        <v>1101</v>
      </c>
      <c r="AU1684">
        <v>1683</v>
      </c>
    </row>
    <row r="1685" spans="1:47" x14ac:dyDescent="0.2">
      <c r="A1685" s="26">
        <v>6415</v>
      </c>
      <c r="B1685" s="27">
        <v>0.95972222222222225</v>
      </c>
      <c r="C1685" s="28"/>
      <c r="D1685" s="29"/>
      <c r="E1685" s="30" t="s">
        <v>464</v>
      </c>
      <c r="H1685" s="32">
        <v>1</v>
      </c>
      <c r="I1685" s="32" t="s">
        <v>3097</v>
      </c>
      <c r="AG1685" s="32">
        <v>0</v>
      </c>
      <c r="AH1685" s="32">
        <v>0</v>
      </c>
      <c r="AL1685" s="32">
        <f>128/60</f>
        <v>2.1333333333333333</v>
      </c>
      <c r="AO1685" s="32" t="s">
        <v>1898</v>
      </c>
      <c r="AP1685" s="32">
        <f>128/60</f>
        <v>2.1333333333333333</v>
      </c>
      <c r="AQ1685" s="32" t="s">
        <v>3067</v>
      </c>
      <c r="AU1685">
        <v>1684</v>
      </c>
    </row>
    <row r="1686" spans="1:47" x14ac:dyDescent="0.2">
      <c r="A1686" s="26">
        <v>6415</v>
      </c>
      <c r="B1686" s="27">
        <v>0.99652777777777779</v>
      </c>
      <c r="C1686" s="28"/>
      <c r="D1686" s="29"/>
      <c r="E1686" s="30" t="s">
        <v>78</v>
      </c>
      <c r="H1686" s="32">
        <v>1</v>
      </c>
      <c r="I1686" s="32"/>
      <c r="AG1686" s="32">
        <v>0</v>
      </c>
      <c r="AH1686" s="32">
        <v>0</v>
      </c>
      <c r="AJ1686" s="32">
        <v>542</v>
      </c>
      <c r="AK1686" s="32">
        <v>3</v>
      </c>
      <c r="AO1686" s="32" t="s">
        <v>80</v>
      </c>
      <c r="AQ1686" s="32" t="s">
        <v>1101</v>
      </c>
      <c r="AU1686">
        <v>1685</v>
      </c>
    </row>
    <row r="1687" spans="1:47" x14ac:dyDescent="0.2">
      <c r="A1687" s="26">
        <v>6415</v>
      </c>
      <c r="B1687" s="27" t="s">
        <v>45</v>
      </c>
      <c r="C1687" s="28"/>
      <c r="D1687" s="29"/>
      <c r="E1687" s="30" t="s">
        <v>1531</v>
      </c>
      <c r="H1687" s="32">
        <v>0</v>
      </c>
      <c r="I1687" s="32" t="s">
        <v>1706</v>
      </c>
      <c r="AG1687" s="32">
        <v>0</v>
      </c>
      <c r="AH1687" s="32">
        <v>0</v>
      </c>
      <c r="AI1687" s="32">
        <v>0</v>
      </c>
      <c r="AK1687" s="32">
        <v>0</v>
      </c>
      <c r="AM1687" s="32">
        <f>498*94</f>
        <v>46812</v>
      </c>
      <c r="AO1687" s="32" t="s">
        <v>1533</v>
      </c>
      <c r="AQ1687" s="32" t="s">
        <v>1101</v>
      </c>
      <c r="AU1687">
        <v>1686</v>
      </c>
    </row>
    <row r="1688" spans="1:47" x14ac:dyDescent="0.2">
      <c r="A1688" s="26">
        <v>6415</v>
      </c>
      <c r="B1688" s="27" t="s">
        <v>45</v>
      </c>
      <c r="C1688" s="28"/>
      <c r="D1688" s="29"/>
      <c r="E1688" s="150" t="s">
        <v>2286</v>
      </c>
      <c r="H1688" s="32">
        <v>0</v>
      </c>
      <c r="I1688" s="32" t="s">
        <v>1824</v>
      </c>
      <c r="AG1688" s="32">
        <v>0</v>
      </c>
      <c r="AH1688" s="32">
        <v>0</v>
      </c>
      <c r="AI1688" s="32">
        <v>0</v>
      </c>
      <c r="AK1688" s="32">
        <v>0</v>
      </c>
      <c r="AM1688" s="32">
        <v>22500</v>
      </c>
      <c r="AO1688" s="73" t="s">
        <v>75</v>
      </c>
      <c r="AQ1688" s="32" t="s">
        <v>589</v>
      </c>
      <c r="AU1688">
        <v>1687</v>
      </c>
    </row>
    <row r="1689" spans="1:47" x14ac:dyDescent="0.2">
      <c r="A1689" s="133">
        <v>6416</v>
      </c>
      <c r="B1689" s="39" t="s">
        <v>45</v>
      </c>
      <c r="C1689" s="39">
        <v>100</v>
      </c>
      <c r="D1689" s="29" t="b">
        <v>0</v>
      </c>
      <c r="E1689" s="39" t="s">
        <v>3098</v>
      </c>
      <c r="F1689" s="47" t="s">
        <v>3099</v>
      </c>
      <c r="G1689" s="47" t="s">
        <v>49</v>
      </c>
      <c r="H1689"/>
      <c r="I1689" s="47" t="b">
        <v>1</v>
      </c>
      <c r="J1689" s="47" t="b">
        <v>1</v>
      </c>
      <c r="K1689" s="47">
        <v>710</v>
      </c>
      <c r="L1689" s="48">
        <v>4</v>
      </c>
      <c r="M1689" s="47">
        <v>-1</v>
      </c>
      <c r="N1689" s="47">
        <v>-1</v>
      </c>
      <c r="O1689" s="47">
        <v>-1</v>
      </c>
      <c r="P1689" s="47">
        <v>-1</v>
      </c>
      <c r="Q1689" s="47">
        <v>-1</v>
      </c>
      <c r="R1689" s="47">
        <v>-1</v>
      </c>
      <c r="S1689" s="48">
        <v>4</v>
      </c>
      <c r="T1689" s="47">
        <v>0</v>
      </c>
      <c r="U1689" s="47">
        <v>0</v>
      </c>
      <c r="V1689" s="47">
        <v>0</v>
      </c>
      <c r="W1689" s="47">
        <v>-1</v>
      </c>
      <c r="X1689" s="47">
        <v>166</v>
      </c>
      <c r="Y1689" s="47"/>
      <c r="Z1689" s="47" t="s">
        <v>2524</v>
      </c>
      <c r="AA1689" s="49"/>
      <c r="AB1689" s="49"/>
      <c r="AC1689" s="49"/>
      <c r="AD1689" s="50"/>
      <c r="AE1689" s="47" t="s">
        <v>2754</v>
      </c>
      <c r="AF1689" s="47">
        <v>65</v>
      </c>
      <c r="AG1689"/>
      <c r="AH1689"/>
      <c r="AI1689"/>
      <c r="AJ1689"/>
      <c r="AK1689"/>
      <c r="AL1689"/>
      <c r="AM1689"/>
      <c r="AN1689"/>
      <c r="AO1689"/>
      <c r="AP1689"/>
      <c r="AQ1689" t="s">
        <v>2526</v>
      </c>
      <c r="AU1689">
        <v>1688</v>
      </c>
    </row>
    <row r="1690" spans="1:47" x14ac:dyDescent="0.2">
      <c r="A1690" s="133">
        <v>6416</v>
      </c>
      <c r="B1690" s="39" t="s">
        <v>45</v>
      </c>
      <c r="C1690" s="39">
        <v>100</v>
      </c>
      <c r="D1690" s="29" t="b">
        <v>0</v>
      </c>
      <c r="E1690" s="39" t="s">
        <v>3100</v>
      </c>
      <c r="F1690" s="47" t="s">
        <v>3101</v>
      </c>
      <c r="G1690" s="47" t="s">
        <v>49</v>
      </c>
      <c r="H1690"/>
      <c r="I1690" s="47" t="b">
        <v>0</v>
      </c>
      <c r="J1690" s="47" t="b">
        <v>0</v>
      </c>
      <c r="K1690" s="47">
        <v>120</v>
      </c>
      <c r="L1690" s="48">
        <v>4</v>
      </c>
      <c r="M1690" s="47">
        <v>-1</v>
      </c>
      <c r="N1690" s="47">
        <v>-1</v>
      </c>
      <c r="O1690" s="47">
        <v>-1</v>
      </c>
      <c r="P1690" s="47">
        <v>-1</v>
      </c>
      <c r="Q1690" s="47">
        <v>-1</v>
      </c>
      <c r="R1690" s="47">
        <v>-1</v>
      </c>
      <c r="S1690" s="48">
        <v>4</v>
      </c>
      <c r="T1690" s="47">
        <v>0</v>
      </c>
      <c r="U1690" s="47">
        <v>0</v>
      </c>
      <c r="V1690" s="47">
        <v>0</v>
      </c>
      <c r="W1690" s="47">
        <v>-1</v>
      </c>
      <c r="X1690" s="47">
        <v>165</v>
      </c>
      <c r="Y1690" s="47"/>
      <c r="Z1690" s="47" t="s">
        <v>2524</v>
      </c>
      <c r="AA1690" s="49"/>
      <c r="AB1690" s="49"/>
      <c r="AC1690" s="49"/>
      <c r="AD1690" s="50"/>
      <c r="AE1690" s="47" t="s">
        <v>2754</v>
      </c>
      <c r="AF1690" s="47"/>
      <c r="AG1690"/>
      <c r="AH1690"/>
      <c r="AI1690"/>
      <c r="AJ1690"/>
      <c r="AK1690"/>
      <c r="AL1690"/>
      <c r="AM1690"/>
      <c r="AN1690"/>
      <c r="AO1690"/>
      <c r="AP1690"/>
      <c r="AQ1690" t="s">
        <v>2526</v>
      </c>
      <c r="AU1690">
        <v>1689</v>
      </c>
    </row>
    <row r="1691" spans="1:47" x14ac:dyDescent="0.2">
      <c r="A1691" s="133">
        <v>6416</v>
      </c>
      <c r="B1691" s="39" t="s">
        <v>45</v>
      </c>
      <c r="C1691" s="39">
        <v>100</v>
      </c>
      <c r="D1691" s="29" t="b">
        <v>0</v>
      </c>
      <c r="E1691" s="39" t="s">
        <v>3102</v>
      </c>
      <c r="F1691" s="47" t="s">
        <v>529</v>
      </c>
      <c r="G1691" s="47" t="s">
        <v>205</v>
      </c>
      <c r="H1691"/>
      <c r="I1691" s="47" t="b">
        <v>0</v>
      </c>
      <c r="J1691" s="47" t="b">
        <v>0</v>
      </c>
      <c r="K1691" s="47">
        <v>230</v>
      </c>
      <c r="L1691" s="48">
        <v>4</v>
      </c>
      <c r="M1691" s="47">
        <v>-1</v>
      </c>
      <c r="N1691" s="47">
        <v>-1</v>
      </c>
      <c r="O1691" s="47">
        <v>-1</v>
      </c>
      <c r="P1691" s="47">
        <v>-1</v>
      </c>
      <c r="Q1691" s="47">
        <v>-1</v>
      </c>
      <c r="R1691" s="47">
        <v>-1</v>
      </c>
      <c r="S1691" s="48">
        <v>4</v>
      </c>
      <c r="T1691" s="47">
        <v>0</v>
      </c>
      <c r="U1691" s="47">
        <v>0</v>
      </c>
      <c r="V1691" s="47">
        <v>0</v>
      </c>
      <c r="W1691" s="47">
        <v>-1</v>
      </c>
      <c r="X1691" s="47">
        <v>167</v>
      </c>
      <c r="Y1691" s="47"/>
      <c r="Z1691" s="47" t="s">
        <v>2524</v>
      </c>
      <c r="AA1691" s="49"/>
      <c r="AB1691" s="49"/>
      <c r="AC1691" s="49"/>
      <c r="AD1691" s="50"/>
      <c r="AE1691" s="47" t="s">
        <v>2754</v>
      </c>
      <c r="AF1691" s="47">
        <v>65</v>
      </c>
      <c r="AG1691"/>
      <c r="AH1691"/>
      <c r="AI1691"/>
      <c r="AJ1691"/>
      <c r="AK1691"/>
      <c r="AL1691"/>
      <c r="AM1691"/>
      <c r="AN1691"/>
      <c r="AO1691"/>
      <c r="AP1691"/>
      <c r="AQ1691" t="s">
        <v>2526</v>
      </c>
      <c r="AU1691">
        <v>1690</v>
      </c>
    </row>
    <row r="1692" spans="1:47" x14ac:dyDescent="0.2">
      <c r="A1692" s="133">
        <v>6416</v>
      </c>
      <c r="B1692" s="39" t="s">
        <v>45</v>
      </c>
      <c r="C1692" s="39">
        <v>100</v>
      </c>
      <c r="D1692" s="29" t="b">
        <v>0</v>
      </c>
      <c r="E1692" s="39" t="s">
        <v>3103</v>
      </c>
      <c r="F1692" s="47" t="s">
        <v>2717</v>
      </c>
      <c r="G1692" s="47" t="s">
        <v>73</v>
      </c>
      <c r="H1692"/>
      <c r="I1692" s="47" t="b">
        <v>0</v>
      </c>
      <c r="J1692" s="47" t="b">
        <v>0</v>
      </c>
      <c r="K1692" s="47">
        <v>40</v>
      </c>
      <c r="L1692" s="48">
        <v>4</v>
      </c>
      <c r="M1692" s="47">
        <v>-1</v>
      </c>
      <c r="N1692" s="47">
        <v>-1</v>
      </c>
      <c r="O1692" s="47">
        <v>-1</v>
      </c>
      <c r="P1692" s="47">
        <v>-1</v>
      </c>
      <c r="Q1692" s="47">
        <v>-1</v>
      </c>
      <c r="R1692" s="47">
        <v>-1</v>
      </c>
      <c r="S1692" s="48">
        <v>4</v>
      </c>
      <c r="T1692" s="47">
        <v>0</v>
      </c>
      <c r="U1692" s="47">
        <v>0</v>
      </c>
      <c r="V1692" s="47">
        <v>0</v>
      </c>
      <c r="W1692" s="47">
        <v>-1</v>
      </c>
      <c r="X1692" s="47">
        <v>168</v>
      </c>
      <c r="Y1692" s="47"/>
      <c r="Z1692" s="47" t="s">
        <v>2524</v>
      </c>
      <c r="AA1692" s="49"/>
      <c r="AB1692" s="49"/>
      <c r="AC1692" s="49"/>
      <c r="AD1692" s="50"/>
      <c r="AE1692" s="47" t="s">
        <v>2754</v>
      </c>
      <c r="AF1692" s="47">
        <v>55</v>
      </c>
      <c r="AG1692"/>
      <c r="AH1692"/>
      <c r="AI1692"/>
      <c r="AJ1692"/>
      <c r="AK1692"/>
      <c r="AL1692"/>
      <c r="AM1692"/>
      <c r="AN1692"/>
      <c r="AO1692"/>
      <c r="AP1692"/>
      <c r="AQ1692" t="s">
        <v>2526</v>
      </c>
      <c r="AU1692">
        <v>1691</v>
      </c>
    </row>
    <row r="1693" spans="1:47" x14ac:dyDescent="0.2">
      <c r="A1693" s="133">
        <v>6416</v>
      </c>
      <c r="B1693" s="39" t="s">
        <v>45</v>
      </c>
      <c r="C1693" s="39">
        <v>100</v>
      </c>
      <c r="D1693" s="29" t="b">
        <v>0</v>
      </c>
      <c r="E1693" s="39" t="s">
        <v>3028</v>
      </c>
      <c r="F1693" s="47" t="s">
        <v>220</v>
      </c>
      <c r="G1693" s="47" t="s">
        <v>49</v>
      </c>
      <c r="H1693"/>
      <c r="I1693" s="47" t="b">
        <v>0</v>
      </c>
      <c r="J1693" s="47" t="b">
        <v>0</v>
      </c>
      <c r="K1693" s="47">
        <v>160</v>
      </c>
      <c r="L1693" s="48">
        <v>4</v>
      </c>
      <c r="M1693" s="47">
        <v>-1</v>
      </c>
      <c r="N1693" s="47">
        <v>-1</v>
      </c>
      <c r="O1693" s="47">
        <v>-1</v>
      </c>
      <c r="P1693" s="47">
        <v>-1</v>
      </c>
      <c r="Q1693" s="47">
        <v>-1</v>
      </c>
      <c r="R1693" s="47">
        <v>-1</v>
      </c>
      <c r="S1693" s="48">
        <v>4</v>
      </c>
      <c r="T1693" s="47">
        <v>0</v>
      </c>
      <c r="U1693" s="47">
        <v>0</v>
      </c>
      <c r="V1693" s="47">
        <v>0</v>
      </c>
      <c r="W1693" s="47">
        <v>-1</v>
      </c>
      <c r="X1693" s="47">
        <v>169</v>
      </c>
      <c r="Y1693" s="47"/>
      <c r="Z1693" s="47" t="s">
        <v>2524</v>
      </c>
      <c r="AA1693" s="49"/>
      <c r="AB1693" s="49"/>
      <c r="AC1693" s="49"/>
      <c r="AD1693" s="50"/>
      <c r="AE1693" s="47" t="s">
        <v>2754</v>
      </c>
      <c r="AF1693" s="47"/>
      <c r="AG1693"/>
      <c r="AH1693"/>
      <c r="AI1693"/>
      <c r="AJ1693"/>
      <c r="AK1693"/>
      <c r="AL1693"/>
      <c r="AM1693"/>
      <c r="AN1693"/>
      <c r="AO1693"/>
      <c r="AP1693"/>
      <c r="AQ1693" t="s">
        <v>2526</v>
      </c>
      <c r="AU1693">
        <v>1692</v>
      </c>
    </row>
    <row r="1694" spans="1:47" x14ac:dyDescent="0.2">
      <c r="A1694" s="133">
        <v>6416</v>
      </c>
      <c r="B1694" s="39" t="s">
        <v>45</v>
      </c>
      <c r="C1694" s="39">
        <v>100</v>
      </c>
      <c r="D1694" s="29" t="b">
        <v>0</v>
      </c>
      <c r="E1694" s="39" t="s">
        <v>3104</v>
      </c>
      <c r="F1694" s="47" t="s">
        <v>2933</v>
      </c>
      <c r="G1694" s="47" t="s">
        <v>49</v>
      </c>
      <c r="H1694"/>
      <c r="I1694" s="47" t="b">
        <v>0</v>
      </c>
      <c r="J1694" s="47" t="b">
        <v>0</v>
      </c>
      <c r="K1694" s="47">
        <v>160</v>
      </c>
      <c r="L1694" s="48">
        <v>4</v>
      </c>
      <c r="M1694" s="47">
        <v>-1</v>
      </c>
      <c r="N1694" s="47">
        <v>-1</v>
      </c>
      <c r="O1694" s="47">
        <v>-1</v>
      </c>
      <c r="P1694" s="47">
        <v>-1</v>
      </c>
      <c r="Q1694" s="47">
        <v>-1</v>
      </c>
      <c r="R1694" s="47">
        <v>-1</v>
      </c>
      <c r="S1694" s="48">
        <v>4</v>
      </c>
      <c r="T1694" s="47">
        <v>0</v>
      </c>
      <c r="U1694" s="47">
        <v>0</v>
      </c>
      <c r="V1694" s="47">
        <v>0</v>
      </c>
      <c r="W1694" s="47">
        <v>-1</v>
      </c>
      <c r="X1694" s="47">
        <v>170</v>
      </c>
      <c r="Y1694" s="47"/>
      <c r="Z1694" s="47" t="s">
        <v>2524</v>
      </c>
      <c r="AA1694" s="49"/>
      <c r="AB1694" s="49"/>
      <c r="AC1694" s="49"/>
      <c r="AD1694" s="50"/>
      <c r="AE1694" s="47" t="s">
        <v>2754</v>
      </c>
      <c r="AF1694" s="47"/>
      <c r="AG1694"/>
      <c r="AH1694"/>
      <c r="AI1694"/>
      <c r="AJ1694"/>
      <c r="AK1694"/>
      <c r="AL1694"/>
      <c r="AM1694"/>
      <c r="AN1694"/>
      <c r="AO1694"/>
      <c r="AP1694"/>
      <c r="AQ1694" t="s">
        <v>2526</v>
      </c>
      <c r="AU1694">
        <v>1693</v>
      </c>
    </row>
    <row r="1695" spans="1:47" x14ac:dyDescent="0.2">
      <c r="A1695" s="26">
        <v>6416</v>
      </c>
      <c r="B1695" s="27">
        <v>0.96527777777777779</v>
      </c>
      <c r="C1695" s="28"/>
      <c r="D1695" s="29"/>
      <c r="E1695" s="30" t="s">
        <v>1124</v>
      </c>
      <c r="H1695" s="32">
        <v>1</v>
      </c>
      <c r="I1695" s="32" t="s">
        <v>1534</v>
      </c>
      <c r="AG1695" s="32">
        <v>0</v>
      </c>
      <c r="AH1695" s="32">
        <v>0</v>
      </c>
      <c r="AK1695" s="32">
        <v>3</v>
      </c>
      <c r="AL1695" s="32">
        <f>125/60</f>
        <v>2.0833333333333335</v>
      </c>
      <c r="AO1695" s="46" t="s">
        <v>1126</v>
      </c>
      <c r="AP1695" s="32">
        <f>125/60</f>
        <v>2.0833333333333335</v>
      </c>
      <c r="AQ1695" s="32" t="s">
        <v>589</v>
      </c>
      <c r="AU1695">
        <v>1694</v>
      </c>
    </row>
    <row r="1696" spans="1:47" x14ac:dyDescent="0.2">
      <c r="A1696" s="26">
        <v>6416</v>
      </c>
      <c r="B1696" s="27"/>
      <c r="C1696" s="28"/>
      <c r="D1696" s="29"/>
      <c r="E1696" s="30" t="s">
        <v>1144</v>
      </c>
      <c r="H1696" s="32">
        <v>1</v>
      </c>
      <c r="I1696" s="32" t="s">
        <v>3105</v>
      </c>
      <c r="AG1696" s="32">
        <v>0</v>
      </c>
      <c r="AH1696" s="32">
        <v>21</v>
      </c>
      <c r="AI1696" s="32">
        <v>1000</v>
      </c>
      <c r="AO1696" s="32" t="s">
        <v>1006</v>
      </c>
      <c r="AQ1696" s="32" t="s">
        <v>2673</v>
      </c>
      <c r="AU1696">
        <v>1695</v>
      </c>
    </row>
    <row r="1697" spans="1:47" x14ac:dyDescent="0.2">
      <c r="A1697" s="133">
        <v>6417</v>
      </c>
      <c r="B1697" s="39" t="s">
        <v>45</v>
      </c>
      <c r="C1697" s="43" t="s">
        <v>156</v>
      </c>
      <c r="D1697" s="29"/>
      <c r="E1697" s="36" t="s">
        <v>3106</v>
      </c>
      <c r="F1697" s="31" t="s">
        <v>529</v>
      </c>
      <c r="H1697" s="32"/>
      <c r="I1697" s="32" t="s">
        <v>156</v>
      </c>
      <c r="AE1697" s="31" t="s">
        <v>2743</v>
      </c>
      <c r="AF1697" s="31">
        <v>85</v>
      </c>
      <c r="AU1697">
        <v>1696</v>
      </c>
    </row>
    <row r="1698" spans="1:47" x14ac:dyDescent="0.2">
      <c r="A1698" s="133">
        <v>6417</v>
      </c>
      <c r="B1698" s="39" t="s">
        <v>45</v>
      </c>
      <c r="C1698" s="43" t="s">
        <v>142</v>
      </c>
      <c r="D1698" s="29"/>
      <c r="E1698" s="36" t="s">
        <v>3107</v>
      </c>
      <c r="F1698" s="31" t="s">
        <v>3108</v>
      </c>
      <c r="G1698" s="31" t="s">
        <v>73</v>
      </c>
      <c r="H1698" s="32"/>
      <c r="I1698" s="32" t="s">
        <v>3109</v>
      </c>
      <c r="K1698" s="31">
        <f>(91*10+19*25)*2.2</f>
        <v>3047.0000000000005</v>
      </c>
      <c r="L1698" s="33">
        <v>8</v>
      </c>
      <c r="S1698" s="33">
        <v>8</v>
      </c>
      <c r="T1698" s="31">
        <v>0</v>
      </c>
      <c r="U1698" s="31">
        <v>0</v>
      </c>
      <c r="V1698" s="31">
        <v>0</v>
      </c>
      <c r="Y1698" s="31" t="s">
        <v>51</v>
      </c>
      <c r="Z1698" s="31" t="s">
        <v>2203</v>
      </c>
      <c r="AE1698" s="47" t="s">
        <v>2470</v>
      </c>
      <c r="AK1698" s="32">
        <v>110</v>
      </c>
      <c r="AQ1698" s="32" t="s">
        <v>3110</v>
      </c>
      <c r="AU1698">
        <v>1697</v>
      </c>
    </row>
    <row r="1699" spans="1:47" x14ac:dyDescent="0.2">
      <c r="A1699" s="26">
        <v>6417</v>
      </c>
      <c r="B1699" s="27"/>
      <c r="C1699" s="28"/>
      <c r="D1699" s="29"/>
      <c r="E1699" s="30" t="s">
        <v>464</v>
      </c>
      <c r="H1699" s="32">
        <v>1</v>
      </c>
      <c r="I1699" s="32" t="s">
        <v>3111</v>
      </c>
      <c r="AG1699" s="32">
        <v>0</v>
      </c>
      <c r="AH1699" s="32">
        <v>0</v>
      </c>
      <c r="AI1699" s="32">
        <v>0</v>
      </c>
      <c r="AL1699" s="32">
        <f>5/6</f>
        <v>0.83333333333333337</v>
      </c>
      <c r="AO1699" s="32" t="s">
        <v>1898</v>
      </c>
      <c r="AP1699" s="32">
        <f>5/6</f>
        <v>0.83333333333333337</v>
      </c>
      <c r="AQ1699" s="32" t="s">
        <v>1522</v>
      </c>
      <c r="AU1699">
        <v>1698</v>
      </c>
    </row>
    <row r="1700" spans="1:47" x14ac:dyDescent="0.2">
      <c r="A1700" s="37">
        <v>6418</v>
      </c>
      <c r="B1700" s="38" t="s">
        <v>85</v>
      </c>
      <c r="C1700" s="39" t="s">
        <v>1234</v>
      </c>
      <c r="D1700" s="29"/>
      <c r="E1700" s="38" t="s">
        <v>528</v>
      </c>
      <c r="F1700" s="32" t="s">
        <v>529</v>
      </c>
      <c r="G1700" s="47" t="s">
        <v>205</v>
      </c>
      <c r="H1700"/>
      <c r="I1700" s="32" t="s">
        <v>3112</v>
      </c>
      <c r="J1700" s="47"/>
      <c r="K1700" s="47">
        <f>350*2.2</f>
        <v>770.00000000000011</v>
      </c>
      <c r="L1700" s="48"/>
      <c r="M1700" s="47"/>
      <c r="N1700" s="47"/>
      <c r="O1700" s="47"/>
      <c r="P1700" s="47"/>
      <c r="Q1700" s="47"/>
      <c r="R1700" s="47"/>
      <c r="S1700" s="48"/>
      <c r="T1700" s="47"/>
      <c r="U1700" s="47"/>
      <c r="V1700" s="47"/>
      <c r="W1700" s="47"/>
      <c r="X1700" s="47"/>
      <c r="Y1700" s="47" t="s">
        <v>120</v>
      </c>
      <c r="Z1700" s="47" t="s">
        <v>1809</v>
      </c>
      <c r="AA1700" s="49"/>
      <c r="AB1700" s="49"/>
      <c r="AC1700" s="49"/>
      <c r="AD1700" s="50"/>
      <c r="AE1700" s="47" t="s">
        <v>1653</v>
      </c>
      <c r="AF1700" s="31">
        <v>75</v>
      </c>
      <c r="AH1700"/>
      <c r="AI1700"/>
      <c r="AJ1700"/>
      <c r="AK1700"/>
      <c r="AL1700"/>
      <c r="AM1700"/>
      <c r="AN1700"/>
      <c r="AO1700"/>
      <c r="AP1700"/>
      <c r="AQ1700" t="s">
        <v>3057</v>
      </c>
      <c r="AU1700">
        <v>1699</v>
      </c>
    </row>
    <row r="1701" spans="1:47" x14ac:dyDescent="0.2">
      <c r="A1701" s="133">
        <v>6418</v>
      </c>
      <c r="B1701" s="39" t="s">
        <v>45</v>
      </c>
      <c r="C1701" s="39" t="s">
        <v>142</v>
      </c>
      <c r="D1701" s="29"/>
      <c r="E1701" s="38" t="s">
        <v>3113</v>
      </c>
      <c r="F1701" s="31" t="s">
        <v>3114</v>
      </c>
      <c r="G1701" s="47" t="s">
        <v>73</v>
      </c>
      <c r="H1701"/>
      <c r="I1701" s="32" t="s">
        <v>3115</v>
      </c>
      <c r="K1701" s="47">
        <f>(129*10+8*25)*2.2</f>
        <v>3278.0000000000005</v>
      </c>
      <c r="L1701" s="48">
        <v>11</v>
      </c>
      <c r="M1701" s="47"/>
      <c r="N1701" s="47"/>
      <c r="O1701" s="47"/>
      <c r="P1701" s="47"/>
      <c r="Q1701" s="47"/>
      <c r="R1701" s="47"/>
      <c r="S1701" s="48">
        <v>11</v>
      </c>
      <c r="T1701" s="47">
        <v>0</v>
      </c>
      <c r="U1701" s="47">
        <v>0</v>
      </c>
      <c r="V1701" s="47">
        <v>0</v>
      </c>
      <c r="W1701" s="47"/>
      <c r="X1701" s="47"/>
      <c r="Y1701" s="47" t="s">
        <v>51</v>
      </c>
      <c r="Z1701" s="47"/>
      <c r="AA1701" s="49"/>
      <c r="AB1701" s="49"/>
      <c r="AC1701" s="49"/>
      <c r="AD1701" s="50"/>
      <c r="AE1701" s="47" t="s">
        <v>2470</v>
      </c>
      <c r="AF1701" s="47"/>
      <c r="AG1701"/>
      <c r="AH1701"/>
      <c r="AI1701"/>
      <c r="AJ1701"/>
      <c r="AK1701">
        <v>137</v>
      </c>
      <c r="AL1701"/>
      <c r="AM1701"/>
      <c r="AN1701"/>
      <c r="AO1701"/>
      <c r="AP1701"/>
      <c r="AQ1701" s="32" t="s">
        <v>3110</v>
      </c>
      <c r="AU1701">
        <v>1700</v>
      </c>
    </row>
    <row r="1702" spans="1:47" x14ac:dyDescent="0.2">
      <c r="A1702" s="133">
        <v>6418</v>
      </c>
      <c r="B1702" s="39" t="s">
        <v>45</v>
      </c>
      <c r="C1702" s="38" t="s">
        <v>2542</v>
      </c>
      <c r="D1702" s="29"/>
      <c r="E1702" s="39" t="s">
        <v>1764</v>
      </c>
      <c r="F1702" s="47" t="s">
        <v>220</v>
      </c>
      <c r="G1702" s="47" t="s">
        <v>49</v>
      </c>
      <c r="H1702"/>
      <c r="I1702" s="137" t="s">
        <v>3116</v>
      </c>
      <c r="K1702" s="47">
        <f>(3*30*10+2*6*50)*2.2</f>
        <v>3300.0000000000005</v>
      </c>
      <c r="L1702" s="48">
        <v>6</v>
      </c>
      <c r="M1702" s="47"/>
      <c r="N1702" s="47">
        <v>1</v>
      </c>
      <c r="O1702" s="47"/>
      <c r="P1702" s="47"/>
      <c r="Q1702" s="47"/>
      <c r="R1702" s="47"/>
      <c r="S1702" s="48">
        <v>5</v>
      </c>
      <c r="T1702" s="47">
        <v>0</v>
      </c>
      <c r="U1702" s="47">
        <v>0</v>
      </c>
      <c r="V1702" s="47">
        <v>0</v>
      </c>
      <c r="W1702" s="47"/>
      <c r="X1702" s="47"/>
      <c r="Y1702" s="47" t="s">
        <v>51</v>
      </c>
      <c r="Z1702" s="47" t="s">
        <v>1846</v>
      </c>
      <c r="AA1702" s="49"/>
      <c r="AB1702" s="49"/>
      <c r="AC1702" s="49"/>
      <c r="AD1702" s="50">
        <v>2.25</v>
      </c>
      <c r="AE1702" s="31" t="s">
        <v>342</v>
      </c>
      <c r="AF1702" s="47">
        <v>70</v>
      </c>
      <c r="AG1702"/>
      <c r="AH1702"/>
      <c r="AI1702"/>
      <c r="AJ1702"/>
      <c r="AK1702">
        <f>3*30+2*6</f>
        <v>102</v>
      </c>
      <c r="AL1702"/>
      <c r="AM1702"/>
      <c r="AN1702"/>
      <c r="AO1702"/>
      <c r="AP1702"/>
      <c r="AQ1702" s="32" t="s">
        <v>3117</v>
      </c>
      <c r="AU1702">
        <v>1701</v>
      </c>
    </row>
    <row r="1703" spans="1:47" x14ac:dyDescent="0.2">
      <c r="A1703" s="133">
        <v>6418</v>
      </c>
      <c r="B1703" s="39" t="s">
        <v>45</v>
      </c>
      <c r="C1703" s="38" t="s">
        <v>2542</v>
      </c>
      <c r="D1703" s="29"/>
      <c r="E1703" s="39" t="s">
        <v>405</v>
      </c>
      <c r="F1703" s="47" t="s">
        <v>220</v>
      </c>
      <c r="G1703" s="47" t="s">
        <v>49</v>
      </c>
      <c r="H1703"/>
      <c r="I1703" s="137" t="s">
        <v>3118</v>
      </c>
      <c r="K1703" s="47">
        <f>6*50*2.2</f>
        <v>660</v>
      </c>
      <c r="L1703" s="48">
        <v>1</v>
      </c>
      <c r="M1703" s="47"/>
      <c r="N1703" s="47"/>
      <c r="O1703" s="47"/>
      <c r="P1703" s="47"/>
      <c r="Q1703" s="47"/>
      <c r="R1703" s="47"/>
      <c r="S1703" s="48">
        <v>1</v>
      </c>
      <c r="T1703" s="47">
        <v>0</v>
      </c>
      <c r="U1703" s="47">
        <v>0</v>
      </c>
      <c r="V1703" s="47">
        <v>0</v>
      </c>
      <c r="W1703" s="47"/>
      <c r="X1703" s="47"/>
      <c r="Y1703" s="47" t="s">
        <v>51</v>
      </c>
      <c r="Z1703" s="47" t="s">
        <v>1846</v>
      </c>
      <c r="AA1703" s="49"/>
      <c r="AB1703" s="49"/>
      <c r="AC1703" s="49"/>
      <c r="AD1703" s="50">
        <v>1.5</v>
      </c>
      <c r="AE1703" s="31" t="s">
        <v>342</v>
      </c>
      <c r="AF1703" s="47">
        <v>40</v>
      </c>
      <c r="AG1703"/>
      <c r="AH1703"/>
      <c r="AI1703"/>
      <c r="AJ1703"/>
      <c r="AK1703">
        <v>6</v>
      </c>
      <c r="AL1703"/>
      <c r="AM1703"/>
      <c r="AN1703"/>
      <c r="AO1703"/>
      <c r="AP1703"/>
      <c r="AQ1703" s="32" t="s">
        <v>3117</v>
      </c>
      <c r="AU1703">
        <v>1702</v>
      </c>
    </row>
    <row r="1704" spans="1:47" x14ac:dyDescent="0.2">
      <c r="A1704" s="133">
        <v>6418</v>
      </c>
      <c r="B1704" s="39" t="s">
        <v>45</v>
      </c>
      <c r="C1704" s="39">
        <v>100</v>
      </c>
      <c r="D1704" s="29" t="b">
        <v>0</v>
      </c>
      <c r="E1704" s="39" t="s">
        <v>3119</v>
      </c>
      <c r="F1704" s="47" t="s">
        <v>3120</v>
      </c>
      <c r="G1704" s="47" t="s">
        <v>205</v>
      </c>
      <c r="H1704"/>
      <c r="I1704" s="47" t="b">
        <v>1</v>
      </c>
      <c r="J1704" s="47" t="b">
        <v>1</v>
      </c>
      <c r="K1704" s="47">
        <v>1304</v>
      </c>
      <c r="L1704" s="48">
        <v>6</v>
      </c>
      <c r="M1704" s="47">
        <v>-1</v>
      </c>
      <c r="N1704" s="47">
        <v>-1</v>
      </c>
      <c r="O1704" s="47">
        <v>-1</v>
      </c>
      <c r="P1704" s="47">
        <v>-1</v>
      </c>
      <c r="Q1704" s="47">
        <v>-1</v>
      </c>
      <c r="R1704" s="47">
        <v>-1</v>
      </c>
      <c r="S1704" s="48">
        <v>5</v>
      </c>
      <c r="T1704" s="47">
        <v>0</v>
      </c>
      <c r="U1704" s="47">
        <v>0</v>
      </c>
      <c r="V1704" s="47">
        <v>0</v>
      </c>
      <c r="W1704" s="47">
        <v>1200</v>
      </c>
      <c r="X1704" s="47">
        <v>172</v>
      </c>
      <c r="Y1704" s="47"/>
      <c r="Z1704" s="47" t="s">
        <v>2524</v>
      </c>
      <c r="AA1704" s="49"/>
      <c r="AB1704" s="49"/>
      <c r="AC1704" s="49"/>
      <c r="AD1704" s="50"/>
      <c r="AE1704" s="47" t="s">
        <v>2754</v>
      </c>
      <c r="AF1704" s="47">
        <v>65</v>
      </c>
      <c r="AG1704"/>
      <c r="AH1704"/>
      <c r="AI1704"/>
      <c r="AJ1704"/>
      <c r="AK1704"/>
      <c r="AL1704"/>
      <c r="AM1704"/>
      <c r="AN1704"/>
      <c r="AO1704"/>
      <c r="AP1704"/>
      <c r="AQ1704" t="s">
        <v>2526</v>
      </c>
      <c r="AU1704">
        <v>1703</v>
      </c>
    </row>
    <row r="1705" spans="1:47" x14ac:dyDescent="0.2">
      <c r="A1705" s="133">
        <v>6418</v>
      </c>
      <c r="B1705" s="39" t="s">
        <v>45</v>
      </c>
      <c r="C1705" s="39">
        <v>100</v>
      </c>
      <c r="D1705" s="29" t="b">
        <v>0</v>
      </c>
      <c r="E1705" s="39" t="s">
        <v>2852</v>
      </c>
      <c r="F1705" s="47" t="s">
        <v>3121</v>
      </c>
      <c r="G1705" s="47" t="s">
        <v>205</v>
      </c>
      <c r="H1705"/>
      <c r="I1705" s="47" t="b">
        <v>0</v>
      </c>
      <c r="J1705" s="47" t="b">
        <v>0</v>
      </c>
      <c r="K1705" s="47">
        <v>224</v>
      </c>
      <c r="L1705" s="48">
        <v>6</v>
      </c>
      <c r="M1705" s="47">
        <v>-1</v>
      </c>
      <c r="N1705" s="47">
        <v>-1</v>
      </c>
      <c r="O1705" s="47">
        <v>-1</v>
      </c>
      <c r="P1705" s="47">
        <v>-1</v>
      </c>
      <c r="Q1705" s="47">
        <v>-1</v>
      </c>
      <c r="R1705" s="47">
        <v>-1</v>
      </c>
      <c r="S1705" s="48">
        <v>5</v>
      </c>
      <c r="T1705" s="47">
        <v>0</v>
      </c>
      <c r="U1705" s="47">
        <v>0</v>
      </c>
      <c r="V1705" s="47">
        <v>0</v>
      </c>
      <c r="W1705" s="47">
        <v>-1</v>
      </c>
      <c r="X1705" s="47">
        <v>171</v>
      </c>
      <c r="Y1705" s="47"/>
      <c r="Z1705" s="47" t="s">
        <v>2524</v>
      </c>
      <c r="AA1705" s="49"/>
      <c r="AB1705" s="49"/>
      <c r="AC1705" s="49"/>
      <c r="AD1705" s="50"/>
      <c r="AE1705" s="47" t="s">
        <v>2754</v>
      </c>
      <c r="AF1705" s="47">
        <v>65</v>
      </c>
      <c r="AG1705"/>
      <c r="AH1705"/>
      <c r="AI1705"/>
      <c r="AJ1705"/>
      <c r="AK1705"/>
      <c r="AL1705"/>
      <c r="AM1705"/>
      <c r="AN1705"/>
      <c r="AO1705"/>
      <c r="AP1705"/>
      <c r="AQ1705" t="s">
        <v>2526</v>
      </c>
      <c r="AU1705">
        <v>1704</v>
      </c>
    </row>
    <row r="1706" spans="1:47" x14ac:dyDescent="0.2">
      <c r="A1706" s="133">
        <v>6418</v>
      </c>
      <c r="B1706" s="39" t="s">
        <v>45</v>
      </c>
      <c r="C1706" s="39">
        <v>100</v>
      </c>
      <c r="D1706" s="29" t="b">
        <v>0</v>
      </c>
      <c r="E1706" s="39" t="s">
        <v>3102</v>
      </c>
      <c r="F1706" s="47" t="s">
        <v>529</v>
      </c>
      <c r="G1706" s="47" t="s">
        <v>205</v>
      </c>
      <c r="H1706"/>
      <c r="I1706" s="47" t="b">
        <v>0</v>
      </c>
      <c r="J1706" s="47" t="b">
        <v>0</v>
      </c>
      <c r="K1706" s="47">
        <v>270</v>
      </c>
      <c r="L1706" s="48">
        <v>6</v>
      </c>
      <c r="M1706" s="47">
        <v>-1</v>
      </c>
      <c r="N1706" s="47">
        <v>-1</v>
      </c>
      <c r="O1706" s="47">
        <v>-1</v>
      </c>
      <c r="P1706" s="47">
        <v>-1</v>
      </c>
      <c r="Q1706" s="47">
        <v>-1</v>
      </c>
      <c r="R1706" s="47">
        <v>-1</v>
      </c>
      <c r="S1706" s="48">
        <v>5</v>
      </c>
      <c r="T1706" s="47">
        <v>0</v>
      </c>
      <c r="U1706" s="47">
        <v>0</v>
      </c>
      <c r="V1706" s="47">
        <v>0</v>
      </c>
      <c r="W1706" s="47">
        <v>-1</v>
      </c>
      <c r="X1706" s="47">
        <v>173</v>
      </c>
      <c r="Y1706" s="47"/>
      <c r="Z1706" s="47" t="s">
        <v>2524</v>
      </c>
      <c r="AA1706" s="49"/>
      <c r="AB1706" s="49"/>
      <c r="AC1706" s="49"/>
      <c r="AD1706" s="50"/>
      <c r="AE1706" s="47" t="s">
        <v>2754</v>
      </c>
      <c r="AF1706" s="47">
        <v>65</v>
      </c>
      <c r="AG1706"/>
      <c r="AH1706"/>
      <c r="AI1706"/>
      <c r="AJ1706"/>
      <c r="AK1706"/>
      <c r="AL1706"/>
      <c r="AM1706"/>
      <c r="AN1706"/>
      <c r="AO1706"/>
      <c r="AP1706"/>
      <c r="AQ1706" t="s">
        <v>2526</v>
      </c>
      <c r="AU1706">
        <v>1705</v>
      </c>
    </row>
    <row r="1707" spans="1:47" x14ac:dyDescent="0.2">
      <c r="A1707" s="133">
        <v>6418</v>
      </c>
      <c r="B1707" s="39" t="s">
        <v>45</v>
      </c>
      <c r="C1707" s="39">
        <v>100</v>
      </c>
      <c r="D1707" s="29" t="b">
        <v>0</v>
      </c>
      <c r="E1707" s="39" t="s">
        <v>2927</v>
      </c>
      <c r="F1707" s="47" t="s">
        <v>529</v>
      </c>
      <c r="G1707" s="47" t="s">
        <v>205</v>
      </c>
      <c r="H1707"/>
      <c r="I1707" s="47" t="b">
        <v>0</v>
      </c>
      <c r="J1707" s="47" t="b">
        <v>0</v>
      </c>
      <c r="K1707" s="47">
        <v>230</v>
      </c>
      <c r="L1707" s="48">
        <v>6</v>
      </c>
      <c r="M1707" s="47">
        <v>-1</v>
      </c>
      <c r="N1707" s="47">
        <v>-1</v>
      </c>
      <c r="O1707" s="47">
        <v>-1</v>
      </c>
      <c r="P1707" s="47">
        <v>-1</v>
      </c>
      <c r="Q1707" s="47">
        <v>-1</v>
      </c>
      <c r="R1707" s="47">
        <v>-1</v>
      </c>
      <c r="S1707" s="48">
        <v>5</v>
      </c>
      <c r="T1707" s="47">
        <v>0</v>
      </c>
      <c r="U1707" s="47">
        <v>0</v>
      </c>
      <c r="V1707" s="47">
        <v>0</v>
      </c>
      <c r="W1707" s="47">
        <v>1200</v>
      </c>
      <c r="X1707" s="47">
        <v>174</v>
      </c>
      <c r="Y1707" s="47"/>
      <c r="Z1707" s="47" t="s">
        <v>2524</v>
      </c>
      <c r="AA1707" s="49"/>
      <c r="AB1707" s="49"/>
      <c r="AC1707" s="49"/>
      <c r="AD1707" s="50"/>
      <c r="AE1707" s="47" t="s">
        <v>2754</v>
      </c>
      <c r="AF1707" s="47"/>
      <c r="AG1707"/>
      <c r="AH1707"/>
      <c r="AI1707"/>
      <c r="AJ1707"/>
      <c r="AK1707"/>
      <c r="AL1707"/>
      <c r="AM1707"/>
      <c r="AN1707"/>
      <c r="AO1707"/>
      <c r="AP1707"/>
      <c r="AQ1707" t="s">
        <v>2526</v>
      </c>
      <c r="AU1707">
        <v>1706</v>
      </c>
    </row>
    <row r="1708" spans="1:47" x14ac:dyDescent="0.2">
      <c r="A1708" s="133">
        <v>6418</v>
      </c>
      <c r="B1708" s="39" t="s">
        <v>45</v>
      </c>
      <c r="C1708" s="39">
        <v>100</v>
      </c>
      <c r="D1708" s="29" t="b">
        <v>0</v>
      </c>
      <c r="E1708" s="39" t="s">
        <v>3122</v>
      </c>
      <c r="F1708" s="47" t="s">
        <v>3123</v>
      </c>
      <c r="G1708" s="47" t="s">
        <v>69</v>
      </c>
      <c r="H1708"/>
      <c r="I1708" s="47" t="b">
        <v>0</v>
      </c>
      <c r="J1708" s="47" t="b">
        <v>0</v>
      </c>
      <c r="K1708" s="47">
        <v>270</v>
      </c>
      <c r="L1708" s="48">
        <v>6</v>
      </c>
      <c r="M1708" s="47">
        <v>-1</v>
      </c>
      <c r="N1708" s="47">
        <v>-1</v>
      </c>
      <c r="O1708" s="47">
        <v>-1</v>
      </c>
      <c r="P1708" s="47">
        <v>-1</v>
      </c>
      <c r="Q1708" s="47">
        <v>-1</v>
      </c>
      <c r="R1708" s="47">
        <v>-1</v>
      </c>
      <c r="S1708" s="48">
        <v>5</v>
      </c>
      <c r="T1708" s="47">
        <v>0</v>
      </c>
      <c r="U1708" s="47">
        <v>0</v>
      </c>
      <c r="V1708" s="47">
        <v>0</v>
      </c>
      <c r="W1708" s="47">
        <v>-1</v>
      </c>
      <c r="X1708" s="47">
        <v>175</v>
      </c>
      <c r="Y1708" s="47"/>
      <c r="Z1708" s="47" t="s">
        <v>2524</v>
      </c>
      <c r="AA1708" s="49"/>
      <c r="AB1708" s="49"/>
      <c r="AC1708" s="49"/>
      <c r="AD1708" s="50"/>
      <c r="AE1708" s="47" t="s">
        <v>2754</v>
      </c>
      <c r="AF1708" s="47"/>
      <c r="AG1708"/>
      <c r="AH1708"/>
      <c r="AI1708"/>
      <c r="AJ1708"/>
      <c r="AK1708"/>
      <c r="AL1708"/>
      <c r="AM1708"/>
      <c r="AN1708"/>
      <c r="AO1708"/>
      <c r="AP1708"/>
      <c r="AQ1708" t="s">
        <v>2526</v>
      </c>
      <c r="AU1708">
        <v>1707</v>
      </c>
    </row>
    <row r="1709" spans="1:47" x14ac:dyDescent="0.2">
      <c r="A1709" s="133">
        <v>6418</v>
      </c>
      <c r="B1709" s="39" t="s">
        <v>45</v>
      </c>
      <c r="C1709" s="39">
        <v>100</v>
      </c>
      <c r="D1709" s="29" t="b">
        <v>0</v>
      </c>
      <c r="E1709" s="39" t="s">
        <v>3124</v>
      </c>
      <c r="F1709" s="47" t="s">
        <v>3054</v>
      </c>
      <c r="G1709" s="47" t="s">
        <v>69</v>
      </c>
      <c r="H1709"/>
      <c r="I1709" s="47" t="b">
        <v>0</v>
      </c>
      <c r="J1709" s="47" t="b">
        <v>0</v>
      </c>
      <c r="K1709" s="47">
        <v>40</v>
      </c>
      <c r="L1709" s="48">
        <v>6</v>
      </c>
      <c r="M1709" s="47">
        <v>-1</v>
      </c>
      <c r="N1709" s="47">
        <v>-1</v>
      </c>
      <c r="O1709" s="47">
        <v>-1</v>
      </c>
      <c r="P1709" s="47">
        <v>-1</v>
      </c>
      <c r="Q1709" s="47">
        <v>-1</v>
      </c>
      <c r="R1709" s="47">
        <v>-1</v>
      </c>
      <c r="S1709" s="48">
        <v>5</v>
      </c>
      <c r="T1709" s="47">
        <v>0</v>
      </c>
      <c r="U1709" s="47">
        <v>0</v>
      </c>
      <c r="V1709" s="47">
        <v>0</v>
      </c>
      <c r="W1709" s="47">
        <v>-1</v>
      </c>
      <c r="X1709" s="47">
        <v>176</v>
      </c>
      <c r="Y1709" s="47"/>
      <c r="Z1709" s="47" t="s">
        <v>2524</v>
      </c>
      <c r="AA1709" s="49"/>
      <c r="AB1709" s="49"/>
      <c r="AC1709" s="49"/>
      <c r="AD1709" s="50"/>
      <c r="AE1709" s="47" t="s">
        <v>2754</v>
      </c>
      <c r="AF1709" s="47">
        <v>50</v>
      </c>
      <c r="AG1709"/>
      <c r="AH1709"/>
      <c r="AI1709"/>
      <c r="AJ1709"/>
      <c r="AK1709"/>
      <c r="AL1709"/>
      <c r="AM1709"/>
      <c r="AN1709"/>
      <c r="AO1709"/>
      <c r="AP1709"/>
      <c r="AQ1709" t="s">
        <v>2526</v>
      </c>
      <c r="AU1709">
        <v>1708</v>
      </c>
    </row>
    <row r="1710" spans="1:47" x14ac:dyDescent="0.2">
      <c r="A1710" s="26">
        <v>6418</v>
      </c>
      <c r="B1710" s="27">
        <v>5.2083333333333336E-2</v>
      </c>
      <c r="C1710" s="28"/>
      <c r="D1710" s="29"/>
      <c r="E1710" s="30" t="s">
        <v>631</v>
      </c>
      <c r="H1710" s="32">
        <v>1</v>
      </c>
      <c r="I1710" s="32" t="s">
        <v>3125</v>
      </c>
      <c r="AK1710" s="32">
        <v>40</v>
      </c>
      <c r="AL1710" s="32">
        <f>25/60</f>
        <v>0.41666666666666669</v>
      </c>
      <c r="AO1710" s="32" t="s">
        <v>633</v>
      </c>
      <c r="AP1710" s="32">
        <f>25/60</f>
        <v>0.41666666666666669</v>
      </c>
      <c r="AQ1710" s="32">
        <v>463</v>
      </c>
      <c r="AU1710">
        <v>1709</v>
      </c>
    </row>
    <row r="1711" spans="1:47" x14ac:dyDescent="0.2">
      <c r="A1711" s="26">
        <v>6418</v>
      </c>
      <c r="B1711" s="27">
        <v>5.2083333333333336E-2</v>
      </c>
      <c r="C1711" s="28"/>
      <c r="D1711" s="29"/>
      <c r="E1711" s="30" t="s">
        <v>3126</v>
      </c>
      <c r="H1711" s="32">
        <v>1</v>
      </c>
      <c r="I1711" s="32" t="s">
        <v>3127</v>
      </c>
      <c r="AI1711" s="32">
        <v>1435</v>
      </c>
      <c r="AK1711" s="32">
        <v>1</v>
      </c>
      <c r="AL1711" s="32">
        <f>25/60</f>
        <v>0.41666666666666669</v>
      </c>
      <c r="AP1711" s="32">
        <f>25/60</f>
        <v>0.41666666666666669</v>
      </c>
      <c r="AQ1711" s="32">
        <v>466</v>
      </c>
      <c r="AU1711">
        <v>1710</v>
      </c>
    </row>
    <row r="1712" spans="1:47" x14ac:dyDescent="0.2">
      <c r="A1712" s="26">
        <v>6418</v>
      </c>
      <c r="B1712" s="27">
        <v>0.48958333333333331</v>
      </c>
      <c r="C1712" s="28"/>
      <c r="D1712" s="29"/>
      <c r="E1712" s="30" t="s">
        <v>464</v>
      </c>
      <c r="H1712" s="32">
        <v>1</v>
      </c>
      <c r="I1712" s="32" t="s">
        <v>3128</v>
      </c>
      <c r="AG1712" s="32">
        <v>0</v>
      </c>
      <c r="AH1712" s="32">
        <v>0</v>
      </c>
      <c r="AI1712" s="32">
        <v>0</v>
      </c>
      <c r="AL1712" s="32">
        <v>0.33300000000000002</v>
      </c>
      <c r="AO1712" s="32" t="s">
        <v>1898</v>
      </c>
      <c r="AP1712" s="32">
        <v>0.33300000000000002</v>
      </c>
      <c r="AQ1712" s="32" t="s">
        <v>1522</v>
      </c>
      <c r="AU1712">
        <v>1711</v>
      </c>
    </row>
    <row r="1713" spans="1:47" x14ac:dyDescent="0.2">
      <c r="A1713" s="26">
        <v>6418</v>
      </c>
      <c r="B1713" s="27">
        <v>0.9375</v>
      </c>
      <c r="C1713" s="28"/>
      <c r="D1713" s="29"/>
      <c r="E1713" s="30" t="s">
        <v>464</v>
      </c>
      <c r="H1713" s="32">
        <v>1</v>
      </c>
      <c r="I1713" s="32" t="s">
        <v>3129</v>
      </c>
      <c r="AG1713" s="32">
        <v>0</v>
      </c>
      <c r="AH1713" s="32">
        <v>0</v>
      </c>
      <c r="AI1713" s="32">
        <v>0</v>
      </c>
      <c r="AL1713" s="32">
        <f>170/60</f>
        <v>2.8333333333333335</v>
      </c>
      <c r="AO1713" s="32" t="s">
        <v>1898</v>
      </c>
      <c r="AP1713" s="32">
        <f>170/60</f>
        <v>2.8333333333333335</v>
      </c>
      <c r="AQ1713" s="32" t="s">
        <v>1522</v>
      </c>
      <c r="AU1713">
        <v>1712</v>
      </c>
    </row>
    <row r="1714" spans="1:47" x14ac:dyDescent="0.2">
      <c r="A1714" s="26">
        <v>6418</v>
      </c>
      <c r="B1714" s="27">
        <v>0.95833333333333337</v>
      </c>
      <c r="C1714" s="28"/>
      <c r="D1714" s="29"/>
      <c r="E1714" s="30" t="s">
        <v>1282</v>
      </c>
      <c r="H1714" s="32">
        <v>1</v>
      </c>
      <c r="I1714" s="32" t="s">
        <v>3130</v>
      </c>
      <c r="AG1714" s="32">
        <v>0</v>
      </c>
      <c r="AH1714" s="32">
        <v>0</v>
      </c>
      <c r="AK1714" s="32">
        <v>11</v>
      </c>
      <c r="AL1714" s="32">
        <f>4+5/60</f>
        <v>4.083333333333333</v>
      </c>
      <c r="AP1714" s="32">
        <f>4+5/60</f>
        <v>4.083333333333333</v>
      </c>
      <c r="AQ1714" s="32" t="s">
        <v>1101</v>
      </c>
      <c r="AU1714">
        <v>1713</v>
      </c>
    </row>
    <row r="1715" spans="1:47" x14ac:dyDescent="0.2">
      <c r="A1715" s="26">
        <v>6418</v>
      </c>
      <c r="B1715" s="27">
        <v>0.98472222222222217</v>
      </c>
      <c r="C1715" s="28"/>
      <c r="D1715" s="29"/>
      <c r="E1715" s="30" t="s">
        <v>869</v>
      </c>
      <c r="H1715" s="32">
        <v>0</v>
      </c>
      <c r="I1715" s="32" t="s">
        <v>2344</v>
      </c>
      <c r="AG1715" s="32">
        <v>0</v>
      </c>
      <c r="AH1715" s="32">
        <v>0</v>
      </c>
      <c r="AI1715" s="32">
        <v>0</v>
      </c>
      <c r="AK1715" s="32">
        <v>0</v>
      </c>
      <c r="AL1715" s="32">
        <f>7/60</f>
        <v>0.11666666666666667</v>
      </c>
      <c r="AP1715" s="32">
        <f>7/60</f>
        <v>0.11666666666666667</v>
      </c>
      <c r="AQ1715" s="32" t="s">
        <v>589</v>
      </c>
      <c r="AU1715">
        <v>1714</v>
      </c>
    </row>
    <row r="1716" spans="1:47" x14ac:dyDescent="0.2">
      <c r="A1716" s="26">
        <v>6418</v>
      </c>
      <c r="B1716" s="27" t="s">
        <v>45</v>
      </c>
      <c r="C1716" s="28"/>
      <c r="D1716" s="29"/>
      <c r="E1716" s="30" t="s">
        <v>1461</v>
      </c>
      <c r="H1716" s="32">
        <v>1</v>
      </c>
      <c r="I1716" s="32" t="s">
        <v>3131</v>
      </c>
      <c r="AG1716" s="32">
        <v>2</v>
      </c>
      <c r="AH1716" s="32">
        <v>38</v>
      </c>
      <c r="AI1716" s="32">
        <v>5934</v>
      </c>
      <c r="AK1716" s="32">
        <v>27</v>
      </c>
      <c r="AO1716" s="32" t="s">
        <v>1463</v>
      </c>
      <c r="AQ1716" s="32">
        <v>403</v>
      </c>
      <c r="AU1716">
        <v>1715</v>
      </c>
    </row>
    <row r="1717" spans="1:47" x14ac:dyDescent="0.2">
      <c r="A1717" s="26">
        <v>6418</v>
      </c>
      <c r="B1717" s="27" t="s">
        <v>45</v>
      </c>
      <c r="C1717" s="28"/>
      <c r="D1717" s="29"/>
      <c r="E1717" s="30" t="s">
        <v>1531</v>
      </c>
      <c r="H1717" s="32">
        <v>0</v>
      </c>
      <c r="I1717" s="32" t="s">
        <v>1706</v>
      </c>
      <c r="AG1717" s="32">
        <v>0</v>
      </c>
      <c r="AH1717" s="32">
        <v>0</v>
      </c>
      <c r="AI1717" s="32">
        <v>0</v>
      </c>
      <c r="AK1717" s="32">
        <v>0</v>
      </c>
      <c r="AM1717" s="32">
        <f>498*100</f>
        <v>49800</v>
      </c>
      <c r="AO1717" s="32" t="s">
        <v>1533</v>
      </c>
      <c r="AQ1717" s="32" t="s">
        <v>1101</v>
      </c>
      <c r="AU1717">
        <v>1716</v>
      </c>
    </row>
    <row r="1718" spans="1:47" x14ac:dyDescent="0.2">
      <c r="A1718" s="26">
        <v>6418</v>
      </c>
      <c r="B1718" s="27" t="s">
        <v>45</v>
      </c>
      <c r="C1718" s="28"/>
      <c r="D1718" s="29"/>
      <c r="E1718" s="150" t="s">
        <v>2286</v>
      </c>
      <c r="H1718" s="32">
        <v>0</v>
      </c>
      <c r="I1718" s="32" t="s">
        <v>1824</v>
      </c>
      <c r="AG1718" s="32">
        <v>0</v>
      </c>
      <c r="AH1718" s="32">
        <v>0</v>
      </c>
      <c r="AI1718" s="32">
        <v>0</v>
      </c>
      <c r="AK1718" s="32">
        <v>0</v>
      </c>
      <c r="AM1718" s="32">
        <v>19000</v>
      </c>
      <c r="AO1718" s="73" t="s">
        <v>75</v>
      </c>
      <c r="AQ1718" s="32" t="s">
        <v>589</v>
      </c>
      <c r="AU1718">
        <v>1717</v>
      </c>
    </row>
    <row r="1719" spans="1:47" x14ac:dyDescent="0.2">
      <c r="A1719" s="26">
        <v>6418</v>
      </c>
      <c r="B1719" s="27"/>
      <c r="C1719" s="28"/>
      <c r="D1719" s="29"/>
      <c r="E1719" s="102" t="s">
        <v>1421</v>
      </c>
      <c r="H1719" s="32">
        <v>1</v>
      </c>
      <c r="I1719" s="32" t="s">
        <v>3132</v>
      </c>
      <c r="AK1719" s="32">
        <v>34</v>
      </c>
      <c r="AO1719" s="73"/>
      <c r="AQ1719" s="32" t="s">
        <v>589</v>
      </c>
      <c r="AU1719">
        <v>1718</v>
      </c>
    </row>
    <row r="1720" spans="1:47" x14ac:dyDescent="0.2">
      <c r="A1720" s="133">
        <v>6419</v>
      </c>
      <c r="B1720" s="39" t="s">
        <v>45</v>
      </c>
      <c r="C1720" s="39">
        <v>100</v>
      </c>
      <c r="D1720" s="29" t="b">
        <v>0</v>
      </c>
      <c r="E1720" s="39" t="s">
        <v>3133</v>
      </c>
      <c r="F1720" s="47" t="s">
        <v>3134</v>
      </c>
      <c r="G1720" s="47" t="s">
        <v>49</v>
      </c>
      <c r="H1720"/>
      <c r="I1720" s="47" t="b">
        <v>1</v>
      </c>
      <c r="J1720" s="47" t="b">
        <v>1</v>
      </c>
      <c r="K1720" s="47">
        <v>3474</v>
      </c>
      <c r="L1720" s="48">
        <v>12</v>
      </c>
      <c r="M1720" s="47">
        <v>-1</v>
      </c>
      <c r="N1720" s="47">
        <v>-1</v>
      </c>
      <c r="O1720" s="47">
        <v>-1</v>
      </c>
      <c r="P1720" s="47">
        <v>-1</v>
      </c>
      <c r="Q1720" s="47">
        <v>-1</v>
      </c>
      <c r="R1720" s="47">
        <v>-1</v>
      </c>
      <c r="S1720" s="48">
        <v>12</v>
      </c>
      <c r="T1720" s="47">
        <v>0</v>
      </c>
      <c r="U1720" s="47">
        <v>0</v>
      </c>
      <c r="V1720" s="47">
        <v>0</v>
      </c>
      <c r="W1720" s="47">
        <v>1000</v>
      </c>
      <c r="X1720" s="47">
        <v>178</v>
      </c>
      <c r="Y1720" s="47"/>
      <c r="Z1720" s="47" t="s">
        <v>2524</v>
      </c>
      <c r="AA1720" s="49"/>
      <c r="AB1720" s="49"/>
      <c r="AC1720" s="49"/>
      <c r="AD1720" s="50"/>
      <c r="AE1720" s="47" t="s">
        <v>2754</v>
      </c>
      <c r="AF1720" s="47">
        <v>65</v>
      </c>
      <c r="AG1720"/>
      <c r="AH1720"/>
      <c r="AI1720"/>
      <c r="AJ1720"/>
      <c r="AK1720"/>
      <c r="AL1720"/>
      <c r="AM1720"/>
      <c r="AN1720"/>
      <c r="AO1720"/>
      <c r="AP1720"/>
      <c r="AQ1720" t="s">
        <v>2526</v>
      </c>
      <c r="AU1720">
        <v>1719</v>
      </c>
    </row>
    <row r="1721" spans="1:47" x14ac:dyDescent="0.2">
      <c r="A1721" s="133">
        <v>6419</v>
      </c>
      <c r="B1721" s="39" t="s">
        <v>45</v>
      </c>
      <c r="C1721" s="39">
        <v>100</v>
      </c>
      <c r="D1721" s="29" t="b">
        <v>0</v>
      </c>
      <c r="E1721" s="39" t="s">
        <v>3102</v>
      </c>
      <c r="F1721" s="47" t="s">
        <v>3135</v>
      </c>
      <c r="G1721" s="47" t="s">
        <v>205</v>
      </c>
      <c r="H1721"/>
      <c r="I1721" s="47" t="b">
        <v>0</v>
      </c>
      <c r="J1721" s="47" t="b">
        <v>0</v>
      </c>
      <c r="K1721" s="47">
        <v>580</v>
      </c>
      <c r="L1721" s="48">
        <v>12</v>
      </c>
      <c r="M1721" s="47">
        <v>-1</v>
      </c>
      <c r="N1721" s="47">
        <v>-1</v>
      </c>
      <c r="O1721" s="47">
        <v>-1</v>
      </c>
      <c r="P1721" s="47">
        <v>-1</v>
      </c>
      <c r="Q1721" s="47">
        <v>-1</v>
      </c>
      <c r="R1721" s="47">
        <v>-1</v>
      </c>
      <c r="S1721" s="48">
        <v>12</v>
      </c>
      <c r="T1721" s="47">
        <v>0</v>
      </c>
      <c r="U1721" s="47">
        <v>0</v>
      </c>
      <c r="V1721" s="47">
        <v>0</v>
      </c>
      <c r="W1721" s="47">
        <v>1000</v>
      </c>
      <c r="X1721" s="47">
        <v>177</v>
      </c>
      <c r="Y1721" s="47"/>
      <c r="Z1721" s="47" t="s">
        <v>2524</v>
      </c>
      <c r="AA1721" s="49"/>
      <c r="AB1721" s="49"/>
      <c r="AC1721" s="49"/>
      <c r="AD1721" s="50"/>
      <c r="AE1721" s="47" t="s">
        <v>2754</v>
      </c>
      <c r="AF1721" s="47">
        <v>65</v>
      </c>
      <c r="AG1721"/>
      <c r="AH1721"/>
      <c r="AI1721"/>
      <c r="AJ1721"/>
      <c r="AK1721"/>
      <c r="AL1721"/>
      <c r="AM1721"/>
      <c r="AN1721"/>
      <c r="AO1721"/>
      <c r="AP1721"/>
      <c r="AQ1721" t="s">
        <v>2526</v>
      </c>
      <c r="AU1721">
        <v>1720</v>
      </c>
    </row>
    <row r="1722" spans="1:47" x14ac:dyDescent="0.2">
      <c r="A1722" s="133">
        <v>6419</v>
      </c>
      <c r="B1722" s="39" t="s">
        <v>45</v>
      </c>
      <c r="C1722" s="39">
        <v>100</v>
      </c>
      <c r="D1722" s="29" t="b">
        <v>0</v>
      </c>
      <c r="E1722" s="39" t="s">
        <v>2852</v>
      </c>
      <c r="F1722" s="47" t="s">
        <v>3136</v>
      </c>
      <c r="G1722" s="47" t="s">
        <v>49</v>
      </c>
      <c r="H1722"/>
      <c r="I1722" s="47" t="b">
        <v>0</v>
      </c>
      <c r="J1722" s="47" t="b">
        <v>0</v>
      </c>
      <c r="K1722" s="47">
        <v>310</v>
      </c>
      <c r="L1722" s="48">
        <v>12</v>
      </c>
      <c r="M1722" s="47">
        <v>-1</v>
      </c>
      <c r="N1722" s="47">
        <v>-1</v>
      </c>
      <c r="O1722" s="47">
        <v>-1</v>
      </c>
      <c r="P1722" s="47">
        <v>-1</v>
      </c>
      <c r="Q1722" s="47">
        <v>-1</v>
      </c>
      <c r="R1722" s="47">
        <v>-1</v>
      </c>
      <c r="S1722" s="48">
        <v>12</v>
      </c>
      <c r="T1722" s="47">
        <v>0</v>
      </c>
      <c r="U1722" s="47">
        <v>0</v>
      </c>
      <c r="V1722" s="47">
        <v>0</v>
      </c>
      <c r="W1722" s="47">
        <v>1200</v>
      </c>
      <c r="X1722" s="47">
        <v>179</v>
      </c>
      <c r="Y1722" s="47"/>
      <c r="Z1722" s="47" t="s">
        <v>2524</v>
      </c>
      <c r="AA1722" s="49"/>
      <c r="AB1722" s="49"/>
      <c r="AC1722" s="49"/>
      <c r="AD1722" s="50"/>
      <c r="AE1722" s="47" t="s">
        <v>2754</v>
      </c>
      <c r="AF1722" s="47">
        <v>65</v>
      </c>
      <c r="AG1722"/>
      <c r="AH1722"/>
      <c r="AI1722"/>
      <c r="AJ1722"/>
      <c r="AK1722"/>
      <c r="AL1722"/>
      <c r="AM1722"/>
      <c r="AN1722"/>
      <c r="AO1722"/>
      <c r="AP1722"/>
      <c r="AQ1722" t="s">
        <v>2526</v>
      </c>
      <c r="AU1722">
        <v>1721</v>
      </c>
    </row>
    <row r="1723" spans="1:47" x14ac:dyDescent="0.2">
      <c r="A1723" s="133">
        <v>6419</v>
      </c>
      <c r="B1723" s="39" t="s">
        <v>45</v>
      </c>
      <c r="C1723" s="39">
        <v>100</v>
      </c>
      <c r="D1723" s="29" t="b">
        <v>0</v>
      </c>
      <c r="E1723" s="39" t="s">
        <v>2835</v>
      </c>
      <c r="F1723" s="47" t="s">
        <v>3137</v>
      </c>
      <c r="G1723" s="47" t="s">
        <v>49</v>
      </c>
      <c r="H1723"/>
      <c r="I1723" s="47" t="b">
        <v>0</v>
      </c>
      <c r="J1723" s="47" t="b">
        <v>0</v>
      </c>
      <c r="K1723" s="47">
        <v>1390</v>
      </c>
      <c r="L1723" s="48">
        <v>12</v>
      </c>
      <c r="M1723" s="47">
        <v>-1</v>
      </c>
      <c r="N1723" s="47">
        <v>-1</v>
      </c>
      <c r="O1723" s="47">
        <v>-1</v>
      </c>
      <c r="P1723" s="47">
        <v>-1</v>
      </c>
      <c r="Q1723" s="47">
        <v>-1</v>
      </c>
      <c r="R1723" s="47">
        <v>-1</v>
      </c>
      <c r="S1723" s="48">
        <v>12</v>
      </c>
      <c r="T1723" s="47">
        <v>0</v>
      </c>
      <c r="U1723" s="47">
        <v>0</v>
      </c>
      <c r="V1723" s="47">
        <v>0</v>
      </c>
      <c r="W1723" s="47">
        <v>-1</v>
      </c>
      <c r="X1723" s="47">
        <v>180</v>
      </c>
      <c r="Y1723" s="47"/>
      <c r="Z1723" s="47" t="s">
        <v>2524</v>
      </c>
      <c r="AA1723" s="49"/>
      <c r="AB1723" s="49"/>
      <c r="AC1723" s="49"/>
      <c r="AD1723" s="50"/>
      <c r="AE1723" s="47" t="s">
        <v>2754</v>
      </c>
      <c r="AF1723" s="47">
        <v>55</v>
      </c>
      <c r="AG1723"/>
      <c r="AH1723"/>
      <c r="AI1723"/>
      <c r="AJ1723"/>
      <c r="AK1723"/>
      <c r="AL1723"/>
      <c r="AM1723"/>
      <c r="AN1723"/>
      <c r="AO1723"/>
      <c r="AP1723"/>
      <c r="AQ1723" t="s">
        <v>2526</v>
      </c>
      <c r="AU1723">
        <v>1722</v>
      </c>
    </row>
    <row r="1724" spans="1:47" x14ac:dyDescent="0.2">
      <c r="A1724" s="133">
        <v>6419</v>
      </c>
      <c r="B1724" s="39" t="s">
        <v>45</v>
      </c>
      <c r="C1724" s="39">
        <v>100</v>
      </c>
      <c r="D1724" s="29" t="b">
        <v>0</v>
      </c>
      <c r="E1724" s="39" t="s">
        <v>3138</v>
      </c>
      <c r="F1724" s="47" t="s">
        <v>3139</v>
      </c>
      <c r="G1724" s="47" t="s">
        <v>49</v>
      </c>
      <c r="H1724"/>
      <c r="I1724" s="47" t="b">
        <v>0</v>
      </c>
      <c r="J1724" s="47" t="b">
        <v>0</v>
      </c>
      <c r="K1724" s="47">
        <v>924</v>
      </c>
      <c r="L1724" s="48">
        <v>12</v>
      </c>
      <c r="M1724" s="47">
        <v>-1</v>
      </c>
      <c r="N1724" s="47">
        <v>-1</v>
      </c>
      <c r="O1724" s="47">
        <v>-1</v>
      </c>
      <c r="P1724" s="47">
        <v>-1</v>
      </c>
      <c r="Q1724" s="47">
        <v>-1</v>
      </c>
      <c r="R1724" s="47">
        <v>-1</v>
      </c>
      <c r="S1724" s="48">
        <v>12</v>
      </c>
      <c r="T1724" s="47">
        <v>0</v>
      </c>
      <c r="U1724" s="47">
        <v>0</v>
      </c>
      <c r="V1724" s="47">
        <v>0</v>
      </c>
      <c r="W1724" s="47">
        <v>800</v>
      </c>
      <c r="X1724" s="47">
        <v>181</v>
      </c>
      <c r="Y1724" s="47"/>
      <c r="Z1724" s="47" t="s">
        <v>2524</v>
      </c>
      <c r="AA1724" s="49"/>
      <c r="AB1724" s="49"/>
      <c r="AC1724" s="49"/>
      <c r="AD1724" s="50"/>
      <c r="AE1724" s="47" t="s">
        <v>2754</v>
      </c>
      <c r="AF1724" s="47"/>
      <c r="AG1724"/>
      <c r="AH1724"/>
      <c r="AI1724"/>
      <c r="AJ1724"/>
      <c r="AK1724"/>
      <c r="AL1724"/>
      <c r="AM1724"/>
      <c r="AN1724"/>
      <c r="AO1724"/>
      <c r="AP1724"/>
      <c r="AQ1724" t="s">
        <v>2526</v>
      </c>
      <c r="AU1724">
        <v>1723</v>
      </c>
    </row>
    <row r="1725" spans="1:47" x14ac:dyDescent="0.2">
      <c r="A1725" s="133">
        <v>6419</v>
      </c>
      <c r="B1725" s="39" t="s">
        <v>45</v>
      </c>
      <c r="C1725" s="39">
        <v>100</v>
      </c>
      <c r="D1725" s="29" t="b">
        <v>0</v>
      </c>
      <c r="E1725" s="39" t="s">
        <v>3140</v>
      </c>
      <c r="F1725" s="47" t="s">
        <v>3027</v>
      </c>
      <c r="G1725" s="47" t="s">
        <v>73</v>
      </c>
      <c r="H1725"/>
      <c r="I1725" s="47" t="b">
        <v>0</v>
      </c>
      <c r="J1725" s="47" t="b">
        <v>0</v>
      </c>
      <c r="K1725" s="47">
        <v>40</v>
      </c>
      <c r="L1725" s="48">
        <v>12</v>
      </c>
      <c r="M1725" s="47">
        <v>-1</v>
      </c>
      <c r="N1725" s="47">
        <v>-1</v>
      </c>
      <c r="O1725" s="47">
        <v>-1</v>
      </c>
      <c r="P1725" s="47">
        <v>-1</v>
      </c>
      <c r="Q1725" s="47">
        <v>-1</v>
      </c>
      <c r="R1725" s="47">
        <v>-1</v>
      </c>
      <c r="S1725" s="48">
        <v>12</v>
      </c>
      <c r="T1725" s="47">
        <v>0</v>
      </c>
      <c r="U1725" s="47">
        <v>0</v>
      </c>
      <c r="V1725" s="47">
        <v>0</v>
      </c>
      <c r="W1725" s="47"/>
      <c r="X1725" s="47">
        <v>182</v>
      </c>
      <c r="Y1725" s="47"/>
      <c r="Z1725" s="47" t="s">
        <v>2524</v>
      </c>
      <c r="AA1725" s="49"/>
      <c r="AB1725" s="49"/>
      <c r="AC1725" s="49"/>
      <c r="AD1725" s="50"/>
      <c r="AE1725" s="47" t="s">
        <v>2754</v>
      </c>
      <c r="AF1725" s="47"/>
      <c r="AG1725"/>
      <c r="AH1725"/>
      <c r="AI1725"/>
      <c r="AJ1725"/>
      <c r="AK1725"/>
      <c r="AL1725"/>
      <c r="AM1725"/>
      <c r="AN1725"/>
      <c r="AO1725"/>
      <c r="AP1725"/>
      <c r="AQ1725" t="s">
        <v>2526</v>
      </c>
      <c r="AU1725">
        <v>1724</v>
      </c>
    </row>
    <row r="1726" spans="1:47" x14ac:dyDescent="0.2">
      <c r="A1726" s="133">
        <v>6419</v>
      </c>
      <c r="B1726" s="39" t="s">
        <v>45</v>
      </c>
      <c r="C1726" s="39" t="s">
        <v>142</v>
      </c>
      <c r="D1726" s="29"/>
      <c r="E1726" s="39" t="s">
        <v>3141</v>
      </c>
      <c r="F1726" s="47" t="s">
        <v>3142</v>
      </c>
      <c r="G1726" s="47" t="s">
        <v>49</v>
      </c>
      <c r="H1726"/>
      <c r="I1726" s="47" t="s">
        <v>3143</v>
      </c>
      <c r="J1726" s="47"/>
      <c r="K1726" s="47">
        <f>113*10*2.2</f>
        <v>2486</v>
      </c>
      <c r="L1726" s="48">
        <v>9</v>
      </c>
      <c r="M1726" s="47"/>
      <c r="N1726" s="47"/>
      <c r="O1726" s="47"/>
      <c r="P1726" s="47"/>
      <c r="Q1726" s="47"/>
      <c r="R1726" s="47"/>
      <c r="S1726" s="48">
        <v>9</v>
      </c>
      <c r="T1726" s="47">
        <v>0</v>
      </c>
      <c r="U1726" s="47">
        <v>0</v>
      </c>
      <c r="V1726" s="47">
        <v>0</v>
      </c>
      <c r="W1726" s="47"/>
      <c r="X1726" s="47"/>
      <c r="Y1726" s="47" t="s">
        <v>51</v>
      </c>
      <c r="Z1726" s="31" t="s">
        <v>2203</v>
      </c>
      <c r="AA1726" s="49"/>
      <c r="AB1726" s="49"/>
      <c r="AC1726" s="49"/>
      <c r="AD1726" s="50"/>
      <c r="AE1726" s="47" t="s">
        <v>2470</v>
      </c>
      <c r="AF1726" s="47"/>
      <c r="AG1726"/>
      <c r="AH1726"/>
      <c r="AI1726"/>
      <c r="AJ1726"/>
      <c r="AK1726">
        <v>113</v>
      </c>
      <c r="AL1726"/>
      <c r="AM1726"/>
      <c r="AN1726"/>
      <c r="AO1726"/>
      <c r="AP1726"/>
      <c r="AQ1726" s="32" t="s">
        <v>3110</v>
      </c>
      <c r="AU1726">
        <v>1725</v>
      </c>
    </row>
    <row r="1727" spans="1:47" x14ac:dyDescent="0.2">
      <c r="A1727" s="133">
        <v>6419</v>
      </c>
      <c r="B1727" s="39" t="s">
        <v>45</v>
      </c>
      <c r="C1727" s="39" t="s">
        <v>142</v>
      </c>
      <c r="D1727" s="29"/>
      <c r="E1727" s="39" t="s">
        <v>3144</v>
      </c>
      <c r="F1727" s="47" t="s">
        <v>3145</v>
      </c>
      <c r="G1727" s="47" t="s">
        <v>69</v>
      </c>
      <c r="H1727"/>
      <c r="I1727" s="47" t="s">
        <v>3146</v>
      </c>
      <c r="J1727" s="47"/>
      <c r="K1727" s="47">
        <f>12*10*2.2</f>
        <v>264</v>
      </c>
      <c r="L1727" s="48">
        <v>3</v>
      </c>
      <c r="M1727" s="47"/>
      <c r="N1727" s="47"/>
      <c r="O1727" s="47"/>
      <c r="P1727" s="47"/>
      <c r="Q1727" s="47"/>
      <c r="R1727" s="47"/>
      <c r="S1727" s="48">
        <v>3</v>
      </c>
      <c r="T1727" s="47">
        <v>0</v>
      </c>
      <c r="U1727" s="47">
        <v>0</v>
      </c>
      <c r="V1727" s="47">
        <v>0</v>
      </c>
      <c r="W1727" s="47"/>
      <c r="X1727" s="47"/>
      <c r="Y1727" s="47" t="s">
        <v>51</v>
      </c>
      <c r="Z1727" s="31" t="s">
        <v>1809</v>
      </c>
      <c r="AA1727" s="49">
        <v>0.125</v>
      </c>
      <c r="AB1727" s="49">
        <v>0.19444444444444445</v>
      </c>
      <c r="AC1727" s="49">
        <f>AVERAGE(AA1727:AB1727)</f>
        <v>0.15972222222222221</v>
      </c>
      <c r="AD1727" s="50">
        <f>(AB1727-AA1727)*24</f>
        <v>1.6666666666666667</v>
      </c>
      <c r="AE1727" s="47" t="s">
        <v>2470</v>
      </c>
      <c r="AF1727" s="47"/>
      <c r="AG1727"/>
      <c r="AH1727"/>
      <c r="AI1727"/>
      <c r="AJ1727"/>
      <c r="AK1727">
        <v>12</v>
      </c>
      <c r="AL1727"/>
      <c r="AM1727"/>
      <c r="AN1727"/>
      <c r="AO1727"/>
      <c r="AP1727"/>
      <c r="AQ1727" s="32" t="s">
        <v>3110</v>
      </c>
      <c r="AU1727">
        <v>1726</v>
      </c>
    </row>
    <row r="1728" spans="1:47" x14ac:dyDescent="0.2">
      <c r="A1728" s="26">
        <v>6419</v>
      </c>
      <c r="B1728" s="27">
        <v>0.47222222222222227</v>
      </c>
      <c r="C1728" s="28"/>
      <c r="D1728" s="29"/>
      <c r="E1728" s="30" t="s">
        <v>869</v>
      </c>
      <c r="H1728" s="32">
        <v>0</v>
      </c>
      <c r="I1728" s="32" t="s">
        <v>2344</v>
      </c>
      <c r="AG1728" s="32">
        <v>0</v>
      </c>
      <c r="AH1728" s="32">
        <v>0</v>
      </c>
      <c r="AI1728" s="32">
        <v>0</v>
      </c>
      <c r="AK1728" s="32">
        <v>0</v>
      </c>
      <c r="AL1728" s="32">
        <v>0.66700000000000004</v>
      </c>
      <c r="AP1728" s="32">
        <v>0.66700000000000004</v>
      </c>
      <c r="AQ1728" s="32" t="s">
        <v>589</v>
      </c>
      <c r="AU1728">
        <v>1727</v>
      </c>
    </row>
    <row r="1729" spans="1:47" x14ac:dyDescent="0.2">
      <c r="A1729" s="26">
        <v>6419</v>
      </c>
      <c r="B1729" s="27">
        <v>0.94444444444444453</v>
      </c>
      <c r="C1729" s="28"/>
      <c r="D1729" s="29"/>
      <c r="E1729" s="30" t="s">
        <v>464</v>
      </c>
      <c r="H1729" s="32">
        <v>1</v>
      </c>
      <c r="I1729" s="32" t="s">
        <v>3128</v>
      </c>
      <c r="AG1729" s="32">
        <v>0</v>
      </c>
      <c r="AH1729" s="32">
        <v>0</v>
      </c>
      <c r="AI1729" s="32">
        <v>0</v>
      </c>
      <c r="AL1729" s="32">
        <v>1.5</v>
      </c>
      <c r="AO1729" s="32" t="s">
        <v>1898</v>
      </c>
      <c r="AP1729" s="32">
        <v>1.5</v>
      </c>
      <c r="AQ1729" s="32" t="s">
        <v>1522</v>
      </c>
      <c r="AU1729">
        <v>1728</v>
      </c>
    </row>
    <row r="1730" spans="1:47" x14ac:dyDescent="0.2">
      <c r="A1730" s="26">
        <v>6419</v>
      </c>
      <c r="B1730" s="27" t="s">
        <v>45</v>
      </c>
      <c r="C1730" s="28"/>
      <c r="D1730" s="29"/>
      <c r="E1730" s="30" t="s">
        <v>1531</v>
      </c>
      <c r="H1730" s="32">
        <v>0</v>
      </c>
      <c r="I1730" s="32" t="s">
        <v>1532</v>
      </c>
      <c r="AG1730" s="32">
        <v>0</v>
      </c>
      <c r="AH1730" s="32">
        <v>0</v>
      </c>
      <c r="AI1730" s="32">
        <v>0</v>
      </c>
      <c r="AK1730" s="32">
        <v>0</v>
      </c>
      <c r="AM1730" s="32">
        <f>498*40</f>
        <v>19920</v>
      </c>
      <c r="AO1730" s="32" t="s">
        <v>1533</v>
      </c>
      <c r="AQ1730" s="32" t="s">
        <v>1101</v>
      </c>
      <c r="AU1730">
        <v>1729</v>
      </c>
    </row>
    <row r="1731" spans="1:47" x14ac:dyDescent="0.2">
      <c r="A1731" s="26">
        <v>6419</v>
      </c>
      <c r="B1731" s="27" t="s">
        <v>45</v>
      </c>
      <c r="C1731" s="28"/>
      <c r="D1731" s="29"/>
      <c r="E1731" s="150" t="s">
        <v>2286</v>
      </c>
      <c r="H1731" s="32">
        <v>0</v>
      </c>
      <c r="I1731" s="32" t="s">
        <v>1824</v>
      </c>
      <c r="AG1731" s="32">
        <v>0</v>
      </c>
      <c r="AH1731" s="32">
        <v>0</v>
      </c>
      <c r="AI1731" s="32">
        <v>0</v>
      </c>
      <c r="AK1731" s="32">
        <v>0</v>
      </c>
      <c r="AM1731" s="32">
        <v>9000</v>
      </c>
      <c r="AO1731" s="73" t="s">
        <v>75</v>
      </c>
      <c r="AQ1731" s="32" t="s">
        <v>589</v>
      </c>
      <c r="AU1731">
        <v>1730</v>
      </c>
    </row>
    <row r="1732" spans="1:47" x14ac:dyDescent="0.2">
      <c r="A1732" s="26">
        <v>6422</v>
      </c>
      <c r="B1732" s="27">
        <v>0.97916666666666663</v>
      </c>
      <c r="C1732" s="28"/>
      <c r="D1732" s="29"/>
      <c r="E1732" s="102" t="s">
        <v>1102</v>
      </c>
      <c r="H1732" s="32">
        <v>0</v>
      </c>
      <c r="I1732" s="32" t="s">
        <v>1103</v>
      </c>
      <c r="AG1732" s="32">
        <v>0</v>
      </c>
      <c r="AH1732" s="32">
        <v>0</v>
      </c>
      <c r="AI1732" s="32">
        <v>0</v>
      </c>
      <c r="AK1732" s="32">
        <v>0</v>
      </c>
      <c r="AL1732" s="32">
        <v>0.66700000000000004</v>
      </c>
      <c r="AO1732" s="73" t="s">
        <v>1006</v>
      </c>
      <c r="AP1732" s="32">
        <v>0.66700000000000004</v>
      </c>
      <c r="AQ1732" s="32" t="s">
        <v>589</v>
      </c>
      <c r="AU1732">
        <v>1731</v>
      </c>
    </row>
    <row r="1733" spans="1:47" x14ac:dyDescent="0.2">
      <c r="A1733" s="133">
        <v>6430</v>
      </c>
      <c r="B1733" s="39" t="s">
        <v>45</v>
      </c>
      <c r="C1733" s="39">
        <v>100</v>
      </c>
      <c r="D1733" s="29" t="b">
        <v>0</v>
      </c>
      <c r="E1733" s="39" t="s">
        <v>3147</v>
      </c>
      <c r="F1733" s="47" t="s">
        <v>3123</v>
      </c>
      <c r="G1733" s="47" t="s">
        <v>73</v>
      </c>
      <c r="H1733"/>
      <c r="I1733" s="47" t="b">
        <v>0</v>
      </c>
      <c r="J1733" s="47" t="b">
        <v>0</v>
      </c>
      <c r="K1733" s="47">
        <v>224</v>
      </c>
      <c r="L1733" s="48">
        <v>3</v>
      </c>
      <c r="M1733" s="47">
        <v>-1</v>
      </c>
      <c r="N1733" s="47">
        <v>-1</v>
      </c>
      <c r="O1733" s="47">
        <v>-1</v>
      </c>
      <c r="P1733" s="47">
        <v>-1</v>
      </c>
      <c r="Q1733" s="47">
        <v>-1</v>
      </c>
      <c r="R1733" s="47">
        <v>-1</v>
      </c>
      <c r="S1733" s="48">
        <v>3</v>
      </c>
      <c r="T1733" s="47">
        <v>0</v>
      </c>
      <c r="U1733" s="47">
        <v>0</v>
      </c>
      <c r="V1733" s="47">
        <v>0</v>
      </c>
      <c r="W1733" s="47"/>
      <c r="X1733" s="47">
        <v>183</v>
      </c>
      <c r="Y1733" s="47"/>
      <c r="Z1733" s="47" t="s">
        <v>2524</v>
      </c>
      <c r="AA1733" s="49"/>
      <c r="AB1733" s="49"/>
      <c r="AC1733" s="49"/>
      <c r="AD1733" s="50"/>
      <c r="AE1733" s="47" t="s">
        <v>2754</v>
      </c>
      <c r="AF1733" s="47"/>
      <c r="AG1733"/>
      <c r="AH1733"/>
      <c r="AI1733"/>
      <c r="AJ1733"/>
      <c r="AK1733"/>
      <c r="AL1733"/>
      <c r="AM1733"/>
      <c r="AN1733"/>
      <c r="AO1733"/>
      <c r="AP1733"/>
      <c r="AQ1733" t="s">
        <v>2526</v>
      </c>
      <c r="AU1733">
        <v>1732</v>
      </c>
    </row>
    <row r="1734" spans="1:47" x14ac:dyDescent="0.2">
      <c r="A1734" s="133">
        <v>6430</v>
      </c>
      <c r="B1734" s="39" t="s">
        <v>45</v>
      </c>
      <c r="C1734" s="39">
        <v>100</v>
      </c>
      <c r="D1734" s="29" t="b">
        <v>0</v>
      </c>
      <c r="E1734" s="39" t="s">
        <v>3148</v>
      </c>
      <c r="F1734" s="47" t="s">
        <v>3149</v>
      </c>
      <c r="G1734" s="47" t="s">
        <v>73</v>
      </c>
      <c r="H1734"/>
      <c r="I1734" s="47" t="b">
        <v>1</v>
      </c>
      <c r="J1734" s="47" t="b">
        <v>1</v>
      </c>
      <c r="K1734" s="47">
        <v>804</v>
      </c>
      <c r="L1734" s="48">
        <v>3</v>
      </c>
      <c r="M1734" s="47">
        <v>-1</v>
      </c>
      <c r="N1734" s="47">
        <v>-1</v>
      </c>
      <c r="O1734" s="47">
        <v>-1</v>
      </c>
      <c r="P1734" s="47">
        <v>-1</v>
      </c>
      <c r="Q1734" s="47">
        <v>-1</v>
      </c>
      <c r="R1734" s="47">
        <v>-1</v>
      </c>
      <c r="S1734" s="48">
        <v>3</v>
      </c>
      <c r="T1734" s="47">
        <v>0</v>
      </c>
      <c r="U1734" s="47">
        <v>0</v>
      </c>
      <c r="V1734" s="47">
        <v>0</v>
      </c>
      <c r="W1734" s="47"/>
      <c r="X1734" s="47">
        <v>184</v>
      </c>
      <c r="Y1734" s="47"/>
      <c r="Z1734" s="47" t="s">
        <v>2524</v>
      </c>
      <c r="AA1734" s="49"/>
      <c r="AB1734" s="49"/>
      <c r="AC1734" s="49"/>
      <c r="AD1734" s="50"/>
      <c r="AE1734" s="47" t="s">
        <v>2754</v>
      </c>
      <c r="AF1734" s="47"/>
      <c r="AG1734"/>
      <c r="AH1734"/>
      <c r="AI1734"/>
      <c r="AJ1734"/>
      <c r="AK1734"/>
      <c r="AL1734"/>
      <c r="AM1734"/>
      <c r="AN1734"/>
      <c r="AO1734"/>
      <c r="AP1734"/>
      <c r="AQ1734" t="s">
        <v>2526</v>
      </c>
      <c r="AU1734">
        <v>1733</v>
      </c>
    </row>
    <row r="1735" spans="1:47" x14ac:dyDescent="0.2">
      <c r="A1735" s="133">
        <v>6430</v>
      </c>
      <c r="B1735" s="39" t="s">
        <v>45</v>
      </c>
      <c r="C1735" s="39">
        <v>100</v>
      </c>
      <c r="D1735" s="29" t="b">
        <v>0</v>
      </c>
      <c r="E1735" s="39" t="s">
        <v>3150</v>
      </c>
      <c r="F1735" s="47" t="s">
        <v>144</v>
      </c>
      <c r="G1735" s="47" t="s">
        <v>73</v>
      </c>
      <c r="H1735"/>
      <c r="I1735" s="47" t="b">
        <v>0</v>
      </c>
      <c r="J1735" s="47" t="b">
        <v>0</v>
      </c>
      <c r="K1735" s="47">
        <v>310</v>
      </c>
      <c r="L1735" s="48">
        <v>3</v>
      </c>
      <c r="M1735" s="47">
        <v>-1</v>
      </c>
      <c r="N1735" s="47">
        <v>-1</v>
      </c>
      <c r="O1735" s="47">
        <v>-1</v>
      </c>
      <c r="P1735" s="47">
        <v>-1</v>
      </c>
      <c r="Q1735" s="47">
        <v>-1</v>
      </c>
      <c r="R1735" s="47">
        <v>-1</v>
      </c>
      <c r="S1735" s="48">
        <v>3</v>
      </c>
      <c r="T1735" s="47">
        <v>0</v>
      </c>
      <c r="U1735" s="47">
        <v>0</v>
      </c>
      <c r="V1735" s="47">
        <v>0</v>
      </c>
      <c r="W1735" s="47"/>
      <c r="X1735" s="47">
        <v>185</v>
      </c>
      <c r="Y1735" s="47"/>
      <c r="Z1735" s="47" t="s">
        <v>2524</v>
      </c>
      <c r="AA1735" s="49"/>
      <c r="AB1735" s="49"/>
      <c r="AC1735" s="49"/>
      <c r="AD1735" s="50"/>
      <c r="AE1735" s="47" t="s">
        <v>2754</v>
      </c>
      <c r="AF1735" s="47"/>
      <c r="AG1735"/>
      <c r="AH1735"/>
      <c r="AI1735"/>
      <c r="AJ1735"/>
      <c r="AK1735"/>
      <c r="AL1735"/>
      <c r="AM1735"/>
      <c r="AN1735"/>
      <c r="AO1735"/>
      <c r="AP1735"/>
      <c r="AQ1735" t="s">
        <v>2526</v>
      </c>
      <c r="AU1735">
        <v>1734</v>
      </c>
    </row>
    <row r="1736" spans="1:47" x14ac:dyDescent="0.2">
      <c r="A1736" s="133">
        <v>6430</v>
      </c>
      <c r="B1736" s="39" t="s">
        <v>45</v>
      </c>
      <c r="C1736" s="39">
        <v>100</v>
      </c>
      <c r="D1736" s="29" t="b">
        <v>0</v>
      </c>
      <c r="E1736" s="39" t="s">
        <v>3151</v>
      </c>
      <c r="F1736" s="47" t="s">
        <v>3123</v>
      </c>
      <c r="G1736" s="47" t="s">
        <v>73</v>
      </c>
      <c r="H1736"/>
      <c r="I1736" s="47" t="b">
        <v>0</v>
      </c>
      <c r="J1736" s="47" t="b">
        <v>0</v>
      </c>
      <c r="K1736" s="47">
        <v>230</v>
      </c>
      <c r="L1736" s="48">
        <v>3</v>
      </c>
      <c r="M1736" s="47">
        <v>-1</v>
      </c>
      <c r="N1736" s="47">
        <v>-1</v>
      </c>
      <c r="O1736" s="47">
        <v>-1</v>
      </c>
      <c r="P1736" s="47">
        <v>-1</v>
      </c>
      <c r="Q1736" s="47">
        <v>-1</v>
      </c>
      <c r="R1736" s="47">
        <v>-1</v>
      </c>
      <c r="S1736" s="48">
        <v>3</v>
      </c>
      <c r="T1736" s="47">
        <v>0</v>
      </c>
      <c r="U1736" s="47">
        <v>0</v>
      </c>
      <c r="V1736" s="47">
        <v>0</v>
      </c>
      <c r="W1736" s="47"/>
      <c r="X1736" s="47">
        <v>186</v>
      </c>
      <c r="Y1736" s="47"/>
      <c r="Z1736" s="47" t="s">
        <v>2524</v>
      </c>
      <c r="AA1736" s="49"/>
      <c r="AB1736" s="49"/>
      <c r="AC1736" s="49"/>
      <c r="AD1736" s="50"/>
      <c r="AE1736" s="47" t="s">
        <v>2754</v>
      </c>
      <c r="AF1736" s="47"/>
      <c r="AG1736"/>
      <c r="AH1736"/>
      <c r="AI1736"/>
      <c r="AJ1736"/>
      <c r="AK1736"/>
      <c r="AL1736"/>
      <c r="AM1736"/>
      <c r="AN1736"/>
      <c r="AO1736"/>
      <c r="AP1736"/>
      <c r="AQ1736" t="s">
        <v>2526</v>
      </c>
      <c r="AU1736">
        <v>1735</v>
      </c>
    </row>
    <row r="1737" spans="1:47" x14ac:dyDescent="0.2">
      <c r="A1737" s="26">
        <v>6430</v>
      </c>
      <c r="B1737" s="27">
        <v>0.91805555555555562</v>
      </c>
      <c r="C1737" s="28"/>
      <c r="D1737" s="29"/>
      <c r="E1737" s="30" t="s">
        <v>464</v>
      </c>
      <c r="H1737" s="32">
        <v>1</v>
      </c>
      <c r="I1737" s="32" t="s">
        <v>3152</v>
      </c>
      <c r="AG1737" s="32">
        <v>0</v>
      </c>
      <c r="AH1737" s="32">
        <v>0</v>
      </c>
      <c r="AI1737" s="32">
        <v>0</v>
      </c>
      <c r="AL1737" s="32">
        <f>58/60</f>
        <v>0.96666666666666667</v>
      </c>
      <c r="AO1737" s="32" t="s">
        <v>1898</v>
      </c>
      <c r="AP1737" s="32">
        <f>58/60</f>
        <v>0.96666666666666667</v>
      </c>
      <c r="AQ1737" s="32" t="s">
        <v>1522</v>
      </c>
      <c r="AU1737">
        <v>1736</v>
      </c>
    </row>
    <row r="1738" spans="1:47" x14ac:dyDescent="0.2">
      <c r="A1738" s="133">
        <v>6431</v>
      </c>
      <c r="B1738" s="39" t="s">
        <v>45</v>
      </c>
      <c r="C1738" s="39">
        <v>100</v>
      </c>
      <c r="D1738" s="29" t="b">
        <v>0</v>
      </c>
      <c r="E1738" s="39" t="s">
        <v>3153</v>
      </c>
      <c r="F1738" s="47" t="s">
        <v>529</v>
      </c>
      <c r="G1738" s="47" t="s">
        <v>205</v>
      </c>
      <c r="H1738"/>
      <c r="I1738" s="47" t="b">
        <v>0</v>
      </c>
      <c r="J1738" s="47" t="b">
        <v>0</v>
      </c>
      <c r="K1738" s="47">
        <v>1320</v>
      </c>
      <c r="L1738" s="48">
        <v>-1</v>
      </c>
      <c r="M1738" s="47">
        <v>-1</v>
      </c>
      <c r="N1738" s="47">
        <v>-1</v>
      </c>
      <c r="O1738" s="47">
        <v>-1</v>
      </c>
      <c r="P1738" s="47">
        <v>-1</v>
      </c>
      <c r="Q1738" s="47">
        <v>-1</v>
      </c>
      <c r="R1738" s="47">
        <v>-1</v>
      </c>
      <c r="S1738" s="48">
        <v>-1</v>
      </c>
      <c r="T1738" s="47">
        <v>1</v>
      </c>
      <c r="U1738" s="47">
        <v>0</v>
      </c>
      <c r="V1738" s="47">
        <v>0</v>
      </c>
      <c r="W1738" s="47"/>
      <c r="X1738" s="47">
        <v>187</v>
      </c>
      <c r="Y1738" s="47"/>
      <c r="Z1738" s="47" t="s">
        <v>2524</v>
      </c>
      <c r="AA1738" s="49"/>
      <c r="AB1738" s="49"/>
      <c r="AC1738" s="49"/>
      <c r="AD1738" s="50"/>
      <c r="AE1738" s="47" t="s">
        <v>2754</v>
      </c>
      <c r="AF1738" s="47">
        <v>65</v>
      </c>
      <c r="AG1738"/>
      <c r="AH1738"/>
      <c r="AI1738"/>
      <c r="AJ1738"/>
      <c r="AK1738"/>
      <c r="AL1738"/>
      <c r="AM1738"/>
      <c r="AN1738"/>
      <c r="AO1738"/>
      <c r="AP1738"/>
      <c r="AQ1738" t="s">
        <v>2526</v>
      </c>
      <c r="AU1738">
        <v>1737</v>
      </c>
    </row>
    <row r="1739" spans="1:47" x14ac:dyDescent="0.2">
      <c r="A1739" s="133">
        <v>6431</v>
      </c>
      <c r="B1739" s="39" t="s">
        <v>45</v>
      </c>
      <c r="C1739" s="39">
        <v>100</v>
      </c>
      <c r="D1739" s="29" t="b">
        <v>0</v>
      </c>
      <c r="E1739" s="39" t="s">
        <v>3154</v>
      </c>
      <c r="F1739" s="47" t="s">
        <v>1969</v>
      </c>
      <c r="G1739" s="47" t="s">
        <v>205</v>
      </c>
      <c r="H1739"/>
      <c r="I1739" s="47" t="b">
        <v>1</v>
      </c>
      <c r="J1739" s="47" t="b">
        <v>1</v>
      </c>
      <c r="K1739" s="47">
        <v>3800</v>
      </c>
      <c r="L1739" s="48">
        <v>-1</v>
      </c>
      <c r="M1739" s="47">
        <v>-1</v>
      </c>
      <c r="N1739" s="47">
        <v>-1</v>
      </c>
      <c r="O1739" s="47">
        <v>-1</v>
      </c>
      <c r="P1739" s="47">
        <v>-1</v>
      </c>
      <c r="Q1739" s="47">
        <v>-1</v>
      </c>
      <c r="R1739" s="47">
        <v>-1</v>
      </c>
      <c r="S1739" s="48">
        <v>-1</v>
      </c>
      <c r="T1739" s="47">
        <v>1</v>
      </c>
      <c r="U1739" s="47">
        <v>0</v>
      </c>
      <c r="V1739" s="47">
        <v>0</v>
      </c>
      <c r="W1739" s="47"/>
      <c r="X1739" s="47">
        <v>188</v>
      </c>
      <c r="Y1739" s="47"/>
      <c r="Z1739" s="47" t="s">
        <v>2524</v>
      </c>
      <c r="AA1739" s="49"/>
      <c r="AB1739" s="49"/>
      <c r="AC1739" s="49"/>
      <c r="AD1739" s="50"/>
      <c r="AE1739" s="47" t="s">
        <v>2754</v>
      </c>
      <c r="AF1739" s="47"/>
      <c r="AG1739"/>
      <c r="AH1739"/>
      <c r="AI1739"/>
      <c r="AJ1739"/>
      <c r="AK1739"/>
      <c r="AL1739"/>
      <c r="AM1739"/>
      <c r="AN1739"/>
      <c r="AO1739"/>
      <c r="AP1739"/>
      <c r="AQ1739" t="s">
        <v>2526</v>
      </c>
      <c r="AU1739">
        <v>1738</v>
      </c>
    </row>
    <row r="1740" spans="1:47" x14ac:dyDescent="0.2">
      <c r="A1740" s="133">
        <v>6431</v>
      </c>
      <c r="B1740" s="39" t="s">
        <v>45</v>
      </c>
      <c r="C1740" s="39">
        <v>100</v>
      </c>
      <c r="D1740" s="29" t="b">
        <v>0</v>
      </c>
      <c r="E1740" s="39" t="s">
        <v>2948</v>
      </c>
      <c r="F1740" s="47" t="s">
        <v>529</v>
      </c>
      <c r="G1740" s="47" t="s">
        <v>205</v>
      </c>
      <c r="H1740"/>
      <c r="I1740" s="47" t="b">
        <v>0</v>
      </c>
      <c r="J1740" s="47" t="b">
        <v>0</v>
      </c>
      <c r="K1740" s="47">
        <v>1320</v>
      </c>
      <c r="L1740" s="48">
        <v>-1</v>
      </c>
      <c r="M1740" s="47">
        <v>-1</v>
      </c>
      <c r="N1740" s="47">
        <v>-1</v>
      </c>
      <c r="O1740" s="47">
        <v>-1</v>
      </c>
      <c r="P1740" s="47">
        <v>-1</v>
      </c>
      <c r="Q1740" s="47">
        <v>-1</v>
      </c>
      <c r="R1740" s="47">
        <v>-1</v>
      </c>
      <c r="S1740" s="48">
        <v>-1</v>
      </c>
      <c r="T1740" s="47">
        <v>1</v>
      </c>
      <c r="U1740" s="47">
        <v>0</v>
      </c>
      <c r="V1740" s="47">
        <v>0</v>
      </c>
      <c r="W1740" s="47"/>
      <c r="X1740" s="47">
        <v>189</v>
      </c>
      <c r="Y1740" s="47"/>
      <c r="Z1740" s="47" t="s">
        <v>2524</v>
      </c>
      <c r="AA1740" s="49"/>
      <c r="AB1740" s="49"/>
      <c r="AC1740" s="49"/>
      <c r="AD1740" s="50"/>
      <c r="AE1740" s="47" t="s">
        <v>2754</v>
      </c>
      <c r="AF1740" s="47"/>
      <c r="AG1740"/>
      <c r="AH1740"/>
      <c r="AI1740"/>
      <c r="AJ1740"/>
      <c r="AK1740"/>
      <c r="AL1740"/>
      <c r="AM1740"/>
      <c r="AN1740"/>
      <c r="AO1740"/>
      <c r="AP1740"/>
      <c r="AQ1740" t="s">
        <v>2526</v>
      </c>
      <c r="AU1740">
        <v>1739</v>
      </c>
    </row>
    <row r="1741" spans="1:47" x14ac:dyDescent="0.2">
      <c r="A1741" s="133">
        <v>6431</v>
      </c>
      <c r="B1741" s="39" t="s">
        <v>45</v>
      </c>
      <c r="C1741" s="39">
        <v>100</v>
      </c>
      <c r="D1741" s="29" t="b">
        <v>0</v>
      </c>
      <c r="E1741" s="39" t="s">
        <v>3102</v>
      </c>
      <c r="F1741" s="47" t="s">
        <v>529</v>
      </c>
      <c r="G1741" s="47" t="s">
        <v>205</v>
      </c>
      <c r="H1741"/>
      <c r="I1741" s="47" t="b">
        <v>0</v>
      </c>
      <c r="J1741" s="47" t="b">
        <v>0</v>
      </c>
      <c r="K1741" s="47">
        <v>930</v>
      </c>
      <c r="L1741" s="48">
        <v>-1</v>
      </c>
      <c r="M1741" s="47">
        <v>-1</v>
      </c>
      <c r="N1741" s="47">
        <v>-1</v>
      </c>
      <c r="O1741" s="47">
        <v>-1</v>
      </c>
      <c r="P1741" s="47">
        <v>-1</v>
      </c>
      <c r="Q1741" s="47">
        <v>-1</v>
      </c>
      <c r="R1741" s="47">
        <v>-1</v>
      </c>
      <c r="S1741" s="48">
        <v>-1</v>
      </c>
      <c r="T1741" s="47">
        <v>1</v>
      </c>
      <c r="U1741" s="47">
        <v>0</v>
      </c>
      <c r="V1741" s="47">
        <v>0</v>
      </c>
      <c r="W1741" s="47"/>
      <c r="X1741" s="47">
        <v>190</v>
      </c>
      <c r="Y1741" s="47"/>
      <c r="Z1741" s="47" t="s">
        <v>2524</v>
      </c>
      <c r="AA1741" s="49"/>
      <c r="AB1741" s="49"/>
      <c r="AC1741" s="49"/>
      <c r="AD1741" s="50"/>
      <c r="AE1741" s="47" t="s">
        <v>2754</v>
      </c>
      <c r="AF1741" s="47">
        <v>65</v>
      </c>
      <c r="AG1741"/>
      <c r="AH1741"/>
      <c r="AI1741"/>
      <c r="AJ1741"/>
      <c r="AK1741"/>
      <c r="AL1741"/>
      <c r="AM1741"/>
      <c r="AN1741"/>
      <c r="AO1741"/>
      <c r="AP1741"/>
      <c r="AQ1741" t="s">
        <v>2526</v>
      </c>
      <c r="AU1741">
        <v>1740</v>
      </c>
    </row>
    <row r="1742" spans="1:47" x14ac:dyDescent="0.2">
      <c r="A1742" s="26">
        <v>6431</v>
      </c>
      <c r="B1742" s="27">
        <v>3.9583333333333331E-2</v>
      </c>
      <c r="C1742" s="28"/>
      <c r="D1742" s="29"/>
      <c r="E1742" s="30" t="s">
        <v>3155</v>
      </c>
      <c r="H1742" s="32">
        <v>0</v>
      </c>
      <c r="I1742" s="32" t="s">
        <v>3156</v>
      </c>
      <c r="AG1742" s="32">
        <v>0</v>
      </c>
      <c r="AH1742" s="32">
        <v>0</v>
      </c>
      <c r="AI1742" s="32">
        <v>0</v>
      </c>
      <c r="AK1742" s="32">
        <v>0</v>
      </c>
      <c r="AP1742" s="32">
        <f>48/60</f>
        <v>0.8</v>
      </c>
      <c r="AQ1742" s="32" t="s">
        <v>1101</v>
      </c>
      <c r="AU1742">
        <v>1741</v>
      </c>
    </row>
    <row r="1743" spans="1:47" x14ac:dyDescent="0.2">
      <c r="A1743" s="133">
        <v>6432</v>
      </c>
      <c r="B1743" s="39" t="s">
        <v>45</v>
      </c>
      <c r="C1743" s="39">
        <v>100</v>
      </c>
      <c r="D1743" s="29" t="b">
        <v>0</v>
      </c>
      <c r="E1743" s="39" t="s">
        <v>3157</v>
      </c>
      <c r="F1743" s="47" t="s">
        <v>1224</v>
      </c>
      <c r="G1743" s="47" t="s">
        <v>459</v>
      </c>
      <c r="H1743"/>
      <c r="I1743" s="47" t="b">
        <v>0</v>
      </c>
      <c r="J1743" s="47" t="b">
        <v>0</v>
      </c>
      <c r="K1743" s="47">
        <v>480</v>
      </c>
      <c r="L1743" s="48">
        <v>26</v>
      </c>
      <c r="M1743" s="47">
        <v>-1</v>
      </c>
      <c r="N1743" s="47">
        <v>-1</v>
      </c>
      <c r="O1743" s="47">
        <v>-1</v>
      </c>
      <c r="P1743" s="47">
        <v>-1</v>
      </c>
      <c r="Q1743" s="47">
        <v>-1</v>
      </c>
      <c r="R1743" s="47">
        <v>-1</v>
      </c>
      <c r="S1743" s="48">
        <v>26</v>
      </c>
      <c r="T1743" s="47">
        <v>0</v>
      </c>
      <c r="U1743" s="47">
        <v>0</v>
      </c>
      <c r="V1743" s="47">
        <v>0</v>
      </c>
      <c r="W1743" s="47"/>
      <c r="X1743" s="47">
        <v>191</v>
      </c>
      <c r="Y1743" s="47"/>
      <c r="Z1743" s="47" t="s">
        <v>2524</v>
      </c>
      <c r="AA1743" s="49"/>
      <c r="AB1743" s="49"/>
      <c r="AC1743" s="49"/>
      <c r="AD1743" s="50"/>
      <c r="AE1743" s="47" t="s">
        <v>2754</v>
      </c>
      <c r="AF1743" s="47"/>
      <c r="AG1743"/>
      <c r="AH1743"/>
      <c r="AI1743"/>
      <c r="AJ1743"/>
      <c r="AK1743"/>
      <c r="AL1743"/>
      <c r="AM1743"/>
      <c r="AN1743"/>
      <c r="AO1743"/>
      <c r="AP1743"/>
      <c r="AQ1743" t="s">
        <v>2526</v>
      </c>
      <c r="AU1743">
        <v>1742</v>
      </c>
    </row>
    <row r="1744" spans="1:47" x14ac:dyDescent="0.2">
      <c r="A1744" s="133">
        <v>6432</v>
      </c>
      <c r="B1744" s="39" t="s">
        <v>45</v>
      </c>
      <c r="C1744" s="39">
        <v>100</v>
      </c>
      <c r="D1744" s="29" t="b">
        <v>0</v>
      </c>
      <c r="E1744" s="39" t="s">
        <v>3158</v>
      </c>
      <c r="F1744" s="47" t="s">
        <v>3159</v>
      </c>
      <c r="G1744" s="47" t="s">
        <v>205</v>
      </c>
      <c r="H1744"/>
      <c r="I1744" s="47" t="b">
        <v>1</v>
      </c>
      <c r="J1744" s="47" t="b">
        <v>1</v>
      </c>
      <c r="K1744" s="47">
        <v>3366</v>
      </c>
      <c r="L1744" s="48">
        <v>26</v>
      </c>
      <c r="M1744" s="47">
        <v>-1</v>
      </c>
      <c r="N1744" s="47">
        <v>-1</v>
      </c>
      <c r="O1744" s="47">
        <v>-1</v>
      </c>
      <c r="P1744" s="47">
        <v>-1</v>
      </c>
      <c r="Q1744" s="47">
        <v>-1</v>
      </c>
      <c r="R1744" s="47">
        <v>-1</v>
      </c>
      <c r="S1744" s="48">
        <v>26</v>
      </c>
      <c r="T1744" s="47">
        <v>0</v>
      </c>
      <c r="U1744" s="47">
        <v>0</v>
      </c>
      <c r="V1744" s="47">
        <v>0</v>
      </c>
      <c r="W1744" s="47"/>
      <c r="X1744" s="47">
        <v>192</v>
      </c>
      <c r="Y1744" s="47"/>
      <c r="Z1744" s="47" t="s">
        <v>2524</v>
      </c>
      <c r="AA1744" s="49"/>
      <c r="AB1744" s="49"/>
      <c r="AC1744" s="49"/>
      <c r="AD1744" s="50"/>
      <c r="AE1744" s="47" t="s">
        <v>2754</v>
      </c>
      <c r="AF1744" s="47"/>
      <c r="AG1744"/>
      <c r="AH1744"/>
      <c r="AI1744"/>
      <c r="AJ1744"/>
      <c r="AK1744"/>
      <c r="AL1744"/>
      <c r="AM1744"/>
      <c r="AN1744"/>
      <c r="AO1744"/>
      <c r="AP1744"/>
      <c r="AQ1744" t="s">
        <v>2526</v>
      </c>
      <c r="AU1744">
        <v>1743</v>
      </c>
    </row>
    <row r="1745" spans="1:47" x14ac:dyDescent="0.2">
      <c r="A1745" s="133">
        <v>6432</v>
      </c>
      <c r="B1745" s="39" t="s">
        <v>45</v>
      </c>
      <c r="C1745" s="39">
        <v>100</v>
      </c>
      <c r="D1745" s="29" t="b">
        <v>0</v>
      </c>
      <c r="E1745" s="39" t="s">
        <v>3160</v>
      </c>
      <c r="F1745" s="47" t="s">
        <v>529</v>
      </c>
      <c r="G1745" s="47" t="s">
        <v>205</v>
      </c>
      <c r="H1745"/>
      <c r="I1745" s="47" t="b">
        <v>0</v>
      </c>
      <c r="J1745" s="47" t="b">
        <v>0</v>
      </c>
      <c r="K1745" s="47">
        <v>2839</v>
      </c>
      <c r="L1745" s="48">
        <v>26</v>
      </c>
      <c r="M1745" s="47">
        <v>-1</v>
      </c>
      <c r="N1745" s="47">
        <v>-1</v>
      </c>
      <c r="O1745" s="47">
        <v>-1</v>
      </c>
      <c r="P1745" s="47">
        <v>-1</v>
      </c>
      <c r="Q1745" s="47">
        <v>-1</v>
      </c>
      <c r="R1745" s="47">
        <v>-1</v>
      </c>
      <c r="S1745" s="48">
        <v>26</v>
      </c>
      <c r="T1745" s="47">
        <v>0</v>
      </c>
      <c r="U1745" s="47">
        <v>0</v>
      </c>
      <c r="V1745" s="47">
        <v>0</v>
      </c>
      <c r="W1745" s="47"/>
      <c r="X1745" s="47">
        <v>193</v>
      </c>
      <c r="Y1745" s="47"/>
      <c r="Z1745" s="47" t="s">
        <v>2524</v>
      </c>
      <c r="AA1745" s="49"/>
      <c r="AB1745" s="49"/>
      <c r="AC1745" s="49"/>
      <c r="AD1745" s="50"/>
      <c r="AE1745" s="47" t="s">
        <v>2754</v>
      </c>
      <c r="AF1745" s="47"/>
      <c r="AG1745"/>
      <c r="AH1745"/>
      <c r="AI1745"/>
      <c r="AJ1745"/>
      <c r="AK1745"/>
      <c r="AL1745"/>
      <c r="AM1745"/>
      <c r="AN1745"/>
      <c r="AO1745"/>
      <c r="AP1745"/>
      <c r="AQ1745" t="s">
        <v>2526</v>
      </c>
      <c r="AU1745">
        <v>1744</v>
      </c>
    </row>
    <row r="1746" spans="1:47" x14ac:dyDescent="0.2">
      <c r="A1746" s="133">
        <v>6432</v>
      </c>
      <c r="B1746" s="39" t="s">
        <v>45</v>
      </c>
      <c r="C1746" s="39">
        <v>100</v>
      </c>
      <c r="D1746" s="29" t="b">
        <v>0</v>
      </c>
      <c r="E1746" s="39" t="s">
        <v>2780</v>
      </c>
      <c r="F1746" s="47" t="s">
        <v>3161</v>
      </c>
      <c r="G1746" s="47" t="s">
        <v>73</v>
      </c>
      <c r="H1746"/>
      <c r="I1746" s="47" t="b">
        <v>0</v>
      </c>
      <c r="J1746" s="47" t="b">
        <v>0</v>
      </c>
      <c r="K1746" s="47">
        <v>1400</v>
      </c>
      <c r="L1746" s="48">
        <v>26</v>
      </c>
      <c r="M1746" s="47">
        <v>-1</v>
      </c>
      <c r="N1746" s="47">
        <v>-1</v>
      </c>
      <c r="O1746" s="47">
        <v>-1</v>
      </c>
      <c r="P1746" s="47">
        <v>-1</v>
      </c>
      <c r="Q1746" s="47">
        <v>-1</v>
      </c>
      <c r="R1746" s="47">
        <v>-1</v>
      </c>
      <c r="S1746" s="48">
        <v>26</v>
      </c>
      <c r="T1746" s="47">
        <v>0</v>
      </c>
      <c r="U1746" s="47">
        <v>0</v>
      </c>
      <c r="V1746" s="47">
        <v>0</v>
      </c>
      <c r="W1746" s="47"/>
      <c r="X1746" s="47">
        <v>194</v>
      </c>
      <c r="Y1746" s="47"/>
      <c r="Z1746" s="47" t="s">
        <v>2524</v>
      </c>
      <c r="AA1746" s="49"/>
      <c r="AB1746" s="49"/>
      <c r="AC1746" s="49"/>
      <c r="AD1746" s="50"/>
      <c r="AE1746" s="47" t="s">
        <v>2754</v>
      </c>
      <c r="AF1746" s="47">
        <v>50</v>
      </c>
      <c r="AG1746"/>
      <c r="AH1746"/>
      <c r="AI1746"/>
      <c r="AJ1746"/>
      <c r="AK1746"/>
      <c r="AL1746"/>
      <c r="AM1746"/>
      <c r="AN1746"/>
      <c r="AO1746"/>
      <c r="AP1746"/>
      <c r="AQ1746" t="s">
        <v>2526</v>
      </c>
      <c r="AU1746">
        <v>1745</v>
      </c>
    </row>
    <row r="1747" spans="1:47" x14ac:dyDescent="0.2">
      <c r="A1747" s="133">
        <v>6432</v>
      </c>
      <c r="B1747" s="39" t="s">
        <v>45</v>
      </c>
      <c r="C1747" s="39">
        <v>100</v>
      </c>
      <c r="D1747" s="29" t="b">
        <v>0</v>
      </c>
      <c r="E1747" s="39" t="s">
        <v>2779</v>
      </c>
      <c r="F1747" s="47" t="s">
        <v>3162</v>
      </c>
      <c r="G1747" s="47" t="s">
        <v>73</v>
      </c>
      <c r="H1747"/>
      <c r="I1747" s="47" t="b">
        <v>0</v>
      </c>
      <c r="J1747" s="47" t="b">
        <v>0</v>
      </c>
      <c r="K1747" s="47">
        <v>655</v>
      </c>
      <c r="L1747" s="48">
        <v>26</v>
      </c>
      <c r="M1747" s="47">
        <v>-1</v>
      </c>
      <c r="N1747" s="47">
        <v>-1</v>
      </c>
      <c r="O1747" s="47">
        <v>-1</v>
      </c>
      <c r="P1747" s="47">
        <v>-1</v>
      </c>
      <c r="Q1747" s="47">
        <v>-1</v>
      </c>
      <c r="R1747" s="47">
        <v>-1</v>
      </c>
      <c r="S1747" s="48">
        <v>26</v>
      </c>
      <c r="T1747" s="47">
        <v>0</v>
      </c>
      <c r="U1747" s="47">
        <v>0</v>
      </c>
      <c r="V1747" s="47">
        <v>0</v>
      </c>
      <c r="W1747" s="47"/>
      <c r="X1747" s="47">
        <v>195</v>
      </c>
      <c r="Y1747" s="47"/>
      <c r="Z1747" s="47" t="s">
        <v>2524</v>
      </c>
      <c r="AA1747" s="49"/>
      <c r="AB1747" s="49"/>
      <c r="AC1747" s="49"/>
      <c r="AD1747" s="50"/>
      <c r="AE1747" s="47" t="s">
        <v>2754</v>
      </c>
      <c r="AF1747" s="47">
        <v>45</v>
      </c>
      <c r="AG1747"/>
      <c r="AH1747"/>
      <c r="AI1747"/>
      <c r="AJ1747"/>
      <c r="AK1747"/>
      <c r="AL1747"/>
      <c r="AM1747"/>
      <c r="AN1747"/>
      <c r="AO1747"/>
      <c r="AP1747"/>
      <c r="AQ1747" t="s">
        <v>2526</v>
      </c>
      <c r="AU1747">
        <v>1746</v>
      </c>
    </row>
    <row r="1748" spans="1:47" x14ac:dyDescent="0.2">
      <c r="A1748" s="133">
        <v>6432</v>
      </c>
      <c r="B1748" s="39" t="s">
        <v>45</v>
      </c>
      <c r="C1748" s="39">
        <v>100</v>
      </c>
      <c r="D1748" s="29" t="b">
        <v>0</v>
      </c>
      <c r="E1748" s="39" t="s">
        <v>2835</v>
      </c>
      <c r="F1748" s="47" t="s">
        <v>748</v>
      </c>
      <c r="G1748" s="47" t="s">
        <v>73</v>
      </c>
      <c r="H1748"/>
      <c r="I1748" s="47" t="b">
        <v>0</v>
      </c>
      <c r="J1748" s="47" t="b">
        <v>0</v>
      </c>
      <c r="K1748" s="47">
        <v>722</v>
      </c>
      <c r="L1748" s="48">
        <v>26</v>
      </c>
      <c r="M1748" s="47">
        <v>-1</v>
      </c>
      <c r="N1748" s="47">
        <v>-1</v>
      </c>
      <c r="O1748" s="47">
        <v>-1</v>
      </c>
      <c r="P1748" s="47">
        <v>-1</v>
      </c>
      <c r="Q1748" s="47">
        <v>-1</v>
      </c>
      <c r="R1748" s="47">
        <v>-1</v>
      </c>
      <c r="S1748" s="48">
        <v>26</v>
      </c>
      <c r="T1748" s="47">
        <v>0</v>
      </c>
      <c r="U1748" s="47">
        <v>0</v>
      </c>
      <c r="V1748" s="47">
        <v>0</v>
      </c>
      <c r="W1748" s="47"/>
      <c r="X1748" s="47">
        <v>196</v>
      </c>
      <c r="Y1748" s="47"/>
      <c r="Z1748" s="47" t="s">
        <v>2524</v>
      </c>
      <c r="AA1748" s="49"/>
      <c r="AB1748" s="49"/>
      <c r="AC1748" s="49"/>
      <c r="AD1748" s="50"/>
      <c r="AE1748" s="47" t="s">
        <v>2754</v>
      </c>
      <c r="AF1748" s="47">
        <v>55</v>
      </c>
      <c r="AG1748"/>
      <c r="AH1748"/>
      <c r="AI1748"/>
      <c r="AJ1748"/>
      <c r="AK1748"/>
      <c r="AL1748"/>
      <c r="AM1748"/>
      <c r="AN1748"/>
      <c r="AO1748"/>
      <c r="AP1748"/>
      <c r="AQ1748" t="s">
        <v>2526</v>
      </c>
      <c r="AU1748">
        <v>1747</v>
      </c>
    </row>
    <row r="1749" spans="1:47" x14ac:dyDescent="0.2">
      <c r="A1749" s="133">
        <v>6432</v>
      </c>
      <c r="B1749" s="39" t="s">
        <v>45</v>
      </c>
      <c r="C1749" s="39">
        <v>100</v>
      </c>
      <c r="D1749" s="29" t="b">
        <v>0</v>
      </c>
      <c r="E1749" s="39" t="s">
        <v>3163</v>
      </c>
      <c r="F1749" s="47" t="s">
        <v>3164</v>
      </c>
      <c r="G1749" s="47" t="s">
        <v>459</v>
      </c>
      <c r="H1749"/>
      <c r="I1749" s="47" t="b">
        <v>0</v>
      </c>
      <c r="J1749" s="47" t="b">
        <v>0</v>
      </c>
      <c r="K1749" s="47">
        <v>710</v>
      </c>
      <c r="L1749" s="48">
        <v>26</v>
      </c>
      <c r="M1749" s="47">
        <v>-1</v>
      </c>
      <c r="N1749" s="47">
        <v>-1</v>
      </c>
      <c r="O1749" s="47">
        <v>-1</v>
      </c>
      <c r="P1749" s="47">
        <v>-1</v>
      </c>
      <c r="Q1749" s="47">
        <v>-1</v>
      </c>
      <c r="R1749" s="47">
        <v>-1</v>
      </c>
      <c r="S1749" s="48">
        <v>26</v>
      </c>
      <c r="T1749" s="47">
        <v>0</v>
      </c>
      <c r="U1749" s="47">
        <v>0</v>
      </c>
      <c r="V1749" s="47">
        <v>0</v>
      </c>
      <c r="W1749" s="47"/>
      <c r="X1749" s="47">
        <v>197</v>
      </c>
      <c r="Y1749" s="47"/>
      <c r="Z1749" s="47" t="s">
        <v>2524</v>
      </c>
      <c r="AA1749" s="49"/>
      <c r="AB1749" s="49"/>
      <c r="AC1749" s="49"/>
      <c r="AD1749" s="50"/>
      <c r="AE1749" s="47" t="s">
        <v>2754</v>
      </c>
      <c r="AF1749" s="47"/>
      <c r="AG1749"/>
      <c r="AH1749"/>
      <c r="AI1749"/>
      <c r="AJ1749"/>
      <c r="AK1749"/>
      <c r="AL1749"/>
      <c r="AM1749"/>
      <c r="AN1749"/>
      <c r="AO1749"/>
      <c r="AP1749"/>
      <c r="AQ1749" t="s">
        <v>2526</v>
      </c>
      <c r="AU1749">
        <v>1748</v>
      </c>
    </row>
    <row r="1750" spans="1:47" x14ac:dyDescent="0.2">
      <c r="A1750" s="133">
        <v>6432</v>
      </c>
      <c r="B1750" s="39" t="s">
        <v>45</v>
      </c>
      <c r="C1750" s="39">
        <v>100</v>
      </c>
      <c r="D1750" s="29" t="b">
        <v>0</v>
      </c>
      <c r="E1750" s="39" t="s">
        <v>3138</v>
      </c>
      <c r="F1750" s="47" t="s">
        <v>220</v>
      </c>
      <c r="G1750" s="47" t="s">
        <v>49</v>
      </c>
      <c r="H1750"/>
      <c r="I1750" s="47" t="b">
        <v>0</v>
      </c>
      <c r="J1750" s="47" t="b">
        <v>0</v>
      </c>
      <c r="K1750" s="47">
        <v>380</v>
      </c>
      <c r="L1750" s="48">
        <v>26</v>
      </c>
      <c r="M1750" s="47">
        <v>-1</v>
      </c>
      <c r="N1750" s="47">
        <v>-1</v>
      </c>
      <c r="O1750" s="47">
        <v>-1</v>
      </c>
      <c r="P1750" s="47">
        <v>-1</v>
      </c>
      <c r="Q1750" s="47">
        <v>-1</v>
      </c>
      <c r="R1750" s="47">
        <v>-1</v>
      </c>
      <c r="S1750" s="48">
        <v>26</v>
      </c>
      <c r="T1750" s="47">
        <v>0</v>
      </c>
      <c r="U1750" s="47">
        <v>0</v>
      </c>
      <c r="V1750" s="47">
        <v>0</v>
      </c>
      <c r="W1750" s="47"/>
      <c r="X1750" s="47">
        <v>198</v>
      </c>
      <c r="Y1750" s="47"/>
      <c r="Z1750" s="47" t="s">
        <v>2524</v>
      </c>
      <c r="AA1750" s="49"/>
      <c r="AB1750" s="49"/>
      <c r="AC1750" s="49"/>
      <c r="AD1750" s="50"/>
      <c r="AE1750" s="47" t="s">
        <v>2754</v>
      </c>
      <c r="AF1750" s="47"/>
      <c r="AG1750"/>
      <c r="AH1750"/>
      <c r="AI1750"/>
      <c r="AJ1750"/>
      <c r="AK1750"/>
      <c r="AL1750"/>
      <c r="AM1750"/>
      <c r="AN1750"/>
      <c r="AO1750"/>
      <c r="AP1750"/>
      <c r="AQ1750" t="s">
        <v>2526</v>
      </c>
      <c r="AU1750">
        <v>1749</v>
      </c>
    </row>
    <row r="1751" spans="1:47" x14ac:dyDescent="0.2">
      <c r="A1751" s="133">
        <v>6432</v>
      </c>
      <c r="B1751" s="39" t="s">
        <v>45</v>
      </c>
      <c r="C1751" s="39">
        <v>100</v>
      </c>
      <c r="D1751" s="29" t="b">
        <v>0</v>
      </c>
      <c r="E1751" s="39" t="s">
        <v>3165</v>
      </c>
      <c r="F1751" s="47" t="s">
        <v>144</v>
      </c>
      <c r="G1751" s="47" t="s">
        <v>73</v>
      </c>
      <c r="H1751"/>
      <c r="I1751" s="47" t="b">
        <v>0</v>
      </c>
      <c r="J1751" s="47" t="b">
        <v>0</v>
      </c>
      <c r="K1751" s="47">
        <v>710</v>
      </c>
      <c r="L1751" s="48">
        <v>26</v>
      </c>
      <c r="M1751" s="47">
        <v>-1</v>
      </c>
      <c r="N1751" s="47">
        <v>-1</v>
      </c>
      <c r="O1751" s="47">
        <v>-1</v>
      </c>
      <c r="P1751" s="47">
        <v>-1</v>
      </c>
      <c r="Q1751" s="47">
        <v>-1</v>
      </c>
      <c r="R1751" s="47">
        <v>-1</v>
      </c>
      <c r="S1751" s="48">
        <v>26</v>
      </c>
      <c r="T1751" s="47">
        <v>0</v>
      </c>
      <c r="U1751" s="47">
        <v>0</v>
      </c>
      <c r="V1751" s="47">
        <v>0</v>
      </c>
      <c r="W1751" s="47"/>
      <c r="X1751" s="47">
        <v>199</v>
      </c>
      <c r="Y1751" s="47"/>
      <c r="Z1751" s="47" t="s">
        <v>2524</v>
      </c>
      <c r="AA1751" s="49"/>
      <c r="AB1751" s="49"/>
      <c r="AC1751" s="49"/>
      <c r="AD1751" s="50"/>
      <c r="AE1751" s="47" t="s">
        <v>2754</v>
      </c>
      <c r="AF1751" s="47"/>
      <c r="AG1751"/>
      <c r="AH1751"/>
      <c r="AI1751"/>
      <c r="AJ1751"/>
      <c r="AK1751"/>
      <c r="AL1751"/>
      <c r="AM1751"/>
      <c r="AN1751"/>
      <c r="AO1751"/>
      <c r="AP1751"/>
      <c r="AQ1751" t="s">
        <v>2526</v>
      </c>
      <c r="AU1751">
        <v>1750</v>
      </c>
    </row>
    <row r="1752" spans="1:47" x14ac:dyDescent="0.2">
      <c r="A1752" s="133">
        <v>6432</v>
      </c>
      <c r="B1752" s="39" t="s">
        <v>45</v>
      </c>
      <c r="C1752" s="39">
        <v>100</v>
      </c>
      <c r="D1752" s="29" t="b">
        <v>0</v>
      </c>
      <c r="E1752" s="39" t="s">
        <v>3166</v>
      </c>
      <c r="F1752" s="47" t="s">
        <v>3167</v>
      </c>
      <c r="G1752" s="47" t="s">
        <v>49</v>
      </c>
      <c r="H1752"/>
      <c r="I1752" s="47" t="b">
        <v>0</v>
      </c>
      <c r="J1752" s="47" t="b">
        <v>0</v>
      </c>
      <c r="K1752" s="47">
        <v>910</v>
      </c>
      <c r="L1752" s="48">
        <v>26</v>
      </c>
      <c r="M1752" s="47">
        <v>-1</v>
      </c>
      <c r="N1752" s="47">
        <v>-1</v>
      </c>
      <c r="O1752" s="47">
        <v>-1</v>
      </c>
      <c r="P1752" s="47">
        <v>-1</v>
      </c>
      <c r="Q1752" s="47">
        <v>-1</v>
      </c>
      <c r="R1752" s="47">
        <v>-1</v>
      </c>
      <c r="S1752" s="48">
        <v>26</v>
      </c>
      <c r="T1752" s="47">
        <v>0</v>
      </c>
      <c r="U1752" s="47">
        <v>0</v>
      </c>
      <c r="V1752" s="47">
        <v>0</v>
      </c>
      <c r="W1752" s="47"/>
      <c r="X1752" s="47">
        <v>200</v>
      </c>
      <c r="Y1752" s="47"/>
      <c r="Z1752" s="47" t="s">
        <v>2524</v>
      </c>
      <c r="AA1752" s="49"/>
      <c r="AB1752" s="49"/>
      <c r="AC1752" s="49"/>
      <c r="AD1752" s="50"/>
      <c r="AE1752" s="47" t="s">
        <v>2754</v>
      </c>
      <c r="AF1752" s="47"/>
      <c r="AG1752"/>
      <c r="AH1752"/>
      <c r="AI1752"/>
      <c r="AJ1752"/>
      <c r="AK1752"/>
      <c r="AL1752"/>
      <c r="AM1752"/>
      <c r="AN1752"/>
      <c r="AO1752"/>
      <c r="AP1752"/>
      <c r="AQ1752" t="s">
        <v>2526</v>
      </c>
      <c r="AU1752">
        <v>1751</v>
      </c>
    </row>
    <row r="1753" spans="1:47" x14ac:dyDescent="0.2">
      <c r="A1753" s="26">
        <v>6432</v>
      </c>
      <c r="B1753" s="27">
        <v>0.97569444444444453</v>
      </c>
      <c r="C1753" s="28"/>
      <c r="D1753" s="29"/>
      <c r="E1753" s="30" t="s">
        <v>464</v>
      </c>
      <c r="H1753" s="32">
        <v>1</v>
      </c>
      <c r="I1753" s="32" t="s">
        <v>3168</v>
      </c>
      <c r="AG1753" s="32">
        <v>0</v>
      </c>
      <c r="AH1753" s="32">
        <v>0</v>
      </c>
      <c r="AI1753" s="32">
        <v>0</v>
      </c>
      <c r="AL1753" s="32">
        <f>35/60</f>
        <v>0.58333333333333337</v>
      </c>
      <c r="AO1753" s="32" t="s">
        <v>1898</v>
      </c>
      <c r="AP1753" s="32">
        <f>35/60</f>
        <v>0.58333333333333337</v>
      </c>
      <c r="AQ1753" s="32" t="s">
        <v>1522</v>
      </c>
      <c r="AU1753">
        <v>1752</v>
      </c>
    </row>
    <row r="1754" spans="1:47" x14ac:dyDescent="0.2">
      <c r="A1754" s="26">
        <v>6432</v>
      </c>
      <c r="B1754" s="27" t="s">
        <v>45</v>
      </c>
      <c r="C1754" s="28"/>
      <c r="D1754" s="29"/>
      <c r="E1754" s="30" t="s">
        <v>1531</v>
      </c>
      <c r="H1754" s="32">
        <v>0</v>
      </c>
      <c r="I1754" s="32" t="s">
        <v>1532</v>
      </c>
      <c r="AG1754" s="32">
        <v>0</v>
      </c>
      <c r="AH1754" s="32">
        <v>0</v>
      </c>
      <c r="AI1754" s="32">
        <v>0</v>
      </c>
      <c r="AK1754" s="32">
        <v>0</v>
      </c>
      <c r="AM1754" s="32">
        <f>498*20</f>
        <v>9960</v>
      </c>
      <c r="AO1754" s="32" t="s">
        <v>1533</v>
      </c>
      <c r="AQ1754" s="32" t="s">
        <v>1101</v>
      </c>
      <c r="AU1754">
        <v>1753</v>
      </c>
    </row>
    <row r="1755" spans="1:47" x14ac:dyDescent="0.2">
      <c r="A1755" s="26">
        <v>6432</v>
      </c>
      <c r="B1755" s="27" t="s">
        <v>45</v>
      </c>
      <c r="C1755" s="28"/>
      <c r="D1755" s="29"/>
      <c r="E1755" s="150" t="s">
        <v>2286</v>
      </c>
      <c r="H1755" s="32">
        <v>0</v>
      </c>
      <c r="I1755" s="32" t="s">
        <v>1824</v>
      </c>
      <c r="AG1755" s="32">
        <v>0</v>
      </c>
      <c r="AH1755" s="32">
        <v>0</v>
      </c>
      <c r="AI1755" s="32">
        <v>0</v>
      </c>
      <c r="AK1755" s="32">
        <v>0</v>
      </c>
      <c r="AM1755" s="32">
        <v>7500</v>
      </c>
      <c r="AO1755" s="73" t="s">
        <v>75</v>
      </c>
      <c r="AQ1755" s="32" t="s">
        <v>589</v>
      </c>
      <c r="AU1755">
        <v>1754</v>
      </c>
    </row>
    <row r="1756" spans="1:47" x14ac:dyDescent="0.2">
      <c r="A1756" s="44">
        <v>6433</v>
      </c>
      <c r="B1756" s="42" t="s">
        <v>85</v>
      </c>
      <c r="C1756" s="43" t="s">
        <v>3169</v>
      </c>
      <c r="D1756" s="29"/>
      <c r="E1756" s="36" t="s">
        <v>2478</v>
      </c>
      <c r="F1756" s="31" t="s">
        <v>365</v>
      </c>
      <c r="G1756" s="31" t="s">
        <v>722</v>
      </c>
      <c r="H1756" s="32"/>
      <c r="I1756" s="32" t="s">
        <v>3170</v>
      </c>
      <c r="K1756" s="31">
        <f>120*2.2</f>
        <v>264</v>
      </c>
      <c r="L1756" s="33">
        <v>2</v>
      </c>
      <c r="S1756" s="33">
        <v>2</v>
      </c>
      <c r="T1756" s="31">
        <v>0</v>
      </c>
      <c r="U1756" s="31">
        <v>0</v>
      </c>
      <c r="V1756" s="31">
        <v>0</v>
      </c>
      <c r="Y1756" s="31" t="s">
        <v>51</v>
      </c>
      <c r="Z1756" s="47" t="s">
        <v>1809</v>
      </c>
      <c r="AA1756" s="34">
        <v>0.17708333333333334</v>
      </c>
      <c r="AB1756" s="34">
        <v>0.34375</v>
      </c>
      <c r="AC1756" s="34">
        <v>0.20833333333333334</v>
      </c>
      <c r="AD1756" s="35">
        <v>4</v>
      </c>
      <c r="AE1756" s="31" t="s">
        <v>342</v>
      </c>
      <c r="AF1756" s="31">
        <v>120</v>
      </c>
      <c r="AK1756" s="32">
        <v>12</v>
      </c>
      <c r="AO1756" s="73"/>
      <c r="AQ1756" s="32" t="s">
        <v>3171</v>
      </c>
      <c r="AU1756">
        <v>1755</v>
      </c>
    </row>
    <row r="1757" spans="1:47" x14ac:dyDescent="0.2">
      <c r="A1757" s="26">
        <v>6433</v>
      </c>
      <c r="B1757" s="27" t="s">
        <v>45</v>
      </c>
      <c r="C1757" s="28"/>
      <c r="D1757" s="29"/>
      <c r="E1757" s="30" t="s">
        <v>1531</v>
      </c>
      <c r="H1757" s="32">
        <v>0</v>
      </c>
      <c r="I1757" s="32" t="s">
        <v>1532</v>
      </c>
      <c r="AG1757" s="32">
        <v>0</v>
      </c>
      <c r="AH1757" s="32">
        <v>0</v>
      </c>
      <c r="AI1757" s="32">
        <v>0</v>
      </c>
      <c r="AK1757" s="32">
        <v>0</v>
      </c>
      <c r="AM1757" s="32">
        <f>498*7</f>
        <v>3486</v>
      </c>
      <c r="AO1757" s="32" t="s">
        <v>1533</v>
      </c>
      <c r="AQ1757" s="32" t="s">
        <v>1101</v>
      </c>
      <c r="AU1757">
        <v>1756</v>
      </c>
    </row>
    <row r="1758" spans="1:47" x14ac:dyDescent="0.2">
      <c r="A1758" s="26">
        <v>6433</v>
      </c>
      <c r="B1758" s="27"/>
      <c r="C1758" s="28"/>
      <c r="D1758" s="29"/>
      <c r="E1758" s="30" t="s">
        <v>2478</v>
      </c>
      <c r="H1758" s="32">
        <v>1</v>
      </c>
      <c r="I1758" s="32" t="s">
        <v>2495</v>
      </c>
      <c r="AG1758" s="32">
        <v>1</v>
      </c>
      <c r="AH1758" s="32">
        <v>1</v>
      </c>
      <c r="AI1758" s="32">
        <f>80000+10000+300000*90/1342</f>
        <v>110119.22503725783</v>
      </c>
      <c r="AK1758" s="32">
        <v>6</v>
      </c>
      <c r="AQ1758" s="32" t="s">
        <v>2496</v>
      </c>
      <c r="AU1758">
        <v>1757</v>
      </c>
    </row>
    <row r="1759" spans="1:47" x14ac:dyDescent="0.2">
      <c r="A1759" s="37">
        <v>6434</v>
      </c>
      <c r="B1759" s="38" t="s">
        <v>85</v>
      </c>
      <c r="C1759" s="39" t="s">
        <v>2689</v>
      </c>
      <c r="D1759" s="29"/>
      <c r="E1759" s="38" t="s">
        <v>528</v>
      </c>
      <c r="F1759" s="32" t="s">
        <v>204</v>
      </c>
      <c r="G1759" s="47" t="s">
        <v>205</v>
      </c>
      <c r="H1759"/>
      <c r="I1759" s="32" t="s">
        <v>3172</v>
      </c>
      <c r="J1759" s="47"/>
      <c r="L1759" s="48"/>
      <c r="M1759" s="47"/>
      <c r="N1759" s="47"/>
      <c r="O1759" s="47"/>
      <c r="P1759" s="47"/>
      <c r="Q1759" s="47"/>
      <c r="R1759" s="47"/>
      <c r="S1759" s="48"/>
      <c r="T1759" s="47">
        <v>1</v>
      </c>
      <c r="U1759" s="47"/>
      <c r="V1759" s="47"/>
      <c r="W1759" s="47"/>
      <c r="X1759" s="47"/>
      <c r="Y1759" s="47"/>
      <c r="Z1759" s="47" t="s">
        <v>1809</v>
      </c>
      <c r="AA1759" s="49"/>
      <c r="AB1759" s="49"/>
      <c r="AC1759" s="49"/>
      <c r="AD1759" s="50"/>
      <c r="AE1759" s="47" t="s">
        <v>1312</v>
      </c>
      <c r="AF1759" s="47">
        <v>140</v>
      </c>
      <c r="AG1759"/>
      <c r="AH1759"/>
      <c r="AI1759"/>
      <c r="AJ1759"/>
      <c r="AK1759"/>
      <c r="AL1759"/>
      <c r="AM1759"/>
      <c r="AN1759"/>
      <c r="AO1759"/>
      <c r="AP1759"/>
      <c r="AQ1759" t="s">
        <v>3057</v>
      </c>
      <c r="AU1759">
        <v>1758</v>
      </c>
    </row>
    <row r="1760" spans="1:47" x14ac:dyDescent="0.2">
      <c r="A1760" s="37">
        <v>6434</v>
      </c>
      <c r="B1760" s="38" t="s">
        <v>85</v>
      </c>
      <c r="C1760" s="39" t="s">
        <v>2689</v>
      </c>
      <c r="D1760" s="29"/>
      <c r="E1760" s="38" t="s">
        <v>782</v>
      </c>
      <c r="F1760" s="32" t="s">
        <v>204</v>
      </c>
      <c r="G1760" s="47" t="s">
        <v>205</v>
      </c>
      <c r="H1760"/>
      <c r="I1760" s="32" t="s">
        <v>3173</v>
      </c>
      <c r="J1760" s="47"/>
      <c r="K1760" s="47">
        <f>120*2.2</f>
        <v>264</v>
      </c>
      <c r="L1760" s="48"/>
      <c r="M1760" s="47"/>
      <c r="N1760" s="47"/>
      <c r="O1760" s="47"/>
      <c r="P1760" s="47"/>
      <c r="Q1760" s="47"/>
      <c r="R1760" s="47"/>
      <c r="S1760" s="48">
        <v>2</v>
      </c>
      <c r="T1760" s="47"/>
      <c r="U1760" s="47"/>
      <c r="V1760" s="47"/>
      <c r="W1760" s="47"/>
      <c r="X1760" s="47"/>
      <c r="Y1760" s="47"/>
      <c r="Z1760" s="47" t="s">
        <v>1809</v>
      </c>
      <c r="AA1760" s="49"/>
      <c r="AB1760" s="49"/>
      <c r="AC1760" s="49"/>
      <c r="AD1760" s="50"/>
      <c r="AE1760" s="47" t="s">
        <v>1312</v>
      </c>
      <c r="AF1760" s="47">
        <v>120</v>
      </c>
      <c r="AG1760"/>
      <c r="AH1760"/>
      <c r="AI1760"/>
      <c r="AJ1760"/>
      <c r="AK1760"/>
      <c r="AL1760"/>
      <c r="AM1760"/>
      <c r="AN1760"/>
      <c r="AO1760"/>
      <c r="AP1760"/>
      <c r="AQ1760" t="s">
        <v>3057</v>
      </c>
      <c r="AU1760">
        <v>1759</v>
      </c>
    </row>
    <row r="1761" spans="1:47" x14ac:dyDescent="0.2">
      <c r="A1761" s="133">
        <v>6434</v>
      </c>
      <c r="B1761" s="39" t="s">
        <v>45</v>
      </c>
      <c r="C1761" s="39">
        <v>100</v>
      </c>
      <c r="D1761" s="29" t="b">
        <v>0</v>
      </c>
      <c r="E1761" s="39" t="s">
        <v>3174</v>
      </c>
      <c r="F1761" s="47" t="s">
        <v>3175</v>
      </c>
      <c r="G1761" s="47" t="s">
        <v>73</v>
      </c>
      <c r="H1761"/>
      <c r="I1761" s="47" t="b">
        <v>1</v>
      </c>
      <c r="J1761" s="47" t="b">
        <v>1</v>
      </c>
      <c r="K1761" s="47">
        <v>2310</v>
      </c>
      <c r="L1761" s="48">
        <v>7</v>
      </c>
      <c r="M1761" s="47">
        <v>-1</v>
      </c>
      <c r="N1761" s="47">
        <v>-1</v>
      </c>
      <c r="O1761" s="47">
        <v>-1</v>
      </c>
      <c r="P1761" s="47">
        <v>-1</v>
      </c>
      <c r="Q1761" s="47">
        <v>-1</v>
      </c>
      <c r="R1761" s="47">
        <v>-1</v>
      </c>
      <c r="S1761" s="48">
        <v>7</v>
      </c>
      <c r="T1761" s="47">
        <v>0</v>
      </c>
      <c r="U1761" s="47">
        <v>0</v>
      </c>
      <c r="V1761" s="47">
        <v>0</v>
      </c>
      <c r="W1761" s="47"/>
      <c r="X1761" s="47">
        <v>202</v>
      </c>
      <c r="Y1761" s="47"/>
      <c r="Z1761" s="47" t="s">
        <v>2524</v>
      </c>
      <c r="AA1761" s="49"/>
      <c r="AB1761" s="49"/>
      <c r="AC1761" s="49"/>
      <c r="AD1761" s="50"/>
      <c r="AE1761" s="47" t="s">
        <v>2754</v>
      </c>
      <c r="AF1761" s="47">
        <v>50</v>
      </c>
      <c r="AG1761"/>
      <c r="AH1761"/>
      <c r="AI1761"/>
      <c r="AJ1761"/>
      <c r="AK1761"/>
      <c r="AL1761"/>
      <c r="AM1761"/>
      <c r="AN1761"/>
      <c r="AO1761"/>
      <c r="AP1761"/>
      <c r="AQ1761" t="s">
        <v>2526</v>
      </c>
      <c r="AU1761">
        <v>1760</v>
      </c>
    </row>
    <row r="1762" spans="1:47" x14ac:dyDescent="0.2">
      <c r="A1762" s="133">
        <v>6434</v>
      </c>
      <c r="B1762" s="39" t="s">
        <v>45</v>
      </c>
      <c r="C1762" s="39">
        <v>100</v>
      </c>
      <c r="D1762" s="29" t="b">
        <v>0</v>
      </c>
      <c r="E1762" s="39" t="s">
        <v>2780</v>
      </c>
      <c r="F1762" s="47" t="s">
        <v>3176</v>
      </c>
      <c r="G1762" s="47" t="s">
        <v>73</v>
      </c>
      <c r="H1762"/>
      <c r="I1762" s="47" t="b">
        <v>0</v>
      </c>
      <c r="J1762" s="47" t="b">
        <v>0</v>
      </c>
      <c r="K1762" s="47">
        <v>1600</v>
      </c>
      <c r="L1762" s="48">
        <v>7</v>
      </c>
      <c r="M1762" s="47">
        <v>-1</v>
      </c>
      <c r="N1762" s="47">
        <v>-1</v>
      </c>
      <c r="O1762" s="47">
        <v>-1</v>
      </c>
      <c r="P1762" s="47">
        <v>-1</v>
      </c>
      <c r="Q1762" s="47">
        <v>-1</v>
      </c>
      <c r="R1762" s="47">
        <v>-1</v>
      </c>
      <c r="S1762" s="48">
        <v>7</v>
      </c>
      <c r="T1762" s="47">
        <v>0</v>
      </c>
      <c r="U1762" s="47">
        <v>0</v>
      </c>
      <c r="V1762" s="47">
        <v>0</v>
      </c>
      <c r="W1762" s="47"/>
      <c r="X1762" s="47">
        <v>201</v>
      </c>
      <c r="Y1762" s="47"/>
      <c r="Z1762" s="47" t="s">
        <v>2524</v>
      </c>
      <c r="AA1762" s="49"/>
      <c r="AB1762" s="49"/>
      <c r="AC1762" s="49"/>
      <c r="AD1762" s="50"/>
      <c r="AE1762" s="47" t="s">
        <v>2754</v>
      </c>
      <c r="AF1762" s="47">
        <v>50</v>
      </c>
      <c r="AG1762"/>
      <c r="AH1762"/>
      <c r="AI1762"/>
      <c r="AJ1762"/>
      <c r="AK1762"/>
      <c r="AL1762"/>
      <c r="AM1762"/>
      <c r="AN1762"/>
      <c r="AO1762"/>
      <c r="AP1762"/>
      <c r="AQ1762" t="s">
        <v>2526</v>
      </c>
      <c r="AU1762">
        <v>1761</v>
      </c>
    </row>
    <row r="1763" spans="1:47" x14ac:dyDescent="0.2">
      <c r="A1763" s="133">
        <v>6434</v>
      </c>
      <c r="B1763" s="39" t="s">
        <v>45</v>
      </c>
      <c r="C1763" s="39">
        <v>100</v>
      </c>
      <c r="D1763" s="29" t="b">
        <v>0</v>
      </c>
      <c r="E1763" s="39" t="s">
        <v>3177</v>
      </c>
      <c r="F1763" s="47" t="s">
        <v>3027</v>
      </c>
      <c r="G1763" s="47" t="s">
        <v>73</v>
      </c>
      <c r="H1763"/>
      <c r="I1763" s="47" t="b">
        <v>0</v>
      </c>
      <c r="J1763" s="47" t="b">
        <v>0</v>
      </c>
      <c r="K1763" s="47">
        <v>660</v>
      </c>
      <c r="L1763" s="48">
        <v>7</v>
      </c>
      <c r="M1763" s="47">
        <v>-1</v>
      </c>
      <c r="N1763" s="47">
        <v>-1</v>
      </c>
      <c r="O1763" s="47">
        <v>-1</v>
      </c>
      <c r="P1763" s="47">
        <v>-1</v>
      </c>
      <c r="Q1763" s="47">
        <v>-1</v>
      </c>
      <c r="R1763" s="47">
        <v>-1</v>
      </c>
      <c r="S1763" s="48">
        <v>7</v>
      </c>
      <c r="T1763" s="47">
        <v>0</v>
      </c>
      <c r="U1763" s="47">
        <v>0</v>
      </c>
      <c r="V1763" s="47">
        <v>0</v>
      </c>
      <c r="W1763" s="47"/>
      <c r="X1763" s="47">
        <v>203</v>
      </c>
      <c r="Y1763" s="47"/>
      <c r="Z1763" s="47" t="s">
        <v>2524</v>
      </c>
      <c r="AA1763" s="49"/>
      <c r="AB1763" s="49"/>
      <c r="AC1763" s="49"/>
      <c r="AD1763" s="50"/>
      <c r="AE1763" s="47" t="s">
        <v>2754</v>
      </c>
      <c r="AF1763" s="47">
        <v>45</v>
      </c>
      <c r="AG1763"/>
      <c r="AH1763"/>
      <c r="AI1763"/>
      <c r="AJ1763"/>
      <c r="AK1763"/>
      <c r="AL1763"/>
      <c r="AM1763"/>
      <c r="AN1763"/>
      <c r="AO1763"/>
      <c r="AP1763"/>
      <c r="AQ1763" t="s">
        <v>2526</v>
      </c>
      <c r="AU1763">
        <v>1762</v>
      </c>
    </row>
    <row r="1764" spans="1:47" x14ac:dyDescent="0.2">
      <c r="A1764" s="26">
        <v>6434</v>
      </c>
      <c r="B1764" s="27">
        <v>0.77777777777777779</v>
      </c>
      <c r="C1764" s="28"/>
      <c r="D1764" s="29"/>
      <c r="E1764" s="30" t="s">
        <v>869</v>
      </c>
      <c r="H1764" s="32">
        <v>0</v>
      </c>
      <c r="I1764" s="32" t="s">
        <v>2344</v>
      </c>
      <c r="AG1764" s="32">
        <v>0</v>
      </c>
      <c r="AH1764" s="32">
        <v>0</v>
      </c>
      <c r="AI1764" s="32">
        <v>0</v>
      </c>
      <c r="AK1764" s="32">
        <v>0</v>
      </c>
      <c r="AL1764" s="32">
        <f>43/60</f>
        <v>0.71666666666666667</v>
      </c>
      <c r="AP1764" s="32">
        <f>43/60</f>
        <v>0.71666666666666667</v>
      </c>
      <c r="AQ1764" s="32" t="s">
        <v>589</v>
      </c>
      <c r="AU1764">
        <v>1763</v>
      </c>
    </row>
    <row r="1765" spans="1:47" x14ac:dyDescent="0.2">
      <c r="A1765" s="26">
        <v>6434</v>
      </c>
      <c r="B1765" s="27">
        <v>0.82013888888888886</v>
      </c>
      <c r="C1765" s="28"/>
      <c r="D1765" s="29"/>
      <c r="E1765" s="30" t="s">
        <v>3155</v>
      </c>
      <c r="H1765" s="32">
        <v>0</v>
      </c>
      <c r="I1765" s="32" t="s">
        <v>3156</v>
      </c>
      <c r="AG1765" s="32">
        <v>0</v>
      </c>
      <c r="AH1765" s="32">
        <v>0</v>
      </c>
      <c r="AI1765" s="32">
        <v>0</v>
      </c>
      <c r="AK1765" s="32">
        <v>0</v>
      </c>
      <c r="AP1765" s="32">
        <f>34/60</f>
        <v>0.56666666666666665</v>
      </c>
      <c r="AQ1765" s="32" t="s">
        <v>1101</v>
      </c>
      <c r="AU1765">
        <v>1764</v>
      </c>
    </row>
    <row r="1766" spans="1:47" x14ac:dyDescent="0.2">
      <c r="A1766" s="26">
        <v>6434</v>
      </c>
      <c r="B1766" s="27">
        <v>0.88194444444444453</v>
      </c>
      <c r="C1766" s="28"/>
      <c r="D1766" s="29"/>
      <c r="E1766" s="30" t="s">
        <v>869</v>
      </c>
      <c r="H1766" s="32">
        <v>0</v>
      </c>
      <c r="I1766" s="32" t="s">
        <v>2344</v>
      </c>
      <c r="AG1766" s="32">
        <v>0</v>
      </c>
      <c r="AH1766" s="32">
        <v>0</v>
      </c>
      <c r="AI1766" s="32">
        <v>0</v>
      </c>
      <c r="AK1766" s="32">
        <v>0</v>
      </c>
      <c r="AL1766" s="32">
        <f>16/60</f>
        <v>0.26666666666666666</v>
      </c>
      <c r="AP1766" s="32">
        <f>16/60</f>
        <v>0.26666666666666666</v>
      </c>
      <c r="AQ1766" s="32" t="s">
        <v>589</v>
      </c>
      <c r="AU1766">
        <v>1765</v>
      </c>
    </row>
    <row r="1767" spans="1:47" x14ac:dyDescent="0.2">
      <c r="A1767" s="26">
        <v>6434</v>
      </c>
      <c r="B1767" s="27">
        <v>0.90972222222222221</v>
      </c>
      <c r="C1767" s="28"/>
      <c r="D1767" s="29"/>
      <c r="E1767" s="30" t="s">
        <v>464</v>
      </c>
      <c r="H1767" s="32">
        <v>1</v>
      </c>
      <c r="I1767" s="32" t="s">
        <v>3128</v>
      </c>
      <c r="AG1767" s="32">
        <v>0</v>
      </c>
      <c r="AH1767" s="32">
        <v>0</v>
      </c>
      <c r="AI1767" s="32">
        <v>0</v>
      </c>
      <c r="AL1767" s="32">
        <f>80/60</f>
        <v>1.3333333333333333</v>
      </c>
      <c r="AO1767" s="32" t="s">
        <v>1898</v>
      </c>
      <c r="AP1767" s="32">
        <f>80/60</f>
        <v>1.3333333333333333</v>
      </c>
      <c r="AQ1767" s="32" t="s">
        <v>1522</v>
      </c>
      <c r="AU1767">
        <v>1766</v>
      </c>
    </row>
    <row r="1768" spans="1:47" x14ac:dyDescent="0.2">
      <c r="A1768" s="26">
        <v>6434</v>
      </c>
      <c r="B1768" s="27" t="s">
        <v>45</v>
      </c>
      <c r="C1768" s="28"/>
      <c r="D1768" s="29"/>
      <c r="E1768" s="30" t="s">
        <v>1531</v>
      </c>
      <c r="H1768" s="32">
        <v>0</v>
      </c>
      <c r="I1768" s="32" t="s">
        <v>1532</v>
      </c>
      <c r="AG1768" s="32">
        <v>0</v>
      </c>
      <c r="AH1768" s="32">
        <v>0</v>
      </c>
      <c r="AI1768" s="32">
        <v>0</v>
      </c>
      <c r="AK1768" s="32">
        <v>0</v>
      </c>
      <c r="AM1768" s="32">
        <f>498*30</f>
        <v>14940</v>
      </c>
      <c r="AO1768" s="32" t="s">
        <v>1533</v>
      </c>
      <c r="AQ1768" s="32" t="s">
        <v>1101</v>
      </c>
      <c r="AU1768">
        <v>1767</v>
      </c>
    </row>
    <row r="1769" spans="1:47" x14ac:dyDescent="0.2">
      <c r="A1769" s="26">
        <v>6434</v>
      </c>
      <c r="B1769" s="27" t="s">
        <v>45</v>
      </c>
      <c r="C1769" s="28"/>
      <c r="D1769" s="29"/>
      <c r="E1769" s="150" t="s">
        <v>2286</v>
      </c>
      <c r="H1769" s="32">
        <v>0</v>
      </c>
      <c r="I1769" s="32" t="s">
        <v>1824</v>
      </c>
      <c r="AG1769" s="32">
        <v>0</v>
      </c>
      <c r="AH1769" s="32">
        <v>0</v>
      </c>
      <c r="AI1769" s="32">
        <v>0</v>
      </c>
      <c r="AK1769" s="32">
        <v>0</v>
      </c>
      <c r="AM1769" s="32">
        <v>5000</v>
      </c>
      <c r="AO1769" s="73" t="s">
        <v>75</v>
      </c>
      <c r="AQ1769" s="32" t="s">
        <v>589</v>
      </c>
      <c r="AU1769">
        <v>1768</v>
      </c>
    </row>
    <row r="1770" spans="1:47" x14ac:dyDescent="0.2">
      <c r="A1770" s="26">
        <v>6434</v>
      </c>
      <c r="B1770" s="27"/>
      <c r="C1770" s="28"/>
      <c r="D1770" s="29"/>
      <c r="E1770" s="30" t="s">
        <v>2478</v>
      </c>
      <c r="H1770" s="32">
        <v>1</v>
      </c>
      <c r="I1770" s="32" t="s">
        <v>2495</v>
      </c>
      <c r="AG1770" s="32">
        <v>4</v>
      </c>
      <c r="AH1770" s="32">
        <v>14</v>
      </c>
      <c r="AI1770" s="32">
        <f>40000+300000*40/1342</f>
        <v>48941.877794336811</v>
      </c>
      <c r="AK1770" s="32">
        <v>3</v>
      </c>
      <c r="AQ1770" s="32" t="s">
        <v>2496</v>
      </c>
      <c r="AU1770">
        <v>1769</v>
      </c>
    </row>
    <row r="1771" spans="1:47" x14ac:dyDescent="0.2">
      <c r="A1771" s="133">
        <v>6435</v>
      </c>
      <c r="B1771" s="39" t="s">
        <v>45</v>
      </c>
      <c r="C1771" s="39">
        <v>100</v>
      </c>
      <c r="D1771" s="29" t="b">
        <v>0</v>
      </c>
      <c r="E1771" s="39" t="s">
        <v>3178</v>
      </c>
      <c r="F1771" s="47" t="s">
        <v>3179</v>
      </c>
      <c r="G1771" s="47" t="s">
        <v>49</v>
      </c>
      <c r="H1771"/>
      <c r="I1771" s="47" t="b">
        <v>1</v>
      </c>
      <c r="J1771" s="47" t="b">
        <v>1</v>
      </c>
      <c r="K1771" s="47">
        <v>6595</v>
      </c>
      <c r="L1771" s="48">
        <v>19</v>
      </c>
      <c r="M1771" s="47">
        <v>-1</v>
      </c>
      <c r="N1771" s="47">
        <v>-1</v>
      </c>
      <c r="O1771" s="47">
        <v>-1</v>
      </c>
      <c r="P1771" s="47">
        <v>-1</v>
      </c>
      <c r="Q1771" s="47">
        <v>-1</v>
      </c>
      <c r="R1771" s="47">
        <v>-1</v>
      </c>
      <c r="S1771" s="48">
        <v>19</v>
      </c>
      <c r="T1771" s="47">
        <v>0</v>
      </c>
      <c r="U1771" s="47">
        <v>0</v>
      </c>
      <c r="V1771" s="47">
        <v>0</v>
      </c>
      <c r="W1771" s="47"/>
      <c r="X1771" s="47">
        <v>205</v>
      </c>
      <c r="Y1771" s="47"/>
      <c r="Z1771" s="47" t="s">
        <v>2524</v>
      </c>
      <c r="AA1771" s="49"/>
      <c r="AB1771" s="49"/>
      <c r="AC1771" s="49"/>
      <c r="AD1771" s="50"/>
      <c r="AE1771" s="47" t="s">
        <v>2754</v>
      </c>
      <c r="AF1771" s="47">
        <v>55</v>
      </c>
      <c r="AG1771"/>
      <c r="AH1771"/>
      <c r="AI1771"/>
      <c r="AJ1771"/>
      <c r="AK1771"/>
      <c r="AL1771"/>
      <c r="AM1771"/>
      <c r="AN1771"/>
      <c r="AO1771"/>
      <c r="AP1771"/>
      <c r="AQ1771" t="s">
        <v>2526</v>
      </c>
      <c r="AU1771">
        <v>1770</v>
      </c>
    </row>
    <row r="1772" spans="1:47" x14ac:dyDescent="0.2">
      <c r="A1772" s="133">
        <v>6435</v>
      </c>
      <c r="B1772" s="39" t="s">
        <v>45</v>
      </c>
      <c r="C1772" s="39">
        <v>100</v>
      </c>
      <c r="D1772" s="29" t="b">
        <v>0</v>
      </c>
      <c r="E1772" s="39" t="s">
        <v>2932</v>
      </c>
      <c r="F1772" s="47" t="s">
        <v>76</v>
      </c>
      <c r="G1772" s="47" t="s">
        <v>49</v>
      </c>
      <c r="H1772"/>
      <c r="I1772" s="47" t="b">
        <v>0</v>
      </c>
      <c r="J1772" s="47" t="b">
        <v>0</v>
      </c>
      <c r="K1772" s="47">
        <v>710</v>
      </c>
      <c r="L1772" s="48">
        <v>19</v>
      </c>
      <c r="M1772" s="47">
        <v>-1</v>
      </c>
      <c r="N1772" s="47">
        <v>-1</v>
      </c>
      <c r="O1772" s="47">
        <v>-1</v>
      </c>
      <c r="P1772" s="47">
        <v>-1</v>
      </c>
      <c r="Q1772" s="47">
        <v>-1</v>
      </c>
      <c r="R1772" s="47">
        <v>-1</v>
      </c>
      <c r="S1772" s="48">
        <v>19</v>
      </c>
      <c r="T1772" s="47">
        <v>0</v>
      </c>
      <c r="U1772" s="47">
        <v>0</v>
      </c>
      <c r="V1772" s="47">
        <v>0</v>
      </c>
      <c r="W1772" s="47"/>
      <c r="X1772" s="47">
        <v>206</v>
      </c>
      <c r="Y1772" s="47"/>
      <c r="Z1772" s="47" t="s">
        <v>2524</v>
      </c>
      <c r="AA1772" s="49"/>
      <c r="AB1772" s="49"/>
      <c r="AC1772" s="49"/>
      <c r="AD1772" s="50"/>
      <c r="AE1772" s="47" t="s">
        <v>2754</v>
      </c>
      <c r="AF1772" s="47">
        <v>55</v>
      </c>
      <c r="AG1772"/>
      <c r="AH1772"/>
      <c r="AI1772"/>
      <c r="AJ1772"/>
      <c r="AK1772"/>
      <c r="AL1772"/>
      <c r="AM1772"/>
      <c r="AN1772"/>
      <c r="AO1772"/>
      <c r="AP1772"/>
      <c r="AQ1772" t="s">
        <v>2526</v>
      </c>
      <c r="AU1772">
        <v>1771</v>
      </c>
    </row>
    <row r="1773" spans="1:47" x14ac:dyDescent="0.2">
      <c r="A1773" s="133">
        <v>6435</v>
      </c>
      <c r="B1773" s="39" t="s">
        <v>45</v>
      </c>
      <c r="C1773" s="39">
        <v>100</v>
      </c>
      <c r="D1773" s="29" t="b">
        <v>0</v>
      </c>
      <c r="E1773" s="39" t="s">
        <v>2928</v>
      </c>
      <c r="F1773" s="47" t="s">
        <v>3180</v>
      </c>
      <c r="G1773" s="47" t="s">
        <v>73</v>
      </c>
      <c r="H1773"/>
      <c r="I1773" s="47" t="b">
        <v>0</v>
      </c>
      <c r="J1773" s="47" t="b">
        <v>0</v>
      </c>
      <c r="K1773" s="47">
        <v>2840</v>
      </c>
      <c r="L1773" s="48">
        <v>19</v>
      </c>
      <c r="M1773" s="47">
        <v>-1</v>
      </c>
      <c r="N1773" s="47">
        <v>-1</v>
      </c>
      <c r="O1773" s="47">
        <v>-1</v>
      </c>
      <c r="P1773" s="47">
        <v>-1</v>
      </c>
      <c r="Q1773" s="47">
        <v>-1</v>
      </c>
      <c r="R1773" s="47">
        <v>-1</v>
      </c>
      <c r="S1773" s="48">
        <v>19</v>
      </c>
      <c r="T1773" s="47">
        <v>0</v>
      </c>
      <c r="U1773" s="47">
        <v>0</v>
      </c>
      <c r="V1773" s="47">
        <v>0</v>
      </c>
      <c r="W1773" s="47"/>
      <c r="X1773" s="47">
        <v>207</v>
      </c>
      <c r="Y1773" s="47"/>
      <c r="Z1773" s="47" t="s">
        <v>2524</v>
      </c>
      <c r="AA1773" s="49"/>
      <c r="AB1773" s="49"/>
      <c r="AC1773" s="49"/>
      <c r="AD1773" s="50"/>
      <c r="AE1773" s="47" t="s">
        <v>2754</v>
      </c>
      <c r="AF1773" s="47">
        <v>50</v>
      </c>
      <c r="AG1773"/>
      <c r="AH1773"/>
      <c r="AI1773"/>
      <c r="AJ1773"/>
      <c r="AK1773"/>
      <c r="AL1773"/>
      <c r="AM1773"/>
      <c r="AN1773"/>
      <c r="AO1773"/>
      <c r="AP1773"/>
      <c r="AQ1773" t="s">
        <v>2526</v>
      </c>
      <c r="AU1773">
        <v>1772</v>
      </c>
    </row>
    <row r="1774" spans="1:47" x14ac:dyDescent="0.2">
      <c r="A1774" s="133">
        <v>6435</v>
      </c>
      <c r="B1774" s="39" t="s">
        <v>45</v>
      </c>
      <c r="C1774" s="39">
        <v>100</v>
      </c>
      <c r="D1774" s="29" t="b">
        <v>0</v>
      </c>
      <c r="E1774" s="39" t="s">
        <v>3181</v>
      </c>
      <c r="F1774" s="47" t="s">
        <v>3180</v>
      </c>
      <c r="G1774" s="47" t="s">
        <v>73</v>
      </c>
      <c r="H1774"/>
      <c r="I1774" s="47" t="b">
        <v>0</v>
      </c>
      <c r="J1774" s="47" t="b">
        <v>0</v>
      </c>
      <c r="K1774" s="47">
        <v>2665</v>
      </c>
      <c r="L1774" s="48">
        <v>19</v>
      </c>
      <c r="M1774" s="47">
        <v>-1</v>
      </c>
      <c r="N1774" s="47">
        <v>-1</v>
      </c>
      <c r="O1774" s="47">
        <v>-1</v>
      </c>
      <c r="P1774" s="47">
        <v>-1</v>
      </c>
      <c r="Q1774" s="47">
        <v>-1</v>
      </c>
      <c r="R1774" s="47">
        <v>-1</v>
      </c>
      <c r="S1774" s="48">
        <v>19</v>
      </c>
      <c r="T1774" s="47">
        <v>0</v>
      </c>
      <c r="U1774" s="47">
        <v>0</v>
      </c>
      <c r="V1774" s="47">
        <v>0</v>
      </c>
      <c r="W1774" s="47"/>
      <c r="X1774" s="47">
        <v>204</v>
      </c>
      <c r="Y1774" s="47"/>
      <c r="Z1774" s="47" t="s">
        <v>2524</v>
      </c>
      <c r="AA1774" s="49"/>
      <c r="AB1774" s="49"/>
      <c r="AC1774" s="49"/>
      <c r="AD1774" s="50"/>
      <c r="AE1774" s="47" t="s">
        <v>2754</v>
      </c>
      <c r="AF1774" s="47"/>
      <c r="AG1774"/>
      <c r="AH1774"/>
      <c r="AI1774"/>
      <c r="AJ1774"/>
      <c r="AK1774"/>
      <c r="AL1774"/>
      <c r="AM1774"/>
      <c r="AN1774"/>
      <c r="AO1774"/>
      <c r="AP1774"/>
      <c r="AQ1774" t="s">
        <v>2526</v>
      </c>
      <c r="AU1774">
        <v>1773</v>
      </c>
    </row>
    <row r="1775" spans="1:47" x14ac:dyDescent="0.2">
      <c r="A1775" s="133">
        <v>6435</v>
      </c>
      <c r="B1775" s="39" t="s">
        <v>45</v>
      </c>
      <c r="C1775" s="39">
        <v>100</v>
      </c>
      <c r="D1775" s="29" t="b">
        <v>0</v>
      </c>
      <c r="E1775" s="39" t="s">
        <v>3182</v>
      </c>
      <c r="F1775" s="47" t="s">
        <v>3183</v>
      </c>
      <c r="G1775" s="47" t="s">
        <v>49</v>
      </c>
      <c r="H1775"/>
      <c r="I1775" s="47" t="b">
        <v>0</v>
      </c>
      <c r="J1775" s="47" t="b">
        <v>0</v>
      </c>
      <c r="K1775" s="47">
        <v>380</v>
      </c>
      <c r="L1775" s="48">
        <v>19</v>
      </c>
      <c r="M1775" s="47">
        <v>-1</v>
      </c>
      <c r="N1775" s="47">
        <v>-1</v>
      </c>
      <c r="O1775" s="47">
        <v>-1</v>
      </c>
      <c r="P1775" s="47">
        <v>-1</v>
      </c>
      <c r="Q1775" s="47">
        <v>-1</v>
      </c>
      <c r="R1775" s="47">
        <v>-1</v>
      </c>
      <c r="S1775" s="48">
        <v>19</v>
      </c>
      <c r="T1775" s="47">
        <v>0</v>
      </c>
      <c r="U1775" s="47">
        <v>0</v>
      </c>
      <c r="V1775" s="47">
        <v>0</v>
      </c>
      <c r="W1775" s="47"/>
      <c r="X1775" s="47">
        <v>208</v>
      </c>
      <c r="Y1775" s="47"/>
      <c r="Z1775" s="47" t="s">
        <v>2524</v>
      </c>
      <c r="AA1775" s="49"/>
      <c r="AB1775" s="49"/>
      <c r="AC1775" s="49"/>
      <c r="AD1775" s="50"/>
      <c r="AE1775" s="47" t="s">
        <v>2754</v>
      </c>
      <c r="AF1775" s="47">
        <v>55</v>
      </c>
      <c r="AG1775"/>
      <c r="AH1775"/>
      <c r="AI1775"/>
      <c r="AJ1775"/>
      <c r="AK1775"/>
      <c r="AL1775"/>
      <c r="AM1775"/>
      <c r="AN1775"/>
      <c r="AO1775"/>
      <c r="AP1775"/>
      <c r="AQ1775" t="s">
        <v>2526</v>
      </c>
      <c r="AU1775">
        <v>1774</v>
      </c>
    </row>
    <row r="1776" spans="1:47" x14ac:dyDescent="0.2">
      <c r="A1776" s="133">
        <v>6435</v>
      </c>
      <c r="B1776" s="39" t="s">
        <v>45</v>
      </c>
      <c r="C1776" s="39" t="s">
        <v>156</v>
      </c>
      <c r="D1776" s="29"/>
      <c r="E1776" s="39" t="s">
        <v>3184</v>
      </c>
      <c r="F1776" s="47" t="s">
        <v>246</v>
      </c>
      <c r="G1776" s="47" t="s">
        <v>49</v>
      </c>
      <c r="H1776"/>
      <c r="I1776" s="47" t="s">
        <v>156</v>
      </c>
      <c r="J1776" s="47"/>
      <c r="K1776" s="47"/>
      <c r="L1776" s="48"/>
      <c r="M1776" s="47"/>
      <c r="N1776" s="47"/>
      <c r="O1776" s="47"/>
      <c r="P1776" s="47"/>
      <c r="Q1776" s="47"/>
      <c r="R1776" s="47"/>
      <c r="S1776" s="48"/>
      <c r="T1776" s="47"/>
      <c r="U1776" s="47"/>
      <c r="V1776" s="47"/>
      <c r="W1776" s="47"/>
      <c r="X1776" s="47"/>
      <c r="Y1776" s="47"/>
      <c r="Z1776" s="47"/>
      <c r="AA1776" s="49"/>
      <c r="AB1776" s="49"/>
      <c r="AC1776" s="49"/>
      <c r="AD1776" s="50"/>
      <c r="AE1776" s="31" t="s">
        <v>2743</v>
      </c>
      <c r="AF1776" s="47">
        <v>75</v>
      </c>
      <c r="AG1776"/>
      <c r="AH1776"/>
      <c r="AI1776"/>
      <c r="AJ1776"/>
      <c r="AK1776"/>
      <c r="AL1776"/>
      <c r="AM1776"/>
      <c r="AN1776"/>
      <c r="AO1776"/>
      <c r="AP1776"/>
      <c r="AQ1776"/>
      <c r="AU1776">
        <v>1775</v>
      </c>
    </row>
    <row r="1777" spans="1:47" x14ac:dyDescent="0.2">
      <c r="A1777" s="26">
        <v>6435</v>
      </c>
      <c r="B1777" s="27" t="s">
        <v>85</v>
      </c>
      <c r="C1777" s="28"/>
      <c r="D1777" s="29"/>
      <c r="E1777" s="30" t="s">
        <v>1285</v>
      </c>
      <c r="H1777" s="32">
        <v>1</v>
      </c>
      <c r="I1777" s="32" t="s">
        <v>3185</v>
      </c>
      <c r="AI1777" s="32">
        <v>10010</v>
      </c>
      <c r="AO1777" s="32" t="s">
        <v>472</v>
      </c>
      <c r="AQ1777" s="32" t="s">
        <v>589</v>
      </c>
      <c r="AU1777">
        <v>1776</v>
      </c>
    </row>
    <row r="1778" spans="1:47" x14ac:dyDescent="0.2">
      <c r="A1778" s="133">
        <v>6436</v>
      </c>
      <c r="B1778" s="39" t="s">
        <v>45</v>
      </c>
      <c r="C1778" s="39">
        <v>100</v>
      </c>
      <c r="D1778" s="29" t="b">
        <v>0</v>
      </c>
      <c r="E1778" s="39" t="s">
        <v>3186</v>
      </c>
      <c r="F1778" s="47" t="s">
        <v>3187</v>
      </c>
      <c r="G1778" s="47" t="s">
        <v>49</v>
      </c>
      <c r="H1778"/>
      <c r="I1778" s="47" t="b">
        <v>0</v>
      </c>
      <c r="J1778" s="47" t="b">
        <v>1</v>
      </c>
      <c r="K1778" s="47">
        <v>200</v>
      </c>
      <c r="L1778" s="48">
        <v>1</v>
      </c>
      <c r="M1778" s="47">
        <v>-1</v>
      </c>
      <c r="N1778" s="47">
        <v>-1</v>
      </c>
      <c r="O1778" s="47">
        <v>-1</v>
      </c>
      <c r="P1778" s="47">
        <v>-1</v>
      </c>
      <c r="Q1778" s="47">
        <v>-1</v>
      </c>
      <c r="R1778" s="47">
        <v>-1</v>
      </c>
      <c r="S1778" s="48">
        <v>1</v>
      </c>
      <c r="T1778" s="47">
        <v>0</v>
      </c>
      <c r="U1778" s="47">
        <v>0</v>
      </c>
      <c r="V1778" s="47">
        <v>0</v>
      </c>
      <c r="W1778" s="47"/>
      <c r="X1778" s="47">
        <v>209</v>
      </c>
      <c r="Y1778" s="47"/>
      <c r="Z1778" s="47" t="s">
        <v>2524</v>
      </c>
      <c r="AA1778" s="49"/>
      <c r="AB1778" s="49"/>
      <c r="AC1778" s="49"/>
      <c r="AD1778" s="50"/>
      <c r="AE1778" s="47" t="s">
        <v>2754</v>
      </c>
      <c r="AF1778" s="47"/>
      <c r="AG1778"/>
      <c r="AH1778"/>
      <c r="AI1778"/>
      <c r="AJ1778"/>
      <c r="AK1778"/>
      <c r="AL1778"/>
      <c r="AM1778"/>
      <c r="AN1778"/>
      <c r="AO1778"/>
      <c r="AP1778"/>
      <c r="AQ1778" t="s">
        <v>2526</v>
      </c>
      <c r="AU1778">
        <v>1777</v>
      </c>
    </row>
    <row r="1779" spans="1:47" x14ac:dyDescent="0.2">
      <c r="A1779" s="26">
        <v>6436</v>
      </c>
      <c r="B1779" s="27">
        <v>0.92708333333333337</v>
      </c>
      <c r="C1779" s="28"/>
      <c r="D1779" s="29"/>
      <c r="E1779" s="30" t="s">
        <v>464</v>
      </c>
      <c r="H1779" s="32">
        <v>1</v>
      </c>
      <c r="I1779" s="32"/>
      <c r="AG1779" s="32">
        <v>0</v>
      </c>
      <c r="AH1779" s="32">
        <v>0</v>
      </c>
      <c r="AI1779" s="32">
        <v>0</v>
      </c>
      <c r="AL1779" s="32">
        <f>55/60</f>
        <v>0.91666666666666663</v>
      </c>
      <c r="AO1779" s="32" t="s">
        <v>1898</v>
      </c>
      <c r="AP1779" s="32">
        <f>55/60</f>
        <v>0.91666666666666663</v>
      </c>
      <c r="AQ1779" s="32" t="s">
        <v>1522</v>
      </c>
      <c r="AU1779">
        <v>1778</v>
      </c>
    </row>
    <row r="1780" spans="1:47" x14ac:dyDescent="0.2">
      <c r="A1780" s="133">
        <v>6437</v>
      </c>
      <c r="B1780" s="39" t="s">
        <v>45</v>
      </c>
      <c r="C1780" s="39">
        <v>100</v>
      </c>
      <c r="D1780" s="29" t="b">
        <v>0</v>
      </c>
      <c r="E1780" s="39" t="s">
        <v>3188</v>
      </c>
      <c r="F1780" s="47" t="s">
        <v>3189</v>
      </c>
      <c r="G1780" s="47" t="s">
        <v>49</v>
      </c>
      <c r="H1780"/>
      <c r="I1780" s="47" t="b">
        <v>1</v>
      </c>
      <c r="J1780" s="47" t="b">
        <v>1</v>
      </c>
      <c r="K1780" s="47">
        <v>3738</v>
      </c>
      <c r="L1780" s="48">
        <v>13</v>
      </c>
      <c r="M1780" s="47">
        <v>-1</v>
      </c>
      <c r="N1780" s="47">
        <v>-1</v>
      </c>
      <c r="O1780" s="47">
        <v>-1</v>
      </c>
      <c r="P1780" s="47">
        <v>-1</v>
      </c>
      <c r="Q1780" s="47">
        <v>-1</v>
      </c>
      <c r="R1780" s="47">
        <v>-1</v>
      </c>
      <c r="S1780" s="48">
        <v>13</v>
      </c>
      <c r="T1780" s="47">
        <v>0</v>
      </c>
      <c r="U1780" s="47">
        <v>0</v>
      </c>
      <c r="V1780" s="47">
        <v>0</v>
      </c>
      <c r="W1780" s="47"/>
      <c r="X1780" s="47">
        <v>211</v>
      </c>
      <c r="Y1780" s="47"/>
      <c r="Z1780" s="47" t="s">
        <v>2524</v>
      </c>
      <c r="AA1780" s="49"/>
      <c r="AB1780" s="49"/>
      <c r="AC1780" s="49"/>
      <c r="AD1780" s="50"/>
      <c r="AE1780" s="47" t="s">
        <v>2754</v>
      </c>
      <c r="AF1780" s="47">
        <v>65</v>
      </c>
      <c r="AG1780"/>
      <c r="AH1780"/>
      <c r="AI1780"/>
      <c r="AJ1780"/>
      <c r="AK1780"/>
      <c r="AL1780"/>
      <c r="AM1780"/>
      <c r="AN1780"/>
      <c r="AO1780"/>
      <c r="AP1780"/>
      <c r="AQ1780" t="s">
        <v>2526</v>
      </c>
      <c r="AU1780">
        <v>1779</v>
      </c>
    </row>
    <row r="1781" spans="1:47" x14ac:dyDescent="0.2">
      <c r="A1781" s="133">
        <v>6437</v>
      </c>
      <c r="B1781" s="39" t="s">
        <v>45</v>
      </c>
      <c r="C1781" s="39">
        <v>100</v>
      </c>
      <c r="D1781" s="29" t="b">
        <v>0</v>
      </c>
      <c r="E1781" s="39" t="s">
        <v>2821</v>
      </c>
      <c r="F1781" s="47" t="s">
        <v>3189</v>
      </c>
      <c r="G1781" s="47" t="s">
        <v>49</v>
      </c>
      <c r="H1781"/>
      <c r="I1781" s="47" t="b">
        <v>0</v>
      </c>
      <c r="J1781" s="47" t="b">
        <v>0</v>
      </c>
      <c r="K1781" s="47">
        <v>1924</v>
      </c>
      <c r="L1781" s="48">
        <v>13</v>
      </c>
      <c r="M1781" s="47">
        <v>-1</v>
      </c>
      <c r="N1781" s="47">
        <v>-1</v>
      </c>
      <c r="O1781" s="47">
        <v>-1</v>
      </c>
      <c r="P1781" s="47">
        <v>-1</v>
      </c>
      <c r="Q1781" s="47">
        <v>-1</v>
      </c>
      <c r="R1781" s="47">
        <v>-1</v>
      </c>
      <c r="S1781" s="48">
        <v>13</v>
      </c>
      <c r="T1781" s="47">
        <v>0</v>
      </c>
      <c r="U1781" s="47">
        <v>0</v>
      </c>
      <c r="V1781" s="47">
        <v>0</v>
      </c>
      <c r="W1781" s="47"/>
      <c r="X1781" s="47">
        <v>212</v>
      </c>
      <c r="Y1781" s="47"/>
      <c r="Z1781" s="47" t="s">
        <v>2524</v>
      </c>
      <c r="AA1781" s="49"/>
      <c r="AB1781" s="49"/>
      <c r="AC1781" s="49"/>
      <c r="AD1781" s="50"/>
      <c r="AE1781" s="47" t="s">
        <v>2754</v>
      </c>
      <c r="AF1781" s="47">
        <v>65</v>
      </c>
      <c r="AG1781"/>
      <c r="AH1781"/>
      <c r="AI1781"/>
      <c r="AJ1781"/>
      <c r="AK1781"/>
      <c r="AL1781"/>
      <c r="AM1781"/>
      <c r="AN1781"/>
      <c r="AO1781"/>
      <c r="AP1781"/>
      <c r="AQ1781" t="s">
        <v>2526</v>
      </c>
      <c r="AU1781">
        <v>1780</v>
      </c>
    </row>
    <row r="1782" spans="1:47" x14ac:dyDescent="0.2">
      <c r="A1782" s="133">
        <v>6437</v>
      </c>
      <c r="B1782" s="39" t="s">
        <v>45</v>
      </c>
      <c r="C1782" s="39">
        <v>100</v>
      </c>
      <c r="D1782" s="29" t="b">
        <v>0</v>
      </c>
      <c r="E1782" s="39" t="s">
        <v>3190</v>
      </c>
      <c r="F1782" s="47" t="s">
        <v>748</v>
      </c>
      <c r="G1782" s="47" t="s">
        <v>73</v>
      </c>
      <c r="H1782"/>
      <c r="I1782" s="47" t="b">
        <v>0</v>
      </c>
      <c r="J1782" s="47" t="b">
        <v>0</v>
      </c>
      <c r="K1782" s="47">
        <v>355</v>
      </c>
      <c r="L1782" s="48">
        <v>13</v>
      </c>
      <c r="M1782" s="47">
        <v>-1</v>
      </c>
      <c r="N1782" s="47">
        <v>-1</v>
      </c>
      <c r="O1782" s="47">
        <v>-1</v>
      </c>
      <c r="P1782" s="47">
        <v>-1</v>
      </c>
      <c r="Q1782" s="47">
        <v>-1</v>
      </c>
      <c r="R1782" s="47">
        <v>-1</v>
      </c>
      <c r="S1782" s="48">
        <v>13</v>
      </c>
      <c r="T1782" s="47">
        <v>0</v>
      </c>
      <c r="U1782" s="47">
        <v>0</v>
      </c>
      <c r="V1782" s="47">
        <v>0</v>
      </c>
      <c r="W1782" s="47"/>
      <c r="X1782" s="47">
        <v>213</v>
      </c>
      <c r="Y1782" s="47"/>
      <c r="Z1782" s="47" t="s">
        <v>2524</v>
      </c>
      <c r="AA1782" s="49"/>
      <c r="AB1782" s="49"/>
      <c r="AC1782" s="49"/>
      <c r="AD1782" s="50"/>
      <c r="AE1782" s="47" t="s">
        <v>2754</v>
      </c>
      <c r="AF1782" s="47"/>
      <c r="AG1782"/>
      <c r="AH1782"/>
      <c r="AI1782"/>
      <c r="AJ1782"/>
      <c r="AK1782"/>
      <c r="AL1782"/>
      <c r="AM1782"/>
      <c r="AN1782"/>
      <c r="AO1782"/>
      <c r="AP1782"/>
      <c r="AQ1782" t="s">
        <v>2526</v>
      </c>
      <c r="AU1782">
        <v>1781</v>
      </c>
    </row>
    <row r="1783" spans="1:47" x14ac:dyDescent="0.2">
      <c r="A1783" s="133">
        <v>6437</v>
      </c>
      <c r="B1783" s="39" t="s">
        <v>45</v>
      </c>
      <c r="C1783" s="39">
        <v>100</v>
      </c>
      <c r="D1783" s="29" t="b">
        <v>0</v>
      </c>
      <c r="E1783" s="39" t="s">
        <v>2780</v>
      </c>
      <c r="F1783" s="47" t="s">
        <v>3191</v>
      </c>
      <c r="G1783" s="47" t="s">
        <v>73</v>
      </c>
      <c r="H1783"/>
      <c r="I1783" s="47" t="b">
        <v>0</v>
      </c>
      <c r="J1783" s="47" t="b">
        <v>0</v>
      </c>
      <c r="K1783" s="47">
        <v>555</v>
      </c>
      <c r="L1783" s="48">
        <v>13</v>
      </c>
      <c r="M1783" s="47">
        <v>-1</v>
      </c>
      <c r="N1783" s="47">
        <v>-1</v>
      </c>
      <c r="O1783" s="47">
        <v>-1</v>
      </c>
      <c r="P1783" s="47">
        <v>-1</v>
      </c>
      <c r="Q1783" s="47">
        <v>-1</v>
      </c>
      <c r="R1783" s="47">
        <v>-1</v>
      </c>
      <c r="S1783" s="48">
        <v>13</v>
      </c>
      <c r="T1783" s="47">
        <v>0</v>
      </c>
      <c r="U1783" s="47">
        <v>0</v>
      </c>
      <c r="V1783" s="47">
        <v>0</v>
      </c>
      <c r="W1783" s="47"/>
      <c r="X1783" s="47">
        <v>214</v>
      </c>
      <c r="Y1783" s="47"/>
      <c r="Z1783" s="47" t="s">
        <v>2524</v>
      </c>
      <c r="AA1783" s="49"/>
      <c r="AB1783" s="49"/>
      <c r="AC1783" s="49"/>
      <c r="AD1783" s="50"/>
      <c r="AE1783" s="47" t="s">
        <v>2754</v>
      </c>
      <c r="AF1783" s="47">
        <v>50</v>
      </c>
      <c r="AG1783"/>
      <c r="AH1783"/>
      <c r="AI1783"/>
      <c r="AJ1783"/>
      <c r="AK1783"/>
      <c r="AL1783"/>
      <c r="AM1783"/>
      <c r="AN1783"/>
      <c r="AO1783"/>
      <c r="AP1783"/>
      <c r="AQ1783" t="s">
        <v>2526</v>
      </c>
      <c r="AU1783">
        <v>1782</v>
      </c>
    </row>
    <row r="1784" spans="1:47" x14ac:dyDescent="0.2">
      <c r="A1784" s="133">
        <v>6437</v>
      </c>
      <c r="B1784" s="39" t="s">
        <v>45</v>
      </c>
      <c r="C1784" s="39">
        <v>100</v>
      </c>
      <c r="D1784" s="29" t="b">
        <v>0</v>
      </c>
      <c r="E1784" s="39" t="s">
        <v>3192</v>
      </c>
      <c r="F1784" s="47" t="s">
        <v>3193</v>
      </c>
      <c r="G1784" s="47" t="s">
        <v>73</v>
      </c>
      <c r="H1784"/>
      <c r="I1784" s="47" t="b">
        <v>0</v>
      </c>
      <c r="J1784" s="47" t="b">
        <v>0</v>
      </c>
      <c r="K1784" s="47">
        <v>200</v>
      </c>
      <c r="L1784" s="48">
        <v>13</v>
      </c>
      <c r="M1784" s="47">
        <v>-1</v>
      </c>
      <c r="N1784" s="47">
        <v>-1</v>
      </c>
      <c r="O1784" s="47">
        <v>-1</v>
      </c>
      <c r="P1784" s="47">
        <v>-1</v>
      </c>
      <c r="Q1784" s="47">
        <v>-1</v>
      </c>
      <c r="R1784" s="47">
        <v>-1</v>
      </c>
      <c r="S1784" s="48">
        <v>13</v>
      </c>
      <c r="T1784" s="47">
        <v>0</v>
      </c>
      <c r="U1784" s="47">
        <v>0</v>
      </c>
      <c r="V1784" s="47">
        <v>0</v>
      </c>
      <c r="W1784" s="47"/>
      <c r="X1784" s="47">
        <v>215</v>
      </c>
      <c r="Y1784" s="47"/>
      <c r="Z1784" s="47" t="s">
        <v>2524</v>
      </c>
      <c r="AA1784" s="49"/>
      <c r="AB1784" s="49"/>
      <c r="AC1784" s="49"/>
      <c r="AD1784" s="50"/>
      <c r="AE1784" s="47" t="s">
        <v>2754</v>
      </c>
      <c r="AF1784" s="47"/>
      <c r="AG1784"/>
      <c r="AH1784"/>
      <c r="AI1784"/>
      <c r="AJ1784"/>
      <c r="AK1784"/>
      <c r="AL1784"/>
      <c r="AM1784"/>
      <c r="AN1784"/>
      <c r="AO1784"/>
      <c r="AP1784"/>
      <c r="AQ1784" t="s">
        <v>2526</v>
      </c>
      <c r="AU1784">
        <v>1783</v>
      </c>
    </row>
    <row r="1785" spans="1:47" x14ac:dyDescent="0.2">
      <c r="A1785" s="133">
        <v>6437</v>
      </c>
      <c r="B1785" s="39" t="s">
        <v>45</v>
      </c>
      <c r="C1785" s="39">
        <v>100</v>
      </c>
      <c r="D1785" s="29" t="b">
        <v>0</v>
      </c>
      <c r="E1785" s="39" t="s">
        <v>3194</v>
      </c>
      <c r="F1785" s="47" t="s">
        <v>3195</v>
      </c>
      <c r="G1785" s="47" t="s">
        <v>73</v>
      </c>
      <c r="H1785"/>
      <c r="I1785" s="47" t="b">
        <v>0</v>
      </c>
      <c r="J1785" s="47" t="b">
        <v>0</v>
      </c>
      <c r="K1785" s="47">
        <v>200</v>
      </c>
      <c r="L1785" s="48">
        <v>13</v>
      </c>
      <c r="M1785" s="47">
        <v>-1</v>
      </c>
      <c r="N1785" s="47">
        <v>-1</v>
      </c>
      <c r="O1785" s="47">
        <v>-1</v>
      </c>
      <c r="P1785" s="47">
        <v>-1</v>
      </c>
      <c r="Q1785" s="47">
        <v>-1</v>
      </c>
      <c r="R1785" s="47">
        <v>-1</v>
      </c>
      <c r="S1785" s="48">
        <v>13</v>
      </c>
      <c r="T1785" s="47">
        <v>0</v>
      </c>
      <c r="U1785" s="47">
        <v>0</v>
      </c>
      <c r="V1785" s="47">
        <v>0</v>
      </c>
      <c r="W1785" s="47"/>
      <c r="X1785" s="47">
        <v>210</v>
      </c>
      <c r="Y1785" s="47"/>
      <c r="Z1785" s="47" t="s">
        <v>2524</v>
      </c>
      <c r="AA1785" s="49"/>
      <c r="AB1785" s="49"/>
      <c r="AC1785" s="49"/>
      <c r="AD1785" s="50"/>
      <c r="AE1785" s="47" t="s">
        <v>2754</v>
      </c>
      <c r="AF1785" s="47">
        <v>40</v>
      </c>
      <c r="AG1785"/>
      <c r="AH1785"/>
      <c r="AI1785"/>
      <c r="AJ1785"/>
      <c r="AK1785"/>
      <c r="AL1785"/>
      <c r="AM1785"/>
      <c r="AN1785"/>
      <c r="AO1785"/>
      <c r="AP1785"/>
      <c r="AQ1785" t="s">
        <v>2526</v>
      </c>
      <c r="AU1785">
        <v>1784</v>
      </c>
    </row>
    <row r="1786" spans="1:47" x14ac:dyDescent="0.2">
      <c r="A1786" s="133">
        <v>6438</v>
      </c>
      <c r="B1786" s="39" t="s">
        <v>85</v>
      </c>
      <c r="C1786" s="39" t="s">
        <v>142</v>
      </c>
      <c r="D1786" s="29"/>
      <c r="E1786" s="39" t="s">
        <v>3196</v>
      </c>
      <c r="F1786" s="47" t="s">
        <v>2658</v>
      </c>
      <c r="G1786" s="47" t="s">
        <v>69</v>
      </c>
      <c r="H1786"/>
      <c r="I1786" s="47" t="s">
        <v>3197</v>
      </c>
      <c r="J1786" s="47"/>
      <c r="K1786" s="47">
        <f>6*10*2.2</f>
        <v>132</v>
      </c>
      <c r="L1786" s="48">
        <v>1</v>
      </c>
      <c r="M1786" s="47"/>
      <c r="N1786" s="47"/>
      <c r="O1786" s="47"/>
      <c r="P1786" s="47"/>
      <c r="Q1786" s="47"/>
      <c r="R1786" s="47"/>
      <c r="S1786" s="48">
        <v>1</v>
      </c>
      <c r="T1786" s="47">
        <v>0</v>
      </c>
      <c r="U1786" s="47">
        <v>0</v>
      </c>
      <c r="V1786" s="47">
        <v>0</v>
      </c>
      <c r="W1786" s="47"/>
      <c r="X1786" s="47"/>
      <c r="Y1786" s="47" t="s">
        <v>51</v>
      </c>
      <c r="Z1786" s="31" t="s">
        <v>1809</v>
      </c>
      <c r="AA1786" s="49"/>
      <c r="AB1786" s="49"/>
      <c r="AC1786" s="49"/>
      <c r="AD1786" s="50"/>
      <c r="AE1786" s="47" t="s">
        <v>3198</v>
      </c>
      <c r="AF1786" s="47">
        <v>40</v>
      </c>
      <c r="AG1786"/>
      <c r="AH1786"/>
      <c r="AI1786"/>
      <c r="AJ1786"/>
      <c r="AK1786">
        <v>6</v>
      </c>
      <c r="AL1786"/>
      <c r="AM1786"/>
      <c r="AN1786"/>
      <c r="AO1786"/>
      <c r="AP1786"/>
      <c r="AQ1786" t="s">
        <v>3199</v>
      </c>
      <c r="AU1786">
        <v>1785</v>
      </c>
    </row>
    <row r="1787" spans="1:47" x14ac:dyDescent="0.2">
      <c r="A1787" s="133">
        <v>6438</v>
      </c>
      <c r="B1787" s="39" t="s">
        <v>45</v>
      </c>
      <c r="C1787" s="39">
        <v>100</v>
      </c>
      <c r="D1787" s="29" t="b">
        <v>0</v>
      </c>
      <c r="E1787" s="39" t="s">
        <v>3200</v>
      </c>
      <c r="F1787" s="47" t="s">
        <v>3201</v>
      </c>
      <c r="G1787" s="47" t="s">
        <v>73</v>
      </c>
      <c r="H1787"/>
      <c r="I1787" s="47" t="b">
        <v>1</v>
      </c>
      <c r="J1787" s="47" t="b">
        <v>1</v>
      </c>
      <c r="K1787" s="47">
        <v>9302</v>
      </c>
      <c r="L1787" s="48">
        <v>32</v>
      </c>
      <c r="M1787" s="47">
        <v>-1</v>
      </c>
      <c r="N1787" s="47">
        <v>-1</v>
      </c>
      <c r="O1787" s="47">
        <v>-1</v>
      </c>
      <c r="P1787" s="47">
        <v>-1</v>
      </c>
      <c r="Q1787" s="47">
        <v>-1</v>
      </c>
      <c r="R1787" s="47">
        <v>-1</v>
      </c>
      <c r="S1787" s="48">
        <v>32</v>
      </c>
      <c r="T1787" s="47">
        <v>0</v>
      </c>
      <c r="U1787" s="47">
        <v>0</v>
      </c>
      <c r="V1787" s="47">
        <v>0</v>
      </c>
      <c r="W1787" s="47"/>
      <c r="X1787" s="47">
        <v>219</v>
      </c>
      <c r="Y1787" s="47"/>
      <c r="Z1787" s="47" t="s">
        <v>2524</v>
      </c>
      <c r="AA1787" s="49"/>
      <c r="AB1787" s="49"/>
      <c r="AC1787" s="49"/>
      <c r="AD1787" s="50"/>
      <c r="AE1787" s="47" t="s">
        <v>2754</v>
      </c>
      <c r="AF1787" s="47">
        <v>65</v>
      </c>
      <c r="AG1787"/>
      <c r="AH1787"/>
      <c r="AI1787"/>
      <c r="AJ1787"/>
      <c r="AK1787"/>
      <c r="AL1787"/>
      <c r="AM1787"/>
      <c r="AN1787"/>
      <c r="AO1787"/>
      <c r="AP1787"/>
      <c r="AQ1787" t="s">
        <v>2526</v>
      </c>
      <c r="AU1787">
        <v>1786</v>
      </c>
    </row>
    <row r="1788" spans="1:47" x14ac:dyDescent="0.2">
      <c r="A1788" s="133">
        <v>6438</v>
      </c>
      <c r="B1788" s="39" t="s">
        <v>45</v>
      </c>
      <c r="C1788" s="39">
        <v>100</v>
      </c>
      <c r="D1788" s="29" t="b">
        <v>0</v>
      </c>
      <c r="E1788" s="39" t="s">
        <v>2852</v>
      </c>
      <c r="F1788" s="47" t="s">
        <v>220</v>
      </c>
      <c r="G1788" s="47" t="s">
        <v>49</v>
      </c>
      <c r="H1788"/>
      <c r="I1788" s="47" t="b">
        <v>0</v>
      </c>
      <c r="J1788" s="47" t="b">
        <v>0</v>
      </c>
      <c r="K1788" s="47">
        <v>2049</v>
      </c>
      <c r="L1788" s="48">
        <v>32</v>
      </c>
      <c r="M1788" s="47">
        <v>-1</v>
      </c>
      <c r="N1788" s="47">
        <v>-1</v>
      </c>
      <c r="O1788" s="47">
        <v>-1</v>
      </c>
      <c r="P1788" s="47">
        <v>-1</v>
      </c>
      <c r="Q1788" s="47">
        <v>-1</v>
      </c>
      <c r="R1788" s="47">
        <v>-1</v>
      </c>
      <c r="S1788" s="48">
        <v>32</v>
      </c>
      <c r="T1788" s="47">
        <v>0</v>
      </c>
      <c r="U1788" s="47">
        <v>0</v>
      </c>
      <c r="V1788" s="47">
        <v>0</v>
      </c>
      <c r="W1788" s="47"/>
      <c r="X1788" s="47">
        <v>218</v>
      </c>
      <c r="Y1788" s="47"/>
      <c r="Z1788" s="47" t="s">
        <v>2524</v>
      </c>
      <c r="AA1788" s="49"/>
      <c r="AB1788" s="49"/>
      <c r="AC1788" s="49"/>
      <c r="AD1788" s="50"/>
      <c r="AE1788" s="47" t="s">
        <v>2754</v>
      </c>
      <c r="AF1788" s="47">
        <v>65</v>
      </c>
      <c r="AG1788"/>
      <c r="AH1788"/>
      <c r="AI1788"/>
      <c r="AJ1788"/>
      <c r="AK1788"/>
      <c r="AL1788"/>
      <c r="AM1788"/>
      <c r="AN1788"/>
      <c r="AO1788"/>
      <c r="AP1788"/>
      <c r="AQ1788" t="s">
        <v>2526</v>
      </c>
      <c r="AU1788">
        <v>1787</v>
      </c>
    </row>
    <row r="1789" spans="1:47" x14ac:dyDescent="0.2">
      <c r="A1789" s="133">
        <v>6438</v>
      </c>
      <c r="B1789" s="39" t="s">
        <v>45</v>
      </c>
      <c r="C1789" s="39">
        <v>100</v>
      </c>
      <c r="D1789" s="29" t="b">
        <v>0</v>
      </c>
      <c r="E1789" s="39" t="s">
        <v>3202</v>
      </c>
      <c r="F1789" s="47" t="s">
        <v>3191</v>
      </c>
      <c r="G1789" s="47" t="s">
        <v>73</v>
      </c>
      <c r="H1789"/>
      <c r="I1789" s="47" t="b">
        <v>0</v>
      </c>
      <c r="J1789" s="47" t="b">
        <v>0</v>
      </c>
      <c r="K1789" s="47">
        <v>1840</v>
      </c>
      <c r="L1789" s="48">
        <v>32</v>
      </c>
      <c r="M1789" s="47">
        <v>-1</v>
      </c>
      <c r="N1789" s="47">
        <v>-1</v>
      </c>
      <c r="O1789" s="47">
        <v>-1</v>
      </c>
      <c r="P1789" s="47">
        <v>-1</v>
      </c>
      <c r="Q1789" s="47">
        <v>-1</v>
      </c>
      <c r="R1789" s="47">
        <v>-1</v>
      </c>
      <c r="S1789" s="48">
        <v>32</v>
      </c>
      <c r="T1789" s="47">
        <v>0</v>
      </c>
      <c r="U1789" s="47">
        <v>0</v>
      </c>
      <c r="V1789" s="47">
        <v>0</v>
      </c>
      <c r="W1789" s="47"/>
      <c r="X1789" s="47">
        <v>223</v>
      </c>
      <c r="Y1789" s="47"/>
      <c r="Z1789" s="47" t="s">
        <v>2524</v>
      </c>
      <c r="AA1789" s="49"/>
      <c r="AB1789" s="49"/>
      <c r="AC1789" s="49"/>
      <c r="AD1789" s="50"/>
      <c r="AE1789" s="47" t="s">
        <v>2754</v>
      </c>
      <c r="AF1789" s="47"/>
      <c r="AG1789"/>
      <c r="AH1789"/>
      <c r="AI1789"/>
      <c r="AJ1789"/>
      <c r="AK1789"/>
      <c r="AL1789"/>
      <c r="AM1789"/>
      <c r="AN1789"/>
      <c r="AO1789"/>
      <c r="AP1789"/>
      <c r="AQ1789" t="s">
        <v>2526</v>
      </c>
      <c r="AU1789">
        <v>1788</v>
      </c>
    </row>
    <row r="1790" spans="1:47" x14ac:dyDescent="0.2">
      <c r="A1790" s="133">
        <v>6438</v>
      </c>
      <c r="B1790" s="39" t="s">
        <v>45</v>
      </c>
      <c r="C1790" s="39">
        <v>100</v>
      </c>
      <c r="D1790" s="29" t="b">
        <v>0</v>
      </c>
      <c r="E1790" s="39" t="s">
        <v>2780</v>
      </c>
      <c r="F1790" s="47" t="s">
        <v>748</v>
      </c>
      <c r="G1790" s="47" t="s">
        <v>73</v>
      </c>
      <c r="H1790"/>
      <c r="I1790" s="47" t="b">
        <v>0</v>
      </c>
      <c r="J1790" s="47" t="b">
        <v>0</v>
      </c>
      <c r="K1790" s="47">
        <v>1440</v>
      </c>
      <c r="L1790" s="48">
        <v>32</v>
      </c>
      <c r="M1790" s="47">
        <v>-1</v>
      </c>
      <c r="N1790" s="47">
        <v>-1</v>
      </c>
      <c r="O1790" s="47">
        <v>-1</v>
      </c>
      <c r="P1790" s="47">
        <v>-1</v>
      </c>
      <c r="Q1790" s="47">
        <v>-1</v>
      </c>
      <c r="R1790" s="47">
        <v>-1</v>
      </c>
      <c r="S1790" s="48">
        <v>32</v>
      </c>
      <c r="T1790" s="47">
        <v>0</v>
      </c>
      <c r="U1790" s="47">
        <v>0</v>
      </c>
      <c r="V1790" s="47">
        <v>0</v>
      </c>
      <c r="W1790" s="47"/>
      <c r="X1790" s="47">
        <v>221</v>
      </c>
      <c r="Y1790" s="47"/>
      <c r="Z1790" s="47" t="s">
        <v>2524</v>
      </c>
      <c r="AA1790" s="49"/>
      <c r="AB1790" s="49"/>
      <c r="AC1790" s="49"/>
      <c r="AD1790" s="50"/>
      <c r="AE1790" s="47" t="s">
        <v>2754</v>
      </c>
      <c r="AF1790" s="47">
        <v>50</v>
      </c>
      <c r="AG1790"/>
      <c r="AH1790"/>
      <c r="AI1790"/>
      <c r="AJ1790"/>
      <c r="AK1790"/>
      <c r="AL1790"/>
      <c r="AM1790"/>
      <c r="AN1790"/>
      <c r="AO1790"/>
      <c r="AP1790"/>
      <c r="AQ1790" t="s">
        <v>2526</v>
      </c>
      <c r="AU1790">
        <v>1789</v>
      </c>
    </row>
    <row r="1791" spans="1:47" x14ac:dyDescent="0.2">
      <c r="A1791" s="133">
        <v>6438</v>
      </c>
      <c r="B1791" s="39" t="s">
        <v>45</v>
      </c>
      <c r="C1791" s="39">
        <v>100</v>
      </c>
      <c r="D1791" s="29" t="b">
        <v>0</v>
      </c>
      <c r="E1791" s="39" t="s">
        <v>3043</v>
      </c>
      <c r="F1791" s="47" t="s">
        <v>3191</v>
      </c>
      <c r="G1791" s="47" t="s">
        <v>73</v>
      </c>
      <c r="H1791"/>
      <c r="I1791" s="47" t="b">
        <v>0</v>
      </c>
      <c r="J1791" s="47" t="b">
        <v>0</v>
      </c>
      <c r="K1791" s="47">
        <v>1240</v>
      </c>
      <c r="L1791" s="48">
        <v>32</v>
      </c>
      <c r="M1791" s="47">
        <v>-1</v>
      </c>
      <c r="N1791" s="47">
        <v>-1</v>
      </c>
      <c r="O1791" s="47">
        <v>-1</v>
      </c>
      <c r="P1791" s="47">
        <v>-1</v>
      </c>
      <c r="Q1791" s="47">
        <v>-1</v>
      </c>
      <c r="R1791" s="47">
        <v>-1</v>
      </c>
      <c r="S1791" s="48">
        <v>32</v>
      </c>
      <c r="T1791" s="47">
        <v>0</v>
      </c>
      <c r="U1791" s="47">
        <v>0</v>
      </c>
      <c r="V1791" s="47">
        <v>0</v>
      </c>
      <c r="W1791" s="47"/>
      <c r="X1791" s="47">
        <v>226</v>
      </c>
      <c r="Y1791" s="47"/>
      <c r="Z1791" s="47" t="s">
        <v>2524</v>
      </c>
      <c r="AA1791" s="49"/>
      <c r="AB1791" s="49"/>
      <c r="AC1791" s="49"/>
      <c r="AD1791" s="50"/>
      <c r="AE1791" s="47" t="s">
        <v>2754</v>
      </c>
      <c r="AF1791" s="47"/>
      <c r="AG1791"/>
      <c r="AH1791"/>
      <c r="AI1791"/>
      <c r="AJ1791"/>
      <c r="AK1791"/>
      <c r="AL1791"/>
      <c r="AM1791"/>
      <c r="AN1791"/>
      <c r="AO1791"/>
      <c r="AP1791"/>
      <c r="AQ1791" t="s">
        <v>2526</v>
      </c>
      <c r="AU1791">
        <v>1790</v>
      </c>
    </row>
    <row r="1792" spans="1:47" x14ac:dyDescent="0.2">
      <c r="A1792" s="133">
        <v>6438</v>
      </c>
      <c r="B1792" s="39" t="s">
        <v>45</v>
      </c>
      <c r="C1792" s="39">
        <v>100</v>
      </c>
      <c r="D1792" s="29" t="b">
        <v>0</v>
      </c>
      <c r="E1792" s="39" t="s">
        <v>2835</v>
      </c>
      <c r="F1792" s="47" t="s">
        <v>748</v>
      </c>
      <c r="G1792" s="47" t="s">
        <v>73</v>
      </c>
      <c r="H1792"/>
      <c r="I1792" s="47" t="b">
        <v>0</v>
      </c>
      <c r="J1792" s="47" t="b">
        <v>0</v>
      </c>
      <c r="K1792" s="47">
        <v>910</v>
      </c>
      <c r="L1792" s="48">
        <v>32</v>
      </c>
      <c r="M1792" s="47">
        <v>-1</v>
      </c>
      <c r="N1792" s="47">
        <v>-1</v>
      </c>
      <c r="O1792" s="47">
        <v>-1</v>
      </c>
      <c r="P1792" s="47">
        <v>-1</v>
      </c>
      <c r="Q1792" s="47">
        <v>-1</v>
      </c>
      <c r="R1792" s="47">
        <v>-1</v>
      </c>
      <c r="S1792" s="48">
        <v>32</v>
      </c>
      <c r="T1792" s="47">
        <v>0</v>
      </c>
      <c r="U1792" s="47">
        <v>0</v>
      </c>
      <c r="V1792" s="47">
        <v>0</v>
      </c>
      <c r="W1792" s="47"/>
      <c r="X1792" s="47">
        <v>225</v>
      </c>
      <c r="Y1792" s="47"/>
      <c r="Z1792" s="47" t="s">
        <v>2524</v>
      </c>
      <c r="AA1792" s="49"/>
      <c r="AB1792" s="49"/>
      <c r="AC1792" s="49"/>
      <c r="AD1792" s="50"/>
      <c r="AE1792" s="47" t="s">
        <v>2754</v>
      </c>
      <c r="AF1792" s="47">
        <v>55</v>
      </c>
      <c r="AG1792"/>
      <c r="AH1792"/>
      <c r="AI1792"/>
      <c r="AJ1792"/>
      <c r="AK1792"/>
      <c r="AL1792"/>
      <c r="AM1792"/>
      <c r="AN1792"/>
      <c r="AO1792"/>
      <c r="AP1792"/>
      <c r="AQ1792" t="s">
        <v>2526</v>
      </c>
      <c r="AU1792">
        <v>1791</v>
      </c>
    </row>
    <row r="1793" spans="1:47" x14ac:dyDescent="0.2">
      <c r="A1793" s="133">
        <v>6438</v>
      </c>
      <c r="B1793" s="39" t="s">
        <v>45</v>
      </c>
      <c r="C1793" s="39">
        <v>100</v>
      </c>
      <c r="D1793" s="29" t="b">
        <v>0</v>
      </c>
      <c r="E1793" s="39" t="s">
        <v>3138</v>
      </c>
      <c r="F1793" s="47" t="s">
        <v>3191</v>
      </c>
      <c r="G1793" s="47" t="s">
        <v>73</v>
      </c>
      <c r="H1793"/>
      <c r="I1793" s="47" t="b">
        <v>0</v>
      </c>
      <c r="J1793" s="47" t="b">
        <v>0</v>
      </c>
      <c r="K1793" s="47">
        <v>803</v>
      </c>
      <c r="L1793" s="48">
        <v>32</v>
      </c>
      <c r="M1793" s="47">
        <v>-1</v>
      </c>
      <c r="N1793" s="47">
        <v>-1</v>
      </c>
      <c r="O1793" s="47">
        <v>-1</v>
      </c>
      <c r="P1793" s="47">
        <v>-1</v>
      </c>
      <c r="Q1793" s="47">
        <v>-1</v>
      </c>
      <c r="R1793" s="47">
        <v>-1</v>
      </c>
      <c r="S1793" s="48">
        <v>32</v>
      </c>
      <c r="T1793" s="47">
        <v>0</v>
      </c>
      <c r="U1793" s="47">
        <v>0</v>
      </c>
      <c r="V1793" s="47">
        <v>0</v>
      </c>
      <c r="W1793" s="47"/>
      <c r="X1793" s="47">
        <v>222</v>
      </c>
      <c r="Y1793" s="47"/>
      <c r="Z1793" s="47" t="s">
        <v>2524</v>
      </c>
      <c r="AA1793" s="49"/>
      <c r="AB1793" s="49"/>
      <c r="AC1793" s="49"/>
      <c r="AD1793" s="50"/>
      <c r="AE1793" s="47" t="s">
        <v>2754</v>
      </c>
      <c r="AF1793" s="47"/>
      <c r="AG1793"/>
      <c r="AH1793"/>
      <c r="AI1793"/>
      <c r="AJ1793"/>
      <c r="AK1793"/>
      <c r="AL1793"/>
      <c r="AM1793"/>
      <c r="AN1793"/>
      <c r="AO1793"/>
      <c r="AP1793"/>
      <c r="AQ1793" t="s">
        <v>2526</v>
      </c>
      <c r="AU1793">
        <v>1792</v>
      </c>
    </row>
    <row r="1794" spans="1:47" x14ac:dyDescent="0.2">
      <c r="A1794" s="133">
        <v>6438</v>
      </c>
      <c r="B1794" s="39" t="s">
        <v>45</v>
      </c>
      <c r="C1794" s="39">
        <v>100</v>
      </c>
      <c r="D1794" s="29" t="b">
        <v>0</v>
      </c>
      <c r="E1794" s="39" t="s">
        <v>2821</v>
      </c>
      <c r="F1794" s="47" t="s">
        <v>3191</v>
      </c>
      <c r="G1794" s="47" t="s">
        <v>73</v>
      </c>
      <c r="H1794"/>
      <c r="I1794" s="47" t="b">
        <v>0</v>
      </c>
      <c r="J1794" s="47" t="b">
        <v>0</v>
      </c>
      <c r="K1794" s="47">
        <v>635</v>
      </c>
      <c r="L1794" s="48">
        <v>32</v>
      </c>
      <c r="M1794" s="47">
        <v>-1</v>
      </c>
      <c r="N1794" s="47">
        <v>-1</v>
      </c>
      <c r="O1794" s="47">
        <v>-1</v>
      </c>
      <c r="P1794" s="47">
        <v>-1</v>
      </c>
      <c r="Q1794" s="47">
        <v>-1</v>
      </c>
      <c r="R1794" s="47">
        <v>-1</v>
      </c>
      <c r="S1794" s="48">
        <v>32</v>
      </c>
      <c r="T1794" s="47">
        <v>0</v>
      </c>
      <c r="U1794" s="47">
        <v>0</v>
      </c>
      <c r="V1794" s="47">
        <v>0</v>
      </c>
      <c r="W1794" s="47"/>
      <c r="X1794" s="47">
        <v>217</v>
      </c>
      <c r="Y1794" s="47"/>
      <c r="Z1794" s="47" t="s">
        <v>2524</v>
      </c>
      <c r="AA1794" s="49"/>
      <c r="AB1794" s="49"/>
      <c r="AC1794" s="49"/>
      <c r="AD1794" s="50"/>
      <c r="AE1794" s="47" t="s">
        <v>2754</v>
      </c>
      <c r="AF1794" s="47">
        <v>65</v>
      </c>
      <c r="AG1794"/>
      <c r="AH1794"/>
      <c r="AI1794"/>
      <c r="AJ1794"/>
      <c r="AK1794"/>
      <c r="AL1794"/>
      <c r="AM1794"/>
      <c r="AN1794"/>
      <c r="AO1794"/>
      <c r="AP1794"/>
      <c r="AQ1794" t="s">
        <v>2526</v>
      </c>
      <c r="AU1794">
        <v>1793</v>
      </c>
    </row>
    <row r="1795" spans="1:47" x14ac:dyDescent="0.2">
      <c r="A1795" s="133">
        <v>6438</v>
      </c>
      <c r="B1795" s="39" t="s">
        <v>45</v>
      </c>
      <c r="C1795" s="39">
        <v>100</v>
      </c>
      <c r="D1795" s="29" t="b">
        <v>0</v>
      </c>
      <c r="E1795" s="39" t="s">
        <v>2779</v>
      </c>
      <c r="F1795" s="47" t="s">
        <v>3191</v>
      </c>
      <c r="G1795" s="47" t="s">
        <v>73</v>
      </c>
      <c r="H1795"/>
      <c r="I1795" s="47" t="b">
        <v>0</v>
      </c>
      <c r="J1795" s="47" t="b">
        <v>0</v>
      </c>
      <c r="K1795" s="47">
        <v>555</v>
      </c>
      <c r="L1795" s="48">
        <v>32</v>
      </c>
      <c r="M1795" s="47">
        <v>-1</v>
      </c>
      <c r="N1795" s="47">
        <v>-1</v>
      </c>
      <c r="O1795" s="47">
        <v>-1</v>
      </c>
      <c r="P1795" s="47">
        <v>-1</v>
      </c>
      <c r="Q1795" s="47">
        <v>-1</v>
      </c>
      <c r="R1795" s="47">
        <v>-1</v>
      </c>
      <c r="S1795" s="48">
        <v>32</v>
      </c>
      <c r="T1795" s="47">
        <v>0</v>
      </c>
      <c r="U1795" s="47">
        <v>0</v>
      </c>
      <c r="V1795" s="47">
        <v>0</v>
      </c>
      <c r="W1795" s="47"/>
      <c r="X1795" s="47">
        <v>220</v>
      </c>
      <c r="Y1795" s="47"/>
      <c r="Z1795" s="47" t="s">
        <v>2524</v>
      </c>
      <c r="AA1795" s="49"/>
      <c r="AB1795" s="49"/>
      <c r="AC1795" s="49"/>
      <c r="AD1795" s="50"/>
      <c r="AE1795" s="47" t="s">
        <v>2754</v>
      </c>
      <c r="AF1795" s="47">
        <v>45</v>
      </c>
      <c r="AG1795"/>
      <c r="AH1795"/>
      <c r="AI1795"/>
      <c r="AJ1795"/>
      <c r="AK1795"/>
      <c r="AL1795"/>
      <c r="AM1795"/>
      <c r="AN1795"/>
      <c r="AO1795"/>
      <c r="AP1795"/>
      <c r="AQ1795" t="s">
        <v>2526</v>
      </c>
      <c r="AU1795">
        <v>1794</v>
      </c>
    </row>
    <row r="1796" spans="1:47" x14ac:dyDescent="0.2">
      <c r="A1796" s="133">
        <v>6438</v>
      </c>
      <c r="B1796" s="39" t="s">
        <v>45</v>
      </c>
      <c r="C1796" s="39">
        <v>100</v>
      </c>
      <c r="D1796" s="29" t="b">
        <v>0</v>
      </c>
      <c r="E1796" s="39" t="s">
        <v>3203</v>
      </c>
      <c r="F1796" s="47" t="s">
        <v>748</v>
      </c>
      <c r="G1796" s="47" t="s">
        <v>73</v>
      </c>
      <c r="H1796"/>
      <c r="I1796" s="47" t="b">
        <v>0</v>
      </c>
      <c r="J1796" s="47" t="b">
        <v>0</v>
      </c>
      <c r="K1796" s="47">
        <v>555</v>
      </c>
      <c r="L1796" s="48">
        <v>32</v>
      </c>
      <c r="M1796" s="47">
        <v>-1</v>
      </c>
      <c r="N1796" s="47">
        <v>-1</v>
      </c>
      <c r="O1796" s="47">
        <v>-1</v>
      </c>
      <c r="P1796" s="47">
        <v>-1</v>
      </c>
      <c r="Q1796" s="47">
        <v>-1</v>
      </c>
      <c r="R1796" s="47">
        <v>-1</v>
      </c>
      <c r="S1796" s="48">
        <v>32</v>
      </c>
      <c r="T1796" s="47">
        <v>0</v>
      </c>
      <c r="U1796" s="47">
        <v>0</v>
      </c>
      <c r="V1796" s="47">
        <v>0</v>
      </c>
      <c r="W1796" s="47"/>
      <c r="X1796" s="47">
        <v>228</v>
      </c>
      <c r="Y1796" s="47"/>
      <c r="Z1796" s="47" t="s">
        <v>2524</v>
      </c>
      <c r="AA1796" s="49"/>
      <c r="AB1796" s="49"/>
      <c r="AC1796" s="49"/>
      <c r="AD1796" s="50"/>
      <c r="AE1796" s="47" t="s">
        <v>2754</v>
      </c>
      <c r="AF1796" s="47"/>
      <c r="AG1796"/>
      <c r="AH1796"/>
      <c r="AI1796"/>
      <c r="AJ1796"/>
      <c r="AK1796"/>
      <c r="AL1796"/>
      <c r="AM1796"/>
      <c r="AN1796"/>
      <c r="AO1796"/>
      <c r="AP1796"/>
      <c r="AQ1796" t="s">
        <v>2526</v>
      </c>
      <c r="AU1796">
        <v>1795</v>
      </c>
    </row>
    <row r="1797" spans="1:47" x14ac:dyDescent="0.2">
      <c r="A1797" s="133">
        <v>6438</v>
      </c>
      <c r="B1797" s="39" t="s">
        <v>45</v>
      </c>
      <c r="C1797" s="39">
        <v>100</v>
      </c>
      <c r="D1797" s="29" t="b">
        <v>0</v>
      </c>
      <c r="E1797" s="39" t="s">
        <v>3204</v>
      </c>
      <c r="F1797" s="47" t="s">
        <v>748</v>
      </c>
      <c r="G1797" s="47" t="s">
        <v>73</v>
      </c>
      <c r="H1797"/>
      <c r="I1797" s="47" t="b">
        <v>0</v>
      </c>
      <c r="J1797" s="47" t="b">
        <v>0</v>
      </c>
      <c r="K1797" s="47">
        <v>405</v>
      </c>
      <c r="L1797" s="48">
        <v>32</v>
      </c>
      <c r="M1797" s="47">
        <v>-1</v>
      </c>
      <c r="N1797" s="47">
        <v>-1</v>
      </c>
      <c r="O1797" s="47">
        <v>-1</v>
      </c>
      <c r="P1797" s="47">
        <v>-1</v>
      </c>
      <c r="Q1797" s="47">
        <v>-1</v>
      </c>
      <c r="R1797" s="47">
        <v>-1</v>
      </c>
      <c r="S1797" s="48">
        <v>32</v>
      </c>
      <c r="T1797" s="47">
        <v>0</v>
      </c>
      <c r="U1797" s="47">
        <v>0</v>
      </c>
      <c r="V1797" s="47">
        <v>0</v>
      </c>
      <c r="W1797" s="47"/>
      <c r="X1797" s="47">
        <v>224</v>
      </c>
      <c r="Y1797" s="47"/>
      <c r="Z1797" s="47" t="s">
        <v>2524</v>
      </c>
      <c r="AA1797" s="49"/>
      <c r="AB1797" s="49"/>
      <c r="AC1797" s="49"/>
      <c r="AD1797" s="50"/>
      <c r="AE1797" s="47" t="s">
        <v>2754</v>
      </c>
      <c r="AF1797" s="47">
        <v>50</v>
      </c>
      <c r="AG1797"/>
      <c r="AH1797"/>
      <c r="AI1797"/>
      <c r="AJ1797"/>
      <c r="AK1797"/>
      <c r="AL1797"/>
      <c r="AM1797"/>
      <c r="AN1797"/>
      <c r="AO1797"/>
      <c r="AP1797"/>
      <c r="AQ1797" t="s">
        <v>2526</v>
      </c>
      <c r="AU1797">
        <v>1796</v>
      </c>
    </row>
    <row r="1798" spans="1:47" x14ac:dyDescent="0.2">
      <c r="A1798" s="133">
        <v>6438</v>
      </c>
      <c r="B1798" s="39" t="s">
        <v>45</v>
      </c>
      <c r="C1798" s="39">
        <v>100</v>
      </c>
      <c r="D1798" s="29" t="b">
        <v>0</v>
      </c>
      <c r="E1798" s="39" t="s">
        <v>3205</v>
      </c>
      <c r="F1798" s="47" t="s">
        <v>3206</v>
      </c>
      <c r="G1798" s="47" t="s">
        <v>73</v>
      </c>
      <c r="H1798"/>
      <c r="I1798" s="47" t="b">
        <v>0</v>
      </c>
      <c r="J1798" s="47" t="b">
        <v>0</v>
      </c>
      <c r="K1798" s="47">
        <v>355</v>
      </c>
      <c r="L1798" s="48">
        <v>32</v>
      </c>
      <c r="M1798" s="47">
        <v>-1</v>
      </c>
      <c r="N1798" s="47">
        <v>-1</v>
      </c>
      <c r="O1798" s="47">
        <v>-1</v>
      </c>
      <c r="P1798" s="47">
        <v>-1</v>
      </c>
      <c r="Q1798" s="47">
        <v>-1</v>
      </c>
      <c r="R1798" s="47">
        <v>-1</v>
      </c>
      <c r="S1798" s="48">
        <v>32</v>
      </c>
      <c r="T1798" s="47">
        <v>0</v>
      </c>
      <c r="U1798" s="47">
        <v>0</v>
      </c>
      <c r="V1798" s="47">
        <v>0</v>
      </c>
      <c r="W1798" s="47"/>
      <c r="X1798" s="47">
        <v>216</v>
      </c>
      <c r="Y1798" s="47"/>
      <c r="Z1798" s="47" t="s">
        <v>2524</v>
      </c>
      <c r="AA1798" s="49"/>
      <c r="AB1798" s="49"/>
      <c r="AC1798" s="49"/>
      <c r="AD1798" s="50"/>
      <c r="AE1798" s="47" t="s">
        <v>2754</v>
      </c>
      <c r="AF1798" s="47">
        <v>55</v>
      </c>
      <c r="AG1798"/>
      <c r="AH1798"/>
      <c r="AI1798"/>
      <c r="AJ1798"/>
      <c r="AK1798"/>
      <c r="AL1798"/>
      <c r="AM1798"/>
      <c r="AN1798"/>
      <c r="AO1798"/>
      <c r="AP1798"/>
      <c r="AQ1798" t="s">
        <v>2526</v>
      </c>
      <c r="AU1798">
        <v>1797</v>
      </c>
    </row>
    <row r="1799" spans="1:47" x14ac:dyDescent="0.2">
      <c r="A1799" s="133">
        <v>6438</v>
      </c>
      <c r="B1799" s="39" t="s">
        <v>45</v>
      </c>
      <c r="C1799" s="39">
        <v>100</v>
      </c>
      <c r="D1799" s="29" t="b">
        <v>0</v>
      </c>
      <c r="E1799" s="39" t="s">
        <v>3207</v>
      </c>
      <c r="F1799" s="47" t="s">
        <v>3206</v>
      </c>
      <c r="G1799" s="47" t="s">
        <v>73</v>
      </c>
      <c r="H1799"/>
      <c r="I1799" s="47" t="b">
        <v>0</v>
      </c>
      <c r="J1799" s="47" t="b">
        <v>0</v>
      </c>
      <c r="K1799" s="47">
        <v>355</v>
      </c>
      <c r="L1799" s="48">
        <v>32</v>
      </c>
      <c r="M1799" s="47">
        <v>-1</v>
      </c>
      <c r="N1799" s="47">
        <v>-1</v>
      </c>
      <c r="O1799" s="47">
        <v>-1</v>
      </c>
      <c r="P1799" s="47">
        <v>-1</v>
      </c>
      <c r="Q1799" s="47">
        <v>-1</v>
      </c>
      <c r="R1799" s="47">
        <v>-1</v>
      </c>
      <c r="S1799" s="48">
        <v>32</v>
      </c>
      <c r="T1799" s="47">
        <v>0</v>
      </c>
      <c r="U1799" s="47">
        <v>0</v>
      </c>
      <c r="V1799" s="47">
        <v>0</v>
      </c>
      <c r="W1799" s="47"/>
      <c r="X1799" s="47">
        <v>227</v>
      </c>
      <c r="Y1799" s="47"/>
      <c r="Z1799" s="47" t="s">
        <v>2524</v>
      </c>
      <c r="AA1799" s="49"/>
      <c r="AB1799" s="49"/>
      <c r="AC1799" s="49"/>
      <c r="AD1799" s="50"/>
      <c r="AE1799" s="47" t="s">
        <v>2754</v>
      </c>
      <c r="AF1799" s="47"/>
      <c r="AG1799"/>
      <c r="AH1799"/>
      <c r="AI1799"/>
      <c r="AJ1799"/>
      <c r="AK1799"/>
      <c r="AL1799"/>
      <c r="AM1799"/>
      <c r="AN1799"/>
      <c r="AO1799"/>
      <c r="AP1799"/>
      <c r="AQ1799" t="s">
        <v>2526</v>
      </c>
      <c r="AU1799">
        <v>1798</v>
      </c>
    </row>
    <row r="1800" spans="1:47" x14ac:dyDescent="0.2">
      <c r="A1800" s="26">
        <v>6438</v>
      </c>
      <c r="B1800" s="27" t="s">
        <v>45</v>
      </c>
      <c r="C1800" s="28"/>
      <c r="D1800" s="29"/>
      <c r="E1800" s="30" t="s">
        <v>1531</v>
      </c>
      <c r="H1800" s="32">
        <v>0</v>
      </c>
      <c r="I1800" s="32" t="s">
        <v>1532</v>
      </c>
      <c r="AG1800" s="32">
        <v>0</v>
      </c>
      <c r="AH1800" s="32">
        <v>0</v>
      </c>
      <c r="AI1800" s="32">
        <v>0</v>
      </c>
      <c r="AK1800" s="32">
        <v>0</v>
      </c>
      <c r="AM1800" s="32">
        <f>498*53</f>
        <v>26394</v>
      </c>
      <c r="AO1800" s="32" t="s">
        <v>1533</v>
      </c>
      <c r="AQ1800" s="32" t="s">
        <v>1101</v>
      </c>
      <c r="AU1800">
        <v>1799</v>
      </c>
    </row>
    <row r="1801" spans="1:47" x14ac:dyDescent="0.2">
      <c r="A1801" s="26">
        <v>6438</v>
      </c>
      <c r="B1801" s="27" t="s">
        <v>45</v>
      </c>
      <c r="C1801" s="28"/>
      <c r="D1801" s="29"/>
      <c r="E1801" s="150" t="s">
        <v>2286</v>
      </c>
      <c r="H1801" s="32">
        <v>0</v>
      </c>
      <c r="I1801" s="32" t="s">
        <v>1824</v>
      </c>
      <c r="AG1801" s="32">
        <v>0</v>
      </c>
      <c r="AH1801" s="32">
        <v>0</v>
      </c>
      <c r="AI1801" s="32">
        <v>0</v>
      </c>
      <c r="AK1801" s="32">
        <v>0</v>
      </c>
      <c r="AM1801" s="32">
        <v>11000</v>
      </c>
      <c r="AO1801" s="73" t="s">
        <v>75</v>
      </c>
      <c r="AQ1801" s="32" t="s">
        <v>589</v>
      </c>
      <c r="AU1801">
        <v>1800</v>
      </c>
    </row>
    <row r="1802" spans="1:47" x14ac:dyDescent="0.2">
      <c r="A1802" s="37">
        <v>6439</v>
      </c>
      <c r="B1802" s="38" t="s">
        <v>85</v>
      </c>
      <c r="C1802" s="39" t="s">
        <v>2689</v>
      </c>
      <c r="D1802" s="29"/>
      <c r="E1802" s="38" t="s">
        <v>3208</v>
      </c>
      <c r="F1802" s="32" t="s">
        <v>150</v>
      </c>
      <c r="G1802" s="47" t="s">
        <v>49</v>
      </c>
      <c r="H1802"/>
      <c r="I1802" s="32" t="s">
        <v>3209</v>
      </c>
      <c r="J1802" s="47"/>
      <c r="K1802" s="47"/>
      <c r="L1802" s="48"/>
      <c r="M1802" s="47"/>
      <c r="N1802" s="47"/>
      <c r="O1802" s="47"/>
      <c r="P1802" s="47"/>
      <c r="Q1802" s="47"/>
      <c r="R1802" s="47"/>
      <c r="S1802" s="48"/>
      <c r="T1802" s="47"/>
      <c r="U1802" s="47"/>
      <c r="V1802" s="47"/>
      <c r="W1802" s="47"/>
      <c r="X1802" s="47"/>
      <c r="Y1802" s="47"/>
      <c r="Z1802" s="47" t="s">
        <v>1809</v>
      </c>
      <c r="AA1802" s="49"/>
      <c r="AB1802" s="49"/>
      <c r="AC1802" s="49"/>
      <c r="AD1802" s="50"/>
      <c r="AE1802" s="47" t="s">
        <v>1312</v>
      </c>
      <c r="AF1802" s="47">
        <v>150</v>
      </c>
      <c r="AG1802"/>
      <c r="AH1802"/>
      <c r="AI1802"/>
      <c r="AJ1802"/>
      <c r="AK1802"/>
      <c r="AL1802"/>
      <c r="AM1802"/>
      <c r="AN1802"/>
      <c r="AO1802"/>
      <c r="AP1802"/>
      <c r="AQ1802" t="s">
        <v>3057</v>
      </c>
      <c r="AU1802">
        <v>1801</v>
      </c>
    </row>
    <row r="1803" spans="1:47" x14ac:dyDescent="0.2">
      <c r="A1803" s="37">
        <v>6439</v>
      </c>
      <c r="B1803" s="38" t="s">
        <v>85</v>
      </c>
      <c r="C1803" s="39" t="s">
        <v>2689</v>
      </c>
      <c r="D1803" s="29"/>
      <c r="E1803" s="38" t="s">
        <v>528</v>
      </c>
      <c r="F1803" s="32" t="s">
        <v>529</v>
      </c>
      <c r="G1803" s="47" t="s">
        <v>205</v>
      </c>
      <c r="H1803"/>
      <c r="I1803" s="32" t="s">
        <v>3210</v>
      </c>
      <c r="J1803" s="47"/>
      <c r="K1803" s="47"/>
      <c r="L1803" s="48"/>
      <c r="M1803" s="47"/>
      <c r="N1803" s="47"/>
      <c r="O1803" s="47"/>
      <c r="P1803" s="47"/>
      <c r="Q1803" s="47"/>
      <c r="R1803" s="47"/>
      <c r="S1803" s="48">
        <v>10</v>
      </c>
      <c r="T1803" s="47"/>
      <c r="U1803" s="47"/>
      <c r="V1803" s="47"/>
      <c r="W1803" s="47"/>
      <c r="X1803" s="47"/>
      <c r="Y1803" s="47"/>
      <c r="Z1803" s="47" t="s">
        <v>1809</v>
      </c>
      <c r="AA1803" s="49"/>
      <c r="AB1803" s="49"/>
      <c r="AC1803" s="49"/>
      <c r="AD1803" s="50"/>
      <c r="AE1803" s="47" t="s">
        <v>1312</v>
      </c>
      <c r="AF1803" s="47">
        <v>140</v>
      </c>
      <c r="AG1803"/>
      <c r="AH1803"/>
      <c r="AI1803"/>
      <c r="AJ1803"/>
      <c r="AK1803"/>
      <c r="AL1803"/>
      <c r="AM1803"/>
      <c r="AN1803"/>
      <c r="AO1803"/>
      <c r="AP1803"/>
      <c r="AQ1803" t="s">
        <v>3057</v>
      </c>
      <c r="AU1803">
        <v>1802</v>
      </c>
    </row>
    <row r="1804" spans="1:47" x14ac:dyDescent="0.2">
      <c r="A1804" s="37">
        <v>6439</v>
      </c>
      <c r="B1804" s="154" t="s">
        <v>85</v>
      </c>
      <c r="C1804" s="155" t="s">
        <v>142</v>
      </c>
      <c r="D1804" s="80"/>
      <c r="E1804" s="156" t="s">
        <v>3211</v>
      </c>
      <c r="F1804" s="84" t="s">
        <v>2889</v>
      </c>
      <c r="G1804" s="84" t="s">
        <v>73</v>
      </c>
      <c r="H1804" s="120"/>
      <c r="I1804" s="120" t="s">
        <v>3212</v>
      </c>
      <c r="K1804" s="31">
        <f>54*10*2.2</f>
        <v>1188</v>
      </c>
      <c r="S1804" s="33">
        <v>14</v>
      </c>
      <c r="T1804" s="31">
        <v>0</v>
      </c>
      <c r="U1804" s="31">
        <v>0</v>
      </c>
      <c r="V1804" s="31">
        <v>0</v>
      </c>
      <c r="Y1804" s="31" t="s">
        <v>120</v>
      </c>
      <c r="Z1804" s="31" t="s">
        <v>1809</v>
      </c>
      <c r="AE1804" s="47" t="s">
        <v>3198</v>
      </c>
      <c r="AF1804" s="31">
        <v>40</v>
      </c>
      <c r="AK1804" s="32">
        <v>54</v>
      </c>
      <c r="AQ1804" s="32" t="s">
        <v>3213</v>
      </c>
      <c r="AU1804">
        <v>1803</v>
      </c>
    </row>
    <row r="1805" spans="1:47" x14ac:dyDescent="0.2">
      <c r="A1805" s="37">
        <v>6439</v>
      </c>
      <c r="B1805" s="154" t="s">
        <v>85</v>
      </c>
      <c r="C1805" s="155" t="s">
        <v>142</v>
      </c>
      <c r="D1805" s="80"/>
      <c r="E1805" s="156" t="s">
        <v>321</v>
      </c>
      <c r="F1805" s="84" t="s">
        <v>150</v>
      </c>
      <c r="G1805" s="84" t="s">
        <v>49</v>
      </c>
      <c r="H1805" s="120"/>
      <c r="I1805" s="120" t="s">
        <v>3214</v>
      </c>
      <c r="K1805" s="31">
        <f>20*10*2.2</f>
        <v>440.00000000000006</v>
      </c>
      <c r="S1805" s="33">
        <v>5</v>
      </c>
      <c r="T1805" s="31">
        <v>0</v>
      </c>
      <c r="U1805" s="31">
        <v>0</v>
      </c>
      <c r="V1805" s="31">
        <v>0</v>
      </c>
      <c r="Y1805" s="31" t="s">
        <v>120</v>
      </c>
      <c r="Z1805" s="31" t="s">
        <v>1809</v>
      </c>
      <c r="AA1805" s="34">
        <v>0.75</v>
      </c>
      <c r="AB1805" s="34">
        <v>0.8125</v>
      </c>
      <c r="AC1805" s="49">
        <f>AVERAGE(AA1805:AB1805)</f>
        <v>0.78125</v>
      </c>
      <c r="AD1805" s="50">
        <f>(AB1805-AA1805)*24</f>
        <v>1.5</v>
      </c>
      <c r="AE1805" s="47" t="s">
        <v>3198</v>
      </c>
      <c r="AF1805" s="31">
        <v>40</v>
      </c>
      <c r="AK1805" s="32">
        <v>20</v>
      </c>
      <c r="AQ1805" s="32" t="s">
        <v>3213</v>
      </c>
      <c r="AU1805">
        <v>1804</v>
      </c>
    </row>
    <row r="1806" spans="1:47" x14ac:dyDescent="0.2">
      <c r="A1806" s="37">
        <v>6439</v>
      </c>
      <c r="B1806" s="154" t="s">
        <v>45</v>
      </c>
      <c r="C1806" s="155" t="s">
        <v>142</v>
      </c>
      <c r="D1806" s="80"/>
      <c r="E1806" s="156" t="s">
        <v>3215</v>
      </c>
      <c r="F1806" s="84" t="s">
        <v>3216</v>
      </c>
      <c r="G1806" s="84" t="s">
        <v>73</v>
      </c>
      <c r="H1806" s="120"/>
      <c r="I1806" s="120" t="s">
        <v>3217</v>
      </c>
      <c r="K1806" s="31">
        <f>(116*10+24*25)*2.2</f>
        <v>3872.0000000000005</v>
      </c>
      <c r="L1806" s="33">
        <v>12</v>
      </c>
      <c r="O1806" s="31">
        <v>1</v>
      </c>
      <c r="S1806" s="33">
        <v>11</v>
      </c>
      <c r="T1806" s="31">
        <v>1</v>
      </c>
      <c r="U1806" s="31">
        <v>0</v>
      </c>
      <c r="V1806" s="31">
        <v>1</v>
      </c>
      <c r="Y1806" s="31" t="s">
        <v>51</v>
      </c>
      <c r="Z1806" s="31" t="s">
        <v>2203</v>
      </c>
      <c r="AE1806" s="47" t="s">
        <v>3198</v>
      </c>
      <c r="AF1806" s="31">
        <v>60</v>
      </c>
      <c r="AK1806" s="32">
        <f>116+24</f>
        <v>140</v>
      </c>
      <c r="AQ1806" s="32" t="s">
        <v>3213</v>
      </c>
      <c r="AU1806">
        <v>1805</v>
      </c>
    </row>
    <row r="1807" spans="1:47" x14ac:dyDescent="0.2">
      <c r="A1807" s="37">
        <v>6439</v>
      </c>
      <c r="B1807" s="38" t="s">
        <v>45</v>
      </c>
      <c r="C1807" s="39" t="s">
        <v>156</v>
      </c>
      <c r="D1807" s="29"/>
      <c r="E1807" s="38" t="s">
        <v>3063</v>
      </c>
      <c r="F1807" s="32" t="s">
        <v>529</v>
      </c>
      <c r="G1807" s="47" t="s">
        <v>205</v>
      </c>
      <c r="H1807"/>
      <c r="I1807" s="32" t="s">
        <v>3218</v>
      </c>
      <c r="J1807" s="47"/>
      <c r="K1807" s="47"/>
      <c r="L1807" s="48"/>
      <c r="M1807" s="47"/>
      <c r="N1807" s="47"/>
      <c r="O1807" s="47"/>
      <c r="P1807" s="47"/>
      <c r="Q1807" s="47"/>
      <c r="R1807" s="47"/>
      <c r="S1807" s="48">
        <v>16</v>
      </c>
      <c r="T1807" s="47"/>
      <c r="U1807" s="47"/>
      <c r="V1807" s="47"/>
      <c r="W1807" s="47"/>
      <c r="X1807" s="47"/>
      <c r="Y1807" s="47"/>
      <c r="Z1807" s="47"/>
      <c r="AA1807" s="49"/>
      <c r="AB1807" s="49"/>
      <c r="AC1807" s="49"/>
      <c r="AD1807" s="50"/>
      <c r="AE1807" s="31" t="s">
        <v>2743</v>
      </c>
      <c r="AF1807" s="47">
        <v>90</v>
      </c>
      <c r="AG1807"/>
      <c r="AH1807"/>
      <c r="AI1807"/>
      <c r="AJ1807"/>
      <c r="AK1807"/>
      <c r="AL1807"/>
      <c r="AM1807"/>
      <c r="AN1807"/>
      <c r="AO1807"/>
      <c r="AP1807"/>
      <c r="AQ1807"/>
      <c r="AU1807">
        <v>1806</v>
      </c>
    </row>
    <row r="1808" spans="1:47" x14ac:dyDescent="0.2">
      <c r="A1808" s="37">
        <v>6439</v>
      </c>
      <c r="B1808" s="38" t="s">
        <v>45</v>
      </c>
      <c r="C1808" s="39" t="s">
        <v>156</v>
      </c>
      <c r="D1808" s="29"/>
      <c r="E1808" s="38" t="s">
        <v>3219</v>
      </c>
      <c r="F1808" s="32" t="s">
        <v>246</v>
      </c>
      <c r="G1808" s="47" t="s">
        <v>49</v>
      </c>
      <c r="H1808"/>
      <c r="I1808" s="32" t="s">
        <v>156</v>
      </c>
      <c r="J1808" s="47"/>
      <c r="K1808" s="47"/>
      <c r="L1808" s="48"/>
      <c r="M1808" s="47"/>
      <c r="N1808" s="47"/>
      <c r="O1808" s="47"/>
      <c r="P1808" s="47"/>
      <c r="Q1808" s="47"/>
      <c r="R1808" s="47"/>
      <c r="S1808" s="48"/>
      <c r="T1808" s="47"/>
      <c r="U1808" s="47"/>
      <c r="V1808" s="47"/>
      <c r="W1808" s="47"/>
      <c r="X1808" s="47"/>
      <c r="Y1808" s="47"/>
      <c r="Z1808" s="47"/>
      <c r="AA1808" s="49"/>
      <c r="AB1808" s="49"/>
      <c r="AC1808" s="49"/>
      <c r="AD1808" s="50"/>
      <c r="AE1808" s="31" t="s">
        <v>2743</v>
      </c>
      <c r="AF1808" s="47">
        <v>95</v>
      </c>
      <c r="AG1808"/>
      <c r="AH1808"/>
      <c r="AI1808"/>
      <c r="AJ1808"/>
      <c r="AK1808"/>
      <c r="AL1808"/>
      <c r="AM1808"/>
      <c r="AN1808"/>
      <c r="AO1808"/>
      <c r="AP1808"/>
      <c r="AQ1808"/>
      <c r="AU1808">
        <v>1807</v>
      </c>
    </row>
    <row r="1809" spans="1:47" x14ac:dyDescent="0.2">
      <c r="A1809" s="37">
        <v>6439</v>
      </c>
      <c r="B1809" s="38" t="s">
        <v>45</v>
      </c>
      <c r="C1809" s="38" t="s">
        <v>2542</v>
      </c>
      <c r="D1809" s="29"/>
      <c r="E1809" s="38" t="s">
        <v>649</v>
      </c>
      <c r="F1809" s="84" t="s">
        <v>529</v>
      </c>
      <c r="G1809" s="47" t="s">
        <v>205</v>
      </c>
      <c r="H1809"/>
      <c r="I1809" s="32" t="s">
        <v>3220</v>
      </c>
      <c r="J1809" s="47"/>
      <c r="K1809" s="47">
        <f>(3*30*10+6*50)*2.2</f>
        <v>2640</v>
      </c>
      <c r="L1809" s="48">
        <v>5</v>
      </c>
      <c r="M1809" s="47"/>
      <c r="N1809" s="47">
        <v>1</v>
      </c>
      <c r="O1809" s="47"/>
      <c r="P1809" s="47"/>
      <c r="Q1809" s="47"/>
      <c r="R1809" s="47"/>
      <c r="S1809" s="48">
        <v>4</v>
      </c>
      <c r="T1809" s="47">
        <v>0</v>
      </c>
      <c r="U1809" s="47">
        <v>0</v>
      </c>
      <c r="V1809" s="47">
        <v>0</v>
      </c>
      <c r="W1809" s="47">
        <f>((2000+2500+2400+2000)/4)*39.37/12</f>
        <v>7299.854166666667</v>
      </c>
      <c r="X1809" s="47"/>
      <c r="Y1809" s="47" t="s">
        <v>51</v>
      </c>
      <c r="Z1809" s="47" t="s">
        <v>1846</v>
      </c>
      <c r="AA1809" s="49"/>
      <c r="AB1809" s="49"/>
      <c r="AC1809" s="49"/>
      <c r="AD1809" s="50">
        <v>1.75</v>
      </c>
      <c r="AE1809" s="31" t="s">
        <v>342</v>
      </c>
      <c r="AF1809" s="47">
        <v>40</v>
      </c>
      <c r="AG1809"/>
      <c r="AH1809"/>
      <c r="AI1809"/>
      <c r="AJ1809"/>
      <c r="AK1809">
        <f>3*30+6</f>
        <v>96</v>
      </c>
      <c r="AL1809"/>
      <c r="AM1809"/>
      <c r="AN1809"/>
      <c r="AO1809"/>
      <c r="AP1809"/>
      <c r="AQ1809" t="s">
        <v>3221</v>
      </c>
      <c r="AU1809">
        <v>1808</v>
      </c>
    </row>
    <row r="1810" spans="1:47" x14ac:dyDescent="0.2">
      <c r="A1810" s="26">
        <v>6439</v>
      </c>
      <c r="B1810" s="27">
        <v>0.18402777777777779</v>
      </c>
      <c r="C1810" s="28"/>
      <c r="D1810" s="29"/>
      <c r="E1810" s="30" t="s">
        <v>464</v>
      </c>
      <c r="H1810" s="32">
        <v>1</v>
      </c>
      <c r="I1810" s="32" t="s">
        <v>3128</v>
      </c>
      <c r="AG1810" s="32">
        <v>0</v>
      </c>
      <c r="AH1810" s="32">
        <v>0</v>
      </c>
      <c r="AI1810" s="32">
        <v>0</v>
      </c>
      <c r="AL1810" s="32">
        <f>32/60</f>
        <v>0.53333333333333333</v>
      </c>
      <c r="AO1810" s="32" t="s">
        <v>1898</v>
      </c>
      <c r="AP1810" s="32">
        <f>32/60</f>
        <v>0.53333333333333333</v>
      </c>
      <c r="AQ1810" s="32" t="s">
        <v>1522</v>
      </c>
      <c r="AU1810">
        <v>1809</v>
      </c>
    </row>
    <row r="1811" spans="1:47" x14ac:dyDescent="0.2">
      <c r="A1811" s="26">
        <v>6439</v>
      </c>
      <c r="B1811" s="27">
        <v>0.91319444444444453</v>
      </c>
      <c r="C1811" s="28"/>
      <c r="D1811" s="29"/>
      <c r="E1811" s="30" t="s">
        <v>1124</v>
      </c>
      <c r="H1811" s="32">
        <v>1</v>
      </c>
      <c r="I1811" s="32"/>
      <c r="AG1811" s="32">
        <v>0</v>
      </c>
      <c r="AH1811" s="32">
        <v>0</v>
      </c>
      <c r="AK1811" s="32">
        <v>8</v>
      </c>
      <c r="AL1811" s="32">
        <f>2+25/60</f>
        <v>2.4166666666666665</v>
      </c>
      <c r="AO1811" s="46" t="s">
        <v>1126</v>
      </c>
      <c r="AP1811" s="32">
        <f>2+25/60</f>
        <v>2.4166666666666665</v>
      </c>
      <c r="AQ1811" s="32" t="s">
        <v>589</v>
      </c>
      <c r="AU1811">
        <v>1810</v>
      </c>
    </row>
    <row r="1812" spans="1:47" x14ac:dyDescent="0.2">
      <c r="A1812" s="26">
        <v>6439</v>
      </c>
      <c r="B1812" s="27">
        <v>0.91666666666666663</v>
      </c>
      <c r="C1812" s="28"/>
      <c r="D1812" s="29"/>
      <c r="E1812" s="30" t="s">
        <v>1282</v>
      </c>
      <c r="H1812" s="32">
        <v>0</v>
      </c>
      <c r="I1812" s="32" t="s">
        <v>2244</v>
      </c>
      <c r="AG1812" s="32">
        <v>0</v>
      </c>
      <c r="AH1812" s="32">
        <v>0</v>
      </c>
      <c r="AI1812" s="32">
        <v>0</v>
      </c>
      <c r="AK1812" s="32">
        <v>0</v>
      </c>
      <c r="AL1812" s="32">
        <f>4+1/3</f>
        <v>4.333333333333333</v>
      </c>
      <c r="AP1812" s="32">
        <f>4+1/3</f>
        <v>4.333333333333333</v>
      </c>
      <c r="AQ1812" s="32" t="s">
        <v>1101</v>
      </c>
      <c r="AU1812">
        <v>1811</v>
      </c>
    </row>
    <row r="1813" spans="1:47" x14ac:dyDescent="0.2">
      <c r="A1813" s="26">
        <v>6439</v>
      </c>
      <c r="B1813" s="27">
        <v>0.9194444444444444</v>
      </c>
      <c r="C1813" s="28"/>
      <c r="D1813" s="29"/>
      <c r="E1813" s="30" t="s">
        <v>464</v>
      </c>
      <c r="H1813" s="32">
        <v>1</v>
      </c>
      <c r="I1813" s="32" t="s">
        <v>3222</v>
      </c>
      <c r="AG1813" s="32">
        <v>0</v>
      </c>
      <c r="AH1813" s="32">
        <v>0</v>
      </c>
      <c r="AI1813" s="32">
        <v>0</v>
      </c>
      <c r="AL1813" s="32">
        <v>4.5</v>
      </c>
      <c r="AO1813" s="32" t="s">
        <v>1898</v>
      </c>
      <c r="AP1813" s="32">
        <v>4.5</v>
      </c>
      <c r="AQ1813" s="32" t="s">
        <v>1522</v>
      </c>
      <c r="AU1813">
        <v>1812</v>
      </c>
    </row>
    <row r="1814" spans="1:47" x14ac:dyDescent="0.2">
      <c r="A1814" s="26">
        <v>6439</v>
      </c>
      <c r="B1814" s="27" t="s">
        <v>45</v>
      </c>
      <c r="C1814" s="28"/>
      <c r="D1814" s="29"/>
      <c r="E1814" s="30" t="s">
        <v>1531</v>
      </c>
      <c r="H1814" s="32">
        <v>0</v>
      </c>
      <c r="I1814" s="32" t="s">
        <v>1706</v>
      </c>
      <c r="AG1814" s="32">
        <v>0</v>
      </c>
      <c r="AH1814" s="32">
        <v>0</v>
      </c>
      <c r="AI1814" s="32">
        <v>0</v>
      </c>
      <c r="AK1814" s="32">
        <v>0</v>
      </c>
      <c r="AM1814" s="32">
        <f>498*122</f>
        <v>60756</v>
      </c>
      <c r="AO1814" s="32" t="s">
        <v>1533</v>
      </c>
      <c r="AQ1814" s="32" t="s">
        <v>1101</v>
      </c>
      <c r="AU1814">
        <v>1813</v>
      </c>
    </row>
    <row r="1815" spans="1:47" x14ac:dyDescent="0.2">
      <c r="A1815" s="26">
        <v>6439</v>
      </c>
      <c r="B1815" s="27" t="s">
        <v>45</v>
      </c>
      <c r="C1815" s="28"/>
      <c r="D1815" s="29"/>
      <c r="E1815" s="150" t="s">
        <v>2286</v>
      </c>
      <c r="H1815" s="32">
        <v>0</v>
      </c>
      <c r="I1815" s="32" t="s">
        <v>1824</v>
      </c>
      <c r="AG1815" s="32">
        <v>0</v>
      </c>
      <c r="AH1815" s="32">
        <v>0</v>
      </c>
      <c r="AI1815" s="32">
        <v>0</v>
      </c>
      <c r="AK1815" s="32">
        <v>0</v>
      </c>
      <c r="AM1815" s="32">
        <v>20000</v>
      </c>
      <c r="AO1815" s="73" t="s">
        <v>75</v>
      </c>
      <c r="AQ1815" s="32" t="s">
        <v>589</v>
      </c>
      <c r="AU1815">
        <v>1814</v>
      </c>
    </row>
    <row r="1816" spans="1:47" x14ac:dyDescent="0.2">
      <c r="A1816" s="37">
        <v>6440</v>
      </c>
      <c r="B1816" s="38" t="s">
        <v>85</v>
      </c>
      <c r="C1816" s="39" t="s">
        <v>142</v>
      </c>
      <c r="D1816" s="29"/>
      <c r="E1816" s="38" t="s">
        <v>3223</v>
      </c>
      <c r="F1816" s="31" t="s">
        <v>3224</v>
      </c>
      <c r="G1816" s="31" t="s">
        <v>73</v>
      </c>
      <c r="H1816" s="32"/>
      <c r="I1816" s="32" t="s">
        <v>3225</v>
      </c>
      <c r="K1816" s="31">
        <f>56*10*2.2</f>
        <v>1232</v>
      </c>
      <c r="L1816" s="33">
        <v>13</v>
      </c>
      <c r="S1816" s="33">
        <v>13</v>
      </c>
      <c r="T1816" s="31">
        <v>1</v>
      </c>
      <c r="U1816" s="31">
        <v>0</v>
      </c>
      <c r="V1816" s="31">
        <v>0</v>
      </c>
      <c r="Y1816" s="31" t="s">
        <v>120</v>
      </c>
      <c r="Z1816" s="31" t="s">
        <v>1809</v>
      </c>
      <c r="AE1816" s="47" t="s">
        <v>3198</v>
      </c>
      <c r="AF1816" s="31">
        <v>45</v>
      </c>
      <c r="AK1816" s="32">
        <v>56</v>
      </c>
      <c r="AO1816" s="73"/>
      <c r="AQ1816" s="32" t="s">
        <v>3226</v>
      </c>
      <c r="AU1816">
        <v>1815</v>
      </c>
    </row>
    <row r="1817" spans="1:47" x14ac:dyDescent="0.2">
      <c r="A1817" s="37">
        <v>6440</v>
      </c>
      <c r="B1817" s="38" t="s">
        <v>45</v>
      </c>
      <c r="C1817" s="39" t="s">
        <v>156</v>
      </c>
      <c r="D1817" s="29"/>
      <c r="E1817" s="38" t="s">
        <v>3227</v>
      </c>
      <c r="F1817" s="31" t="s">
        <v>529</v>
      </c>
      <c r="G1817" s="31" t="s">
        <v>205</v>
      </c>
      <c r="H1817" s="32"/>
      <c r="I1817" s="32"/>
      <c r="AE1817" s="31" t="s">
        <v>2743</v>
      </c>
      <c r="AF1817" s="31">
        <v>80</v>
      </c>
      <c r="AO1817" s="73"/>
      <c r="AU1817">
        <v>1816</v>
      </c>
    </row>
    <row r="1818" spans="1:47" x14ac:dyDescent="0.2">
      <c r="A1818" s="26">
        <v>6440</v>
      </c>
      <c r="B1818" s="27">
        <v>0.72916666666666663</v>
      </c>
      <c r="C1818" s="28"/>
      <c r="D1818" s="29"/>
      <c r="E1818" s="30" t="s">
        <v>464</v>
      </c>
      <c r="H1818" s="32">
        <v>0</v>
      </c>
      <c r="I1818" s="32" t="s">
        <v>2521</v>
      </c>
      <c r="AG1818" s="32">
        <v>0</v>
      </c>
      <c r="AH1818" s="32">
        <v>0</v>
      </c>
      <c r="AI1818" s="32">
        <v>0</v>
      </c>
      <c r="AK1818" s="32">
        <v>0</v>
      </c>
      <c r="AL1818" s="32">
        <v>0.33300000000000002</v>
      </c>
      <c r="AO1818" s="32" t="s">
        <v>1898</v>
      </c>
      <c r="AP1818" s="32">
        <v>0.33300000000000002</v>
      </c>
      <c r="AQ1818" s="32" t="s">
        <v>1522</v>
      </c>
      <c r="AU1818">
        <v>1817</v>
      </c>
    </row>
    <row r="1819" spans="1:47" x14ac:dyDescent="0.2">
      <c r="A1819" s="26">
        <v>6440</v>
      </c>
      <c r="B1819" s="27" t="s">
        <v>45</v>
      </c>
      <c r="C1819" s="28"/>
      <c r="D1819" s="29"/>
      <c r="E1819" s="30" t="s">
        <v>1531</v>
      </c>
      <c r="H1819" s="32">
        <v>0</v>
      </c>
      <c r="I1819" s="32" t="s">
        <v>1532</v>
      </c>
      <c r="AG1819" s="32">
        <v>0</v>
      </c>
      <c r="AH1819" s="32">
        <v>0</v>
      </c>
      <c r="AI1819" s="32">
        <v>0</v>
      </c>
      <c r="AK1819" s="32">
        <v>0</v>
      </c>
      <c r="AM1819" s="32">
        <f>498*35</f>
        <v>17430</v>
      </c>
      <c r="AO1819" s="32" t="s">
        <v>1533</v>
      </c>
      <c r="AQ1819" s="32" t="s">
        <v>1101</v>
      </c>
      <c r="AU1819">
        <v>1818</v>
      </c>
    </row>
    <row r="1820" spans="1:47" x14ac:dyDescent="0.2">
      <c r="A1820" s="26">
        <v>6440</v>
      </c>
      <c r="B1820" s="27" t="s">
        <v>45</v>
      </c>
      <c r="C1820" s="28"/>
      <c r="D1820" s="29"/>
      <c r="E1820" s="150" t="s">
        <v>2286</v>
      </c>
      <c r="H1820" s="32">
        <v>0</v>
      </c>
      <c r="I1820" s="32" t="s">
        <v>1824</v>
      </c>
      <c r="AG1820" s="32">
        <v>0</v>
      </c>
      <c r="AH1820" s="32">
        <v>0</v>
      </c>
      <c r="AI1820" s="32">
        <v>0</v>
      </c>
      <c r="AK1820" s="32">
        <v>0</v>
      </c>
      <c r="AM1820" s="32">
        <v>5500</v>
      </c>
      <c r="AO1820" s="73" t="s">
        <v>75</v>
      </c>
      <c r="AQ1820" s="32" t="s">
        <v>589</v>
      </c>
      <c r="AU1820">
        <v>1819</v>
      </c>
    </row>
    <row r="1821" spans="1:47" x14ac:dyDescent="0.2">
      <c r="A1821" s="44">
        <v>6441</v>
      </c>
      <c r="B1821" s="42" t="s">
        <v>85</v>
      </c>
      <c r="C1821" s="43" t="s">
        <v>142</v>
      </c>
      <c r="D1821" s="29"/>
      <c r="E1821" s="121" t="s">
        <v>3228</v>
      </c>
      <c r="F1821" s="31" t="s">
        <v>3229</v>
      </c>
      <c r="G1821" s="31" t="s">
        <v>73</v>
      </c>
      <c r="H1821" s="32"/>
      <c r="I1821" s="32" t="s">
        <v>3230</v>
      </c>
      <c r="K1821" s="31">
        <f>46*10*2.2</f>
        <v>1012.0000000000001</v>
      </c>
      <c r="L1821" s="33">
        <v>11</v>
      </c>
      <c r="S1821" s="33">
        <v>11</v>
      </c>
      <c r="T1821" s="31">
        <v>0</v>
      </c>
      <c r="U1821" s="31">
        <v>0</v>
      </c>
      <c r="V1821" s="31">
        <v>0</v>
      </c>
      <c r="Y1821" s="31" t="s">
        <v>120</v>
      </c>
      <c r="Z1821" s="31" t="s">
        <v>1809</v>
      </c>
      <c r="AE1821" s="47" t="s">
        <v>3198</v>
      </c>
      <c r="AF1821" s="31">
        <v>40</v>
      </c>
      <c r="AK1821" s="32">
        <v>46</v>
      </c>
      <c r="AO1821" s="73"/>
      <c r="AQ1821" s="32" t="s">
        <v>3199</v>
      </c>
      <c r="AU1821">
        <v>1820</v>
      </c>
    </row>
    <row r="1822" spans="1:47" x14ac:dyDescent="0.2">
      <c r="A1822" s="26">
        <v>6441</v>
      </c>
      <c r="B1822" s="27">
        <v>0.45833333333333331</v>
      </c>
      <c r="C1822" s="28"/>
      <c r="D1822" s="29"/>
      <c r="E1822" s="30" t="s">
        <v>464</v>
      </c>
      <c r="H1822" s="32">
        <v>0</v>
      </c>
      <c r="I1822" s="32" t="s">
        <v>2521</v>
      </c>
      <c r="AG1822" s="32">
        <v>0</v>
      </c>
      <c r="AH1822" s="32">
        <v>0</v>
      </c>
      <c r="AI1822" s="32">
        <v>0</v>
      </c>
      <c r="AK1822" s="32">
        <v>0</v>
      </c>
      <c r="AL1822" s="32">
        <v>0.33300000000000002</v>
      </c>
      <c r="AO1822" s="32" t="s">
        <v>1898</v>
      </c>
      <c r="AP1822" s="32">
        <v>0.33300000000000002</v>
      </c>
      <c r="AQ1822" s="32" t="s">
        <v>1522</v>
      </c>
      <c r="AU1822">
        <v>1821</v>
      </c>
    </row>
    <row r="1823" spans="1:47" x14ac:dyDescent="0.2">
      <c r="A1823" s="133">
        <v>6442</v>
      </c>
      <c r="B1823" s="42" t="s">
        <v>85</v>
      </c>
      <c r="C1823" s="155" t="s">
        <v>142</v>
      </c>
      <c r="D1823" s="29"/>
      <c r="E1823" s="36" t="s">
        <v>3231</v>
      </c>
      <c r="F1823" s="31" t="s">
        <v>3232</v>
      </c>
      <c r="G1823" s="31" t="s">
        <v>69</v>
      </c>
      <c r="H1823" s="32"/>
      <c r="I1823" s="32" t="s">
        <v>3233</v>
      </c>
      <c r="K1823" s="31">
        <f>8*10*2.2</f>
        <v>176</v>
      </c>
      <c r="L1823" s="33">
        <v>2</v>
      </c>
      <c r="S1823" s="33">
        <v>2</v>
      </c>
      <c r="T1823" s="31">
        <v>0</v>
      </c>
      <c r="U1823" s="31">
        <v>0</v>
      </c>
      <c r="V1823" s="31">
        <v>0</v>
      </c>
      <c r="Y1823" s="31" t="s">
        <v>51</v>
      </c>
      <c r="Z1823" s="31" t="s">
        <v>1809</v>
      </c>
      <c r="AE1823" s="47" t="s">
        <v>3198</v>
      </c>
      <c r="AF1823" s="31">
        <v>35</v>
      </c>
      <c r="AK1823" s="32">
        <v>8</v>
      </c>
      <c r="AQ1823" s="32" t="s">
        <v>3234</v>
      </c>
      <c r="AU1823">
        <v>1822</v>
      </c>
    </row>
    <row r="1824" spans="1:47" x14ac:dyDescent="0.2">
      <c r="A1824" s="133">
        <v>6442</v>
      </c>
      <c r="B1824" s="42" t="s">
        <v>85</v>
      </c>
      <c r="C1824" s="155" t="s">
        <v>142</v>
      </c>
      <c r="D1824" s="29"/>
      <c r="E1824" s="36" t="s">
        <v>3235</v>
      </c>
      <c r="F1824" s="31" t="s">
        <v>170</v>
      </c>
      <c r="G1824" s="31" t="s">
        <v>69</v>
      </c>
      <c r="H1824" s="32"/>
      <c r="I1824" s="32" t="s">
        <v>3236</v>
      </c>
      <c r="K1824" s="31">
        <f>12*10*2.2</f>
        <v>264</v>
      </c>
      <c r="L1824" s="33">
        <v>3</v>
      </c>
      <c r="S1824" s="33">
        <v>3</v>
      </c>
      <c r="T1824" s="31">
        <v>0</v>
      </c>
      <c r="U1824" s="31">
        <v>0</v>
      </c>
      <c r="V1824" s="31">
        <v>0</v>
      </c>
      <c r="Y1824" s="31" t="s">
        <v>120</v>
      </c>
      <c r="Z1824" s="31" t="s">
        <v>1809</v>
      </c>
      <c r="AE1824" s="47" t="s">
        <v>3198</v>
      </c>
      <c r="AF1824" s="31">
        <v>30</v>
      </c>
      <c r="AK1824" s="32">
        <v>12</v>
      </c>
      <c r="AQ1824" s="32" t="s">
        <v>3234</v>
      </c>
      <c r="AU1824">
        <v>1823</v>
      </c>
    </row>
    <row r="1825" spans="1:47" x14ac:dyDescent="0.2">
      <c r="A1825" s="133">
        <v>6442</v>
      </c>
      <c r="B1825" s="42" t="s">
        <v>85</v>
      </c>
      <c r="C1825" s="155" t="s">
        <v>142</v>
      </c>
      <c r="D1825" s="29"/>
      <c r="E1825" s="36" t="s">
        <v>3237</v>
      </c>
      <c r="F1825" s="31" t="s">
        <v>3238</v>
      </c>
      <c r="G1825" s="31" t="s">
        <v>73</v>
      </c>
      <c r="H1825" s="32"/>
      <c r="I1825" s="32" t="s">
        <v>3239</v>
      </c>
      <c r="K1825" s="31">
        <f>16*10*2.2</f>
        <v>352</v>
      </c>
      <c r="L1825" s="33">
        <v>3</v>
      </c>
      <c r="S1825" s="33">
        <v>3</v>
      </c>
      <c r="T1825" s="31">
        <v>0</v>
      </c>
      <c r="U1825" s="31">
        <v>0</v>
      </c>
      <c r="V1825" s="31">
        <v>0</v>
      </c>
      <c r="Y1825" s="31" t="s">
        <v>51</v>
      </c>
      <c r="Z1825" s="31" t="s">
        <v>1809</v>
      </c>
      <c r="AE1825" s="47" t="s">
        <v>3198</v>
      </c>
      <c r="AF1825" s="31">
        <v>45</v>
      </c>
      <c r="AK1825" s="32">
        <v>16</v>
      </c>
      <c r="AQ1825" s="32" t="s">
        <v>3234</v>
      </c>
      <c r="AU1825">
        <v>1824</v>
      </c>
    </row>
    <row r="1826" spans="1:47" x14ac:dyDescent="0.2">
      <c r="A1826" s="133">
        <v>6442</v>
      </c>
      <c r="B1826" s="39" t="s">
        <v>45</v>
      </c>
      <c r="C1826" s="39">
        <v>100</v>
      </c>
      <c r="D1826" s="29" t="b">
        <v>0</v>
      </c>
      <c r="E1826" s="39" t="s">
        <v>3240</v>
      </c>
      <c r="F1826" s="47" t="s">
        <v>3241</v>
      </c>
      <c r="G1826" s="47" t="s">
        <v>205</v>
      </c>
      <c r="H1826"/>
      <c r="I1826" s="47" t="b">
        <v>1</v>
      </c>
      <c r="J1826" s="47" t="b">
        <v>1</v>
      </c>
      <c r="K1826" s="47">
        <v>4280</v>
      </c>
      <c r="L1826" s="48">
        <v>17</v>
      </c>
      <c r="M1826" s="47">
        <v>-1</v>
      </c>
      <c r="N1826" s="47">
        <v>-1</v>
      </c>
      <c r="O1826" s="47">
        <v>-1</v>
      </c>
      <c r="P1826" s="47">
        <v>-1</v>
      </c>
      <c r="Q1826" s="47">
        <v>-1</v>
      </c>
      <c r="R1826" s="47">
        <v>-1</v>
      </c>
      <c r="S1826" s="48">
        <v>17</v>
      </c>
      <c r="T1826" s="47">
        <v>0</v>
      </c>
      <c r="U1826" s="47">
        <v>0</v>
      </c>
      <c r="V1826" s="47">
        <v>0</v>
      </c>
      <c r="W1826" s="47"/>
      <c r="X1826" s="47">
        <v>230</v>
      </c>
      <c r="Y1826" s="47"/>
      <c r="Z1826" s="47" t="s">
        <v>2524</v>
      </c>
      <c r="AA1826" s="49"/>
      <c r="AB1826" s="49"/>
      <c r="AC1826" s="49"/>
      <c r="AD1826" s="50"/>
      <c r="AE1826" s="47" t="s">
        <v>2754</v>
      </c>
      <c r="AF1826" s="47">
        <v>55</v>
      </c>
      <c r="AG1826"/>
      <c r="AH1826"/>
      <c r="AI1826"/>
      <c r="AJ1826"/>
      <c r="AK1826"/>
      <c r="AL1826"/>
      <c r="AM1826"/>
      <c r="AN1826"/>
      <c r="AO1826"/>
      <c r="AP1826"/>
      <c r="AQ1826" t="s">
        <v>2526</v>
      </c>
      <c r="AU1826">
        <v>1825</v>
      </c>
    </row>
    <row r="1827" spans="1:47" x14ac:dyDescent="0.2">
      <c r="A1827" s="133">
        <v>6442</v>
      </c>
      <c r="B1827" s="39" t="s">
        <v>45</v>
      </c>
      <c r="C1827" s="39">
        <v>100</v>
      </c>
      <c r="D1827" s="29" t="b">
        <v>0</v>
      </c>
      <c r="E1827" s="39" t="s">
        <v>3242</v>
      </c>
      <c r="F1827" s="47" t="s">
        <v>529</v>
      </c>
      <c r="G1827" s="47" t="s">
        <v>205</v>
      </c>
      <c r="H1827"/>
      <c r="I1827" s="47" t="b">
        <v>0</v>
      </c>
      <c r="J1827" s="47" t="b">
        <v>0</v>
      </c>
      <c r="K1827" s="47">
        <v>3480</v>
      </c>
      <c r="L1827" s="48">
        <v>17</v>
      </c>
      <c r="M1827" s="47">
        <v>-1</v>
      </c>
      <c r="N1827" s="47">
        <v>-1</v>
      </c>
      <c r="O1827" s="47">
        <v>-1</v>
      </c>
      <c r="P1827" s="47">
        <v>-1</v>
      </c>
      <c r="Q1827" s="47">
        <v>-1</v>
      </c>
      <c r="R1827" s="47">
        <v>-1</v>
      </c>
      <c r="S1827" s="48">
        <v>17</v>
      </c>
      <c r="T1827" s="47">
        <v>0</v>
      </c>
      <c r="U1827" s="47">
        <v>0</v>
      </c>
      <c r="V1827" s="47">
        <v>0</v>
      </c>
      <c r="W1827" s="47"/>
      <c r="X1827" s="47">
        <v>231</v>
      </c>
      <c r="Y1827" s="47"/>
      <c r="Z1827" s="47" t="s">
        <v>2524</v>
      </c>
      <c r="AA1827" s="49"/>
      <c r="AB1827" s="49"/>
      <c r="AC1827" s="49"/>
      <c r="AD1827" s="50"/>
      <c r="AE1827" s="47" t="s">
        <v>2754</v>
      </c>
      <c r="AF1827" s="47">
        <v>55</v>
      </c>
      <c r="AG1827"/>
      <c r="AH1827"/>
      <c r="AI1827"/>
      <c r="AJ1827"/>
      <c r="AK1827"/>
      <c r="AL1827"/>
      <c r="AM1827"/>
      <c r="AN1827"/>
      <c r="AO1827"/>
      <c r="AP1827"/>
      <c r="AQ1827" t="s">
        <v>2526</v>
      </c>
      <c r="AU1827">
        <v>1826</v>
      </c>
    </row>
    <row r="1828" spans="1:47" x14ac:dyDescent="0.2">
      <c r="A1828" s="133">
        <v>6442</v>
      </c>
      <c r="B1828" s="39" t="s">
        <v>45</v>
      </c>
      <c r="C1828" s="39">
        <v>100</v>
      </c>
      <c r="D1828" s="29" t="b">
        <v>0</v>
      </c>
      <c r="E1828" s="39" t="s">
        <v>2835</v>
      </c>
      <c r="F1828" s="47" t="s">
        <v>3243</v>
      </c>
      <c r="G1828" s="47" t="s">
        <v>73</v>
      </c>
      <c r="H1828"/>
      <c r="I1828" s="47" t="b">
        <v>0</v>
      </c>
      <c r="J1828" s="47" t="b">
        <v>0</v>
      </c>
      <c r="K1828" s="47">
        <v>800</v>
      </c>
      <c r="L1828" s="48">
        <v>17</v>
      </c>
      <c r="M1828" s="47">
        <v>-1</v>
      </c>
      <c r="N1828" s="47">
        <v>-1</v>
      </c>
      <c r="O1828" s="47">
        <v>-1</v>
      </c>
      <c r="P1828" s="47">
        <v>-1</v>
      </c>
      <c r="Q1828" s="47">
        <v>-1</v>
      </c>
      <c r="R1828" s="47">
        <v>-1</v>
      </c>
      <c r="S1828" s="48">
        <v>17</v>
      </c>
      <c r="T1828" s="47">
        <v>0</v>
      </c>
      <c r="U1828" s="47">
        <v>0</v>
      </c>
      <c r="V1828" s="47">
        <v>0</v>
      </c>
      <c r="W1828" s="47"/>
      <c r="X1828" s="47">
        <v>229</v>
      </c>
      <c r="Y1828" s="47"/>
      <c r="Z1828" s="47" t="s">
        <v>2524</v>
      </c>
      <c r="AA1828" s="49"/>
      <c r="AB1828" s="49"/>
      <c r="AC1828" s="49"/>
      <c r="AD1828" s="50"/>
      <c r="AE1828" s="47" t="s">
        <v>2754</v>
      </c>
      <c r="AF1828" s="47">
        <v>55</v>
      </c>
      <c r="AG1828"/>
      <c r="AH1828"/>
      <c r="AI1828"/>
      <c r="AJ1828"/>
      <c r="AK1828"/>
      <c r="AL1828"/>
      <c r="AM1828"/>
      <c r="AN1828"/>
      <c r="AO1828"/>
      <c r="AP1828"/>
      <c r="AQ1828" t="s">
        <v>2526</v>
      </c>
      <c r="AU1828">
        <v>1827</v>
      </c>
    </row>
    <row r="1829" spans="1:47" x14ac:dyDescent="0.2">
      <c r="A1829" s="133">
        <v>6442</v>
      </c>
      <c r="B1829" s="39" t="s">
        <v>45</v>
      </c>
      <c r="C1829" s="39" t="s">
        <v>156</v>
      </c>
      <c r="D1829" s="29"/>
      <c r="E1829" s="38" t="s">
        <v>688</v>
      </c>
      <c r="F1829" s="31" t="s">
        <v>529</v>
      </c>
      <c r="G1829" s="47" t="s">
        <v>205</v>
      </c>
      <c r="H1829"/>
      <c r="I1829" s="47" t="s">
        <v>3244</v>
      </c>
      <c r="J1829" s="47"/>
      <c r="K1829" s="47"/>
      <c r="L1829" s="48">
        <v>9</v>
      </c>
      <c r="M1829" s="47"/>
      <c r="N1829" s="47"/>
      <c r="O1829" s="47"/>
      <c r="P1829" s="47"/>
      <c r="Q1829" s="47"/>
      <c r="R1829" s="47"/>
      <c r="S1829" s="48"/>
      <c r="T1829" s="47"/>
      <c r="U1829" s="47"/>
      <c r="V1829" s="47"/>
      <c r="W1829" s="47"/>
      <c r="X1829" s="47"/>
      <c r="Y1829" s="47"/>
      <c r="Z1829" s="47"/>
      <c r="AA1829" s="49"/>
      <c r="AB1829" s="49"/>
      <c r="AC1829" s="49"/>
      <c r="AD1829" s="50"/>
      <c r="AE1829" s="31" t="s">
        <v>2188</v>
      </c>
      <c r="AF1829" s="47"/>
      <c r="AG1829"/>
      <c r="AH1829"/>
      <c r="AI1829"/>
      <c r="AJ1829"/>
      <c r="AK1829"/>
      <c r="AL1829"/>
      <c r="AM1829"/>
      <c r="AN1829"/>
      <c r="AO1829"/>
      <c r="AP1829"/>
      <c r="AQ1829"/>
      <c r="AU1829">
        <v>1828</v>
      </c>
    </row>
    <row r="1830" spans="1:47" x14ac:dyDescent="0.2">
      <c r="A1830" s="133">
        <v>6442</v>
      </c>
      <c r="B1830" s="39" t="s">
        <v>45</v>
      </c>
      <c r="C1830" s="39" t="s">
        <v>142</v>
      </c>
      <c r="D1830" s="29"/>
      <c r="E1830" s="39" t="s">
        <v>3245</v>
      </c>
      <c r="F1830" s="47" t="s">
        <v>3246</v>
      </c>
      <c r="G1830" s="47" t="s">
        <v>73</v>
      </c>
      <c r="H1830"/>
      <c r="I1830" s="47" t="s">
        <v>3247</v>
      </c>
      <c r="J1830" s="47"/>
      <c r="K1830" s="47">
        <f>(167*10+23*25)*2.2</f>
        <v>4939</v>
      </c>
      <c r="L1830" s="48">
        <v>16</v>
      </c>
      <c r="M1830" s="47"/>
      <c r="N1830" s="47"/>
      <c r="O1830" s="47"/>
      <c r="P1830" s="47"/>
      <c r="Q1830" s="47"/>
      <c r="R1830" s="47"/>
      <c r="S1830" s="48">
        <v>16</v>
      </c>
      <c r="T1830" s="47">
        <v>0</v>
      </c>
      <c r="U1830" s="47">
        <v>0</v>
      </c>
      <c r="V1830" s="47">
        <v>0</v>
      </c>
      <c r="W1830" s="47"/>
      <c r="X1830" s="47"/>
      <c r="Y1830" s="47" t="s">
        <v>51</v>
      </c>
      <c r="Z1830" s="47" t="s">
        <v>2203</v>
      </c>
      <c r="AA1830" s="49"/>
      <c r="AB1830" s="49"/>
      <c r="AC1830" s="49"/>
      <c r="AD1830" s="50"/>
      <c r="AE1830" s="47" t="s">
        <v>3198</v>
      </c>
      <c r="AF1830" s="47">
        <v>45</v>
      </c>
      <c r="AG1830"/>
      <c r="AH1830"/>
      <c r="AI1830"/>
      <c r="AJ1830"/>
      <c r="AK1830">
        <f>167+23</f>
        <v>190</v>
      </c>
      <c r="AL1830"/>
      <c r="AM1830"/>
      <c r="AN1830"/>
      <c r="AO1830"/>
      <c r="AP1830"/>
      <c r="AQ1830" s="32" t="s">
        <v>3234</v>
      </c>
      <c r="AU1830">
        <v>1829</v>
      </c>
    </row>
    <row r="1831" spans="1:47" x14ac:dyDescent="0.2">
      <c r="A1831" s="26">
        <v>6442</v>
      </c>
      <c r="B1831" s="27">
        <v>0.90625</v>
      </c>
      <c r="C1831" s="28"/>
      <c r="D1831" s="29"/>
      <c r="E1831" s="30" t="s">
        <v>464</v>
      </c>
      <c r="H1831" s="32">
        <v>1</v>
      </c>
      <c r="I1831" s="32" t="s">
        <v>3248</v>
      </c>
      <c r="AG1831" s="32">
        <v>0</v>
      </c>
      <c r="AH1831" s="32">
        <v>0</v>
      </c>
      <c r="AI1831" s="32">
        <v>0</v>
      </c>
      <c r="AL1831" s="32">
        <v>2</v>
      </c>
      <c r="AO1831" s="32" t="s">
        <v>1898</v>
      </c>
      <c r="AP1831" s="32">
        <v>2</v>
      </c>
      <c r="AQ1831" s="32" t="s">
        <v>1522</v>
      </c>
      <c r="AU1831">
        <v>1830</v>
      </c>
    </row>
    <row r="1832" spans="1:47" x14ac:dyDescent="0.2">
      <c r="A1832" s="26">
        <v>6442</v>
      </c>
      <c r="B1832" s="27" t="s">
        <v>45</v>
      </c>
      <c r="C1832" s="28"/>
      <c r="D1832" s="29"/>
      <c r="E1832" s="30" t="s">
        <v>1531</v>
      </c>
      <c r="H1832" s="32">
        <v>0</v>
      </c>
      <c r="I1832" s="32" t="s">
        <v>1706</v>
      </c>
      <c r="AG1832" s="32">
        <v>0</v>
      </c>
      <c r="AH1832" s="32">
        <v>0</v>
      </c>
      <c r="AI1832" s="32">
        <v>0</v>
      </c>
      <c r="AK1832" s="32">
        <v>0</v>
      </c>
      <c r="AM1832" s="32">
        <f>498*73</f>
        <v>36354</v>
      </c>
      <c r="AO1832" s="32" t="s">
        <v>1533</v>
      </c>
      <c r="AQ1832" s="32" t="s">
        <v>1101</v>
      </c>
      <c r="AU1832">
        <v>1831</v>
      </c>
    </row>
    <row r="1833" spans="1:47" x14ac:dyDescent="0.2">
      <c r="A1833" s="26">
        <v>6442</v>
      </c>
      <c r="B1833" s="27" t="s">
        <v>45</v>
      </c>
      <c r="C1833" s="28"/>
      <c r="D1833" s="29"/>
      <c r="E1833" s="150" t="s">
        <v>2286</v>
      </c>
      <c r="H1833" s="32">
        <v>0</v>
      </c>
      <c r="I1833" s="32" t="s">
        <v>1824</v>
      </c>
      <c r="AG1833" s="32">
        <v>0</v>
      </c>
      <c r="AH1833" s="32">
        <v>0</v>
      </c>
      <c r="AI1833" s="32">
        <v>0</v>
      </c>
      <c r="AK1833" s="32">
        <v>0</v>
      </c>
      <c r="AM1833" s="32">
        <v>9000</v>
      </c>
      <c r="AO1833" s="73" t="s">
        <v>75</v>
      </c>
      <c r="AQ1833" s="32" t="s">
        <v>589</v>
      </c>
      <c r="AU1833">
        <v>1832</v>
      </c>
    </row>
    <row r="1834" spans="1:47" x14ac:dyDescent="0.2">
      <c r="A1834" s="133">
        <v>6443</v>
      </c>
      <c r="B1834" s="39" t="s">
        <v>45</v>
      </c>
      <c r="C1834" s="38" t="s">
        <v>2542</v>
      </c>
      <c r="D1834" s="29"/>
      <c r="E1834" s="38" t="s">
        <v>3249</v>
      </c>
      <c r="F1834" s="31" t="s">
        <v>3250</v>
      </c>
      <c r="G1834" s="31" t="s">
        <v>69</v>
      </c>
      <c r="H1834" s="32"/>
      <c r="I1834" s="47" t="b">
        <v>1</v>
      </c>
      <c r="J1834" s="47" t="b">
        <v>1</v>
      </c>
      <c r="K1834" s="31">
        <f>(2*6*50+30*10)*2.2</f>
        <v>1980.0000000000002</v>
      </c>
      <c r="L1834" s="33">
        <v>6</v>
      </c>
      <c r="M1834" s="31">
        <v>2</v>
      </c>
      <c r="N1834" s="31">
        <v>1</v>
      </c>
      <c r="P1834" s="31">
        <v>1</v>
      </c>
      <c r="S1834" s="33">
        <v>3</v>
      </c>
      <c r="T1834" s="31">
        <v>0</v>
      </c>
      <c r="U1834" s="31">
        <v>0</v>
      </c>
      <c r="V1834" s="31">
        <v>1</v>
      </c>
      <c r="W1834" s="47">
        <f>((2700+2600+2600)/3)*39.37/12</f>
        <v>8639.5277777777774</v>
      </c>
      <c r="Y1834" s="31" t="s">
        <v>51</v>
      </c>
      <c r="Z1834" s="31" t="s">
        <v>1846</v>
      </c>
      <c r="AD1834" s="35">
        <v>3</v>
      </c>
      <c r="AE1834" s="31" t="s">
        <v>1810</v>
      </c>
      <c r="AF1834" s="47">
        <v>80</v>
      </c>
      <c r="AK1834" s="32">
        <f>30+6+6</f>
        <v>42</v>
      </c>
      <c r="AO1834" s="73"/>
      <c r="AQ1834" t="s">
        <v>3221</v>
      </c>
      <c r="AR1834" s="32" t="s">
        <v>3251</v>
      </c>
      <c r="AU1834">
        <v>1833</v>
      </c>
    </row>
    <row r="1835" spans="1:47" x14ac:dyDescent="0.2">
      <c r="A1835" s="133">
        <v>6443</v>
      </c>
      <c r="B1835" s="39" t="s">
        <v>45</v>
      </c>
      <c r="C1835" s="38" t="s">
        <v>2542</v>
      </c>
      <c r="D1835" s="29"/>
      <c r="E1835" s="38" t="s">
        <v>782</v>
      </c>
      <c r="F1835" s="31" t="s">
        <v>3252</v>
      </c>
      <c r="G1835" s="31" t="s">
        <v>69</v>
      </c>
      <c r="H1835" s="32"/>
      <c r="I1835" s="47" t="b">
        <v>0</v>
      </c>
      <c r="J1835" s="47" t="b">
        <v>0</v>
      </c>
      <c r="K1835" s="31">
        <f>(2*6*50)*2.2</f>
        <v>1320</v>
      </c>
      <c r="S1835" s="33">
        <v>2</v>
      </c>
      <c r="W1835" s="47">
        <f>((2600+2600)/2)*39.37/12</f>
        <v>8530.1666666666661</v>
      </c>
      <c r="Y1835" s="31" t="s">
        <v>51</v>
      </c>
      <c r="Z1835" s="31" t="s">
        <v>1846</v>
      </c>
      <c r="AD1835" s="35">
        <v>3</v>
      </c>
      <c r="AE1835" s="31" t="s">
        <v>1810</v>
      </c>
      <c r="AF1835" s="47">
        <v>80</v>
      </c>
      <c r="AK1835" s="32">
        <f>6+6</f>
        <v>12</v>
      </c>
      <c r="AO1835" s="73"/>
      <c r="AQ1835" t="s">
        <v>3221</v>
      </c>
      <c r="AR1835" s="32" t="s">
        <v>3251</v>
      </c>
      <c r="AU1835">
        <v>1834</v>
      </c>
    </row>
    <row r="1836" spans="1:47" x14ac:dyDescent="0.2">
      <c r="A1836" s="133">
        <v>6443</v>
      </c>
      <c r="B1836" s="39" t="s">
        <v>45</v>
      </c>
      <c r="C1836" s="38" t="s">
        <v>2542</v>
      </c>
      <c r="D1836" s="29"/>
      <c r="E1836" s="38" t="s">
        <v>3253</v>
      </c>
      <c r="F1836" s="31" t="s">
        <v>220</v>
      </c>
      <c r="G1836" s="31" t="s">
        <v>49</v>
      </c>
      <c r="H1836" s="32"/>
      <c r="I1836" s="47" t="b">
        <v>0</v>
      </c>
      <c r="J1836" s="47" t="b">
        <v>0</v>
      </c>
      <c r="K1836" s="31">
        <f>(30*10)*2.2</f>
        <v>660</v>
      </c>
      <c r="S1836" s="33">
        <v>1</v>
      </c>
      <c r="W1836" s="47">
        <f>2700*39.37/12</f>
        <v>8858.25</v>
      </c>
      <c r="Y1836" s="31" t="s">
        <v>51</v>
      </c>
      <c r="Z1836" s="31" t="s">
        <v>1846</v>
      </c>
      <c r="AD1836" s="35">
        <f>2+40/60</f>
        <v>2.6666666666666665</v>
      </c>
      <c r="AE1836" s="31" t="s">
        <v>1810</v>
      </c>
      <c r="AF1836" s="31">
        <v>75</v>
      </c>
      <c r="AK1836" s="32">
        <v>30</v>
      </c>
      <c r="AO1836" s="73"/>
      <c r="AQ1836" t="s">
        <v>3221</v>
      </c>
      <c r="AR1836" s="32" t="s">
        <v>3251</v>
      </c>
      <c r="AU1836">
        <v>1835</v>
      </c>
    </row>
    <row r="1837" spans="1:47" x14ac:dyDescent="0.2">
      <c r="A1837" s="133">
        <v>6443</v>
      </c>
      <c r="B1837" s="39" t="s">
        <v>45</v>
      </c>
      <c r="C1837" s="39">
        <v>100</v>
      </c>
      <c r="D1837" s="29" t="b">
        <v>0</v>
      </c>
      <c r="E1837" s="39" t="s">
        <v>3254</v>
      </c>
      <c r="F1837" s="47" t="s">
        <v>3255</v>
      </c>
      <c r="G1837" s="47" t="s">
        <v>459</v>
      </c>
      <c r="H1837"/>
      <c r="I1837" s="47" t="b">
        <v>1</v>
      </c>
      <c r="J1837" s="47" t="b">
        <v>1</v>
      </c>
      <c r="K1837" s="47">
        <v>3825</v>
      </c>
      <c r="L1837" s="48">
        <v>13</v>
      </c>
      <c r="M1837" s="47">
        <v>-1</v>
      </c>
      <c r="N1837" s="47">
        <v>-1</v>
      </c>
      <c r="O1837" s="47">
        <v>-1</v>
      </c>
      <c r="P1837" s="47">
        <v>-1</v>
      </c>
      <c r="Q1837" s="47">
        <v>-1</v>
      </c>
      <c r="R1837" s="47">
        <v>-1</v>
      </c>
      <c r="S1837" s="48">
        <v>13</v>
      </c>
      <c r="T1837" s="47">
        <v>0</v>
      </c>
      <c r="U1837" s="47">
        <v>0</v>
      </c>
      <c r="V1837" s="47">
        <v>0</v>
      </c>
      <c r="W1837" s="47"/>
      <c r="X1837" s="47">
        <v>234</v>
      </c>
      <c r="Y1837" s="47"/>
      <c r="Z1837" s="47" t="s">
        <v>2524</v>
      </c>
      <c r="AA1837" s="49"/>
      <c r="AB1837" s="49"/>
      <c r="AC1837" s="49"/>
      <c r="AD1837" s="50"/>
      <c r="AE1837" s="47" t="s">
        <v>2754</v>
      </c>
      <c r="AF1837" s="47">
        <v>55</v>
      </c>
      <c r="AG1837"/>
      <c r="AH1837"/>
      <c r="AI1837"/>
      <c r="AJ1837"/>
      <c r="AK1837"/>
      <c r="AL1837"/>
      <c r="AM1837"/>
      <c r="AN1837"/>
      <c r="AO1837"/>
      <c r="AP1837"/>
      <c r="AQ1837" t="s">
        <v>2526</v>
      </c>
      <c r="AU1837">
        <v>1836</v>
      </c>
    </row>
    <row r="1838" spans="1:47" x14ac:dyDescent="0.2">
      <c r="A1838" s="133">
        <v>6443</v>
      </c>
      <c r="B1838" s="39" t="s">
        <v>45</v>
      </c>
      <c r="C1838" s="39">
        <v>100</v>
      </c>
      <c r="D1838" s="29" t="b">
        <v>0</v>
      </c>
      <c r="E1838" s="39" t="s">
        <v>3256</v>
      </c>
      <c r="F1838" s="47" t="s">
        <v>1224</v>
      </c>
      <c r="G1838" s="47" t="s">
        <v>459</v>
      </c>
      <c r="H1838"/>
      <c r="I1838" s="47" t="b">
        <v>0</v>
      </c>
      <c r="J1838" s="47" t="b">
        <v>0</v>
      </c>
      <c r="K1838" s="47">
        <v>1495</v>
      </c>
      <c r="L1838" s="48">
        <v>13</v>
      </c>
      <c r="M1838" s="47">
        <v>-1</v>
      </c>
      <c r="N1838" s="47">
        <v>-1</v>
      </c>
      <c r="O1838" s="47">
        <v>-1</v>
      </c>
      <c r="P1838" s="47">
        <v>-1</v>
      </c>
      <c r="Q1838" s="47">
        <v>-1</v>
      </c>
      <c r="R1838" s="47">
        <v>-1</v>
      </c>
      <c r="S1838" s="48">
        <v>13</v>
      </c>
      <c r="T1838" s="47">
        <v>0</v>
      </c>
      <c r="U1838" s="47">
        <v>0</v>
      </c>
      <c r="V1838" s="47">
        <v>0</v>
      </c>
      <c r="W1838" s="47"/>
      <c r="X1838" s="47">
        <v>235</v>
      </c>
      <c r="Y1838" s="47"/>
      <c r="Z1838" s="47" t="s">
        <v>2524</v>
      </c>
      <c r="AA1838" s="49"/>
      <c r="AB1838" s="49"/>
      <c r="AC1838" s="49"/>
      <c r="AD1838" s="50"/>
      <c r="AE1838" s="47" t="s">
        <v>2754</v>
      </c>
      <c r="AF1838" s="47"/>
      <c r="AG1838"/>
      <c r="AH1838"/>
      <c r="AI1838"/>
      <c r="AJ1838"/>
      <c r="AK1838"/>
      <c r="AL1838"/>
      <c r="AM1838"/>
      <c r="AN1838"/>
      <c r="AO1838"/>
      <c r="AP1838"/>
      <c r="AQ1838" t="s">
        <v>2526</v>
      </c>
      <c r="AU1838">
        <v>1837</v>
      </c>
    </row>
    <row r="1839" spans="1:47" x14ac:dyDescent="0.2">
      <c r="A1839" s="133">
        <v>6443</v>
      </c>
      <c r="B1839" s="39" t="s">
        <v>45</v>
      </c>
      <c r="C1839" s="39">
        <v>100</v>
      </c>
      <c r="D1839" s="29" t="b">
        <v>0</v>
      </c>
      <c r="E1839" s="39" t="s">
        <v>3257</v>
      </c>
      <c r="F1839" s="47" t="s">
        <v>3258</v>
      </c>
      <c r="G1839" s="47" t="s">
        <v>73</v>
      </c>
      <c r="H1839"/>
      <c r="I1839" s="47" t="b">
        <v>0</v>
      </c>
      <c r="J1839" s="47" t="b">
        <v>0</v>
      </c>
      <c r="K1839" s="47">
        <v>1240</v>
      </c>
      <c r="L1839" s="48">
        <v>13</v>
      </c>
      <c r="M1839" s="47">
        <v>-1</v>
      </c>
      <c r="N1839" s="47">
        <v>-1</v>
      </c>
      <c r="O1839" s="47">
        <v>-1</v>
      </c>
      <c r="P1839" s="47">
        <v>-1</v>
      </c>
      <c r="Q1839" s="47">
        <v>-1</v>
      </c>
      <c r="R1839" s="47">
        <v>-1</v>
      </c>
      <c r="S1839" s="48">
        <v>13</v>
      </c>
      <c r="T1839" s="47">
        <v>0</v>
      </c>
      <c r="U1839" s="47">
        <v>0</v>
      </c>
      <c r="V1839" s="47">
        <v>0</v>
      </c>
      <c r="W1839" s="47"/>
      <c r="X1839" s="47">
        <v>233</v>
      </c>
      <c r="Y1839" s="47"/>
      <c r="Z1839" s="47" t="s">
        <v>2524</v>
      </c>
      <c r="AA1839" s="49"/>
      <c r="AB1839" s="49"/>
      <c r="AC1839" s="49"/>
      <c r="AD1839" s="50"/>
      <c r="AE1839" s="47" t="s">
        <v>2754</v>
      </c>
      <c r="AF1839" s="47"/>
      <c r="AG1839"/>
      <c r="AH1839"/>
      <c r="AI1839"/>
      <c r="AJ1839"/>
      <c r="AK1839"/>
      <c r="AL1839"/>
      <c r="AM1839"/>
      <c r="AN1839"/>
      <c r="AO1839"/>
      <c r="AP1839"/>
      <c r="AQ1839" t="s">
        <v>2526</v>
      </c>
      <c r="AU1839">
        <v>1838</v>
      </c>
    </row>
    <row r="1840" spans="1:47" x14ac:dyDescent="0.2">
      <c r="A1840" s="133">
        <v>6443</v>
      </c>
      <c r="B1840" s="39" t="s">
        <v>45</v>
      </c>
      <c r="C1840" s="39">
        <v>100</v>
      </c>
      <c r="D1840" s="29" t="b">
        <v>0</v>
      </c>
      <c r="E1840" s="39" t="s">
        <v>3242</v>
      </c>
      <c r="F1840" s="47" t="s">
        <v>529</v>
      </c>
      <c r="G1840" s="47" t="s">
        <v>205</v>
      </c>
      <c r="H1840"/>
      <c r="I1840" s="47" t="b">
        <v>0</v>
      </c>
      <c r="J1840" s="47" t="b">
        <v>0</v>
      </c>
      <c r="K1840" s="47">
        <v>1090</v>
      </c>
      <c r="L1840" s="48">
        <v>13</v>
      </c>
      <c r="M1840" s="47">
        <v>-1</v>
      </c>
      <c r="N1840" s="47">
        <v>-1</v>
      </c>
      <c r="O1840" s="47">
        <v>-1</v>
      </c>
      <c r="P1840" s="47">
        <v>-1</v>
      </c>
      <c r="Q1840" s="47">
        <v>-1</v>
      </c>
      <c r="R1840" s="47">
        <v>-1</v>
      </c>
      <c r="S1840" s="48">
        <v>13</v>
      </c>
      <c r="T1840" s="47">
        <v>0</v>
      </c>
      <c r="U1840" s="47">
        <v>0</v>
      </c>
      <c r="V1840" s="47">
        <v>0</v>
      </c>
      <c r="W1840" s="47"/>
      <c r="X1840" s="47">
        <v>232</v>
      </c>
      <c r="Y1840" s="47"/>
      <c r="Z1840" s="47" t="s">
        <v>2524</v>
      </c>
      <c r="AA1840" s="49"/>
      <c r="AB1840" s="49"/>
      <c r="AC1840" s="49"/>
      <c r="AD1840" s="50"/>
      <c r="AE1840" s="47" t="s">
        <v>2754</v>
      </c>
      <c r="AF1840" s="47">
        <v>55</v>
      </c>
      <c r="AG1840"/>
      <c r="AH1840"/>
      <c r="AI1840"/>
      <c r="AJ1840"/>
      <c r="AK1840"/>
      <c r="AL1840"/>
      <c r="AM1840"/>
      <c r="AN1840"/>
      <c r="AO1840"/>
      <c r="AP1840"/>
      <c r="AQ1840" t="s">
        <v>2526</v>
      </c>
      <c r="AU1840">
        <v>1839</v>
      </c>
    </row>
    <row r="1841" spans="1:47" x14ac:dyDescent="0.2">
      <c r="A1841" s="26">
        <v>6443</v>
      </c>
      <c r="B1841" s="27">
        <v>0.91666666666666663</v>
      </c>
      <c r="C1841" s="28"/>
      <c r="D1841" s="29"/>
      <c r="E1841" s="30" t="s">
        <v>464</v>
      </c>
      <c r="H1841" s="32">
        <v>1</v>
      </c>
      <c r="I1841" s="32" t="s">
        <v>3259</v>
      </c>
      <c r="AG1841" s="32">
        <v>0</v>
      </c>
      <c r="AH1841" s="32">
        <v>0</v>
      </c>
      <c r="AI1841" s="32">
        <v>0</v>
      </c>
      <c r="AL1841" s="32">
        <v>1.667</v>
      </c>
      <c r="AO1841" s="32" t="s">
        <v>1898</v>
      </c>
      <c r="AP1841" s="32">
        <v>1.667</v>
      </c>
      <c r="AQ1841" s="32" t="s">
        <v>1522</v>
      </c>
      <c r="AU1841">
        <v>1840</v>
      </c>
    </row>
    <row r="1842" spans="1:47" x14ac:dyDescent="0.2">
      <c r="A1842" s="26">
        <v>6443</v>
      </c>
      <c r="B1842" s="27">
        <v>0.91666666666666663</v>
      </c>
      <c r="C1842" s="28"/>
      <c r="D1842" s="29"/>
      <c r="E1842" s="30" t="s">
        <v>1282</v>
      </c>
      <c r="H1842" s="32">
        <v>0</v>
      </c>
      <c r="I1842" s="32" t="s">
        <v>2244</v>
      </c>
      <c r="AG1842" s="32">
        <v>0</v>
      </c>
      <c r="AH1842" s="32">
        <v>0</v>
      </c>
      <c r="AI1842" s="32">
        <v>0</v>
      </c>
      <c r="AK1842" s="32">
        <v>0</v>
      </c>
      <c r="AL1842" s="32">
        <v>1.3332999999999999</v>
      </c>
      <c r="AP1842" s="32">
        <v>1.3332999999999999</v>
      </c>
      <c r="AQ1842" s="32" t="s">
        <v>1101</v>
      </c>
      <c r="AU1842">
        <v>1841</v>
      </c>
    </row>
    <row r="1843" spans="1:47" x14ac:dyDescent="0.2">
      <c r="A1843" s="26">
        <v>6443</v>
      </c>
      <c r="B1843" s="27" t="s">
        <v>45</v>
      </c>
      <c r="C1843" s="28"/>
      <c r="D1843" s="29"/>
      <c r="E1843" s="30" t="s">
        <v>1531</v>
      </c>
      <c r="H1843" s="32">
        <v>0</v>
      </c>
      <c r="I1843" s="32" t="s">
        <v>1532</v>
      </c>
      <c r="AG1843" s="32">
        <v>0</v>
      </c>
      <c r="AH1843" s="32">
        <v>0</v>
      </c>
      <c r="AI1843" s="32">
        <v>0</v>
      </c>
      <c r="AK1843" s="32">
        <v>0</v>
      </c>
      <c r="AM1843" s="32">
        <f>498*36</f>
        <v>17928</v>
      </c>
      <c r="AO1843" s="32" t="s">
        <v>1533</v>
      </c>
      <c r="AQ1843" s="32" t="s">
        <v>1101</v>
      </c>
      <c r="AU1843">
        <v>1842</v>
      </c>
    </row>
    <row r="1844" spans="1:47" x14ac:dyDescent="0.2">
      <c r="A1844" s="26">
        <v>6443</v>
      </c>
      <c r="B1844" s="27" t="s">
        <v>45</v>
      </c>
      <c r="C1844" s="28"/>
      <c r="D1844" s="29"/>
      <c r="E1844" s="150" t="s">
        <v>2286</v>
      </c>
      <c r="H1844" s="32">
        <v>0</v>
      </c>
      <c r="I1844" s="32" t="s">
        <v>1824</v>
      </c>
      <c r="AG1844" s="32">
        <v>0</v>
      </c>
      <c r="AH1844" s="32">
        <v>0</v>
      </c>
      <c r="AI1844" s="32">
        <v>0</v>
      </c>
      <c r="AK1844" s="32">
        <v>0</v>
      </c>
      <c r="AM1844" s="32">
        <v>8000</v>
      </c>
      <c r="AO1844" s="73" t="s">
        <v>75</v>
      </c>
      <c r="AQ1844" s="32" t="s">
        <v>589</v>
      </c>
      <c r="AU1844">
        <v>1843</v>
      </c>
    </row>
    <row r="1845" spans="1:47" x14ac:dyDescent="0.2">
      <c r="A1845" s="37">
        <v>6444</v>
      </c>
      <c r="B1845" s="38" t="s">
        <v>85</v>
      </c>
      <c r="C1845" s="39" t="s">
        <v>1234</v>
      </c>
      <c r="D1845" s="29"/>
      <c r="E1845" s="38" t="s">
        <v>3260</v>
      </c>
      <c r="F1845" s="32" t="s">
        <v>3261</v>
      </c>
      <c r="G1845" s="47"/>
      <c r="H1845"/>
      <c r="I1845" s="32" t="s">
        <v>3262</v>
      </c>
      <c r="J1845" s="47"/>
      <c r="K1845" s="47"/>
      <c r="L1845" s="48"/>
      <c r="M1845" s="47"/>
      <c r="N1845" s="47"/>
      <c r="O1845" s="47"/>
      <c r="P1845" s="47"/>
      <c r="Q1845" s="47"/>
      <c r="R1845" s="47"/>
      <c r="S1845" s="48"/>
      <c r="T1845" s="47"/>
      <c r="U1845" s="47"/>
      <c r="V1845" s="47"/>
      <c r="W1845" s="47"/>
      <c r="X1845" s="47"/>
      <c r="Y1845" s="47" t="s">
        <v>120</v>
      </c>
      <c r="Z1845" s="47" t="s">
        <v>1809</v>
      </c>
      <c r="AA1845" s="49"/>
      <c r="AB1845" s="49"/>
      <c r="AC1845" s="49"/>
      <c r="AD1845" s="50"/>
      <c r="AE1845" s="47" t="s">
        <v>1653</v>
      </c>
      <c r="AF1845" s="47">
        <v>110</v>
      </c>
      <c r="AG1845"/>
      <c r="AH1845"/>
      <c r="AI1845"/>
      <c r="AJ1845"/>
      <c r="AK1845"/>
      <c r="AL1845"/>
      <c r="AM1845"/>
      <c r="AN1845"/>
      <c r="AO1845"/>
      <c r="AP1845"/>
      <c r="AQ1845" t="s">
        <v>3057</v>
      </c>
      <c r="AU1845">
        <v>1844</v>
      </c>
    </row>
    <row r="1846" spans="1:47" x14ac:dyDescent="0.2">
      <c r="A1846" s="37">
        <v>6444</v>
      </c>
      <c r="B1846" s="38" t="s">
        <v>85</v>
      </c>
      <c r="C1846" s="39" t="s">
        <v>142</v>
      </c>
      <c r="D1846" s="29"/>
      <c r="E1846" s="38" t="s">
        <v>3263</v>
      </c>
      <c r="F1846" s="31" t="s">
        <v>246</v>
      </c>
      <c r="G1846" s="31" t="s">
        <v>49</v>
      </c>
      <c r="H1846" s="32"/>
      <c r="I1846" s="32" t="s">
        <v>3264</v>
      </c>
      <c r="K1846" s="31">
        <f>50*10*2.2</f>
        <v>1100</v>
      </c>
      <c r="L1846" s="33">
        <v>11</v>
      </c>
      <c r="S1846" s="33">
        <v>11</v>
      </c>
      <c r="T1846" s="31">
        <v>0</v>
      </c>
      <c r="U1846" s="31">
        <v>0</v>
      </c>
      <c r="V1846" s="31">
        <v>0</v>
      </c>
      <c r="Y1846" s="31" t="s">
        <v>51</v>
      </c>
      <c r="Z1846" s="31" t="s">
        <v>1809</v>
      </c>
      <c r="AB1846" s="34">
        <v>0.2951388888888889</v>
      </c>
      <c r="AE1846" s="47" t="s">
        <v>3198</v>
      </c>
      <c r="AF1846" s="31">
        <v>40</v>
      </c>
      <c r="AK1846" s="32">
        <v>50</v>
      </c>
      <c r="AO1846" s="73"/>
      <c r="AQ1846" s="32" t="s">
        <v>3234</v>
      </c>
      <c r="AU1846">
        <v>1845</v>
      </c>
    </row>
    <row r="1847" spans="1:47" x14ac:dyDescent="0.2">
      <c r="A1847" s="37">
        <v>6444</v>
      </c>
      <c r="B1847" s="38" t="s">
        <v>85</v>
      </c>
      <c r="C1847" s="39" t="s">
        <v>142</v>
      </c>
      <c r="D1847" s="29"/>
      <c r="E1847" s="38" t="s">
        <v>3265</v>
      </c>
      <c r="F1847" s="31" t="s">
        <v>3266</v>
      </c>
      <c r="G1847" s="31" t="s">
        <v>49</v>
      </c>
      <c r="H1847" s="32"/>
      <c r="I1847" s="32" t="s">
        <v>3267</v>
      </c>
      <c r="K1847" s="31">
        <f>54*10*2.2</f>
        <v>1188</v>
      </c>
      <c r="L1847" s="33">
        <v>10</v>
      </c>
      <c r="S1847" s="33">
        <v>10</v>
      </c>
      <c r="T1847" s="31">
        <v>0</v>
      </c>
      <c r="U1847" s="31">
        <v>0</v>
      </c>
      <c r="V1847" s="31">
        <v>0</v>
      </c>
      <c r="Y1847" s="31" t="s">
        <v>51</v>
      </c>
      <c r="Z1847" s="31" t="s">
        <v>1809</v>
      </c>
      <c r="AE1847" s="47" t="s">
        <v>3198</v>
      </c>
      <c r="AF1847" s="31">
        <v>40</v>
      </c>
      <c r="AK1847" s="32">
        <v>54</v>
      </c>
      <c r="AO1847" s="73"/>
      <c r="AQ1847" s="32" t="s">
        <v>3234</v>
      </c>
      <c r="AU1847">
        <v>1846</v>
      </c>
    </row>
    <row r="1848" spans="1:47" x14ac:dyDescent="0.2">
      <c r="A1848" s="133">
        <v>6444</v>
      </c>
      <c r="B1848" s="39" t="s">
        <v>45</v>
      </c>
      <c r="C1848" s="39">
        <v>100</v>
      </c>
      <c r="D1848" s="29" t="b">
        <v>0</v>
      </c>
      <c r="E1848" s="39" t="s">
        <v>3268</v>
      </c>
      <c r="F1848" s="47" t="s">
        <v>3269</v>
      </c>
      <c r="G1848" s="47" t="s">
        <v>49</v>
      </c>
      <c r="H1848"/>
      <c r="I1848" s="47" t="b">
        <v>1</v>
      </c>
      <c r="J1848" s="47" t="b">
        <v>1</v>
      </c>
      <c r="K1848" s="47">
        <v>3370</v>
      </c>
      <c r="L1848" s="48">
        <v>12</v>
      </c>
      <c r="M1848" s="47">
        <v>-1</v>
      </c>
      <c r="N1848" s="47">
        <v>-1</v>
      </c>
      <c r="O1848" s="47">
        <v>-1</v>
      </c>
      <c r="P1848" s="47">
        <v>-1</v>
      </c>
      <c r="Q1848" s="47">
        <v>-1</v>
      </c>
      <c r="R1848" s="47">
        <v>-1</v>
      </c>
      <c r="S1848" s="48">
        <v>12</v>
      </c>
      <c r="T1848" s="47">
        <v>0</v>
      </c>
      <c r="U1848" s="47">
        <v>0</v>
      </c>
      <c r="V1848" s="47">
        <v>0</v>
      </c>
      <c r="W1848" s="47"/>
      <c r="X1848" s="47">
        <v>239</v>
      </c>
      <c r="Y1848" s="47"/>
      <c r="Z1848" s="47" t="s">
        <v>2524</v>
      </c>
      <c r="AA1848" s="49"/>
      <c r="AB1848" s="49"/>
      <c r="AC1848" s="49"/>
      <c r="AD1848" s="50"/>
      <c r="AE1848" s="47" t="s">
        <v>2754</v>
      </c>
      <c r="AF1848" s="47">
        <v>65</v>
      </c>
      <c r="AG1848"/>
      <c r="AH1848"/>
      <c r="AI1848"/>
      <c r="AJ1848"/>
      <c r="AK1848"/>
      <c r="AL1848"/>
      <c r="AM1848"/>
      <c r="AN1848"/>
      <c r="AO1848"/>
      <c r="AP1848"/>
      <c r="AQ1848" t="s">
        <v>2526</v>
      </c>
      <c r="AU1848">
        <v>1847</v>
      </c>
    </row>
    <row r="1849" spans="1:47" x14ac:dyDescent="0.2">
      <c r="A1849" s="133">
        <v>6444</v>
      </c>
      <c r="B1849" s="39" t="s">
        <v>45</v>
      </c>
      <c r="C1849" s="39">
        <v>100</v>
      </c>
      <c r="D1849" s="29" t="b">
        <v>0</v>
      </c>
      <c r="E1849" s="39" t="s">
        <v>2852</v>
      </c>
      <c r="F1849" s="47" t="s">
        <v>3101</v>
      </c>
      <c r="G1849" s="47" t="s">
        <v>49</v>
      </c>
      <c r="H1849"/>
      <c r="I1849" s="47" t="b">
        <v>0</v>
      </c>
      <c r="J1849" s="47" t="b">
        <v>0</v>
      </c>
      <c r="K1849" s="47">
        <v>2050</v>
      </c>
      <c r="L1849" s="48">
        <v>12</v>
      </c>
      <c r="M1849" s="47">
        <v>-1</v>
      </c>
      <c r="N1849" s="47">
        <v>-1</v>
      </c>
      <c r="O1849" s="47">
        <v>-1</v>
      </c>
      <c r="P1849" s="47">
        <v>-1</v>
      </c>
      <c r="Q1849" s="47">
        <v>-1</v>
      </c>
      <c r="R1849" s="47">
        <v>-1</v>
      </c>
      <c r="S1849" s="48">
        <v>12</v>
      </c>
      <c r="T1849" s="47">
        <v>0</v>
      </c>
      <c r="U1849" s="47">
        <v>0</v>
      </c>
      <c r="V1849" s="47">
        <v>0</v>
      </c>
      <c r="W1849" s="47"/>
      <c r="X1849" s="47">
        <v>238</v>
      </c>
      <c r="Y1849" s="47"/>
      <c r="Z1849" s="47" t="s">
        <v>2524</v>
      </c>
      <c r="AA1849" s="49"/>
      <c r="AB1849" s="49"/>
      <c r="AC1849" s="49"/>
      <c r="AD1849" s="50"/>
      <c r="AE1849" s="47" t="s">
        <v>2754</v>
      </c>
      <c r="AF1849" s="47">
        <v>65</v>
      </c>
      <c r="AG1849"/>
      <c r="AH1849"/>
      <c r="AI1849"/>
      <c r="AJ1849"/>
      <c r="AK1849"/>
      <c r="AL1849"/>
      <c r="AM1849"/>
      <c r="AN1849"/>
      <c r="AO1849"/>
      <c r="AP1849"/>
      <c r="AQ1849" t="s">
        <v>2526</v>
      </c>
      <c r="AU1849">
        <v>1848</v>
      </c>
    </row>
    <row r="1850" spans="1:47" x14ac:dyDescent="0.2">
      <c r="A1850" s="133">
        <v>6444</v>
      </c>
      <c r="B1850" s="39" t="s">
        <v>45</v>
      </c>
      <c r="C1850" s="39">
        <v>100</v>
      </c>
      <c r="D1850" s="29" t="b">
        <v>0</v>
      </c>
      <c r="E1850" s="39" t="s">
        <v>3138</v>
      </c>
      <c r="F1850" s="47" t="s">
        <v>3191</v>
      </c>
      <c r="G1850" s="47" t="s">
        <v>73</v>
      </c>
      <c r="H1850"/>
      <c r="I1850" s="47" t="b">
        <v>0</v>
      </c>
      <c r="J1850" s="47" t="b">
        <v>0</v>
      </c>
      <c r="K1850" s="47">
        <v>1090</v>
      </c>
      <c r="L1850" s="48">
        <v>12</v>
      </c>
      <c r="M1850" s="47">
        <v>-1</v>
      </c>
      <c r="N1850" s="47">
        <v>-1</v>
      </c>
      <c r="O1850" s="47">
        <v>-1</v>
      </c>
      <c r="P1850" s="47">
        <v>-1</v>
      </c>
      <c r="Q1850" s="47">
        <v>-1</v>
      </c>
      <c r="R1850" s="47">
        <v>-1</v>
      </c>
      <c r="S1850" s="48">
        <v>12</v>
      </c>
      <c r="T1850" s="47">
        <v>0</v>
      </c>
      <c r="U1850" s="47">
        <v>0</v>
      </c>
      <c r="V1850" s="47">
        <v>0</v>
      </c>
      <c r="W1850" s="47"/>
      <c r="X1850" s="47">
        <v>237</v>
      </c>
      <c r="Y1850" s="47"/>
      <c r="Z1850" s="47" t="s">
        <v>2524</v>
      </c>
      <c r="AA1850" s="49"/>
      <c r="AB1850" s="49"/>
      <c r="AC1850" s="49"/>
      <c r="AD1850" s="50"/>
      <c r="AE1850" s="47" t="s">
        <v>2754</v>
      </c>
      <c r="AF1850" s="47"/>
      <c r="AG1850"/>
      <c r="AH1850"/>
      <c r="AI1850"/>
      <c r="AJ1850"/>
      <c r="AK1850"/>
      <c r="AL1850"/>
      <c r="AM1850"/>
      <c r="AN1850"/>
      <c r="AO1850"/>
      <c r="AP1850"/>
      <c r="AQ1850" t="s">
        <v>2526</v>
      </c>
      <c r="AU1850">
        <v>1849</v>
      </c>
    </row>
    <row r="1851" spans="1:47" x14ac:dyDescent="0.2">
      <c r="A1851" s="133">
        <v>6444</v>
      </c>
      <c r="B1851" s="39" t="s">
        <v>45</v>
      </c>
      <c r="C1851" s="39">
        <v>100</v>
      </c>
      <c r="D1851" s="29" t="b">
        <v>0</v>
      </c>
      <c r="E1851" s="39" t="s">
        <v>3270</v>
      </c>
      <c r="F1851" s="47" t="s">
        <v>3271</v>
      </c>
      <c r="G1851" s="47" t="s">
        <v>73</v>
      </c>
      <c r="H1851"/>
      <c r="I1851" s="47" t="b">
        <v>0</v>
      </c>
      <c r="J1851" s="47" t="b">
        <v>0</v>
      </c>
      <c r="K1851" s="47">
        <v>330</v>
      </c>
      <c r="L1851" s="48">
        <v>12</v>
      </c>
      <c r="M1851" s="47">
        <v>-1</v>
      </c>
      <c r="N1851" s="47">
        <v>-1</v>
      </c>
      <c r="O1851" s="47">
        <v>-1</v>
      </c>
      <c r="P1851" s="47">
        <v>-1</v>
      </c>
      <c r="Q1851" s="47">
        <v>-1</v>
      </c>
      <c r="R1851" s="47">
        <v>-1</v>
      </c>
      <c r="S1851" s="48">
        <v>12</v>
      </c>
      <c r="T1851" s="47">
        <v>0</v>
      </c>
      <c r="U1851" s="47">
        <v>0</v>
      </c>
      <c r="V1851" s="47">
        <v>0</v>
      </c>
      <c r="W1851" s="47"/>
      <c r="X1851" s="47">
        <v>236</v>
      </c>
      <c r="Y1851" s="47"/>
      <c r="Z1851" s="47" t="s">
        <v>2524</v>
      </c>
      <c r="AA1851" s="49"/>
      <c r="AB1851" s="49"/>
      <c r="AC1851" s="49"/>
      <c r="AD1851" s="50"/>
      <c r="AE1851" s="47" t="s">
        <v>2754</v>
      </c>
      <c r="AF1851" s="47">
        <v>40</v>
      </c>
      <c r="AG1851"/>
      <c r="AH1851"/>
      <c r="AI1851"/>
      <c r="AJ1851"/>
      <c r="AK1851"/>
      <c r="AL1851"/>
      <c r="AM1851"/>
      <c r="AN1851"/>
      <c r="AO1851"/>
      <c r="AP1851"/>
      <c r="AQ1851" t="s">
        <v>2526</v>
      </c>
      <c r="AU1851">
        <v>1850</v>
      </c>
    </row>
    <row r="1852" spans="1:47" x14ac:dyDescent="0.2">
      <c r="A1852" s="133">
        <v>6444</v>
      </c>
      <c r="B1852" s="39" t="s">
        <v>45</v>
      </c>
      <c r="C1852" s="39" t="s">
        <v>156</v>
      </c>
      <c r="D1852" s="29"/>
      <c r="E1852" s="38" t="s">
        <v>688</v>
      </c>
      <c r="F1852" s="31" t="s">
        <v>529</v>
      </c>
      <c r="G1852" s="47" t="s">
        <v>205</v>
      </c>
      <c r="H1852"/>
      <c r="I1852" s="47" t="s">
        <v>3272</v>
      </c>
      <c r="J1852" s="47"/>
      <c r="K1852" s="47"/>
      <c r="L1852" s="48"/>
      <c r="M1852" s="47"/>
      <c r="N1852" s="47"/>
      <c r="O1852" s="47"/>
      <c r="P1852" s="47"/>
      <c r="Q1852" s="47"/>
      <c r="R1852" s="47"/>
      <c r="S1852" s="48"/>
      <c r="T1852" s="47"/>
      <c r="U1852" s="47"/>
      <c r="V1852" s="47"/>
      <c r="W1852" s="47"/>
      <c r="X1852" s="47"/>
      <c r="Y1852" s="47"/>
      <c r="Z1852" s="47"/>
      <c r="AA1852" s="49"/>
      <c r="AB1852" s="49"/>
      <c r="AC1852" s="49"/>
      <c r="AD1852" s="50"/>
      <c r="AE1852" s="31" t="s">
        <v>2743</v>
      </c>
      <c r="AF1852" s="47"/>
      <c r="AG1852"/>
      <c r="AH1852"/>
      <c r="AI1852"/>
      <c r="AJ1852"/>
      <c r="AK1852"/>
      <c r="AL1852"/>
      <c r="AM1852"/>
      <c r="AN1852"/>
      <c r="AO1852"/>
      <c r="AP1852"/>
      <c r="AQ1852"/>
      <c r="AU1852">
        <v>1851</v>
      </c>
    </row>
    <row r="1853" spans="1:47" x14ac:dyDescent="0.2">
      <c r="A1853" s="133">
        <v>6444</v>
      </c>
      <c r="B1853" s="39" t="s">
        <v>45</v>
      </c>
      <c r="C1853" s="39" t="s">
        <v>142</v>
      </c>
      <c r="D1853" s="29"/>
      <c r="E1853" s="38" t="s">
        <v>3273</v>
      </c>
      <c r="F1853" s="31" t="s">
        <v>3274</v>
      </c>
      <c r="G1853" s="31" t="s">
        <v>73</v>
      </c>
      <c r="I1853" s="31" t="s">
        <v>3275</v>
      </c>
      <c r="K1853" s="31">
        <f>(129*10+27*25)*2.2</f>
        <v>4323</v>
      </c>
      <c r="L1853" s="33">
        <v>13</v>
      </c>
      <c r="S1853" s="33">
        <v>13</v>
      </c>
      <c r="T1853" s="31">
        <v>0</v>
      </c>
      <c r="U1853" s="31">
        <v>0</v>
      </c>
      <c r="V1853" s="31">
        <v>0</v>
      </c>
      <c r="Y1853" s="31" t="s">
        <v>51</v>
      </c>
      <c r="Z1853" s="47" t="s">
        <v>2203</v>
      </c>
      <c r="AE1853" s="47" t="s">
        <v>3198</v>
      </c>
      <c r="AF1853" s="31">
        <v>40</v>
      </c>
      <c r="AK1853" s="32">
        <f>129+27</f>
        <v>156</v>
      </c>
      <c r="AQ1853" s="32" t="s">
        <v>3234</v>
      </c>
      <c r="AU1853">
        <v>1852</v>
      </c>
    </row>
    <row r="1854" spans="1:47" x14ac:dyDescent="0.2">
      <c r="A1854" s="133">
        <v>6444</v>
      </c>
      <c r="B1854" s="39" t="s">
        <v>45</v>
      </c>
      <c r="C1854" s="38" t="s">
        <v>2542</v>
      </c>
      <c r="D1854" s="29"/>
      <c r="E1854" s="39" t="s">
        <v>3082</v>
      </c>
      <c r="F1854" s="31" t="s">
        <v>3276</v>
      </c>
      <c r="G1854" s="31" t="s">
        <v>49</v>
      </c>
      <c r="I1854" s="31" t="s">
        <v>3277</v>
      </c>
      <c r="K1854" s="31">
        <f>2*30*10*2.2</f>
        <v>1320</v>
      </c>
      <c r="L1854" s="33">
        <v>2</v>
      </c>
      <c r="S1854" s="33">
        <v>2</v>
      </c>
      <c r="T1854" s="31">
        <v>0</v>
      </c>
      <c r="U1854" s="31">
        <v>0</v>
      </c>
      <c r="V1854" s="31">
        <v>0</v>
      </c>
      <c r="W1854" s="47">
        <f>((1700+2400)/2)*39.37/12</f>
        <v>6725.708333333333</v>
      </c>
      <c r="Y1854" s="31" t="s">
        <v>51</v>
      </c>
      <c r="Z1854" s="47" t="s">
        <v>1846</v>
      </c>
      <c r="AD1854" s="35">
        <v>1.5</v>
      </c>
      <c r="AE1854" s="47" t="s">
        <v>342</v>
      </c>
      <c r="AF1854" s="31">
        <v>45</v>
      </c>
      <c r="AK1854" s="32">
        <f>2*30</f>
        <v>60</v>
      </c>
      <c r="AQ1854" t="s">
        <v>3278</v>
      </c>
      <c r="AU1854">
        <v>1853</v>
      </c>
    </row>
    <row r="1855" spans="1:47" x14ac:dyDescent="0.2">
      <c r="A1855" s="26">
        <v>6444</v>
      </c>
      <c r="B1855" s="27">
        <v>0.92013888888888884</v>
      </c>
      <c r="C1855" s="28"/>
      <c r="D1855" s="29"/>
      <c r="E1855" s="30" t="s">
        <v>464</v>
      </c>
      <c r="H1855" s="32">
        <v>1</v>
      </c>
      <c r="I1855" s="32" t="s">
        <v>3279</v>
      </c>
      <c r="AG1855" s="32">
        <v>0</v>
      </c>
      <c r="AH1855" s="32">
        <v>0</v>
      </c>
      <c r="AI1855" s="32">
        <v>0</v>
      </c>
      <c r="AL1855" s="32">
        <v>2.5</v>
      </c>
      <c r="AO1855" s="32" t="s">
        <v>1898</v>
      </c>
      <c r="AP1855" s="32">
        <v>2.5</v>
      </c>
      <c r="AQ1855" s="32" t="s">
        <v>1522</v>
      </c>
      <c r="AU1855">
        <v>1854</v>
      </c>
    </row>
    <row r="1856" spans="1:47" x14ac:dyDescent="0.2">
      <c r="A1856" s="26">
        <v>6444</v>
      </c>
      <c r="B1856" s="27">
        <v>0.92361111111111116</v>
      </c>
      <c r="C1856" s="28"/>
      <c r="D1856" s="29"/>
      <c r="E1856" s="30" t="s">
        <v>1124</v>
      </c>
      <c r="H1856" s="32">
        <v>1</v>
      </c>
      <c r="I1856" s="32" t="s">
        <v>1142</v>
      </c>
      <c r="AG1856" s="32">
        <v>1</v>
      </c>
      <c r="AH1856" s="32">
        <v>0</v>
      </c>
      <c r="AK1856" s="32">
        <v>21</v>
      </c>
      <c r="AL1856" s="32">
        <f>35/60</f>
        <v>0.58333333333333337</v>
      </c>
      <c r="AO1856" s="46" t="s">
        <v>1126</v>
      </c>
      <c r="AP1856" s="32">
        <f>35/60</f>
        <v>0.58333333333333337</v>
      </c>
      <c r="AQ1856" s="32" t="s">
        <v>589</v>
      </c>
      <c r="AU1856">
        <v>1855</v>
      </c>
    </row>
    <row r="1857" spans="1:47" x14ac:dyDescent="0.2">
      <c r="A1857" s="26">
        <v>6444</v>
      </c>
      <c r="B1857" s="27" t="s">
        <v>45</v>
      </c>
      <c r="C1857" s="28"/>
      <c r="D1857" s="29"/>
      <c r="E1857" s="30" t="s">
        <v>1531</v>
      </c>
      <c r="H1857" s="32">
        <v>0</v>
      </c>
      <c r="I1857" s="32" t="s">
        <v>1706</v>
      </c>
      <c r="AG1857" s="32">
        <v>0</v>
      </c>
      <c r="AH1857" s="32">
        <v>0</v>
      </c>
      <c r="AI1857" s="32">
        <v>0</v>
      </c>
      <c r="AK1857" s="32">
        <v>0</v>
      </c>
      <c r="AM1857" s="32">
        <f>498*37</f>
        <v>18426</v>
      </c>
      <c r="AO1857" s="32" t="s">
        <v>1533</v>
      </c>
      <c r="AQ1857" s="32" t="s">
        <v>1101</v>
      </c>
      <c r="AU1857">
        <v>1856</v>
      </c>
    </row>
    <row r="1858" spans="1:47" x14ac:dyDescent="0.2">
      <c r="A1858" s="26">
        <v>6444</v>
      </c>
      <c r="B1858" s="27" t="s">
        <v>45</v>
      </c>
      <c r="C1858" s="28"/>
      <c r="D1858" s="29"/>
      <c r="E1858" s="150" t="s">
        <v>2286</v>
      </c>
      <c r="H1858" s="32">
        <v>0</v>
      </c>
      <c r="I1858" s="32" t="s">
        <v>1824</v>
      </c>
      <c r="AG1858" s="32">
        <v>0</v>
      </c>
      <c r="AH1858" s="32">
        <v>0</v>
      </c>
      <c r="AI1858" s="32">
        <v>0</v>
      </c>
      <c r="AK1858" s="32">
        <v>0</v>
      </c>
      <c r="AM1858" s="32">
        <v>11000</v>
      </c>
      <c r="AO1858" s="73" t="s">
        <v>75</v>
      </c>
      <c r="AQ1858" s="32" t="s">
        <v>589</v>
      </c>
      <c r="AU1858">
        <v>1857</v>
      </c>
    </row>
    <row r="1859" spans="1:47" x14ac:dyDescent="0.2">
      <c r="A1859" s="26">
        <v>6445</v>
      </c>
      <c r="B1859" s="27">
        <v>0.91319444444444453</v>
      </c>
      <c r="C1859" s="28"/>
      <c r="D1859" s="29"/>
      <c r="E1859" s="30" t="s">
        <v>1282</v>
      </c>
      <c r="H1859" s="32">
        <v>0</v>
      </c>
      <c r="I1859" s="32" t="s">
        <v>2244</v>
      </c>
      <c r="AG1859" s="32">
        <v>0</v>
      </c>
      <c r="AH1859" s="32">
        <v>0</v>
      </c>
      <c r="AI1859" s="32">
        <v>0</v>
      </c>
      <c r="AK1859" s="32">
        <v>0</v>
      </c>
      <c r="AL1859" s="32">
        <f>25/60</f>
        <v>0.41666666666666669</v>
      </c>
      <c r="AP1859" s="32">
        <f>25/60</f>
        <v>0.41666666666666669</v>
      </c>
      <c r="AQ1859" s="32" t="s">
        <v>1101</v>
      </c>
      <c r="AU1859">
        <v>1858</v>
      </c>
    </row>
    <row r="1860" spans="1:47" x14ac:dyDescent="0.2">
      <c r="A1860" s="26">
        <v>6445</v>
      </c>
      <c r="B1860" s="27">
        <v>0.91666666666666663</v>
      </c>
      <c r="C1860" s="28"/>
      <c r="D1860" s="29"/>
      <c r="E1860" s="30" t="s">
        <v>1124</v>
      </c>
      <c r="H1860" s="32">
        <v>1</v>
      </c>
      <c r="I1860" s="32" t="s">
        <v>1534</v>
      </c>
      <c r="AG1860" s="32">
        <v>0</v>
      </c>
      <c r="AH1860" s="32">
        <v>4</v>
      </c>
      <c r="AK1860" s="32">
        <v>10</v>
      </c>
      <c r="AL1860" s="32">
        <f>5/6</f>
        <v>0.83333333333333337</v>
      </c>
      <c r="AO1860" s="46" t="s">
        <v>1126</v>
      </c>
      <c r="AP1860" s="32">
        <f>5/6</f>
        <v>0.83333333333333337</v>
      </c>
      <c r="AQ1860" s="32" t="s">
        <v>589</v>
      </c>
      <c r="AU1860">
        <v>1859</v>
      </c>
    </row>
    <row r="1861" spans="1:47" x14ac:dyDescent="0.2">
      <c r="A1861" s="26">
        <v>6446</v>
      </c>
      <c r="B1861" s="27">
        <v>0.80208333333333337</v>
      </c>
      <c r="C1861" s="28"/>
      <c r="D1861" s="29"/>
      <c r="E1861" s="30" t="s">
        <v>464</v>
      </c>
      <c r="H1861" s="32">
        <v>0</v>
      </c>
      <c r="I1861" s="32" t="s">
        <v>2521</v>
      </c>
      <c r="AG1861" s="32">
        <v>0</v>
      </c>
      <c r="AH1861" s="32">
        <v>0</v>
      </c>
      <c r="AI1861" s="32">
        <v>0</v>
      </c>
      <c r="AK1861" s="32">
        <v>0</v>
      </c>
      <c r="AL1861" s="32">
        <v>0.33300000000000002</v>
      </c>
      <c r="AO1861" s="32" t="s">
        <v>1898</v>
      </c>
      <c r="AP1861" s="32">
        <v>0.33300000000000002</v>
      </c>
      <c r="AQ1861" s="32" t="s">
        <v>1522</v>
      </c>
      <c r="AU1861">
        <v>1860</v>
      </c>
    </row>
    <row r="1862" spans="1:47" x14ac:dyDescent="0.2">
      <c r="A1862" s="133">
        <v>6447</v>
      </c>
      <c r="B1862" s="154" t="s">
        <v>85</v>
      </c>
      <c r="C1862" s="155" t="s">
        <v>142</v>
      </c>
      <c r="D1862" s="80"/>
      <c r="E1862" s="156" t="s">
        <v>321</v>
      </c>
      <c r="F1862" s="84" t="s">
        <v>150</v>
      </c>
      <c r="G1862" s="84" t="s">
        <v>49</v>
      </c>
      <c r="H1862" s="32"/>
      <c r="I1862" s="32" t="s">
        <v>3280</v>
      </c>
      <c r="K1862" s="31">
        <f>12*10*2.2</f>
        <v>264</v>
      </c>
      <c r="L1862" s="33">
        <v>2</v>
      </c>
      <c r="S1862" s="33">
        <v>2</v>
      </c>
      <c r="T1862" s="31">
        <v>0</v>
      </c>
      <c r="U1862" s="31">
        <v>0</v>
      </c>
      <c r="V1862" s="31">
        <v>0</v>
      </c>
      <c r="Y1862" s="31" t="s">
        <v>51</v>
      </c>
      <c r="Z1862" s="31" t="s">
        <v>1809</v>
      </c>
      <c r="AA1862" s="34">
        <v>0.58333333333333337</v>
      </c>
      <c r="AB1862" s="34">
        <v>0.66666666666666663</v>
      </c>
      <c r="AC1862" s="49">
        <f>AVERAGE(AA1862:AB1862)</f>
        <v>0.625</v>
      </c>
      <c r="AD1862" s="50">
        <f>(AB1862-AA1862)*24</f>
        <v>1.9999999999999982</v>
      </c>
      <c r="AE1862" s="47" t="s">
        <v>3198</v>
      </c>
      <c r="AF1862" s="31">
        <v>40</v>
      </c>
      <c r="AK1862" s="32">
        <v>12</v>
      </c>
      <c r="AQ1862" s="32" t="s">
        <v>3234</v>
      </c>
      <c r="AU1862">
        <v>1861</v>
      </c>
    </row>
    <row r="1863" spans="1:47" x14ac:dyDescent="0.2">
      <c r="A1863" s="133">
        <v>6447</v>
      </c>
      <c r="B1863" s="39" t="s">
        <v>45</v>
      </c>
      <c r="C1863" s="39">
        <v>100</v>
      </c>
      <c r="D1863" s="29" t="b">
        <v>0</v>
      </c>
      <c r="E1863" s="39" t="s">
        <v>3281</v>
      </c>
      <c r="F1863" s="47" t="s">
        <v>3282</v>
      </c>
      <c r="G1863" s="47" t="s">
        <v>205</v>
      </c>
      <c r="H1863"/>
      <c r="I1863" s="47" t="b">
        <v>1</v>
      </c>
      <c r="J1863" s="47" t="b">
        <v>1</v>
      </c>
      <c r="K1863" s="47">
        <v>3472</v>
      </c>
      <c r="L1863" s="48">
        <v>15</v>
      </c>
      <c r="M1863" s="47">
        <v>-1</v>
      </c>
      <c r="N1863" s="47">
        <v>-1</v>
      </c>
      <c r="O1863" s="47">
        <v>-1</v>
      </c>
      <c r="P1863" s="47">
        <v>-1</v>
      </c>
      <c r="Q1863" s="47">
        <v>-1</v>
      </c>
      <c r="R1863" s="47">
        <v>-1</v>
      </c>
      <c r="S1863" s="48">
        <v>15</v>
      </c>
      <c r="T1863" s="47">
        <v>0</v>
      </c>
      <c r="U1863" s="47">
        <v>0</v>
      </c>
      <c r="V1863" s="47">
        <v>0</v>
      </c>
      <c r="W1863" s="47"/>
      <c r="X1863" s="47">
        <v>240</v>
      </c>
      <c r="Y1863" s="47"/>
      <c r="Z1863" s="47" t="s">
        <v>2524</v>
      </c>
      <c r="AA1863" s="49"/>
      <c r="AB1863" s="49"/>
      <c r="AC1863" s="49"/>
      <c r="AD1863" s="50"/>
      <c r="AE1863" s="47" t="s">
        <v>2754</v>
      </c>
      <c r="AF1863" s="47"/>
      <c r="AG1863"/>
      <c r="AH1863"/>
      <c r="AI1863"/>
      <c r="AJ1863"/>
      <c r="AK1863"/>
      <c r="AL1863"/>
      <c r="AM1863"/>
      <c r="AN1863"/>
      <c r="AO1863"/>
      <c r="AP1863"/>
      <c r="AQ1863" t="s">
        <v>2526</v>
      </c>
      <c r="AU1863">
        <v>1862</v>
      </c>
    </row>
    <row r="1864" spans="1:47" x14ac:dyDescent="0.2">
      <c r="A1864" s="133">
        <v>6447</v>
      </c>
      <c r="B1864" s="39" t="s">
        <v>45</v>
      </c>
      <c r="C1864" s="39">
        <v>100</v>
      </c>
      <c r="D1864" s="29" t="b">
        <v>0</v>
      </c>
      <c r="E1864" s="39" t="s">
        <v>2932</v>
      </c>
      <c r="F1864" s="47" t="s">
        <v>3283</v>
      </c>
      <c r="G1864" s="47" t="s">
        <v>49</v>
      </c>
      <c r="H1864"/>
      <c r="I1864" s="47" t="b">
        <v>0</v>
      </c>
      <c r="J1864" s="47" t="b">
        <v>0</v>
      </c>
      <c r="K1864" s="47">
        <v>310</v>
      </c>
      <c r="L1864" s="48">
        <v>15</v>
      </c>
      <c r="M1864" s="47">
        <v>-1</v>
      </c>
      <c r="N1864" s="47">
        <v>-1</v>
      </c>
      <c r="O1864" s="47">
        <v>-1</v>
      </c>
      <c r="P1864" s="47">
        <v>-1</v>
      </c>
      <c r="Q1864" s="47">
        <v>-1</v>
      </c>
      <c r="R1864" s="47">
        <v>-1</v>
      </c>
      <c r="S1864" s="48">
        <v>15</v>
      </c>
      <c r="T1864" s="47">
        <v>0</v>
      </c>
      <c r="U1864" s="47">
        <v>0</v>
      </c>
      <c r="V1864" s="47">
        <v>0</v>
      </c>
      <c r="W1864" s="47"/>
      <c r="X1864" s="47">
        <v>241</v>
      </c>
      <c r="Y1864" s="47"/>
      <c r="Z1864" s="47" t="s">
        <v>2524</v>
      </c>
      <c r="AA1864" s="49"/>
      <c r="AB1864" s="49"/>
      <c r="AC1864" s="49"/>
      <c r="AD1864" s="50"/>
      <c r="AE1864" s="47" t="s">
        <v>2754</v>
      </c>
      <c r="AF1864" s="47">
        <v>55</v>
      </c>
      <c r="AG1864"/>
      <c r="AH1864"/>
      <c r="AI1864"/>
      <c r="AJ1864"/>
      <c r="AK1864"/>
      <c r="AL1864"/>
      <c r="AM1864"/>
      <c r="AN1864"/>
      <c r="AO1864"/>
      <c r="AP1864"/>
      <c r="AQ1864" t="s">
        <v>2526</v>
      </c>
      <c r="AU1864">
        <v>1863</v>
      </c>
    </row>
    <row r="1865" spans="1:47" x14ac:dyDescent="0.2">
      <c r="A1865" s="133">
        <v>6447</v>
      </c>
      <c r="B1865" s="39" t="s">
        <v>45</v>
      </c>
      <c r="C1865" s="39">
        <v>100</v>
      </c>
      <c r="D1865" s="29" t="b">
        <v>0</v>
      </c>
      <c r="E1865" s="39" t="s">
        <v>3284</v>
      </c>
      <c r="F1865" s="47" t="s">
        <v>3285</v>
      </c>
      <c r="G1865" s="47" t="s">
        <v>49</v>
      </c>
      <c r="H1865"/>
      <c r="I1865" s="47" t="b">
        <v>0</v>
      </c>
      <c r="J1865" s="47" t="b">
        <v>0</v>
      </c>
      <c r="K1865" s="47">
        <v>200</v>
      </c>
      <c r="L1865" s="48">
        <v>15</v>
      </c>
      <c r="M1865" s="47">
        <v>-1</v>
      </c>
      <c r="N1865" s="47">
        <v>-1</v>
      </c>
      <c r="O1865" s="47">
        <v>-1</v>
      </c>
      <c r="P1865" s="47">
        <v>-1</v>
      </c>
      <c r="Q1865" s="47">
        <v>-1</v>
      </c>
      <c r="R1865" s="47">
        <v>-1</v>
      </c>
      <c r="S1865" s="48">
        <v>15</v>
      </c>
      <c r="T1865" s="47">
        <v>0</v>
      </c>
      <c r="U1865" s="47">
        <v>0</v>
      </c>
      <c r="V1865" s="47">
        <v>0</v>
      </c>
      <c r="W1865" s="47"/>
      <c r="X1865" s="47">
        <v>242</v>
      </c>
      <c r="Y1865" s="47"/>
      <c r="Z1865" s="47" t="s">
        <v>2524</v>
      </c>
      <c r="AA1865" s="49"/>
      <c r="AB1865" s="49"/>
      <c r="AC1865" s="49"/>
      <c r="AD1865" s="50"/>
      <c r="AE1865" s="47" t="s">
        <v>2754</v>
      </c>
      <c r="AF1865" s="47">
        <v>50</v>
      </c>
      <c r="AG1865"/>
      <c r="AH1865"/>
      <c r="AI1865"/>
      <c r="AJ1865"/>
      <c r="AK1865"/>
      <c r="AL1865"/>
      <c r="AM1865"/>
      <c r="AN1865"/>
      <c r="AO1865"/>
      <c r="AP1865"/>
      <c r="AQ1865" t="s">
        <v>2526</v>
      </c>
      <c r="AU1865">
        <v>1864</v>
      </c>
    </row>
    <row r="1866" spans="1:47" x14ac:dyDescent="0.2">
      <c r="A1866" s="133">
        <v>6447</v>
      </c>
      <c r="B1866" s="39" t="s">
        <v>45</v>
      </c>
      <c r="C1866" s="39">
        <v>100</v>
      </c>
      <c r="D1866" s="29" t="b">
        <v>0</v>
      </c>
      <c r="E1866" s="39" t="s">
        <v>3160</v>
      </c>
      <c r="F1866" s="47" t="s">
        <v>529</v>
      </c>
      <c r="G1866" s="47" t="s">
        <v>205</v>
      </c>
      <c r="H1866"/>
      <c r="I1866" s="47" t="b">
        <v>0</v>
      </c>
      <c r="J1866" s="47" t="b">
        <v>0</v>
      </c>
      <c r="K1866" s="47">
        <v>1714</v>
      </c>
      <c r="L1866" s="48">
        <v>15</v>
      </c>
      <c r="M1866" s="47">
        <v>-1</v>
      </c>
      <c r="N1866" s="47">
        <v>-1</v>
      </c>
      <c r="O1866" s="47">
        <v>-1</v>
      </c>
      <c r="P1866" s="47">
        <v>-1</v>
      </c>
      <c r="Q1866" s="47">
        <v>-1</v>
      </c>
      <c r="R1866" s="47">
        <v>-1</v>
      </c>
      <c r="S1866" s="48">
        <v>15</v>
      </c>
      <c r="T1866" s="47">
        <v>0</v>
      </c>
      <c r="U1866" s="47">
        <v>0</v>
      </c>
      <c r="V1866" s="47">
        <v>0</v>
      </c>
      <c r="W1866" s="47"/>
      <c r="X1866" s="47">
        <v>243</v>
      </c>
      <c r="Y1866" s="47"/>
      <c r="Z1866" s="47" t="s">
        <v>2524</v>
      </c>
      <c r="AA1866" s="49"/>
      <c r="AB1866" s="49"/>
      <c r="AC1866" s="49"/>
      <c r="AD1866" s="50"/>
      <c r="AE1866" s="47" t="s">
        <v>2754</v>
      </c>
      <c r="AF1866" s="47"/>
      <c r="AG1866"/>
      <c r="AH1866"/>
      <c r="AI1866"/>
      <c r="AJ1866"/>
      <c r="AK1866"/>
      <c r="AL1866"/>
      <c r="AM1866"/>
      <c r="AN1866"/>
      <c r="AO1866"/>
      <c r="AP1866"/>
      <c r="AQ1866" t="s">
        <v>2526</v>
      </c>
      <c r="AU1866">
        <v>1865</v>
      </c>
    </row>
    <row r="1867" spans="1:47" x14ac:dyDescent="0.2">
      <c r="A1867" s="133">
        <v>6447</v>
      </c>
      <c r="B1867" s="39" t="s">
        <v>45</v>
      </c>
      <c r="C1867" s="39">
        <v>100</v>
      </c>
      <c r="D1867" s="29" t="b">
        <v>0</v>
      </c>
      <c r="E1867" s="39" t="s">
        <v>3242</v>
      </c>
      <c r="F1867" s="47" t="s">
        <v>529</v>
      </c>
      <c r="G1867" s="47" t="s">
        <v>205</v>
      </c>
      <c r="H1867"/>
      <c r="I1867" s="47" t="b">
        <v>0</v>
      </c>
      <c r="J1867" s="47" t="b">
        <v>0</v>
      </c>
      <c r="K1867" s="47">
        <v>780</v>
      </c>
      <c r="L1867" s="48">
        <v>15</v>
      </c>
      <c r="M1867" s="47">
        <v>-1</v>
      </c>
      <c r="N1867" s="47">
        <v>-1</v>
      </c>
      <c r="O1867" s="47">
        <v>-1</v>
      </c>
      <c r="P1867" s="47">
        <v>-1</v>
      </c>
      <c r="Q1867" s="47">
        <v>-1</v>
      </c>
      <c r="R1867" s="47">
        <v>-1</v>
      </c>
      <c r="S1867" s="48">
        <v>15</v>
      </c>
      <c r="T1867" s="47">
        <v>0</v>
      </c>
      <c r="U1867" s="47">
        <v>0</v>
      </c>
      <c r="V1867" s="47">
        <v>0</v>
      </c>
      <c r="W1867" s="47"/>
      <c r="X1867" s="47">
        <v>244</v>
      </c>
      <c r="Y1867" s="47"/>
      <c r="Z1867" s="47" t="s">
        <v>2524</v>
      </c>
      <c r="AA1867" s="49"/>
      <c r="AB1867" s="49"/>
      <c r="AC1867" s="49"/>
      <c r="AD1867" s="50"/>
      <c r="AE1867" s="47" t="s">
        <v>2754</v>
      </c>
      <c r="AF1867" s="47">
        <v>55</v>
      </c>
      <c r="AG1867"/>
      <c r="AH1867"/>
      <c r="AI1867"/>
      <c r="AJ1867"/>
      <c r="AK1867"/>
      <c r="AL1867"/>
      <c r="AM1867"/>
      <c r="AN1867"/>
      <c r="AO1867"/>
      <c r="AP1867"/>
      <c r="AQ1867" t="s">
        <v>2526</v>
      </c>
      <c r="AU1867">
        <v>1866</v>
      </c>
    </row>
    <row r="1868" spans="1:47" x14ac:dyDescent="0.2">
      <c r="A1868" s="133">
        <v>6447</v>
      </c>
      <c r="B1868" s="39" t="s">
        <v>45</v>
      </c>
      <c r="C1868" s="39">
        <v>100</v>
      </c>
      <c r="D1868" s="29" t="b">
        <v>0</v>
      </c>
      <c r="E1868" s="39" t="s">
        <v>3286</v>
      </c>
      <c r="F1868" s="47" t="s">
        <v>3287</v>
      </c>
      <c r="G1868" s="47" t="s">
        <v>73</v>
      </c>
      <c r="H1868"/>
      <c r="I1868" s="47" t="b">
        <v>0</v>
      </c>
      <c r="J1868" s="47" t="b">
        <v>0</v>
      </c>
      <c r="K1868" s="47">
        <v>448</v>
      </c>
      <c r="L1868" s="48">
        <v>15</v>
      </c>
      <c r="M1868" s="47">
        <v>-1</v>
      </c>
      <c r="N1868" s="47">
        <v>-1</v>
      </c>
      <c r="O1868" s="47">
        <v>-1</v>
      </c>
      <c r="P1868" s="47">
        <v>-1</v>
      </c>
      <c r="Q1868" s="47">
        <v>-1</v>
      </c>
      <c r="R1868" s="47">
        <v>-1</v>
      </c>
      <c r="S1868" s="48">
        <v>15</v>
      </c>
      <c r="T1868" s="47">
        <v>0</v>
      </c>
      <c r="U1868" s="47">
        <v>0</v>
      </c>
      <c r="V1868" s="47">
        <v>0</v>
      </c>
      <c r="W1868" s="47"/>
      <c r="X1868" s="47">
        <v>245</v>
      </c>
      <c r="Y1868" s="47"/>
      <c r="Z1868" s="47" t="s">
        <v>2524</v>
      </c>
      <c r="AA1868" s="49"/>
      <c r="AB1868" s="49"/>
      <c r="AC1868" s="49"/>
      <c r="AD1868" s="50"/>
      <c r="AE1868" s="47" t="s">
        <v>2754</v>
      </c>
      <c r="AF1868" s="47"/>
      <c r="AG1868"/>
      <c r="AH1868"/>
      <c r="AI1868"/>
      <c r="AJ1868"/>
      <c r="AK1868"/>
      <c r="AL1868"/>
      <c r="AM1868"/>
      <c r="AN1868"/>
      <c r="AO1868"/>
      <c r="AP1868"/>
      <c r="AQ1868" t="s">
        <v>2526</v>
      </c>
      <c r="AU1868">
        <v>1867</v>
      </c>
    </row>
    <row r="1869" spans="1:47" x14ac:dyDescent="0.2">
      <c r="A1869" s="133">
        <v>6447</v>
      </c>
      <c r="B1869" s="39" t="s">
        <v>45</v>
      </c>
      <c r="C1869" s="39" t="s">
        <v>156</v>
      </c>
      <c r="D1869" s="29"/>
      <c r="E1869" s="38" t="s">
        <v>3288</v>
      </c>
      <c r="F1869" s="31" t="s">
        <v>3289</v>
      </c>
      <c r="G1869" s="47" t="s">
        <v>69</v>
      </c>
      <c r="H1869"/>
      <c r="I1869" s="47" t="s">
        <v>3290</v>
      </c>
      <c r="J1869" s="47"/>
      <c r="K1869" s="47"/>
      <c r="L1869" s="48"/>
      <c r="M1869" s="47"/>
      <c r="N1869" s="47"/>
      <c r="O1869" s="47"/>
      <c r="P1869" s="47"/>
      <c r="Q1869" s="47"/>
      <c r="R1869" s="47"/>
      <c r="S1869" s="48"/>
      <c r="T1869" s="47"/>
      <c r="U1869" s="47"/>
      <c r="V1869" s="47"/>
      <c r="W1869" s="47"/>
      <c r="X1869" s="47"/>
      <c r="Y1869" s="47"/>
      <c r="Z1869" s="47"/>
      <c r="AA1869" s="49"/>
      <c r="AB1869" s="49"/>
      <c r="AC1869" s="49"/>
      <c r="AD1869" s="50"/>
      <c r="AE1869" s="31" t="s">
        <v>2743</v>
      </c>
      <c r="AF1869" s="47">
        <v>95</v>
      </c>
      <c r="AG1869"/>
      <c r="AH1869"/>
      <c r="AI1869"/>
      <c r="AJ1869"/>
      <c r="AK1869"/>
      <c r="AL1869"/>
      <c r="AM1869"/>
      <c r="AN1869"/>
      <c r="AO1869"/>
      <c r="AP1869"/>
      <c r="AQ1869"/>
      <c r="AU1869">
        <v>1868</v>
      </c>
    </row>
    <row r="1870" spans="1:47" x14ac:dyDescent="0.2">
      <c r="A1870" s="133">
        <v>6447</v>
      </c>
      <c r="B1870" s="39" t="s">
        <v>45</v>
      </c>
      <c r="C1870" s="39" t="s">
        <v>142</v>
      </c>
      <c r="D1870" s="29"/>
      <c r="E1870" s="38" t="s">
        <v>3291</v>
      </c>
      <c r="F1870" s="31" t="s">
        <v>3292</v>
      </c>
      <c r="G1870" s="47" t="s">
        <v>69</v>
      </c>
      <c r="H1870"/>
      <c r="I1870" s="47" t="s">
        <v>3293</v>
      </c>
      <c r="J1870" s="47"/>
      <c r="K1870" s="47">
        <f>1595*2.2</f>
        <v>3509.0000000000005</v>
      </c>
      <c r="L1870" s="48">
        <v>11</v>
      </c>
      <c r="M1870" s="47"/>
      <c r="N1870" s="47"/>
      <c r="O1870" s="47"/>
      <c r="P1870" s="47"/>
      <c r="Q1870" s="47"/>
      <c r="R1870" s="47"/>
      <c r="S1870" s="48">
        <v>11</v>
      </c>
      <c r="T1870" s="47">
        <v>0</v>
      </c>
      <c r="U1870" s="47">
        <v>0</v>
      </c>
      <c r="V1870" s="47">
        <v>0</v>
      </c>
      <c r="W1870" s="47"/>
      <c r="X1870" s="47"/>
      <c r="Y1870" s="47" t="s">
        <v>51</v>
      </c>
      <c r="Z1870" s="47" t="s">
        <v>2203</v>
      </c>
      <c r="AA1870" s="49"/>
      <c r="AB1870" s="49"/>
      <c r="AC1870" s="49"/>
      <c r="AD1870" s="50"/>
      <c r="AE1870" s="47" t="s">
        <v>3198</v>
      </c>
      <c r="AF1870" s="47">
        <v>35</v>
      </c>
      <c r="AG1870"/>
      <c r="AH1870"/>
      <c r="AI1870"/>
      <c r="AJ1870"/>
      <c r="AK1870">
        <v>130</v>
      </c>
      <c r="AL1870"/>
      <c r="AM1870"/>
      <c r="AN1870"/>
      <c r="AO1870"/>
      <c r="AP1870"/>
      <c r="AQ1870" s="32" t="s">
        <v>3234</v>
      </c>
      <c r="AU1870">
        <v>1869</v>
      </c>
    </row>
    <row r="1871" spans="1:47" x14ac:dyDescent="0.2">
      <c r="A1871" s="26">
        <v>6447</v>
      </c>
      <c r="B1871" s="27">
        <v>0.44166666666666665</v>
      </c>
      <c r="C1871" s="28"/>
      <c r="D1871" s="29"/>
      <c r="E1871" s="30" t="s">
        <v>464</v>
      </c>
      <c r="H1871" s="32">
        <v>0</v>
      </c>
      <c r="I1871" s="32" t="s">
        <v>2521</v>
      </c>
      <c r="AG1871" s="32">
        <v>0</v>
      </c>
      <c r="AH1871" s="32">
        <v>0</v>
      </c>
      <c r="AI1871" s="32">
        <v>0</v>
      </c>
      <c r="AK1871" s="32">
        <v>0</v>
      </c>
      <c r="AL1871" s="32">
        <v>0.33300000000000002</v>
      </c>
      <c r="AO1871" s="32" t="s">
        <v>1898</v>
      </c>
      <c r="AP1871" s="32">
        <v>0.33300000000000002</v>
      </c>
      <c r="AQ1871" s="32" t="s">
        <v>1522</v>
      </c>
      <c r="AU1871">
        <v>1870</v>
      </c>
    </row>
    <row r="1872" spans="1:47" x14ac:dyDescent="0.2">
      <c r="A1872" s="26">
        <v>6447</v>
      </c>
      <c r="B1872" s="27">
        <v>0.89583333333333337</v>
      </c>
      <c r="C1872" s="28"/>
      <c r="D1872" s="29"/>
      <c r="E1872" s="30" t="s">
        <v>464</v>
      </c>
      <c r="H1872" s="32">
        <v>1</v>
      </c>
      <c r="I1872" s="32" t="s">
        <v>3294</v>
      </c>
      <c r="AG1872" s="32">
        <v>0</v>
      </c>
      <c r="AH1872" s="32">
        <v>0</v>
      </c>
      <c r="AI1872" s="32">
        <v>0</v>
      </c>
      <c r="AL1872" s="32">
        <f>52/60</f>
        <v>0.8666666666666667</v>
      </c>
      <c r="AO1872" s="32" t="s">
        <v>1898</v>
      </c>
      <c r="AP1872" s="32">
        <f>52/60</f>
        <v>0.8666666666666667</v>
      </c>
      <c r="AQ1872" s="32" t="s">
        <v>1522</v>
      </c>
      <c r="AU1872">
        <v>1871</v>
      </c>
    </row>
    <row r="1873" spans="1:47" x14ac:dyDescent="0.2">
      <c r="A1873" s="26">
        <v>6447</v>
      </c>
      <c r="B1873" s="27">
        <v>0.93402777777777779</v>
      </c>
      <c r="C1873" s="28"/>
      <c r="D1873" s="29"/>
      <c r="E1873" s="30" t="s">
        <v>1282</v>
      </c>
      <c r="H1873" s="32">
        <v>0</v>
      </c>
      <c r="I1873" s="32" t="s">
        <v>3295</v>
      </c>
      <c r="AG1873" s="32">
        <v>0</v>
      </c>
      <c r="AH1873" s="32">
        <v>0</v>
      </c>
      <c r="AI1873" s="32">
        <v>0</v>
      </c>
      <c r="AK1873" s="32">
        <v>0</v>
      </c>
      <c r="AL1873" s="32">
        <f>70/60</f>
        <v>1.1666666666666667</v>
      </c>
      <c r="AP1873" s="32">
        <f>70/60</f>
        <v>1.1666666666666667</v>
      </c>
      <c r="AQ1873" s="32" t="s">
        <v>1101</v>
      </c>
      <c r="AU1873">
        <v>1872</v>
      </c>
    </row>
    <row r="1874" spans="1:47" x14ac:dyDescent="0.2">
      <c r="A1874" s="133">
        <v>6448</v>
      </c>
      <c r="B1874" s="154" t="s">
        <v>85</v>
      </c>
      <c r="C1874" s="155" t="s">
        <v>142</v>
      </c>
      <c r="D1874" s="80"/>
      <c r="E1874" s="156" t="s">
        <v>3296</v>
      </c>
      <c r="F1874" s="31" t="s">
        <v>3292</v>
      </c>
      <c r="G1874" s="47" t="s">
        <v>69</v>
      </c>
      <c r="H1874" s="32"/>
      <c r="I1874" s="32" t="s">
        <v>3297</v>
      </c>
      <c r="K1874" s="31">
        <f>50*10*2.2</f>
        <v>1100</v>
      </c>
      <c r="L1874" s="33">
        <v>11</v>
      </c>
      <c r="S1874" s="33">
        <v>11</v>
      </c>
      <c r="T1874" s="31">
        <v>0</v>
      </c>
      <c r="U1874" s="31">
        <v>0</v>
      </c>
      <c r="V1874" s="31">
        <v>0</v>
      </c>
      <c r="Y1874" s="31" t="s">
        <v>51</v>
      </c>
      <c r="Z1874" s="31" t="s">
        <v>1809</v>
      </c>
      <c r="AE1874" s="47" t="s">
        <v>3198</v>
      </c>
      <c r="AF1874" s="31">
        <v>45</v>
      </c>
      <c r="AK1874" s="32">
        <v>50</v>
      </c>
      <c r="AQ1874" s="32" t="s">
        <v>3234</v>
      </c>
      <c r="AU1874">
        <v>1873</v>
      </c>
    </row>
    <row r="1875" spans="1:47" x14ac:dyDescent="0.2">
      <c r="A1875" s="26">
        <v>6448</v>
      </c>
      <c r="B1875" s="27">
        <v>0.72361111111111109</v>
      </c>
      <c r="C1875" s="28"/>
      <c r="D1875" s="29"/>
      <c r="E1875" s="30" t="s">
        <v>3155</v>
      </c>
      <c r="H1875" s="32">
        <v>0</v>
      </c>
      <c r="I1875" s="32" t="s">
        <v>3156</v>
      </c>
      <c r="AG1875" s="32">
        <v>0</v>
      </c>
      <c r="AH1875" s="32">
        <v>0</v>
      </c>
      <c r="AI1875" s="32">
        <v>0</v>
      </c>
      <c r="AK1875" s="32">
        <v>0</v>
      </c>
      <c r="AP1875" s="32">
        <f>23/60</f>
        <v>0.38333333333333336</v>
      </c>
      <c r="AQ1875" s="32" t="s">
        <v>1101</v>
      </c>
      <c r="AU1875">
        <v>1874</v>
      </c>
    </row>
    <row r="1876" spans="1:47" x14ac:dyDescent="0.2">
      <c r="A1876" s="26">
        <v>6448</v>
      </c>
      <c r="B1876" s="27">
        <v>0.76388888888888884</v>
      </c>
      <c r="C1876" s="28"/>
      <c r="D1876" s="29"/>
      <c r="E1876" s="30" t="s">
        <v>464</v>
      </c>
      <c r="H1876" s="32">
        <v>1</v>
      </c>
      <c r="I1876" s="32" t="s">
        <v>3128</v>
      </c>
      <c r="AG1876" s="32">
        <v>0</v>
      </c>
      <c r="AH1876" s="32">
        <v>0</v>
      </c>
      <c r="AI1876" s="32">
        <v>0</v>
      </c>
      <c r="AL1876" s="32">
        <f>1/6</f>
        <v>0.16666666666666666</v>
      </c>
      <c r="AO1876" s="32" t="s">
        <v>1898</v>
      </c>
      <c r="AP1876" s="32">
        <f>1/6</f>
        <v>0.16666666666666666</v>
      </c>
      <c r="AQ1876" s="32" t="s">
        <v>1522</v>
      </c>
      <c r="AU1876">
        <v>1875</v>
      </c>
    </row>
    <row r="1877" spans="1:47" x14ac:dyDescent="0.2">
      <c r="A1877" s="133">
        <v>6450</v>
      </c>
      <c r="B1877" s="39" t="s">
        <v>45</v>
      </c>
      <c r="C1877" s="39" t="s">
        <v>156</v>
      </c>
      <c r="D1877" s="29"/>
      <c r="E1877" s="38" t="s">
        <v>3298</v>
      </c>
      <c r="F1877" s="31" t="s">
        <v>1552</v>
      </c>
      <c r="G1877" s="31" t="s">
        <v>73</v>
      </c>
      <c r="H1877" s="32"/>
      <c r="I1877" s="32"/>
      <c r="L1877" s="33">
        <v>8</v>
      </c>
      <c r="AE1877" s="31" t="s">
        <v>2743</v>
      </c>
      <c r="AF1877" s="31">
        <v>65</v>
      </c>
      <c r="AU1877">
        <v>1876</v>
      </c>
    </row>
    <row r="1878" spans="1:47" x14ac:dyDescent="0.2">
      <c r="A1878" s="26">
        <v>6452</v>
      </c>
      <c r="B1878" s="27">
        <v>0.75555555555555554</v>
      </c>
      <c r="C1878" s="28"/>
      <c r="D1878" s="29"/>
      <c r="E1878" s="30" t="s">
        <v>3155</v>
      </c>
      <c r="H1878" s="32">
        <v>0</v>
      </c>
      <c r="I1878" s="32" t="s">
        <v>3156</v>
      </c>
      <c r="AG1878" s="32">
        <v>0</v>
      </c>
      <c r="AH1878" s="32">
        <v>0</v>
      </c>
      <c r="AI1878" s="32">
        <v>0</v>
      </c>
      <c r="AK1878" s="32">
        <v>0</v>
      </c>
      <c r="AP1878" s="32">
        <v>0.5</v>
      </c>
      <c r="AQ1878" s="32" t="s">
        <v>1101</v>
      </c>
      <c r="AU1878">
        <v>1877</v>
      </c>
    </row>
    <row r="1879" spans="1:47" x14ac:dyDescent="0.2">
      <c r="A1879" s="26">
        <v>6452</v>
      </c>
      <c r="B1879" s="27">
        <v>0.875</v>
      </c>
      <c r="C1879" s="28"/>
      <c r="D1879" s="29"/>
      <c r="E1879" s="30" t="s">
        <v>3155</v>
      </c>
      <c r="H1879" s="32">
        <v>0</v>
      </c>
      <c r="I1879" s="32" t="s">
        <v>3156</v>
      </c>
      <c r="AG1879" s="32">
        <v>0</v>
      </c>
      <c r="AH1879" s="32">
        <v>0</v>
      </c>
      <c r="AI1879" s="32">
        <v>0</v>
      </c>
      <c r="AK1879" s="32">
        <v>0</v>
      </c>
      <c r="AP1879" s="32">
        <f>35/60</f>
        <v>0.58333333333333337</v>
      </c>
      <c r="AQ1879" s="32" t="s">
        <v>1101</v>
      </c>
      <c r="AU1879">
        <v>1878</v>
      </c>
    </row>
    <row r="1880" spans="1:47" x14ac:dyDescent="0.2">
      <c r="A1880" s="133">
        <v>6453</v>
      </c>
      <c r="B1880" s="39" t="s">
        <v>45</v>
      </c>
      <c r="C1880" s="39">
        <v>100</v>
      </c>
      <c r="D1880" s="29" t="b">
        <v>0</v>
      </c>
      <c r="E1880" s="39" t="s">
        <v>3299</v>
      </c>
      <c r="F1880" s="47" t="s">
        <v>3300</v>
      </c>
      <c r="G1880" s="47" t="s">
        <v>205</v>
      </c>
      <c r="H1880"/>
      <c r="I1880" s="47" t="b">
        <v>1</v>
      </c>
      <c r="J1880" s="47" t="b">
        <v>1</v>
      </c>
      <c r="K1880" s="47">
        <v>7279</v>
      </c>
      <c r="L1880" s="48">
        <v>22</v>
      </c>
      <c r="M1880" s="47">
        <v>-1</v>
      </c>
      <c r="N1880" s="47">
        <v>-1</v>
      </c>
      <c r="O1880" s="47">
        <v>-1</v>
      </c>
      <c r="P1880" s="47">
        <v>-1</v>
      </c>
      <c r="Q1880" s="47">
        <v>-1</v>
      </c>
      <c r="R1880" s="47">
        <v>-1</v>
      </c>
      <c r="S1880" s="48">
        <v>22</v>
      </c>
      <c r="T1880" s="47">
        <v>0</v>
      </c>
      <c r="U1880" s="47">
        <v>0</v>
      </c>
      <c r="V1880" s="47">
        <v>0</v>
      </c>
      <c r="W1880" s="47"/>
      <c r="X1880" s="47">
        <v>259</v>
      </c>
      <c r="Y1880" s="47"/>
      <c r="Z1880" s="47" t="s">
        <v>2524</v>
      </c>
      <c r="AA1880" s="49"/>
      <c r="AB1880" s="49"/>
      <c r="AC1880" s="49"/>
      <c r="AD1880" s="50"/>
      <c r="AE1880" s="47" t="s">
        <v>2754</v>
      </c>
      <c r="AF1880" s="47">
        <v>55</v>
      </c>
      <c r="AG1880"/>
      <c r="AH1880"/>
      <c r="AI1880"/>
      <c r="AJ1880"/>
      <c r="AK1880"/>
      <c r="AL1880"/>
      <c r="AM1880"/>
      <c r="AN1880"/>
      <c r="AO1880"/>
      <c r="AP1880"/>
      <c r="AQ1880" t="s">
        <v>2526</v>
      </c>
      <c r="AU1880">
        <v>1879</v>
      </c>
    </row>
    <row r="1881" spans="1:47" x14ac:dyDescent="0.2">
      <c r="A1881" s="133">
        <v>6453</v>
      </c>
      <c r="B1881" s="39" t="s">
        <v>45</v>
      </c>
      <c r="C1881" s="39">
        <v>100</v>
      </c>
      <c r="D1881" s="29" t="b">
        <v>0</v>
      </c>
      <c r="E1881" s="39" t="s">
        <v>3242</v>
      </c>
      <c r="F1881" s="47" t="s">
        <v>529</v>
      </c>
      <c r="G1881" s="47" t="s">
        <v>205</v>
      </c>
      <c r="H1881"/>
      <c r="I1881" s="47" t="b">
        <v>0</v>
      </c>
      <c r="J1881" s="47" t="b">
        <v>0</v>
      </c>
      <c r="K1881" s="47">
        <v>2970</v>
      </c>
      <c r="L1881" s="48">
        <v>22</v>
      </c>
      <c r="M1881" s="47">
        <v>-1</v>
      </c>
      <c r="N1881" s="47">
        <v>-1</v>
      </c>
      <c r="O1881" s="47">
        <v>-1</v>
      </c>
      <c r="P1881" s="47">
        <v>-1</v>
      </c>
      <c r="Q1881" s="47">
        <v>-1</v>
      </c>
      <c r="R1881" s="47">
        <v>-1</v>
      </c>
      <c r="S1881" s="48">
        <v>22</v>
      </c>
      <c r="T1881" s="47">
        <v>0</v>
      </c>
      <c r="U1881" s="47">
        <v>0</v>
      </c>
      <c r="V1881" s="47">
        <v>0</v>
      </c>
      <c r="W1881" s="47"/>
      <c r="X1881" s="47">
        <v>250</v>
      </c>
      <c r="Y1881" s="47"/>
      <c r="Z1881" s="47" t="s">
        <v>2524</v>
      </c>
      <c r="AA1881" s="49"/>
      <c r="AB1881" s="49"/>
      <c r="AC1881" s="49"/>
      <c r="AD1881" s="50"/>
      <c r="AE1881" s="47" t="s">
        <v>2754</v>
      </c>
      <c r="AF1881" s="47">
        <v>55</v>
      </c>
      <c r="AG1881"/>
      <c r="AH1881"/>
      <c r="AI1881"/>
      <c r="AJ1881"/>
      <c r="AK1881"/>
      <c r="AL1881"/>
      <c r="AM1881"/>
      <c r="AN1881"/>
      <c r="AO1881"/>
      <c r="AP1881"/>
      <c r="AQ1881" t="s">
        <v>2526</v>
      </c>
      <c r="AU1881">
        <v>1880</v>
      </c>
    </row>
    <row r="1882" spans="1:47" x14ac:dyDescent="0.2">
      <c r="A1882" s="133">
        <v>6453</v>
      </c>
      <c r="B1882" s="39" t="s">
        <v>45</v>
      </c>
      <c r="C1882" s="39">
        <v>100</v>
      </c>
      <c r="D1882" s="29" t="b">
        <v>0</v>
      </c>
      <c r="E1882" s="39" t="s">
        <v>3301</v>
      </c>
      <c r="F1882" s="47" t="s">
        <v>529</v>
      </c>
      <c r="G1882" s="47" t="s">
        <v>205</v>
      </c>
      <c r="H1882"/>
      <c r="I1882" s="47" t="b">
        <v>0</v>
      </c>
      <c r="J1882" s="47" t="b">
        <v>0</v>
      </c>
      <c r="K1882" s="47">
        <v>585</v>
      </c>
      <c r="L1882" s="48">
        <v>22</v>
      </c>
      <c r="M1882" s="47">
        <v>-1</v>
      </c>
      <c r="N1882" s="47">
        <v>-1</v>
      </c>
      <c r="O1882" s="47">
        <v>-1</v>
      </c>
      <c r="P1882" s="47">
        <v>-1</v>
      </c>
      <c r="Q1882" s="47">
        <v>-1</v>
      </c>
      <c r="R1882" s="47">
        <v>-1</v>
      </c>
      <c r="S1882" s="48">
        <v>22</v>
      </c>
      <c r="T1882" s="47">
        <v>0</v>
      </c>
      <c r="U1882" s="47">
        <v>0</v>
      </c>
      <c r="V1882" s="47">
        <v>0</v>
      </c>
      <c r="W1882" s="47"/>
      <c r="X1882" s="47">
        <v>256</v>
      </c>
      <c r="Y1882" s="47"/>
      <c r="Z1882" s="47" t="s">
        <v>2524</v>
      </c>
      <c r="AA1882" s="49"/>
      <c r="AB1882" s="49"/>
      <c r="AC1882" s="49"/>
      <c r="AD1882" s="50"/>
      <c r="AE1882" s="47" t="s">
        <v>2754</v>
      </c>
      <c r="AF1882" s="47"/>
      <c r="AG1882"/>
      <c r="AH1882"/>
      <c r="AI1882"/>
      <c r="AJ1882"/>
      <c r="AK1882"/>
      <c r="AL1882"/>
      <c r="AM1882"/>
      <c r="AN1882"/>
      <c r="AO1882"/>
      <c r="AP1882"/>
      <c r="AQ1882" t="s">
        <v>2526</v>
      </c>
      <c r="AU1882">
        <v>1881</v>
      </c>
    </row>
    <row r="1883" spans="1:47" x14ac:dyDescent="0.2">
      <c r="A1883" s="133">
        <v>6453</v>
      </c>
      <c r="B1883" s="39" t="s">
        <v>45</v>
      </c>
      <c r="C1883" s="39">
        <v>100</v>
      </c>
      <c r="D1883" s="29" t="b">
        <v>0</v>
      </c>
      <c r="E1883" s="39" t="s">
        <v>3022</v>
      </c>
      <c r="F1883" s="47" t="s">
        <v>529</v>
      </c>
      <c r="G1883" s="47" t="s">
        <v>205</v>
      </c>
      <c r="H1883"/>
      <c r="I1883" s="47" t="b">
        <v>0</v>
      </c>
      <c r="J1883" s="47" t="b">
        <v>0</v>
      </c>
      <c r="K1883" s="47">
        <v>355</v>
      </c>
      <c r="L1883" s="48">
        <v>22</v>
      </c>
      <c r="M1883" s="47">
        <v>-1</v>
      </c>
      <c r="N1883" s="47">
        <v>-1</v>
      </c>
      <c r="O1883" s="47">
        <v>-1</v>
      </c>
      <c r="P1883" s="47">
        <v>-1</v>
      </c>
      <c r="Q1883" s="47">
        <v>-1</v>
      </c>
      <c r="R1883" s="47">
        <v>-1</v>
      </c>
      <c r="S1883" s="48">
        <v>22</v>
      </c>
      <c r="T1883" s="47">
        <v>0</v>
      </c>
      <c r="U1883" s="47">
        <v>0</v>
      </c>
      <c r="V1883" s="47">
        <v>0</v>
      </c>
      <c r="W1883" s="47"/>
      <c r="X1883" s="47">
        <v>254</v>
      </c>
      <c r="Y1883" s="47"/>
      <c r="Z1883" s="47" t="s">
        <v>2524</v>
      </c>
      <c r="AA1883" s="49"/>
      <c r="AB1883" s="49"/>
      <c r="AC1883" s="49"/>
      <c r="AD1883" s="50"/>
      <c r="AE1883" s="47" t="s">
        <v>2754</v>
      </c>
      <c r="AF1883" s="47"/>
      <c r="AG1883"/>
      <c r="AH1883"/>
      <c r="AI1883"/>
      <c r="AJ1883"/>
      <c r="AK1883"/>
      <c r="AL1883"/>
      <c r="AM1883"/>
      <c r="AN1883"/>
      <c r="AO1883"/>
      <c r="AP1883"/>
      <c r="AQ1883" t="s">
        <v>2526</v>
      </c>
      <c r="AU1883">
        <v>1882</v>
      </c>
    </row>
    <row r="1884" spans="1:47" x14ac:dyDescent="0.2">
      <c r="A1884" s="133">
        <v>6453</v>
      </c>
      <c r="B1884" s="39" t="s">
        <v>45</v>
      </c>
      <c r="C1884" s="39">
        <v>100</v>
      </c>
      <c r="D1884" s="29" t="b">
        <v>0</v>
      </c>
      <c r="E1884" s="39" t="s">
        <v>3302</v>
      </c>
      <c r="F1884" s="47" t="s">
        <v>3303</v>
      </c>
      <c r="G1884" s="47" t="s">
        <v>459</v>
      </c>
      <c r="H1884"/>
      <c r="I1884" s="47" t="b">
        <v>0</v>
      </c>
      <c r="J1884" s="47" t="b">
        <v>0</v>
      </c>
      <c r="K1884" s="47">
        <v>355</v>
      </c>
      <c r="L1884" s="48">
        <v>22</v>
      </c>
      <c r="M1884" s="47">
        <v>-1</v>
      </c>
      <c r="N1884" s="47">
        <v>-1</v>
      </c>
      <c r="O1884" s="47">
        <v>-1</v>
      </c>
      <c r="P1884" s="47">
        <v>-1</v>
      </c>
      <c r="Q1884" s="47">
        <v>-1</v>
      </c>
      <c r="R1884" s="47">
        <v>-1</v>
      </c>
      <c r="S1884" s="48">
        <v>22</v>
      </c>
      <c r="T1884" s="47">
        <v>0</v>
      </c>
      <c r="U1884" s="47">
        <v>0</v>
      </c>
      <c r="V1884" s="47">
        <v>0</v>
      </c>
      <c r="W1884" s="47"/>
      <c r="X1884" s="47">
        <v>261</v>
      </c>
      <c r="Y1884" s="47"/>
      <c r="Z1884" s="47" t="s">
        <v>2524</v>
      </c>
      <c r="AA1884" s="49"/>
      <c r="AB1884" s="49"/>
      <c r="AC1884" s="49"/>
      <c r="AD1884" s="50"/>
      <c r="AE1884" s="47" t="s">
        <v>2754</v>
      </c>
      <c r="AF1884" s="47">
        <v>65</v>
      </c>
      <c r="AG1884"/>
      <c r="AH1884"/>
      <c r="AI1884"/>
      <c r="AJ1884"/>
      <c r="AK1884"/>
      <c r="AL1884"/>
      <c r="AM1884"/>
      <c r="AN1884"/>
      <c r="AO1884"/>
      <c r="AP1884"/>
      <c r="AQ1884" t="s">
        <v>2526</v>
      </c>
      <c r="AU1884">
        <v>1883</v>
      </c>
    </row>
    <row r="1885" spans="1:47" x14ac:dyDescent="0.2">
      <c r="A1885" s="133">
        <v>6453</v>
      </c>
      <c r="B1885" s="39" t="s">
        <v>45</v>
      </c>
      <c r="C1885" s="39">
        <v>100</v>
      </c>
      <c r="D1885" s="29" t="b">
        <v>0</v>
      </c>
      <c r="E1885" s="39" t="s">
        <v>3304</v>
      </c>
      <c r="F1885" s="47" t="s">
        <v>662</v>
      </c>
      <c r="G1885" s="47" t="s">
        <v>49</v>
      </c>
      <c r="H1885"/>
      <c r="I1885" s="47" t="b">
        <v>0</v>
      </c>
      <c r="J1885" s="47" t="b">
        <v>0</v>
      </c>
      <c r="K1885" s="47">
        <v>305</v>
      </c>
      <c r="L1885" s="48">
        <v>22</v>
      </c>
      <c r="M1885" s="47">
        <v>-1</v>
      </c>
      <c r="N1885" s="47">
        <v>-1</v>
      </c>
      <c r="O1885" s="47">
        <v>-1</v>
      </c>
      <c r="P1885" s="47">
        <v>-1</v>
      </c>
      <c r="Q1885" s="47">
        <v>-1</v>
      </c>
      <c r="R1885" s="47">
        <v>-1</v>
      </c>
      <c r="S1885" s="48">
        <v>22</v>
      </c>
      <c r="T1885" s="47">
        <v>0</v>
      </c>
      <c r="U1885" s="47">
        <v>0</v>
      </c>
      <c r="V1885" s="47">
        <v>0</v>
      </c>
      <c r="W1885" s="47"/>
      <c r="X1885" s="47">
        <v>248</v>
      </c>
      <c r="Y1885" s="47"/>
      <c r="Z1885" s="47" t="s">
        <v>2524</v>
      </c>
      <c r="AA1885" s="49"/>
      <c r="AB1885" s="49"/>
      <c r="AC1885" s="49"/>
      <c r="AD1885" s="50"/>
      <c r="AE1885" s="47" t="s">
        <v>2754</v>
      </c>
      <c r="AF1885" s="47">
        <v>50</v>
      </c>
      <c r="AG1885"/>
      <c r="AH1885"/>
      <c r="AI1885"/>
      <c r="AJ1885"/>
      <c r="AK1885"/>
      <c r="AL1885"/>
      <c r="AM1885"/>
      <c r="AN1885"/>
      <c r="AO1885"/>
      <c r="AP1885"/>
      <c r="AQ1885" t="s">
        <v>2526</v>
      </c>
      <c r="AU1885">
        <v>1884</v>
      </c>
    </row>
    <row r="1886" spans="1:47" x14ac:dyDescent="0.2">
      <c r="A1886" s="133">
        <v>6453</v>
      </c>
      <c r="B1886" s="39" t="s">
        <v>45</v>
      </c>
      <c r="C1886" s="39">
        <v>100</v>
      </c>
      <c r="D1886" s="29" t="b">
        <v>0</v>
      </c>
      <c r="E1886" s="39" t="s">
        <v>2932</v>
      </c>
      <c r="F1886" s="47" t="s">
        <v>3136</v>
      </c>
      <c r="G1886" s="47" t="s">
        <v>49</v>
      </c>
      <c r="H1886"/>
      <c r="I1886" s="47" t="b">
        <v>0</v>
      </c>
      <c r="J1886" s="47" t="b">
        <v>0</v>
      </c>
      <c r="K1886" s="47">
        <v>305</v>
      </c>
      <c r="L1886" s="48">
        <v>22</v>
      </c>
      <c r="M1886" s="47">
        <v>-1</v>
      </c>
      <c r="N1886" s="47">
        <v>-1</v>
      </c>
      <c r="O1886" s="47">
        <v>-1</v>
      </c>
      <c r="P1886" s="47">
        <v>-1</v>
      </c>
      <c r="Q1886" s="47">
        <v>-1</v>
      </c>
      <c r="R1886" s="47">
        <v>-1</v>
      </c>
      <c r="S1886" s="48">
        <v>22</v>
      </c>
      <c r="T1886" s="47">
        <v>0</v>
      </c>
      <c r="U1886" s="47">
        <v>0</v>
      </c>
      <c r="V1886" s="47">
        <v>0</v>
      </c>
      <c r="W1886" s="47"/>
      <c r="X1886" s="47">
        <v>252</v>
      </c>
      <c r="Y1886" s="47"/>
      <c r="Z1886" s="47" t="s">
        <v>2524</v>
      </c>
      <c r="AA1886" s="49"/>
      <c r="AB1886" s="49"/>
      <c r="AC1886" s="49"/>
      <c r="AD1886" s="50"/>
      <c r="AE1886" s="47" t="s">
        <v>2754</v>
      </c>
      <c r="AF1886" s="47">
        <v>55</v>
      </c>
      <c r="AG1886"/>
      <c r="AH1886"/>
      <c r="AI1886"/>
      <c r="AJ1886"/>
      <c r="AK1886"/>
      <c r="AL1886"/>
      <c r="AM1886"/>
      <c r="AN1886"/>
      <c r="AO1886"/>
      <c r="AP1886"/>
      <c r="AQ1886" t="s">
        <v>2526</v>
      </c>
      <c r="AU1886">
        <v>1885</v>
      </c>
    </row>
    <row r="1887" spans="1:47" x14ac:dyDescent="0.2">
      <c r="A1887" s="133">
        <v>6453</v>
      </c>
      <c r="B1887" s="39" t="s">
        <v>45</v>
      </c>
      <c r="C1887" s="39">
        <v>100</v>
      </c>
      <c r="D1887" s="29" t="b">
        <v>0</v>
      </c>
      <c r="E1887" s="39" t="s">
        <v>2932</v>
      </c>
      <c r="F1887" s="47" t="s">
        <v>529</v>
      </c>
      <c r="G1887" s="47" t="s">
        <v>205</v>
      </c>
      <c r="H1887"/>
      <c r="I1887" s="47" t="b">
        <v>0</v>
      </c>
      <c r="J1887" s="47" t="b">
        <v>0</v>
      </c>
      <c r="K1887" s="47">
        <v>305</v>
      </c>
      <c r="L1887" s="48">
        <v>22</v>
      </c>
      <c r="M1887" s="47">
        <v>-1</v>
      </c>
      <c r="N1887" s="47">
        <v>-1</v>
      </c>
      <c r="O1887" s="47">
        <v>-1</v>
      </c>
      <c r="P1887" s="47">
        <v>-1</v>
      </c>
      <c r="Q1887" s="47">
        <v>-1</v>
      </c>
      <c r="R1887" s="47">
        <v>-1</v>
      </c>
      <c r="S1887" s="48">
        <v>22</v>
      </c>
      <c r="T1887" s="47">
        <v>0</v>
      </c>
      <c r="U1887" s="47">
        <v>0</v>
      </c>
      <c r="V1887" s="47">
        <v>0</v>
      </c>
      <c r="W1887" s="47"/>
      <c r="X1887" s="47">
        <v>253</v>
      </c>
      <c r="Y1887" s="47"/>
      <c r="Z1887" s="47" t="s">
        <v>2524</v>
      </c>
      <c r="AA1887" s="49"/>
      <c r="AB1887" s="49"/>
      <c r="AC1887" s="49"/>
      <c r="AD1887" s="50"/>
      <c r="AE1887" s="47" t="s">
        <v>2754</v>
      </c>
      <c r="AF1887" s="47">
        <v>55</v>
      </c>
      <c r="AG1887"/>
      <c r="AH1887"/>
      <c r="AI1887"/>
      <c r="AJ1887"/>
      <c r="AK1887"/>
      <c r="AL1887"/>
      <c r="AM1887"/>
      <c r="AN1887"/>
      <c r="AO1887"/>
      <c r="AP1887"/>
      <c r="AQ1887" t="s">
        <v>2526</v>
      </c>
      <c r="AU1887">
        <v>1886</v>
      </c>
    </row>
    <row r="1888" spans="1:47" x14ac:dyDescent="0.2">
      <c r="A1888" s="133">
        <v>6453</v>
      </c>
      <c r="B1888" s="39" t="s">
        <v>45</v>
      </c>
      <c r="C1888" s="39">
        <v>100</v>
      </c>
      <c r="D1888" s="29" t="b">
        <v>0</v>
      </c>
      <c r="E1888" s="39" t="s">
        <v>3305</v>
      </c>
      <c r="F1888" s="47" t="s">
        <v>2617</v>
      </c>
      <c r="G1888" s="47" t="s">
        <v>49</v>
      </c>
      <c r="H1888"/>
      <c r="I1888" s="47" t="b">
        <v>0</v>
      </c>
      <c r="J1888" s="47" t="b">
        <v>0</v>
      </c>
      <c r="K1888" s="47">
        <v>300</v>
      </c>
      <c r="L1888" s="48">
        <v>22</v>
      </c>
      <c r="M1888" s="47">
        <v>-1</v>
      </c>
      <c r="N1888" s="47">
        <v>-1</v>
      </c>
      <c r="O1888" s="47">
        <v>-1</v>
      </c>
      <c r="P1888" s="47">
        <v>-1</v>
      </c>
      <c r="Q1888" s="47">
        <v>-1</v>
      </c>
      <c r="R1888" s="47">
        <v>-1</v>
      </c>
      <c r="S1888" s="48">
        <v>22</v>
      </c>
      <c r="T1888" s="47">
        <v>0</v>
      </c>
      <c r="U1888" s="47">
        <v>0</v>
      </c>
      <c r="V1888" s="47">
        <v>0</v>
      </c>
      <c r="W1888" s="47"/>
      <c r="X1888" s="47">
        <v>247</v>
      </c>
      <c r="Y1888" s="47"/>
      <c r="Z1888" s="47" t="s">
        <v>2524</v>
      </c>
      <c r="AA1888" s="49"/>
      <c r="AB1888" s="49"/>
      <c r="AC1888" s="49"/>
      <c r="AD1888" s="50"/>
      <c r="AE1888" s="47" t="s">
        <v>2754</v>
      </c>
      <c r="AF1888" s="47">
        <v>50</v>
      </c>
      <c r="AG1888"/>
      <c r="AH1888"/>
      <c r="AI1888"/>
      <c r="AJ1888"/>
      <c r="AK1888"/>
      <c r="AL1888"/>
      <c r="AM1888"/>
      <c r="AN1888"/>
      <c r="AO1888"/>
      <c r="AP1888"/>
      <c r="AQ1888" t="s">
        <v>2526</v>
      </c>
      <c r="AU1888">
        <v>1887</v>
      </c>
    </row>
    <row r="1889" spans="1:47" x14ac:dyDescent="0.2">
      <c r="A1889" s="133">
        <v>6453</v>
      </c>
      <c r="B1889" s="39" t="s">
        <v>45</v>
      </c>
      <c r="C1889" s="39">
        <v>100</v>
      </c>
      <c r="D1889" s="29" t="b">
        <v>0</v>
      </c>
      <c r="E1889" s="39" t="s">
        <v>3305</v>
      </c>
      <c r="F1889" s="47" t="s">
        <v>3306</v>
      </c>
      <c r="G1889" s="47" t="s">
        <v>73</v>
      </c>
      <c r="H1889"/>
      <c r="I1889" s="47" t="b">
        <v>0</v>
      </c>
      <c r="J1889" s="47" t="b">
        <v>0</v>
      </c>
      <c r="K1889" s="47">
        <v>300</v>
      </c>
      <c r="L1889" s="48">
        <v>22</v>
      </c>
      <c r="M1889" s="47">
        <v>-1</v>
      </c>
      <c r="N1889" s="47">
        <v>-1</v>
      </c>
      <c r="O1889" s="47">
        <v>-1</v>
      </c>
      <c r="P1889" s="47">
        <v>-1</v>
      </c>
      <c r="Q1889" s="47">
        <v>-1</v>
      </c>
      <c r="R1889" s="47">
        <v>-1</v>
      </c>
      <c r="S1889" s="48">
        <v>22</v>
      </c>
      <c r="T1889" s="47">
        <v>0</v>
      </c>
      <c r="U1889" s="47">
        <v>0</v>
      </c>
      <c r="V1889" s="47">
        <v>0</v>
      </c>
      <c r="W1889" s="47"/>
      <c r="X1889" s="47">
        <v>260</v>
      </c>
      <c r="Y1889" s="47"/>
      <c r="Z1889" s="47" t="s">
        <v>2524</v>
      </c>
      <c r="AA1889" s="49"/>
      <c r="AB1889" s="49"/>
      <c r="AC1889" s="49"/>
      <c r="AD1889" s="50"/>
      <c r="AE1889" s="47" t="s">
        <v>2754</v>
      </c>
      <c r="AF1889" s="47">
        <v>50</v>
      </c>
      <c r="AG1889"/>
      <c r="AH1889"/>
      <c r="AI1889"/>
      <c r="AJ1889"/>
      <c r="AK1889"/>
      <c r="AL1889"/>
      <c r="AM1889"/>
      <c r="AN1889"/>
      <c r="AO1889"/>
      <c r="AP1889"/>
      <c r="AQ1889" t="s">
        <v>2526</v>
      </c>
      <c r="AU1889">
        <v>1888</v>
      </c>
    </row>
    <row r="1890" spans="1:47" x14ac:dyDescent="0.2">
      <c r="A1890" s="133">
        <v>6453</v>
      </c>
      <c r="B1890" s="39" t="s">
        <v>45</v>
      </c>
      <c r="C1890" s="39">
        <v>100</v>
      </c>
      <c r="D1890" s="29" t="b">
        <v>0</v>
      </c>
      <c r="E1890" s="39" t="s">
        <v>2835</v>
      </c>
      <c r="F1890" s="47" t="s">
        <v>220</v>
      </c>
      <c r="G1890" s="47" t="s">
        <v>49</v>
      </c>
      <c r="H1890"/>
      <c r="I1890" s="47" t="b">
        <v>0</v>
      </c>
      <c r="J1890" s="47" t="b">
        <v>0</v>
      </c>
      <c r="K1890" s="47">
        <v>280</v>
      </c>
      <c r="L1890" s="48">
        <v>22</v>
      </c>
      <c r="M1890" s="47">
        <v>-1</v>
      </c>
      <c r="N1890" s="47">
        <v>-1</v>
      </c>
      <c r="O1890" s="47">
        <v>-1</v>
      </c>
      <c r="P1890" s="47">
        <v>-1</v>
      </c>
      <c r="Q1890" s="47">
        <v>-1</v>
      </c>
      <c r="R1890" s="47">
        <v>-1</v>
      </c>
      <c r="S1890" s="48">
        <v>22</v>
      </c>
      <c r="T1890" s="47">
        <v>0</v>
      </c>
      <c r="U1890" s="47">
        <v>0</v>
      </c>
      <c r="V1890" s="47">
        <v>0</v>
      </c>
      <c r="W1890" s="47"/>
      <c r="X1890" s="47">
        <v>249</v>
      </c>
      <c r="Y1890" s="47"/>
      <c r="Z1890" s="47" t="s">
        <v>2524</v>
      </c>
      <c r="AA1890" s="49"/>
      <c r="AB1890" s="49"/>
      <c r="AC1890" s="49"/>
      <c r="AD1890" s="50"/>
      <c r="AE1890" s="47" t="s">
        <v>2754</v>
      </c>
      <c r="AF1890" s="47">
        <v>55</v>
      </c>
      <c r="AG1890"/>
      <c r="AH1890"/>
      <c r="AI1890"/>
      <c r="AJ1890"/>
      <c r="AK1890"/>
      <c r="AL1890"/>
      <c r="AM1890"/>
      <c r="AN1890"/>
      <c r="AO1890"/>
      <c r="AP1890"/>
      <c r="AQ1890" t="s">
        <v>2526</v>
      </c>
      <c r="AU1890">
        <v>1889</v>
      </c>
    </row>
    <row r="1891" spans="1:47" x14ac:dyDescent="0.2">
      <c r="A1891" s="133">
        <v>6453</v>
      </c>
      <c r="B1891" s="39" t="s">
        <v>45</v>
      </c>
      <c r="C1891" s="39">
        <v>100</v>
      </c>
      <c r="D1891" s="29" t="b">
        <v>0</v>
      </c>
      <c r="E1891" s="39" t="s">
        <v>3307</v>
      </c>
      <c r="F1891" s="47" t="s">
        <v>3308</v>
      </c>
      <c r="G1891" s="47" t="s">
        <v>49</v>
      </c>
      <c r="H1891"/>
      <c r="I1891" s="47" t="b">
        <v>0</v>
      </c>
      <c r="J1891" s="47" t="b">
        <v>0</v>
      </c>
      <c r="K1891" s="47">
        <v>280</v>
      </c>
      <c r="L1891" s="48">
        <v>22</v>
      </c>
      <c r="M1891" s="47">
        <v>-1</v>
      </c>
      <c r="N1891" s="47">
        <v>-1</v>
      </c>
      <c r="O1891" s="47">
        <v>-1</v>
      </c>
      <c r="P1891" s="47">
        <v>-1</v>
      </c>
      <c r="Q1891" s="47">
        <v>-1</v>
      </c>
      <c r="R1891" s="47">
        <v>-1</v>
      </c>
      <c r="S1891" s="48">
        <v>22</v>
      </c>
      <c r="T1891" s="47">
        <v>0</v>
      </c>
      <c r="U1891" s="47">
        <v>0</v>
      </c>
      <c r="V1891" s="47">
        <v>0</v>
      </c>
      <c r="W1891" s="47"/>
      <c r="X1891" s="47">
        <v>258</v>
      </c>
      <c r="Y1891" s="47"/>
      <c r="Z1891" s="47" t="s">
        <v>2524</v>
      </c>
      <c r="AA1891" s="49"/>
      <c r="AB1891" s="49"/>
      <c r="AC1891" s="49"/>
      <c r="AD1891" s="50"/>
      <c r="AE1891" s="47" t="s">
        <v>2754</v>
      </c>
      <c r="AF1891" s="47"/>
      <c r="AG1891"/>
      <c r="AH1891"/>
      <c r="AI1891"/>
      <c r="AJ1891"/>
      <c r="AK1891"/>
      <c r="AL1891"/>
      <c r="AM1891"/>
      <c r="AN1891"/>
      <c r="AO1891"/>
      <c r="AP1891"/>
      <c r="AQ1891" t="s">
        <v>2526</v>
      </c>
      <c r="AU1891">
        <v>1890</v>
      </c>
    </row>
    <row r="1892" spans="1:47" x14ac:dyDescent="0.2">
      <c r="A1892" s="133">
        <v>6453</v>
      </c>
      <c r="B1892" s="39" t="s">
        <v>45</v>
      </c>
      <c r="C1892" s="39">
        <v>100</v>
      </c>
      <c r="D1892" s="29" t="b">
        <v>0</v>
      </c>
      <c r="E1892" s="39" t="s">
        <v>558</v>
      </c>
      <c r="F1892" s="47" t="s">
        <v>220</v>
      </c>
      <c r="G1892" s="47" t="s">
        <v>49</v>
      </c>
      <c r="H1892"/>
      <c r="I1892" s="47" t="b">
        <v>0</v>
      </c>
      <c r="J1892" s="47" t="b">
        <v>0</v>
      </c>
      <c r="K1892" s="47">
        <v>230</v>
      </c>
      <c r="L1892" s="48">
        <v>22</v>
      </c>
      <c r="M1892" s="47">
        <v>-1</v>
      </c>
      <c r="N1892" s="47">
        <v>-1</v>
      </c>
      <c r="O1892" s="47">
        <v>-1</v>
      </c>
      <c r="P1892" s="47">
        <v>-1</v>
      </c>
      <c r="Q1892" s="47">
        <v>-1</v>
      </c>
      <c r="R1892" s="47">
        <v>-1</v>
      </c>
      <c r="S1892" s="48">
        <v>22</v>
      </c>
      <c r="T1892" s="47">
        <v>0</v>
      </c>
      <c r="U1892" s="47">
        <v>0</v>
      </c>
      <c r="V1892" s="47">
        <v>0</v>
      </c>
      <c r="W1892" s="47"/>
      <c r="X1892" s="47">
        <v>251</v>
      </c>
      <c r="Y1892" s="47"/>
      <c r="Z1892" s="47" t="s">
        <v>2524</v>
      </c>
      <c r="AA1892" s="49"/>
      <c r="AB1892" s="49"/>
      <c r="AC1892" s="49"/>
      <c r="AD1892" s="50"/>
      <c r="AE1892" s="47" t="s">
        <v>2754</v>
      </c>
      <c r="AF1892" s="47"/>
      <c r="AG1892"/>
      <c r="AH1892"/>
      <c r="AI1892"/>
      <c r="AJ1892"/>
      <c r="AK1892"/>
      <c r="AL1892"/>
      <c r="AM1892"/>
      <c r="AN1892"/>
      <c r="AO1892"/>
      <c r="AP1892"/>
      <c r="AQ1892" t="s">
        <v>2526</v>
      </c>
      <c r="AU1892">
        <v>1891</v>
      </c>
    </row>
    <row r="1893" spans="1:47" x14ac:dyDescent="0.2">
      <c r="A1893" s="133">
        <v>6453</v>
      </c>
      <c r="B1893" s="39" t="s">
        <v>45</v>
      </c>
      <c r="C1893" s="39">
        <v>100</v>
      </c>
      <c r="D1893" s="29" t="b">
        <v>0</v>
      </c>
      <c r="E1893" s="39" t="s">
        <v>3309</v>
      </c>
      <c r="F1893" s="47" t="s">
        <v>529</v>
      </c>
      <c r="G1893" s="47" t="s">
        <v>205</v>
      </c>
      <c r="H1893"/>
      <c r="I1893" s="47" t="b">
        <v>0</v>
      </c>
      <c r="J1893" s="47" t="b">
        <v>0</v>
      </c>
      <c r="K1893" s="47">
        <v>230</v>
      </c>
      <c r="L1893" s="48">
        <v>22</v>
      </c>
      <c r="M1893" s="47">
        <v>-1</v>
      </c>
      <c r="N1893" s="47">
        <v>-1</v>
      </c>
      <c r="O1893" s="47">
        <v>-1</v>
      </c>
      <c r="P1893" s="47">
        <v>-1</v>
      </c>
      <c r="Q1893" s="47">
        <v>-1</v>
      </c>
      <c r="R1893" s="47">
        <v>-1</v>
      </c>
      <c r="S1893" s="48">
        <v>22</v>
      </c>
      <c r="T1893" s="47">
        <v>0</v>
      </c>
      <c r="U1893" s="47">
        <v>0</v>
      </c>
      <c r="V1893" s="47">
        <v>0</v>
      </c>
      <c r="W1893" s="47"/>
      <c r="X1893" s="47">
        <v>255</v>
      </c>
      <c r="Y1893" s="47"/>
      <c r="Z1893" s="47" t="s">
        <v>2524</v>
      </c>
      <c r="AA1893" s="49"/>
      <c r="AB1893" s="49"/>
      <c r="AC1893" s="49"/>
      <c r="AD1893" s="50"/>
      <c r="AE1893" s="47" t="s">
        <v>2754</v>
      </c>
      <c r="AF1893" s="47"/>
      <c r="AG1893"/>
      <c r="AH1893"/>
      <c r="AI1893"/>
      <c r="AJ1893"/>
      <c r="AK1893"/>
      <c r="AL1893"/>
      <c r="AM1893"/>
      <c r="AN1893"/>
      <c r="AO1893"/>
      <c r="AP1893"/>
      <c r="AQ1893" t="s">
        <v>2526</v>
      </c>
      <c r="AU1893">
        <v>1892</v>
      </c>
    </row>
    <row r="1894" spans="1:47" x14ac:dyDescent="0.2">
      <c r="A1894" s="133">
        <v>6453</v>
      </c>
      <c r="B1894" s="39" t="s">
        <v>45</v>
      </c>
      <c r="C1894" s="39">
        <v>100</v>
      </c>
      <c r="D1894" s="29" t="b">
        <v>0</v>
      </c>
      <c r="E1894" s="39" t="s">
        <v>3310</v>
      </c>
      <c r="F1894" s="47" t="s">
        <v>220</v>
      </c>
      <c r="G1894" s="47" t="s">
        <v>49</v>
      </c>
      <c r="H1894"/>
      <c r="I1894" s="47" t="b">
        <v>0</v>
      </c>
      <c r="J1894" s="47" t="b">
        <v>0</v>
      </c>
      <c r="K1894" s="47">
        <v>230</v>
      </c>
      <c r="L1894" s="48">
        <v>22</v>
      </c>
      <c r="M1894" s="47">
        <v>-1</v>
      </c>
      <c r="N1894" s="47">
        <v>-1</v>
      </c>
      <c r="O1894" s="47">
        <v>-1</v>
      </c>
      <c r="P1894" s="47">
        <v>-1</v>
      </c>
      <c r="Q1894" s="47">
        <v>-1</v>
      </c>
      <c r="R1894" s="47">
        <v>-1</v>
      </c>
      <c r="S1894" s="48">
        <v>22</v>
      </c>
      <c r="T1894" s="47">
        <v>0</v>
      </c>
      <c r="U1894" s="47">
        <v>0</v>
      </c>
      <c r="V1894" s="47">
        <v>0</v>
      </c>
      <c r="W1894" s="47"/>
      <c r="X1894" s="47">
        <v>257</v>
      </c>
      <c r="Y1894" s="47"/>
      <c r="Z1894" s="47" t="s">
        <v>2524</v>
      </c>
      <c r="AA1894" s="49"/>
      <c r="AB1894" s="49"/>
      <c r="AC1894" s="49"/>
      <c r="AD1894" s="50"/>
      <c r="AE1894" s="47" t="s">
        <v>2754</v>
      </c>
      <c r="AF1894" s="47"/>
      <c r="AG1894"/>
      <c r="AH1894"/>
      <c r="AI1894"/>
      <c r="AJ1894"/>
      <c r="AK1894"/>
      <c r="AL1894"/>
      <c r="AM1894"/>
      <c r="AN1894"/>
      <c r="AO1894"/>
      <c r="AP1894"/>
      <c r="AQ1894" t="s">
        <v>2526</v>
      </c>
      <c r="AU1894">
        <v>1893</v>
      </c>
    </row>
    <row r="1895" spans="1:47" x14ac:dyDescent="0.2">
      <c r="A1895" s="133">
        <v>6453</v>
      </c>
      <c r="B1895" s="39" t="s">
        <v>45</v>
      </c>
      <c r="C1895" s="39">
        <v>100</v>
      </c>
      <c r="D1895" s="29" t="b">
        <v>0</v>
      </c>
      <c r="E1895" s="39" t="s">
        <v>3311</v>
      </c>
      <c r="F1895" s="47" t="s">
        <v>220</v>
      </c>
      <c r="G1895" s="47" t="s">
        <v>49</v>
      </c>
      <c r="H1895"/>
      <c r="I1895" s="47" t="b">
        <v>0</v>
      </c>
      <c r="J1895" s="47" t="b">
        <v>0</v>
      </c>
      <c r="K1895" s="47">
        <v>224</v>
      </c>
      <c r="L1895" s="48">
        <v>22</v>
      </c>
      <c r="M1895" s="47">
        <v>-1</v>
      </c>
      <c r="N1895" s="47">
        <v>-1</v>
      </c>
      <c r="O1895" s="47">
        <v>-1</v>
      </c>
      <c r="P1895" s="47">
        <v>-1</v>
      </c>
      <c r="Q1895" s="47">
        <v>-1</v>
      </c>
      <c r="R1895" s="47">
        <v>-1</v>
      </c>
      <c r="S1895" s="48">
        <v>22</v>
      </c>
      <c r="T1895" s="47">
        <v>0</v>
      </c>
      <c r="U1895" s="47">
        <v>0</v>
      </c>
      <c r="V1895" s="47">
        <v>0</v>
      </c>
      <c r="W1895" s="47"/>
      <c r="X1895" s="47">
        <v>246</v>
      </c>
      <c r="Y1895" s="47"/>
      <c r="Z1895" s="47" t="s">
        <v>2524</v>
      </c>
      <c r="AA1895" s="49"/>
      <c r="AB1895" s="49"/>
      <c r="AC1895" s="49"/>
      <c r="AD1895" s="50"/>
      <c r="AE1895" s="47" t="s">
        <v>2754</v>
      </c>
      <c r="AF1895" s="47"/>
      <c r="AG1895"/>
      <c r="AH1895"/>
      <c r="AI1895"/>
      <c r="AJ1895"/>
      <c r="AK1895"/>
      <c r="AL1895"/>
      <c r="AM1895"/>
      <c r="AN1895"/>
      <c r="AO1895"/>
      <c r="AP1895"/>
      <c r="AQ1895" t="s">
        <v>2526</v>
      </c>
      <c r="AU1895">
        <v>1894</v>
      </c>
    </row>
    <row r="1896" spans="1:47" x14ac:dyDescent="0.2">
      <c r="A1896" s="133">
        <v>6454</v>
      </c>
      <c r="B1896" s="39" t="s">
        <v>45</v>
      </c>
      <c r="C1896" s="39">
        <v>100</v>
      </c>
      <c r="D1896" s="29" t="b">
        <v>0</v>
      </c>
      <c r="E1896" s="39" t="s">
        <v>3312</v>
      </c>
      <c r="F1896" s="47" t="s">
        <v>3313</v>
      </c>
      <c r="G1896" s="47" t="s">
        <v>205</v>
      </c>
      <c r="H1896"/>
      <c r="I1896" s="47" t="b">
        <v>1</v>
      </c>
      <c r="J1896" s="47" t="b">
        <v>1</v>
      </c>
      <c r="K1896" s="47">
        <v>1824</v>
      </c>
      <c r="L1896" s="48">
        <v>9</v>
      </c>
      <c r="M1896" s="47">
        <v>-1</v>
      </c>
      <c r="N1896" s="47">
        <v>-1</v>
      </c>
      <c r="O1896" s="47">
        <v>-1</v>
      </c>
      <c r="P1896" s="47">
        <v>-1</v>
      </c>
      <c r="Q1896" s="47">
        <v>-1</v>
      </c>
      <c r="R1896" s="47">
        <v>-1</v>
      </c>
      <c r="S1896" s="48">
        <v>9</v>
      </c>
      <c r="T1896" s="47">
        <v>0</v>
      </c>
      <c r="U1896" s="47">
        <v>0</v>
      </c>
      <c r="V1896" s="47">
        <v>0</v>
      </c>
      <c r="W1896" s="47"/>
      <c r="X1896" s="47">
        <v>266</v>
      </c>
      <c r="Y1896" s="47"/>
      <c r="Z1896" s="47" t="s">
        <v>2524</v>
      </c>
      <c r="AA1896" s="49"/>
      <c r="AB1896" s="49"/>
      <c r="AC1896" s="49"/>
      <c r="AD1896" s="50"/>
      <c r="AE1896" s="47" t="s">
        <v>2754</v>
      </c>
      <c r="AF1896" s="47"/>
      <c r="AG1896"/>
      <c r="AH1896"/>
      <c r="AI1896"/>
      <c r="AJ1896"/>
      <c r="AK1896"/>
      <c r="AL1896"/>
      <c r="AM1896"/>
      <c r="AN1896"/>
      <c r="AO1896"/>
      <c r="AP1896"/>
      <c r="AQ1896" t="s">
        <v>2526</v>
      </c>
      <c r="AU1896">
        <v>1895</v>
      </c>
    </row>
    <row r="1897" spans="1:47" x14ac:dyDescent="0.2">
      <c r="A1897" s="133">
        <v>6454</v>
      </c>
      <c r="B1897" s="39" t="s">
        <v>45</v>
      </c>
      <c r="C1897" s="39">
        <v>100</v>
      </c>
      <c r="D1897" s="29" t="b">
        <v>0</v>
      </c>
      <c r="E1897" s="39" t="s">
        <v>3160</v>
      </c>
      <c r="F1897" s="47" t="s">
        <v>529</v>
      </c>
      <c r="G1897" s="47" t="s">
        <v>205</v>
      </c>
      <c r="H1897"/>
      <c r="I1897" s="47" t="b">
        <v>0</v>
      </c>
      <c r="J1897" s="47" t="b">
        <v>0</v>
      </c>
      <c r="K1897" s="47">
        <v>1474</v>
      </c>
      <c r="L1897" s="48">
        <v>9</v>
      </c>
      <c r="M1897" s="47">
        <v>-1</v>
      </c>
      <c r="N1897" s="47">
        <v>-1</v>
      </c>
      <c r="O1897" s="47">
        <v>-1</v>
      </c>
      <c r="P1897" s="47">
        <v>-1</v>
      </c>
      <c r="Q1897" s="47">
        <v>-1</v>
      </c>
      <c r="R1897" s="47">
        <v>-1</v>
      </c>
      <c r="S1897" s="48">
        <v>9</v>
      </c>
      <c r="T1897" s="47">
        <v>0</v>
      </c>
      <c r="U1897" s="47">
        <v>0</v>
      </c>
      <c r="V1897" s="47">
        <v>0</v>
      </c>
      <c r="W1897" s="47"/>
      <c r="X1897" s="47">
        <v>265</v>
      </c>
      <c r="Y1897" s="47"/>
      <c r="Z1897" s="47" t="s">
        <v>2524</v>
      </c>
      <c r="AA1897" s="49"/>
      <c r="AB1897" s="49"/>
      <c r="AC1897" s="49"/>
      <c r="AD1897" s="50"/>
      <c r="AE1897" s="47" t="s">
        <v>2754</v>
      </c>
      <c r="AF1897" s="47"/>
      <c r="AG1897"/>
      <c r="AH1897"/>
      <c r="AI1897"/>
      <c r="AJ1897"/>
      <c r="AK1897"/>
      <c r="AL1897"/>
      <c r="AM1897"/>
      <c r="AN1897"/>
      <c r="AO1897"/>
      <c r="AP1897"/>
      <c r="AQ1897" t="s">
        <v>2526</v>
      </c>
      <c r="AU1897">
        <v>1896</v>
      </c>
    </row>
    <row r="1898" spans="1:47" x14ac:dyDescent="0.2">
      <c r="A1898" s="133">
        <v>6454</v>
      </c>
      <c r="B1898" s="39" t="s">
        <v>45</v>
      </c>
      <c r="C1898" s="39">
        <v>100</v>
      </c>
      <c r="D1898" s="29" t="b">
        <v>0</v>
      </c>
      <c r="E1898" s="39" t="s">
        <v>2781</v>
      </c>
      <c r="F1898" s="47" t="s">
        <v>3046</v>
      </c>
      <c r="G1898" s="47" t="s">
        <v>49</v>
      </c>
      <c r="H1898"/>
      <c r="I1898" s="47" t="b">
        <v>0</v>
      </c>
      <c r="J1898" s="47" t="b">
        <v>0</v>
      </c>
      <c r="K1898" s="47">
        <v>200</v>
      </c>
      <c r="L1898" s="48">
        <v>9</v>
      </c>
      <c r="M1898" s="47">
        <v>-1</v>
      </c>
      <c r="N1898" s="47">
        <v>-1</v>
      </c>
      <c r="O1898" s="47">
        <v>-1</v>
      </c>
      <c r="P1898" s="47">
        <v>-1</v>
      </c>
      <c r="Q1898" s="47">
        <v>-1</v>
      </c>
      <c r="R1898" s="47">
        <v>-1</v>
      </c>
      <c r="S1898" s="48">
        <v>9</v>
      </c>
      <c r="T1898" s="47">
        <v>0</v>
      </c>
      <c r="U1898" s="47">
        <v>0</v>
      </c>
      <c r="V1898" s="47">
        <v>0</v>
      </c>
      <c r="W1898" s="47"/>
      <c r="X1898" s="47">
        <v>263</v>
      </c>
      <c r="Y1898" s="47"/>
      <c r="Z1898" s="47" t="s">
        <v>2524</v>
      </c>
      <c r="AA1898" s="49"/>
      <c r="AB1898" s="49"/>
      <c r="AC1898" s="49"/>
      <c r="AD1898" s="50"/>
      <c r="AE1898" s="47" t="s">
        <v>2754</v>
      </c>
      <c r="AF1898" s="47"/>
      <c r="AG1898"/>
      <c r="AH1898"/>
      <c r="AI1898"/>
      <c r="AJ1898"/>
      <c r="AK1898"/>
      <c r="AL1898"/>
      <c r="AM1898"/>
      <c r="AN1898"/>
      <c r="AO1898"/>
      <c r="AP1898"/>
      <c r="AQ1898" t="s">
        <v>2526</v>
      </c>
      <c r="AU1898">
        <v>1897</v>
      </c>
    </row>
    <row r="1899" spans="1:47" x14ac:dyDescent="0.2">
      <c r="A1899" s="133">
        <v>6454</v>
      </c>
      <c r="B1899" s="39" t="s">
        <v>45</v>
      </c>
      <c r="C1899" s="39">
        <v>100</v>
      </c>
      <c r="D1899" s="29" t="b">
        <v>0</v>
      </c>
      <c r="E1899" s="39" t="s">
        <v>3314</v>
      </c>
      <c r="F1899" s="47" t="s">
        <v>3136</v>
      </c>
      <c r="G1899" s="47" t="s">
        <v>49</v>
      </c>
      <c r="H1899"/>
      <c r="I1899" s="47" t="b">
        <v>0</v>
      </c>
      <c r="J1899" s="47" t="b">
        <v>0</v>
      </c>
      <c r="K1899" s="47">
        <v>100</v>
      </c>
      <c r="L1899" s="48">
        <v>9</v>
      </c>
      <c r="M1899" s="47">
        <v>-1</v>
      </c>
      <c r="N1899" s="47">
        <v>-1</v>
      </c>
      <c r="O1899" s="47">
        <v>-1</v>
      </c>
      <c r="P1899" s="47">
        <v>-1</v>
      </c>
      <c r="Q1899" s="47">
        <v>-1</v>
      </c>
      <c r="R1899" s="47">
        <v>-1</v>
      </c>
      <c r="S1899" s="48">
        <v>9</v>
      </c>
      <c r="T1899" s="47">
        <v>0</v>
      </c>
      <c r="U1899" s="47">
        <v>0</v>
      </c>
      <c r="V1899" s="47">
        <v>0</v>
      </c>
      <c r="W1899" s="47"/>
      <c r="X1899" s="47">
        <v>262</v>
      </c>
      <c r="Y1899" s="47"/>
      <c r="Z1899" s="47" t="s">
        <v>2524</v>
      </c>
      <c r="AA1899" s="49"/>
      <c r="AB1899" s="49"/>
      <c r="AC1899" s="49"/>
      <c r="AD1899" s="50"/>
      <c r="AE1899" s="47" t="s">
        <v>2754</v>
      </c>
      <c r="AF1899" s="47"/>
      <c r="AG1899"/>
      <c r="AH1899"/>
      <c r="AI1899"/>
      <c r="AJ1899"/>
      <c r="AK1899"/>
      <c r="AL1899"/>
      <c r="AM1899"/>
      <c r="AN1899"/>
      <c r="AO1899"/>
      <c r="AP1899"/>
      <c r="AQ1899" t="s">
        <v>2526</v>
      </c>
      <c r="AU1899">
        <v>1898</v>
      </c>
    </row>
    <row r="1900" spans="1:47" x14ac:dyDescent="0.2">
      <c r="A1900" s="133">
        <v>6454</v>
      </c>
      <c r="B1900" s="39" t="s">
        <v>45</v>
      </c>
      <c r="C1900" s="39">
        <v>100</v>
      </c>
      <c r="D1900" s="29" t="b">
        <v>0</v>
      </c>
      <c r="E1900" s="39" t="s">
        <v>3315</v>
      </c>
      <c r="F1900" s="47" t="s">
        <v>3136</v>
      </c>
      <c r="G1900" s="47" t="s">
        <v>49</v>
      </c>
      <c r="H1900"/>
      <c r="I1900" s="47" t="b">
        <v>0</v>
      </c>
      <c r="J1900" s="47" t="b">
        <v>0</v>
      </c>
      <c r="K1900" s="47">
        <v>50</v>
      </c>
      <c r="L1900" s="48">
        <v>9</v>
      </c>
      <c r="M1900" s="47">
        <v>-1</v>
      </c>
      <c r="N1900" s="47">
        <v>-1</v>
      </c>
      <c r="O1900" s="47">
        <v>-1</v>
      </c>
      <c r="P1900" s="47">
        <v>-1</v>
      </c>
      <c r="Q1900" s="47">
        <v>-1</v>
      </c>
      <c r="R1900" s="47">
        <v>-1</v>
      </c>
      <c r="S1900" s="48">
        <v>9</v>
      </c>
      <c r="T1900" s="47">
        <v>0</v>
      </c>
      <c r="U1900" s="47">
        <v>0</v>
      </c>
      <c r="V1900" s="47">
        <v>0</v>
      </c>
      <c r="W1900" s="47"/>
      <c r="X1900" s="47">
        <v>264</v>
      </c>
      <c r="Y1900" s="47"/>
      <c r="Z1900" s="47" t="s">
        <v>2524</v>
      </c>
      <c r="AA1900" s="49"/>
      <c r="AB1900" s="49"/>
      <c r="AC1900" s="49"/>
      <c r="AD1900" s="50"/>
      <c r="AE1900" s="47" t="s">
        <v>2754</v>
      </c>
      <c r="AF1900" s="47"/>
      <c r="AG1900"/>
      <c r="AH1900"/>
      <c r="AI1900"/>
      <c r="AJ1900"/>
      <c r="AK1900"/>
      <c r="AL1900"/>
      <c r="AM1900"/>
      <c r="AN1900"/>
      <c r="AO1900"/>
      <c r="AP1900"/>
      <c r="AQ1900" t="s">
        <v>2526</v>
      </c>
      <c r="AU1900">
        <v>1899</v>
      </c>
    </row>
    <row r="1901" spans="1:47" x14ac:dyDescent="0.2">
      <c r="A1901" s="133">
        <v>6455</v>
      </c>
      <c r="B1901" s="39" t="s">
        <v>45</v>
      </c>
      <c r="C1901" s="39">
        <v>100</v>
      </c>
      <c r="D1901" s="29" t="b">
        <v>0</v>
      </c>
      <c r="E1901" s="39" t="s">
        <v>3316</v>
      </c>
      <c r="F1901" s="47" t="s">
        <v>1969</v>
      </c>
      <c r="G1901" s="47" t="s">
        <v>205</v>
      </c>
      <c r="H1901"/>
      <c r="I1901" s="47" t="b">
        <v>1</v>
      </c>
      <c r="J1901" s="47" t="b">
        <v>1</v>
      </c>
      <c r="K1901" s="47">
        <v>6060</v>
      </c>
      <c r="L1901" s="48">
        <v>21</v>
      </c>
      <c r="M1901" s="47">
        <v>-1</v>
      </c>
      <c r="N1901" s="47">
        <v>-1</v>
      </c>
      <c r="O1901" s="47">
        <v>-1</v>
      </c>
      <c r="P1901" s="47">
        <v>-1</v>
      </c>
      <c r="Q1901" s="47">
        <v>-1</v>
      </c>
      <c r="R1901" s="47">
        <v>-1</v>
      </c>
      <c r="S1901" s="48">
        <v>21</v>
      </c>
      <c r="T1901" s="47">
        <v>0</v>
      </c>
      <c r="U1901" s="47">
        <v>0</v>
      </c>
      <c r="V1901" s="47">
        <v>0</v>
      </c>
      <c r="W1901" s="47"/>
      <c r="X1901" s="47">
        <v>267</v>
      </c>
      <c r="Y1901" s="47"/>
      <c r="Z1901" s="47" t="s">
        <v>2524</v>
      </c>
      <c r="AA1901" s="49"/>
      <c r="AB1901" s="49"/>
      <c r="AC1901" s="49"/>
      <c r="AD1901" s="50"/>
      <c r="AE1901" s="47" t="s">
        <v>2754</v>
      </c>
      <c r="AF1901" s="47"/>
      <c r="AG1901"/>
      <c r="AH1901"/>
      <c r="AI1901"/>
      <c r="AJ1901"/>
      <c r="AK1901"/>
      <c r="AL1901"/>
      <c r="AM1901"/>
      <c r="AN1901"/>
      <c r="AO1901"/>
      <c r="AP1901"/>
      <c r="AQ1901" t="s">
        <v>2526</v>
      </c>
      <c r="AU1901">
        <v>1900</v>
      </c>
    </row>
    <row r="1902" spans="1:47" x14ac:dyDescent="0.2">
      <c r="A1902" s="133">
        <v>6455</v>
      </c>
      <c r="B1902" s="39" t="s">
        <v>45</v>
      </c>
      <c r="C1902" s="39">
        <v>100</v>
      </c>
      <c r="D1902" s="29" t="b">
        <v>0</v>
      </c>
      <c r="E1902" s="39" t="s">
        <v>3014</v>
      </c>
      <c r="F1902" s="47" t="s">
        <v>529</v>
      </c>
      <c r="G1902" s="47" t="s">
        <v>205</v>
      </c>
      <c r="H1902"/>
      <c r="I1902" s="47" t="b">
        <v>0</v>
      </c>
      <c r="J1902" s="47" t="b">
        <v>0</v>
      </c>
      <c r="K1902" s="47">
        <v>3590</v>
      </c>
      <c r="L1902" s="48">
        <v>21</v>
      </c>
      <c r="M1902" s="47">
        <v>-1</v>
      </c>
      <c r="N1902" s="47">
        <v>-1</v>
      </c>
      <c r="O1902" s="47">
        <v>-1</v>
      </c>
      <c r="P1902" s="47">
        <v>-1</v>
      </c>
      <c r="Q1902" s="47">
        <v>-1</v>
      </c>
      <c r="R1902" s="47">
        <v>-1</v>
      </c>
      <c r="S1902" s="48">
        <v>21</v>
      </c>
      <c r="T1902" s="47">
        <v>0</v>
      </c>
      <c r="U1902" s="47">
        <v>0</v>
      </c>
      <c r="V1902" s="47">
        <v>0</v>
      </c>
      <c r="W1902" s="47"/>
      <c r="X1902" s="47">
        <v>273</v>
      </c>
      <c r="Y1902" s="47"/>
      <c r="Z1902" s="47" t="s">
        <v>2524</v>
      </c>
      <c r="AA1902" s="49"/>
      <c r="AB1902" s="49"/>
      <c r="AC1902" s="49"/>
      <c r="AD1902" s="50"/>
      <c r="AE1902" s="47" t="s">
        <v>2754</v>
      </c>
      <c r="AF1902" s="47"/>
      <c r="AG1902"/>
      <c r="AH1902"/>
      <c r="AI1902"/>
      <c r="AJ1902"/>
      <c r="AK1902"/>
      <c r="AL1902"/>
      <c r="AM1902"/>
      <c r="AN1902"/>
      <c r="AO1902"/>
      <c r="AP1902"/>
      <c r="AQ1902" t="s">
        <v>2526</v>
      </c>
      <c r="AU1902">
        <v>1901</v>
      </c>
    </row>
    <row r="1903" spans="1:47" x14ac:dyDescent="0.2">
      <c r="A1903" s="133">
        <v>6455</v>
      </c>
      <c r="B1903" s="39" t="s">
        <v>45</v>
      </c>
      <c r="C1903" s="39">
        <v>100</v>
      </c>
      <c r="D1903" s="29" t="b">
        <v>0</v>
      </c>
      <c r="E1903" s="39" t="s">
        <v>2927</v>
      </c>
      <c r="F1903" s="47" t="s">
        <v>529</v>
      </c>
      <c r="G1903" s="47" t="s">
        <v>205</v>
      </c>
      <c r="H1903"/>
      <c r="I1903" s="47" t="b">
        <v>0</v>
      </c>
      <c r="J1903" s="47" t="b">
        <v>0</v>
      </c>
      <c r="K1903" s="47">
        <v>1120</v>
      </c>
      <c r="L1903" s="48">
        <v>21</v>
      </c>
      <c r="M1903" s="47">
        <v>-1</v>
      </c>
      <c r="N1903" s="47">
        <v>-1</v>
      </c>
      <c r="O1903" s="47">
        <v>-1</v>
      </c>
      <c r="P1903" s="47">
        <v>-1</v>
      </c>
      <c r="Q1903" s="47">
        <v>-1</v>
      </c>
      <c r="R1903" s="47">
        <v>-1</v>
      </c>
      <c r="S1903" s="48">
        <v>21</v>
      </c>
      <c r="T1903" s="47">
        <v>0</v>
      </c>
      <c r="U1903" s="47">
        <v>0</v>
      </c>
      <c r="V1903" s="47">
        <v>0</v>
      </c>
      <c r="W1903" s="47"/>
      <c r="X1903" s="47">
        <v>268</v>
      </c>
      <c r="Y1903" s="47"/>
      <c r="Z1903" s="47" t="s">
        <v>2524</v>
      </c>
      <c r="AA1903" s="49"/>
      <c r="AB1903" s="49"/>
      <c r="AC1903" s="49"/>
      <c r="AD1903" s="50"/>
      <c r="AE1903" s="47" t="s">
        <v>2754</v>
      </c>
      <c r="AF1903" s="47"/>
      <c r="AG1903"/>
      <c r="AH1903"/>
      <c r="AI1903"/>
      <c r="AJ1903"/>
      <c r="AK1903"/>
      <c r="AL1903"/>
      <c r="AM1903"/>
      <c r="AN1903"/>
      <c r="AO1903"/>
      <c r="AP1903"/>
      <c r="AQ1903" t="s">
        <v>2526</v>
      </c>
      <c r="AU1903">
        <v>1902</v>
      </c>
    </row>
    <row r="1904" spans="1:47" x14ac:dyDescent="0.2">
      <c r="A1904" s="133">
        <v>6455</v>
      </c>
      <c r="B1904" s="39" t="s">
        <v>45</v>
      </c>
      <c r="C1904" s="39">
        <v>100</v>
      </c>
      <c r="D1904" s="29" t="b">
        <v>0</v>
      </c>
      <c r="E1904" s="39" t="s">
        <v>3242</v>
      </c>
      <c r="F1904" s="47" t="s">
        <v>529</v>
      </c>
      <c r="G1904" s="47" t="s">
        <v>205</v>
      </c>
      <c r="H1904"/>
      <c r="I1904" s="47" t="b">
        <v>0</v>
      </c>
      <c r="J1904" s="47" t="b">
        <v>0</v>
      </c>
      <c r="K1904" s="47">
        <v>510</v>
      </c>
      <c r="L1904" s="48">
        <v>21</v>
      </c>
      <c r="M1904" s="47">
        <v>-1</v>
      </c>
      <c r="N1904" s="47">
        <v>-1</v>
      </c>
      <c r="O1904" s="47">
        <v>-1</v>
      </c>
      <c r="P1904" s="47">
        <v>-1</v>
      </c>
      <c r="Q1904" s="47">
        <v>-1</v>
      </c>
      <c r="R1904" s="47">
        <v>-1</v>
      </c>
      <c r="S1904" s="48">
        <v>21</v>
      </c>
      <c r="T1904" s="47">
        <v>0</v>
      </c>
      <c r="U1904" s="47">
        <v>0</v>
      </c>
      <c r="V1904" s="47">
        <v>0</v>
      </c>
      <c r="W1904" s="47"/>
      <c r="X1904" s="47">
        <v>269</v>
      </c>
      <c r="Y1904" s="47"/>
      <c r="Z1904" s="47" t="s">
        <v>2524</v>
      </c>
      <c r="AA1904" s="49"/>
      <c r="AB1904" s="49"/>
      <c r="AC1904" s="49"/>
      <c r="AD1904" s="50"/>
      <c r="AE1904" s="47" t="s">
        <v>2754</v>
      </c>
      <c r="AF1904" s="47">
        <v>55</v>
      </c>
      <c r="AG1904"/>
      <c r="AH1904"/>
      <c r="AI1904"/>
      <c r="AJ1904"/>
      <c r="AK1904"/>
      <c r="AL1904"/>
      <c r="AM1904"/>
      <c r="AN1904"/>
      <c r="AO1904"/>
      <c r="AP1904"/>
      <c r="AQ1904" t="s">
        <v>2526</v>
      </c>
      <c r="AU1904">
        <v>1903</v>
      </c>
    </row>
    <row r="1905" spans="1:47" x14ac:dyDescent="0.2">
      <c r="A1905" s="133">
        <v>6455</v>
      </c>
      <c r="B1905" s="39" t="s">
        <v>45</v>
      </c>
      <c r="C1905" s="39">
        <v>100</v>
      </c>
      <c r="D1905" s="29" t="b">
        <v>0</v>
      </c>
      <c r="E1905" s="39" t="s">
        <v>3317</v>
      </c>
      <c r="F1905" s="47" t="s">
        <v>3318</v>
      </c>
      <c r="G1905" s="47" t="s">
        <v>73</v>
      </c>
      <c r="H1905"/>
      <c r="I1905" s="47" t="b">
        <v>0</v>
      </c>
      <c r="J1905" s="47" t="b">
        <v>0</v>
      </c>
      <c r="K1905" s="47">
        <v>280</v>
      </c>
      <c r="L1905" s="48">
        <v>21</v>
      </c>
      <c r="M1905" s="47">
        <v>-1</v>
      </c>
      <c r="N1905" s="47">
        <v>-1</v>
      </c>
      <c r="O1905" s="47">
        <v>-1</v>
      </c>
      <c r="P1905" s="47">
        <v>-1</v>
      </c>
      <c r="Q1905" s="47">
        <v>-1</v>
      </c>
      <c r="R1905" s="47">
        <v>-1</v>
      </c>
      <c r="S1905" s="48">
        <v>21</v>
      </c>
      <c r="T1905" s="47">
        <v>0</v>
      </c>
      <c r="U1905" s="47">
        <v>0</v>
      </c>
      <c r="V1905" s="47">
        <v>0</v>
      </c>
      <c r="W1905" s="47"/>
      <c r="X1905" s="47">
        <v>270</v>
      </c>
      <c r="Y1905" s="47"/>
      <c r="Z1905" s="47" t="s">
        <v>2524</v>
      </c>
      <c r="AA1905" s="49"/>
      <c r="AB1905" s="49"/>
      <c r="AC1905" s="49"/>
      <c r="AD1905" s="50"/>
      <c r="AE1905" s="47" t="s">
        <v>2754</v>
      </c>
      <c r="AF1905" s="47">
        <v>50</v>
      </c>
      <c r="AG1905"/>
      <c r="AH1905"/>
      <c r="AI1905"/>
      <c r="AJ1905"/>
      <c r="AK1905"/>
      <c r="AL1905"/>
      <c r="AM1905"/>
      <c r="AN1905"/>
      <c r="AO1905"/>
      <c r="AP1905"/>
      <c r="AQ1905" t="s">
        <v>2526</v>
      </c>
      <c r="AU1905">
        <v>1904</v>
      </c>
    </row>
    <row r="1906" spans="1:47" x14ac:dyDescent="0.2">
      <c r="A1906" s="133">
        <v>6455</v>
      </c>
      <c r="B1906" s="39" t="s">
        <v>45</v>
      </c>
      <c r="C1906" s="39">
        <v>100</v>
      </c>
      <c r="D1906" s="29" t="b">
        <v>0</v>
      </c>
      <c r="E1906" s="39" t="s">
        <v>3103</v>
      </c>
      <c r="F1906" s="47" t="s">
        <v>529</v>
      </c>
      <c r="G1906" s="47" t="s">
        <v>205</v>
      </c>
      <c r="H1906"/>
      <c r="I1906" s="47" t="b">
        <v>0</v>
      </c>
      <c r="J1906" s="47" t="b">
        <v>0</v>
      </c>
      <c r="K1906" s="47">
        <v>280</v>
      </c>
      <c r="L1906" s="48">
        <v>21</v>
      </c>
      <c r="M1906" s="47">
        <v>-1</v>
      </c>
      <c r="N1906" s="47">
        <v>-1</v>
      </c>
      <c r="O1906" s="47">
        <v>-1</v>
      </c>
      <c r="P1906" s="47">
        <v>-1</v>
      </c>
      <c r="Q1906" s="47">
        <v>-1</v>
      </c>
      <c r="R1906" s="47">
        <v>-1</v>
      </c>
      <c r="S1906" s="48">
        <v>21</v>
      </c>
      <c r="T1906" s="47">
        <v>0</v>
      </c>
      <c r="U1906" s="47">
        <v>0</v>
      </c>
      <c r="V1906" s="47">
        <v>0</v>
      </c>
      <c r="W1906" s="47"/>
      <c r="X1906" s="47">
        <v>271</v>
      </c>
      <c r="Y1906" s="47"/>
      <c r="Z1906" s="47" t="s">
        <v>2524</v>
      </c>
      <c r="AA1906" s="49"/>
      <c r="AB1906" s="49"/>
      <c r="AC1906" s="49"/>
      <c r="AD1906" s="50"/>
      <c r="AE1906" s="47" t="s">
        <v>2754</v>
      </c>
      <c r="AF1906" s="47">
        <v>55</v>
      </c>
      <c r="AG1906"/>
      <c r="AH1906"/>
      <c r="AI1906"/>
      <c r="AJ1906"/>
      <c r="AK1906"/>
      <c r="AL1906"/>
      <c r="AM1906"/>
      <c r="AN1906"/>
      <c r="AO1906"/>
      <c r="AP1906"/>
      <c r="AQ1906" t="s">
        <v>2526</v>
      </c>
      <c r="AU1906">
        <v>1905</v>
      </c>
    </row>
    <row r="1907" spans="1:47" x14ac:dyDescent="0.2">
      <c r="A1907" s="133">
        <v>6455</v>
      </c>
      <c r="B1907" s="39" t="s">
        <v>45</v>
      </c>
      <c r="C1907" s="39">
        <v>100</v>
      </c>
      <c r="D1907" s="29" t="b">
        <v>0</v>
      </c>
      <c r="E1907" s="39" t="s">
        <v>2932</v>
      </c>
      <c r="F1907" s="47" t="s">
        <v>529</v>
      </c>
      <c r="G1907" s="47" t="s">
        <v>205</v>
      </c>
      <c r="H1907"/>
      <c r="I1907" s="47" t="b">
        <v>0</v>
      </c>
      <c r="J1907" s="47" t="b">
        <v>0</v>
      </c>
      <c r="K1907" s="47">
        <v>280</v>
      </c>
      <c r="L1907" s="48">
        <v>21</v>
      </c>
      <c r="M1907" s="47">
        <v>-1</v>
      </c>
      <c r="N1907" s="47">
        <v>-1</v>
      </c>
      <c r="O1907" s="47">
        <v>-1</v>
      </c>
      <c r="P1907" s="47">
        <v>-1</v>
      </c>
      <c r="Q1907" s="47">
        <v>-1</v>
      </c>
      <c r="R1907" s="47">
        <v>-1</v>
      </c>
      <c r="S1907" s="48">
        <v>21</v>
      </c>
      <c r="T1907" s="47">
        <v>0</v>
      </c>
      <c r="U1907" s="47">
        <v>0</v>
      </c>
      <c r="V1907" s="47">
        <v>0</v>
      </c>
      <c r="W1907" s="47"/>
      <c r="X1907" s="47">
        <v>272</v>
      </c>
      <c r="Y1907" s="47"/>
      <c r="Z1907" s="47" t="s">
        <v>2524</v>
      </c>
      <c r="AA1907" s="49"/>
      <c r="AB1907" s="49"/>
      <c r="AC1907" s="49"/>
      <c r="AD1907" s="50"/>
      <c r="AE1907" s="47" t="s">
        <v>2754</v>
      </c>
      <c r="AF1907" s="47">
        <v>55</v>
      </c>
      <c r="AG1907"/>
      <c r="AH1907"/>
      <c r="AI1907"/>
      <c r="AJ1907"/>
      <c r="AK1907"/>
      <c r="AL1907"/>
      <c r="AM1907"/>
      <c r="AN1907"/>
      <c r="AO1907"/>
      <c r="AP1907"/>
      <c r="AQ1907" t="s">
        <v>2526</v>
      </c>
      <c r="AU1907">
        <v>1906</v>
      </c>
    </row>
    <row r="1908" spans="1:47" x14ac:dyDescent="0.2">
      <c r="A1908" s="133">
        <v>6456</v>
      </c>
      <c r="B1908" s="39" t="s">
        <v>85</v>
      </c>
      <c r="C1908" s="39" t="s">
        <v>142</v>
      </c>
      <c r="D1908" s="29"/>
      <c r="E1908" s="39" t="s">
        <v>788</v>
      </c>
      <c r="F1908" s="47" t="s">
        <v>150</v>
      </c>
      <c r="G1908" s="47" t="s">
        <v>49</v>
      </c>
      <c r="H1908"/>
      <c r="I1908" s="47" t="s">
        <v>3319</v>
      </c>
      <c r="J1908" s="47"/>
      <c r="K1908" s="47">
        <f>20*10*2.2</f>
        <v>440.00000000000006</v>
      </c>
      <c r="L1908" s="48">
        <v>5</v>
      </c>
      <c r="M1908" s="47"/>
      <c r="N1908" s="47"/>
      <c r="O1908" s="47"/>
      <c r="P1908" s="47"/>
      <c r="Q1908" s="47"/>
      <c r="R1908" s="47"/>
      <c r="S1908" s="48">
        <v>5</v>
      </c>
      <c r="T1908" s="47">
        <v>0</v>
      </c>
      <c r="U1908" s="47">
        <v>0</v>
      </c>
      <c r="V1908" s="47">
        <v>0</v>
      </c>
      <c r="W1908" s="47"/>
      <c r="X1908" s="47"/>
      <c r="Y1908" s="47" t="s">
        <v>51</v>
      </c>
      <c r="Z1908" s="31" t="s">
        <v>1809</v>
      </c>
      <c r="AA1908" s="49"/>
      <c r="AB1908" s="49"/>
      <c r="AC1908" s="49"/>
      <c r="AD1908" s="50"/>
      <c r="AE1908" s="47" t="s">
        <v>3198</v>
      </c>
      <c r="AF1908" s="47">
        <v>65</v>
      </c>
      <c r="AG1908"/>
      <c r="AH1908"/>
      <c r="AI1908"/>
      <c r="AJ1908"/>
      <c r="AK1908">
        <v>20</v>
      </c>
      <c r="AL1908"/>
      <c r="AM1908"/>
      <c r="AN1908"/>
      <c r="AO1908"/>
      <c r="AP1908"/>
      <c r="AQ1908" s="32" t="s">
        <v>3320</v>
      </c>
      <c r="AU1908">
        <v>1907</v>
      </c>
    </row>
    <row r="1909" spans="1:47" x14ac:dyDescent="0.2">
      <c r="A1909" s="133">
        <v>6456</v>
      </c>
      <c r="B1909" s="39" t="s">
        <v>45</v>
      </c>
      <c r="C1909" s="39">
        <v>100</v>
      </c>
      <c r="D1909" s="29" t="b">
        <v>0</v>
      </c>
      <c r="E1909" s="39" t="s">
        <v>3321</v>
      </c>
      <c r="F1909" s="47" t="s">
        <v>3322</v>
      </c>
      <c r="G1909" s="47" t="s">
        <v>205</v>
      </c>
      <c r="H1909"/>
      <c r="I1909" s="47" t="b">
        <v>1</v>
      </c>
      <c r="J1909" s="47" t="b">
        <v>1</v>
      </c>
      <c r="K1909" s="47">
        <v>3880</v>
      </c>
      <c r="L1909" s="48">
        <v>11</v>
      </c>
      <c r="M1909" s="47">
        <v>-1</v>
      </c>
      <c r="N1909" s="47">
        <v>-1</v>
      </c>
      <c r="O1909" s="47">
        <v>-1</v>
      </c>
      <c r="P1909" s="47">
        <v>-1</v>
      </c>
      <c r="Q1909" s="47">
        <v>-1</v>
      </c>
      <c r="R1909" s="47">
        <v>-1</v>
      </c>
      <c r="S1909" s="48">
        <v>11</v>
      </c>
      <c r="T1909" s="47">
        <v>0</v>
      </c>
      <c r="U1909" s="47">
        <v>0</v>
      </c>
      <c r="V1909" s="47">
        <v>0</v>
      </c>
      <c r="W1909" s="47"/>
      <c r="X1909" s="47">
        <v>276</v>
      </c>
      <c r="Y1909" s="47"/>
      <c r="Z1909" s="47" t="s">
        <v>2524</v>
      </c>
      <c r="AA1909" s="49"/>
      <c r="AB1909" s="49"/>
      <c r="AC1909" s="49"/>
      <c r="AD1909" s="50"/>
      <c r="AE1909" s="47" t="s">
        <v>2754</v>
      </c>
      <c r="AF1909" s="47"/>
      <c r="AG1909"/>
      <c r="AH1909"/>
      <c r="AI1909"/>
      <c r="AJ1909"/>
      <c r="AK1909"/>
      <c r="AL1909"/>
      <c r="AM1909"/>
      <c r="AN1909"/>
      <c r="AO1909"/>
      <c r="AP1909"/>
      <c r="AQ1909" t="s">
        <v>2526</v>
      </c>
      <c r="AU1909">
        <v>1908</v>
      </c>
    </row>
    <row r="1910" spans="1:47" x14ac:dyDescent="0.2">
      <c r="A1910" s="133">
        <v>6456</v>
      </c>
      <c r="B1910" s="39" t="s">
        <v>45</v>
      </c>
      <c r="C1910" s="39">
        <v>100</v>
      </c>
      <c r="D1910" s="29" t="b">
        <v>0</v>
      </c>
      <c r="E1910" s="39" t="s">
        <v>3301</v>
      </c>
      <c r="F1910" s="47" t="s">
        <v>529</v>
      </c>
      <c r="G1910" s="47" t="s">
        <v>205</v>
      </c>
      <c r="H1910"/>
      <c r="I1910" s="47" t="b">
        <v>0</v>
      </c>
      <c r="J1910" s="47" t="b">
        <v>0</v>
      </c>
      <c r="K1910" s="47">
        <v>705</v>
      </c>
      <c r="L1910" s="48">
        <v>11</v>
      </c>
      <c r="M1910" s="47">
        <v>-1</v>
      </c>
      <c r="N1910" s="47">
        <v>-1</v>
      </c>
      <c r="O1910" s="47">
        <v>-1</v>
      </c>
      <c r="P1910" s="47">
        <v>-1</v>
      </c>
      <c r="Q1910" s="47">
        <v>-1</v>
      </c>
      <c r="R1910" s="47">
        <v>-1</v>
      </c>
      <c r="S1910" s="48">
        <v>11</v>
      </c>
      <c r="T1910" s="47">
        <v>0</v>
      </c>
      <c r="U1910" s="47">
        <v>0</v>
      </c>
      <c r="V1910" s="47">
        <v>0</v>
      </c>
      <c r="W1910" s="47"/>
      <c r="X1910" s="47">
        <v>274</v>
      </c>
      <c r="Y1910" s="47"/>
      <c r="Z1910" s="47" t="s">
        <v>2524</v>
      </c>
      <c r="AA1910" s="49"/>
      <c r="AB1910" s="49"/>
      <c r="AC1910" s="49"/>
      <c r="AD1910" s="50"/>
      <c r="AE1910" s="47" t="s">
        <v>2754</v>
      </c>
      <c r="AF1910" s="47"/>
      <c r="AG1910"/>
      <c r="AH1910"/>
      <c r="AI1910"/>
      <c r="AJ1910"/>
      <c r="AK1910"/>
      <c r="AL1910"/>
      <c r="AM1910"/>
      <c r="AN1910"/>
      <c r="AO1910"/>
      <c r="AP1910"/>
      <c r="AQ1910" t="s">
        <v>2526</v>
      </c>
      <c r="AU1910">
        <v>1909</v>
      </c>
    </row>
    <row r="1911" spans="1:47" x14ac:dyDescent="0.2">
      <c r="A1911" s="133">
        <v>6456</v>
      </c>
      <c r="B1911" s="39" t="s">
        <v>45</v>
      </c>
      <c r="C1911" s="39">
        <v>100</v>
      </c>
      <c r="D1911" s="29" t="b">
        <v>0</v>
      </c>
      <c r="E1911" s="39" t="s">
        <v>3323</v>
      </c>
      <c r="F1911" s="47" t="s">
        <v>529</v>
      </c>
      <c r="G1911" s="47" t="s">
        <v>205</v>
      </c>
      <c r="H1911"/>
      <c r="I1911" s="47" t="b">
        <v>0</v>
      </c>
      <c r="J1911" s="47" t="b">
        <v>0</v>
      </c>
      <c r="K1911" s="47">
        <v>355</v>
      </c>
      <c r="L1911" s="48">
        <v>11</v>
      </c>
      <c r="M1911" s="47">
        <v>-1</v>
      </c>
      <c r="N1911" s="47">
        <v>-1</v>
      </c>
      <c r="O1911" s="47">
        <v>-1</v>
      </c>
      <c r="P1911" s="47">
        <v>-1</v>
      </c>
      <c r="Q1911" s="47">
        <v>-1</v>
      </c>
      <c r="R1911" s="47">
        <v>-1</v>
      </c>
      <c r="S1911" s="48">
        <v>11</v>
      </c>
      <c r="T1911" s="47">
        <v>0</v>
      </c>
      <c r="U1911" s="47">
        <v>0</v>
      </c>
      <c r="V1911" s="47">
        <v>0</v>
      </c>
      <c r="W1911" s="47"/>
      <c r="X1911" s="47">
        <v>275</v>
      </c>
      <c r="Y1911" s="47"/>
      <c r="Z1911" s="47" t="s">
        <v>2524</v>
      </c>
      <c r="AA1911" s="49"/>
      <c r="AB1911" s="49"/>
      <c r="AC1911" s="49"/>
      <c r="AD1911" s="50"/>
      <c r="AE1911" s="47" t="s">
        <v>2754</v>
      </c>
      <c r="AF1911" s="47"/>
      <c r="AG1911"/>
      <c r="AH1911"/>
      <c r="AI1911"/>
      <c r="AJ1911"/>
      <c r="AK1911"/>
      <c r="AL1911"/>
      <c r="AM1911"/>
      <c r="AN1911"/>
      <c r="AO1911"/>
      <c r="AP1911"/>
      <c r="AQ1911" t="s">
        <v>2526</v>
      </c>
      <c r="AU1911">
        <v>1910</v>
      </c>
    </row>
    <row r="1912" spans="1:47" x14ac:dyDescent="0.2">
      <c r="A1912" s="133">
        <v>6456</v>
      </c>
      <c r="B1912" s="39" t="s">
        <v>45</v>
      </c>
      <c r="C1912" s="39">
        <v>100</v>
      </c>
      <c r="D1912" s="29" t="b">
        <v>0</v>
      </c>
      <c r="E1912" s="39" t="s">
        <v>3324</v>
      </c>
      <c r="F1912" s="47" t="s">
        <v>2634</v>
      </c>
      <c r="G1912" s="47" t="s">
        <v>73</v>
      </c>
      <c r="H1912"/>
      <c r="I1912" s="47" t="b">
        <v>0</v>
      </c>
      <c r="J1912" s="47" t="b">
        <v>0</v>
      </c>
      <c r="K1912" s="47">
        <v>355</v>
      </c>
      <c r="L1912" s="48">
        <v>11</v>
      </c>
      <c r="M1912" s="47">
        <v>-1</v>
      </c>
      <c r="N1912" s="47">
        <v>-1</v>
      </c>
      <c r="O1912" s="47">
        <v>-1</v>
      </c>
      <c r="P1912" s="47">
        <v>-1</v>
      </c>
      <c r="Q1912" s="47">
        <v>-1</v>
      </c>
      <c r="R1912" s="47">
        <v>-1</v>
      </c>
      <c r="S1912" s="48">
        <v>11</v>
      </c>
      <c r="T1912" s="47">
        <v>0</v>
      </c>
      <c r="U1912" s="47">
        <v>0</v>
      </c>
      <c r="V1912" s="47">
        <v>0</v>
      </c>
      <c r="W1912" s="47"/>
      <c r="X1912" s="47">
        <v>279</v>
      </c>
      <c r="Y1912" s="47"/>
      <c r="Z1912" s="47" t="s">
        <v>2524</v>
      </c>
      <c r="AA1912" s="49"/>
      <c r="AB1912" s="49"/>
      <c r="AC1912" s="49"/>
      <c r="AD1912" s="50"/>
      <c r="AE1912" s="47" t="s">
        <v>2754</v>
      </c>
      <c r="AF1912" s="47">
        <v>50</v>
      </c>
      <c r="AG1912"/>
      <c r="AH1912"/>
      <c r="AI1912"/>
      <c r="AJ1912"/>
      <c r="AK1912"/>
      <c r="AL1912"/>
      <c r="AM1912"/>
      <c r="AN1912"/>
      <c r="AO1912"/>
      <c r="AP1912"/>
      <c r="AQ1912" t="s">
        <v>2526</v>
      </c>
      <c r="AU1912">
        <v>1911</v>
      </c>
    </row>
    <row r="1913" spans="1:47" x14ac:dyDescent="0.2">
      <c r="A1913" s="133">
        <v>6456</v>
      </c>
      <c r="B1913" s="39" t="s">
        <v>45</v>
      </c>
      <c r="C1913" s="39">
        <v>100</v>
      </c>
      <c r="D1913" s="29" t="b">
        <v>0</v>
      </c>
      <c r="E1913" s="39" t="s">
        <v>3242</v>
      </c>
      <c r="F1913" s="47" t="s">
        <v>529</v>
      </c>
      <c r="G1913" s="47" t="s">
        <v>205</v>
      </c>
      <c r="H1913"/>
      <c r="I1913" s="47" t="b">
        <v>0</v>
      </c>
      <c r="J1913" s="47" t="b">
        <v>0</v>
      </c>
      <c r="K1913" s="47">
        <v>280</v>
      </c>
      <c r="L1913" s="48">
        <v>11</v>
      </c>
      <c r="M1913" s="47">
        <v>-1</v>
      </c>
      <c r="N1913" s="47">
        <v>-1</v>
      </c>
      <c r="O1913" s="47">
        <v>-1</v>
      </c>
      <c r="P1913" s="47">
        <v>-1</v>
      </c>
      <c r="Q1913" s="47">
        <v>-1</v>
      </c>
      <c r="R1913" s="47">
        <v>-1</v>
      </c>
      <c r="S1913" s="48">
        <v>11</v>
      </c>
      <c r="T1913" s="47">
        <v>0</v>
      </c>
      <c r="U1913" s="47">
        <v>0</v>
      </c>
      <c r="V1913" s="47">
        <v>0</v>
      </c>
      <c r="W1913" s="47"/>
      <c r="X1913" s="47">
        <v>278</v>
      </c>
      <c r="Y1913" s="47"/>
      <c r="Z1913" s="47" t="s">
        <v>2524</v>
      </c>
      <c r="AA1913" s="49"/>
      <c r="AB1913" s="49"/>
      <c r="AC1913" s="49"/>
      <c r="AD1913" s="50"/>
      <c r="AE1913" s="47" t="s">
        <v>2754</v>
      </c>
      <c r="AF1913" s="47">
        <v>55</v>
      </c>
      <c r="AG1913"/>
      <c r="AH1913"/>
      <c r="AI1913"/>
      <c r="AJ1913"/>
      <c r="AK1913"/>
      <c r="AL1913"/>
      <c r="AM1913"/>
      <c r="AN1913"/>
      <c r="AO1913"/>
      <c r="AP1913"/>
      <c r="AQ1913" t="s">
        <v>2526</v>
      </c>
      <c r="AU1913">
        <v>1912</v>
      </c>
    </row>
    <row r="1914" spans="1:47" x14ac:dyDescent="0.2">
      <c r="A1914" s="133">
        <v>6456</v>
      </c>
      <c r="B1914" s="39" t="s">
        <v>45</v>
      </c>
      <c r="C1914" s="39">
        <v>100</v>
      </c>
      <c r="D1914" s="29" t="b">
        <v>0</v>
      </c>
      <c r="E1914" s="39" t="s">
        <v>3325</v>
      </c>
      <c r="F1914" s="47" t="s">
        <v>3326</v>
      </c>
      <c r="G1914" s="47" t="s">
        <v>49</v>
      </c>
      <c r="H1914"/>
      <c r="I1914" s="47" t="b">
        <v>0</v>
      </c>
      <c r="J1914" s="47" t="b">
        <v>0</v>
      </c>
      <c r="K1914" s="47">
        <v>75</v>
      </c>
      <c r="L1914" s="48">
        <v>11</v>
      </c>
      <c r="M1914" s="47">
        <v>-1</v>
      </c>
      <c r="N1914" s="47">
        <v>-1</v>
      </c>
      <c r="O1914" s="47">
        <v>-1</v>
      </c>
      <c r="P1914" s="47">
        <v>-1</v>
      </c>
      <c r="Q1914" s="47">
        <v>-1</v>
      </c>
      <c r="R1914" s="47">
        <v>-1</v>
      </c>
      <c r="S1914" s="48">
        <v>11</v>
      </c>
      <c r="T1914" s="47">
        <v>0</v>
      </c>
      <c r="U1914" s="47">
        <v>0</v>
      </c>
      <c r="V1914" s="47">
        <v>0</v>
      </c>
      <c r="W1914" s="47">
        <v>700</v>
      </c>
      <c r="X1914" s="47">
        <v>277</v>
      </c>
      <c r="Y1914" s="47"/>
      <c r="Z1914" s="47" t="s">
        <v>2524</v>
      </c>
      <c r="AA1914" s="49"/>
      <c r="AB1914" s="49"/>
      <c r="AC1914" s="49"/>
      <c r="AD1914" s="50"/>
      <c r="AE1914" s="47" t="s">
        <v>2754</v>
      </c>
      <c r="AF1914" s="47">
        <v>55</v>
      </c>
      <c r="AG1914"/>
      <c r="AH1914"/>
      <c r="AI1914"/>
      <c r="AJ1914"/>
      <c r="AK1914"/>
      <c r="AL1914"/>
      <c r="AM1914"/>
      <c r="AN1914"/>
      <c r="AO1914"/>
      <c r="AP1914"/>
      <c r="AQ1914" t="s">
        <v>2526</v>
      </c>
      <c r="AU1914">
        <v>1913</v>
      </c>
    </row>
    <row r="1915" spans="1:47" x14ac:dyDescent="0.2">
      <c r="A1915" s="133">
        <v>6456</v>
      </c>
      <c r="B1915" s="39" t="s">
        <v>45</v>
      </c>
      <c r="C1915" s="39" t="s">
        <v>142</v>
      </c>
      <c r="D1915" s="29"/>
      <c r="E1915" s="39" t="s">
        <v>3327</v>
      </c>
      <c r="F1915" s="47" t="s">
        <v>3328</v>
      </c>
      <c r="G1915" s="47" t="s">
        <v>73</v>
      </c>
      <c r="H1915"/>
      <c r="I1915" s="47" t="s">
        <v>3329</v>
      </c>
      <c r="J1915" s="47"/>
      <c r="K1915" s="47">
        <f>(237*10+23*25)*2.2</f>
        <v>6479.0000000000009</v>
      </c>
      <c r="L1915" s="48">
        <v>22</v>
      </c>
      <c r="M1915" s="47"/>
      <c r="N1915" s="47"/>
      <c r="O1915" s="47"/>
      <c r="P1915" s="47"/>
      <c r="Q1915" s="47"/>
      <c r="R1915" s="47"/>
      <c r="S1915" s="48">
        <v>22</v>
      </c>
      <c r="T1915" s="47">
        <v>0</v>
      </c>
      <c r="U1915" s="47">
        <v>0</v>
      </c>
      <c r="V1915" s="47">
        <v>0</v>
      </c>
      <c r="W1915" s="47"/>
      <c r="X1915" s="47"/>
      <c r="Y1915" s="47" t="s">
        <v>51</v>
      </c>
      <c r="Z1915" s="47" t="s">
        <v>2865</v>
      </c>
      <c r="AA1915" s="49"/>
      <c r="AB1915" s="49"/>
      <c r="AC1915" s="49"/>
      <c r="AD1915" s="50"/>
      <c r="AE1915" s="47" t="s">
        <v>3198</v>
      </c>
      <c r="AF1915" s="47">
        <v>45</v>
      </c>
      <c r="AG1915"/>
      <c r="AH1915"/>
      <c r="AI1915"/>
      <c r="AJ1915"/>
      <c r="AK1915">
        <f>237+23</f>
        <v>260</v>
      </c>
      <c r="AL1915"/>
      <c r="AM1915"/>
      <c r="AN1915"/>
      <c r="AO1915"/>
      <c r="AP1915"/>
      <c r="AQ1915" s="32" t="s">
        <v>3320</v>
      </c>
      <c r="AU1915">
        <v>1914</v>
      </c>
    </row>
    <row r="1916" spans="1:47" x14ac:dyDescent="0.2">
      <c r="A1916" s="133">
        <v>6456</v>
      </c>
      <c r="B1916" s="39" t="s">
        <v>45</v>
      </c>
      <c r="C1916" s="38" t="s">
        <v>3330</v>
      </c>
      <c r="D1916" s="29"/>
      <c r="E1916" s="39" t="s">
        <v>1764</v>
      </c>
      <c r="F1916" s="47" t="s">
        <v>220</v>
      </c>
      <c r="G1916" s="47" t="s">
        <v>49</v>
      </c>
      <c r="H1916"/>
      <c r="I1916" s="47" t="s">
        <v>3331</v>
      </c>
      <c r="J1916" s="47"/>
      <c r="K1916" s="47">
        <f>(2*6*50+30*10)*2.2</f>
        <v>1980.0000000000002</v>
      </c>
      <c r="L1916" s="48">
        <v>3</v>
      </c>
      <c r="M1916" s="47"/>
      <c r="N1916" s="47"/>
      <c r="O1916" s="47"/>
      <c r="P1916" s="47"/>
      <c r="Q1916" s="47"/>
      <c r="R1916" s="47"/>
      <c r="S1916" s="48">
        <v>3</v>
      </c>
      <c r="T1916" s="47">
        <v>0</v>
      </c>
      <c r="U1916" s="47">
        <v>0</v>
      </c>
      <c r="V1916" s="47">
        <v>0</v>
      </c>
      <c r="W1916" s="47">
        <f>((2600+2200+2300)/3)*39.37/12</f>
        <v>7764.6388888888878</v>
      </c>
      <c r="Y1916" s="31" t="s">
        <v>51</v>
      </c>
      <c r="Z1916" s="47" t="s">
        <v>1846</v>
      </c>
      <c r="AA1916" s="49"/>
      <c r="AB1916" s="49"/>
      <c r="AC1916" s="49"/>
      <c r="AD1916" s="50">
        <f>2+25/60</f>
        <v>2.4166666666666665</v>
      </c>
      <c r="AE1916" s="47" t="s">
        <v>342</v>
      </c>
      <c r="AF1916" s="47">
        <v>70</v>
      </c>
      <c r="AG1916"/>
      <c r="AH1916"/>
      <c r="AI1916"/>
      <c r="AJ1916"/>
      <c r="AK1916">
        <f>6+6+30</f>
        <v>42</v>
      </c>
      <c r="AL1916"/>
      <c r="AM1916"/>
      <c r="AN1916"/>
      <c r="AO1916"/>
      <c r="AP1916"/>
      <c r="AQ1916" t="s">
        <v>3332</v>
      </c>
      <c r="AU1916">
        <v>1915</v>
      </c>
    </row>
    <row r="1917" spans="1:47" x14ac:dyDescent="0.2">
      <c r="A1917" s="133">
        <v>6456</v>
      </c>
      <c r="B1917" s="39" t="s">
        <v>45</v>
      </c>
      <c r="C1917" s="38" t="s">
        <v>3330</v>
      </c>
      <c r="D1917" s="29"/>
      <c r="E1917" s="39" t="s">
        <v>649</v>
      </c>
      <c r="F1917" s="47" t="s">
        <v>204</v>
      </c>
      <c r="G1917" s="47" t="s">
        <v>205</v>
      </c>
      <c r="H1917"/>
      <c r="I1917" s="47" t="s">
        <v>3333</v>
      </c>
      <c r="J1917" s="47"/>
      <c r="K1917" s="47">
        <f>2*6*50*2.2</f>
        <v>1320</v>
      </c>
      <c r="L1917" s="48">
        <v>2</v>
      </c>
      <c r="M1917" s="47"/>
      <c r="N1917" s="47"/>
      <c r="O1917" s="47"/>
      <c r="P1917" s="47"/>
      <c r="Q1917" s="47"/>
      <c r="R1917" s="47"/>
      <c r="S1917" s="48">
        <v>2</v>
      </c>
      <c r="T1917" s="47">
        <v>0</v>
      </c>
      <c r="U1917" s="47">
        <v>0</v>
      </c>
      <c r="V1917" s="47">
        <v>0</v>
      </c>
      <c r="W1917" s="47">
        <f>((2400+2400)/2)*39.37/12</f>
        <v>7874</v>
      </c>
      <c r="Y1917" s="31" t="s">
        <v>51</v>
      </c>
      <c r="Z1917" s="47" t="s">
        <v>1846</v>
      </c>
      <c r="AA1917" s="49"/>
      <c r="AB1917" s="49"/>
      <c r="AC1917" s="49"/>
      <c r="AD1917" s="50">
        <f>1+25/60</f>
        <v>1.4166666666666667</v>
      </c>
      <c r="AE1917" s="47" t="s">
        <v>342</v>
      </c>
      <c r="AF1917" s="47">
        <v>40</v>
      </c>
      <c r="AG1917"/>
      <c r="AH1917"/>
      <c r="AI1917"/>
      <c r="AJ1917"/>
      <c r="AK1917">
        <f>6+6</f>
        <v>12</v>
      </c>
      <c r="AL1917"/>
      <c r="AM1917"/>
      <c r="AN1917"/>
      <c r="AO1917"/>
      <c r="AP1917"/>
      <c r="AQ1917" t="s">
        <v>3332</v>
      </c>
      <c r="AU1917">
        <v>1916</v>
      </c>
    </row>
    <row r="1918" spans="1:47" x14ac:dyDescent="0.2">
      <c r="A1918" s="26">
        <v>6456</v>
      </c>
      <c r="B1918" s="27">
        <v>0.4236111111111111</v>
      </c>
      <c r="C1918" s="28"/>
      <c r="D1918" s="29"/>
      <c r="E1918" s="30" t="s">
        <v>464</v>
      </c>
      <c r="H1918" s="32">
        <v>1</v>
      </c>
      <c r="I1918" s="32" t="s">
        <v>3334</v>
      </c>
      <c r="AG1918" s="32">
        <v>0</v>
      </c>
      <c r="AH1918" s="32">
        <v>0</v>
      </c>
      <c r="AI1918" s="32">
        <v>0</v>
      </c>
      <c r="AL1918" s="32">
        <f>275/60</f>
        <v>4.583333333333333</v>
      </c>
      <c r="AO1918" s="32" t="s">
        <v>1898</v>
      </c>
      <c r="AP1918" s="32">
        <f>275/60</f>
        <v>4.583333333333333</v>
      </c>
      <c r="AQ1918" s="32" t="s">
        <v>1522</v>
      </c>
      <c r="AU1918">
        <v>1917</v>
      </c>
    </row>
    <row r="1919" spans="1:47" x14ac:dyDescent="0.2">
      <c r="A1919" s="26">
        <v>6456</v>
      </c>
      <c r="B1919" s="27">
        <v>0.93055555555555547</v>
      </c>
      <c r="C1919" s="28"/>
      <c r="D1919" s="29"/>
      <c r="E1919" s="30" t="s">
        <v>1282</v>
      </c>
      <c r="H1919" s="32">
        <v>0</v>
      </c>
      <c r="I1919" s="32" t="s">
        <v>3335</v>
      </c>
      <c r="AG1919" s="32">
        <v>0</v>
      </c>
      <c r="AH1919" s="32">
        <v>0</v>
      </c>
      <c r="AI1919" s="32">
        <v>0</v>
      </c>
      <c r="AK1919" s="32">
        <v>0</v>
      </c>
      <c r="AL1919" s="32">
        <v>1</v>
      </c>
      <c r="AP1919" s="32">
        <v>2</v>
      </c>
      <c r="AQ1919" s="32" t="s">
        <v>1101</v>
      </c>
      <c r="AU1919">
        <v>1918</v>
      </c>
    </row>
    <row r="1920" spans="1:47" x14ac:dyDescent="0.2">
      <c r="A1920" s="26">
        <v>6456</v>
      </c>
      <c r="B1920" s="27" t="s">
        <v>85</v>
      </c>
      <c r="C1920" s="28"/>
      <c r="D1920" s="29"/>
      <c r="E1920" s="30" t="s">
        <v>1461</v>
      </c>
      <c r="H1920" s="32">
        <v>1</v>
      </c>
      <c r="I1920" s="32" t="s">
        <v>3336</v>
      </c>
      <c r="AG1920" s="32">
        <v>0</v>
      </c>
      <c r="AH1920" s="32">
        <v>0</v>
      </c>
      <c r="AI1920" s="32">
        <v>1913</v>
      </c>
      <c r="AK1920" s="32">
        <v>8</v>
      </c>
      <c r="AO1920" s="32" t="s">
        <v>1463</v>
      </c>
      <c r="AQ1920" s="32">
        <v>403</v>
      </c>
      <c r="AU1920">
        <v>1919</v>
      </c>
    </row>
    <row r="1921" spans="1:47" x14ac:dyDescent="0.2">
      <c r="A1921" s="26">
        <v>6456</v>
      </c>
      <c r="B1921" s="27" t="s">
        <v>45</v>
      </c>
      <c r="C1921" s="28"/>
      <c r="D1921" s="29"/>
      <c r="E1921" s="30" t="s">
        <v>1531</v>
      </c>
      <c r="H1921" s="32">
        <v>0</v>
      </c>
      <c r="I1921" s="32" t="s">
        <v>1532</v>
      </c>
      <c r="AG1921" s="32">
        <v>0</v>
      </c>
      <c r="AH1921" s="32">
        <v>0</v>
      </c>
      <c r="AI1921" s="32">
        <v>0</v>
      </c>
      <c r="AK1921" s="32">
        <v>0</v>
      </c>
      <c r="AM1921" s="32">
        <f>498*64</f>
        <v>31872</v>
      </c>
      <c r="AO1921" s="32" t="s">
        <v>1533</v>
      </c>
      <c r="AQ1921" s="32" t="s">
        <v>1101</v>
      </c>
      <c r="AU1921">
        <v>1920</v>
      </c>
    </row>
    <row r="1922" spans="1:47" x14ac:dyDescent="0.2">
      <c r="A1922" s="26">
        <v>6456</v>
      </c>
      <c r="B1922" s="27" t="s">
        <v>45</v>
      </c>
      <c r="C1922" s="28"/>
      <c r="D1922" s="29"/>
      <c r="E1922" s="150" t="s">
        <v>2286</v>
      </c>
      <c r="H1922" s="32">
        <v>0</v>
      </c>
      <c r="I1922" s="32" t="s">
        <v>1824</v>
      </c>
      <c r="AG1922" s="32">
        <v>0</v>
      </c>
      <c r="AH1922" s="32">
        <v>0</v>
      </c>
      <c r="AI1922" s="32">
        <v>0</v>
      </c>
      <c r="AK1922" s="32">
        <v>0</v>
      </c>
      <c r="AM1922" s="32">
        <v>10000</v>
      </c>
      <c r="AO1922" s="73" t="s">
        <v>75</v>
      </c>
      <c r="AQ1922" s="32" t="s">
        <v>589</v>
      </c>
      <c r="AU1922">
        <v>1921</v>
      </c>
    </row>
    <row r="1923" spans="1:47" x14ac:dyDescent="0.2">
      <c r="A1923" s="26">
        <v>6456</v>
      </c>
      <c r="B1923" s="27"/>
      <c r="C1923" s="28"/>
      <c r="D1923" s="29"/>
      <c r="E1923" s="102" t="s">
        <v>1421</v>
      </c>
      <c r="H1923" s="32">
        <v>1</v>
      </c>
      <c r="I1923" s="32" t="s">
        <v>1422</v>
      </c>
      <c r="AK1923" s="32">
        <v>8</v>
      </c>
      <c r="AO1923" s="73"/>
      <c r="AQ1923" s="32" t="s">
        <v>589</v>
      </c>
      <c r="AU1923">
        <v>1922</v>
      </c>
    </row>
    <row r="1924" spans="1:47" x14ac:dyDescent="0.2">
      <c r="A1924" s="133">
        <v>6457</v>
      </c>
      <c r="B1924" s="39" t="s">
        <v>45</v>
      </c>
      <c r="C1924" s="39">
        <v>100</v>
      </c>
      <c r="D1924" s="29" t="b">
        <v>0</v>
      </c>
      <c r="E1924" s="39" t="s">
        <v>3337</v>
      </c>
      <c r="F1924" s="47" t="s">
        <v>3338</v>
      </c>
      <c r="G1924" s="47" t="s">
        <v>205</v>
      </c>
      <c r="H1924"/>
      <c r="I1924" s="47" t="b">
        <v>1</v>
      </c>
      <c r="J1924" s="47" t="b">
        <v>1</v>
      </c>
      <c r="K1924" s="47">
        <v>3493</v>
      </c>
      <c r="L1924" s="48">
        <v>11</v>
      </c>
      <c r="M1924" s="47">
        <v>-1</v>
      </c>
      <c r="N1924" s="47">
        <v>-1</v>
      </c>
      <c r="O1924" s="47">
        <v>-1</v>
      </c>
      <c r="P1924" s="47">
        <v>-1</v>
      </c>
      <c r="Q1924" s="47">
        <v>-1</v>
      </c>
      <c r="R1924" s="47">
        <v>-1</v>
      </c>
      <c r="S1924" s="48">
        <v>11</v>
      </c>
      <c r="T1924" s="47">
        <v>0</v>
      </c>
      <c r="U1924" s="47">
        <v>0</v>
      </c>
      <c r="V1924" s="47">
        <v>0</v>
      </c>
      <c r="W1924" s="47"/>
      <c r="X1924" s="47">
        <v>281</v>
      </c>
      <c r="Y1924" s="47"/>
      <c r="Z1924" s="47" t="s">
        <v>2524</v>
      </c>
      <c r="AA1924" s="49"/>
      <c r="AB1924" s="49"/>
      <c r="AC1924" s="49"/>
      <c r="AD1924" s="50"/>
      <c r="AE1924" s="47" t="s">
        <v>2754</v>
      </c>
      <c r="AF1924" s="47"/>
      <c r="AG1924"/>
      <c r="AH1924"/>
      <c r="AI1924"/>
      <c r="AJ1924"/>
      <c r="AK1924"/>
      <c r="AL1924"/>
      <c r="AM1924"/>
      <c r="AN1924"/>
      <c r="AO1924"/>
      <c r="AP1924"/>
      <c r="AQ1924" t="s">
        <v>2526</v>
      </c>
      <c r="AU1924">
        <v>1923</v>
      </c>
    </row>
    <row r="1925" spans="1:47" x14ac:dyDescent="0.2">
      <c r="A1925" s="133">
        <v>6457</v>
      </c>
      <c r="B1925" s="39" t="s">
        <v>45</v>
      </c>
      <c r="C1925" s="39">
        <v>100</v>
      </c>
      <c r="D1925" s="29" t="b">
        <v>0</v>
      </c>
      <c r="E1925" s="39" t="s">
        <v>581</v>
      </c>
      <c r="F1925" s="47" t="s">
        <v>3339</v>
      </c>
      <c r="G1925" s="47" t="s">
        <v>49</v>
      </c>
      <c r="H1925"/>
      <c r="I1925" s="47" t="b">
        <v>0</v>
      </c>
      <c r="J1925" s="47" t="b">
        <v>0</v>
      </c>
      <c r="K1925" s="47">
        <v>710</v>
      </c>
      <c r="L1925" s="48">
        <v>11</v>
      </c>
      <c r="M1925" s="47">
        <v>-1</v>
      </c>
      <c r="N1925" s="47">
        <v>-1</v>
      </c>
      <c r="O1925" s="47">
        <v>-1</v>
      </c>
      <c r="P1925" s="47">
        <v>-1</v>
      </c>
      <c r="Q1925" s="47">
        <v>-1</v>
      </c>
      <c r="R1925" s="47">
        <v>-1</v>
      </c>
      <c r="S1925" s="48">
        <v>11</v>
      </c>
      <c r="T1925" s="47">
        <v>0</v>
      </c>
      <c r="U1925" s="47">
        <v>0</v>
      </c>
      <c r="V1925" s="47">
        <v>0</v>
      </c>
      <c r="W1925" s="47"/>
      <c r="X1925" s="47">
        <v>284</v>
      </c>
      <c r="Y1925" s="47"/>
      <c r="Z1925" s="47" t="s">
        <v>2524</v>
      </c>
      <c r="AA1925" s="49"/>
      <c r="AB1925" s="49"/>
      <c r="AC1925" s="49"/>
      <c r="AD1925" s="50"/>
      <c r="AE1925" s="47" t="s">
        <v>2754</v>
      </c>
      <c r="AF1925" s="47"/>
      <c r="AG1925"/>
      <c r="AH1925"/>
      <c r="AI1925"/>
      <c r="AJ1925"/>
      <c r="AK1925"/>
      <c r="AL1925"/>
      <c r="AM1925"/>
      <c r="AN1925"/>
      <c r="AO1925"/>
      <c r="AP1925"/>
      <c r="AQ1925" t="s">
        <v>2526</v>
      </c>
      <c r="AU1925">
        <v>1924</v>
      </c>
    </row>
    <row r="1926" spans="1:47" x14ac:dyDescent="0.2">
      <c r="A1926" s="133">
        <v>6457</v>
      </c>
      <c r="B1926" s="39" t="s">
        <v>45</v>
      </c>
      <c r="C1926" s="39">
        <v>100</v>
      </c>
      <c r="D1926" s="29" t="b">
        <v>0</v>
      </c>
      <c r="E1926" s="39" t="s">
        <v>3340</v>
      </c>
      <c r="F1926" s="47" t="s">
        <v>529</v>
      </c>
      <c r="G1926" s="47" t="s">
        <v>205</v>
      </c>
      <c r="H1926"/>
      <c r="I1926" s="47" t="b">
        <v>0</v>
      </c>
      <c r="J1926" s="47" t="b">
        <v>0</v>
      </c>
      <c r="K1926" s="47">
        <v>710</v>
      </c>
      <c r="L1926" s="48">
        <v>11</v>
      </c>
      <c r="M1926" s="47">
        <v>-1</v>
      </c>
      <c r="N1926" s="47">
        <v>-1</v>
      </c>
      <c r="O1926" s="47">
        <v>-1</v>
      </c>
      <c r="P1926" s="47">
        <v>-1</v>
      </c>
      <c r="Q1926" s="47">
        <v>-1</v>
      </c>
      <c r="R1926" s="47">
        <v>-1</v>
      </c>
      <c r="S1926" s="48">
        <v>11</v>
      </c>
      <c r="T1926" s="47">
        <v>0</v>
      </c>
      <c r="U1926" s="47">
        <v>0</v>
      </c>
      <c r="V1926" s="47">
        <v>0</v>
      </c>
      <c r="W1926" s="47"/>
      <c r="X1926" s="47">
        <v>285</v>
      </c>
      <c r="Y1926" s="47"/>
      <c r="Z1926" s="47" t="s">
        <v>2524</v>
      </c>
      <c r="AA1926" s="49"/>
      <c r="AB1926" s="49"/>
      <c r="AC1926" s="49"/>
      <c r="AD1926" s="50"/>
      <c r="AE1926" s="47" t="s">
        <v>2754</v>
      </c>
      <c r="AF1926" s="47"/>
      <c r="AG1926"/>
      <c r="AH1926"/>
      <c r="AI1926"/>
      <c r="AJ1926"/>
      <c r="AK1926"/>
      <c r="AL1926"/>
      <c r="AM1926"/>
      <c r="AN1926"/>
      <c r="AO1926"/>
      <c r="AP1926"/>
      <c r="AQ1926" t="s">
        <v>2526</v>
      </c>
      <c r="AU1926">
        <v>1925</v>
      </c>
    </row>
    <row r="1927" spans="1:47" x14ac:dyDescent="0.2">
      <c r="A1927" s="133">
        <v>6457</v>
      </c>
      <c r="B1927" s="39" t="s">
        <v>45</v>
      </c>
      <c r="C1927" s="39">
        <v>100</v>
      </c>
      <c r="D1927" s="29" t="b">
        <v>0</v>
      </c>
      <c r="E1927" s="39" t="s">
        <v>3242</v>
      </c>
      <c r="F1927" s="47" t="s">
        <v>529</v>
      </c>
      <c r="G1927" s="47" t="s">
        <v>205</v>
      </c>
      <c r="H1927"/>
      <c r="I1927" s="47" t="b">
        <v>0</v>
      </c>
      <c r="J1927" s="47" t="b">
        <v>0</v>
      </c>
      <c r="K1927" s="47">
        <v>685</v>
      </c>
      <c r="L1927" s="48">
        <v>11</v>
      </c>
      <c r="M1927" s="47">
        <v>-1</v>
      </c>
      <c r="N1927" s="47">
        <v>-1</v>
      </c>
      <c r="O1927" s="47">
        <v>-1</v>
      </c>
      <c r="P1927" s="47">
        <v>-1</v>
      </c>
      <c r="Q1927" s="47">
        <v>-1</v>
      </c>
      <c r="R1927" s="47">
        <v>-1</v>
      </c>
      <c r="S1927" s="48">
        <v>11</v>
      </c>
      <c r="T1927" s="47">
        <v>0</v>
      </c>
      <c r="U1927" s="47">
        <v>0</v>
      </c>
      <c r="V1927" s="47">
        <v>0</v>
      </c>
      <c r="W1927" s="47"/>
      <c r="X1927" s="47">
        <v>286</v>
      </c>
      <c r="Y1927" s="47"/>
      <c r="Z1927" s="47" t="s">
        <v>2524</v>
      </c>
      <c r="AA1927" s="49"/>
      <c r="AB1927" s="49"/>
      <c r="AC1927" s="49"/>
      <c r="AD1927" s="50"/>
      <c r="AE1927" s="47" t="s">
        <v>2754</v>
      </c>
      <c r="AF1927" s="47">
        <v>55</v>
      </c>
      <c r="AG1927"/>
      <c r="AH1927"/>
      <c r="AI1927"/>
      <c r="AJ1927"/>
      <c r="AK1927"/>
      <c r="AL1927"/>
      <c r="AM1927"/>
      <c r="AN1927"/>
      <c r="AO1927"/>
      <c r="AP1927"/>
      <c r="AQ1927" t="s">
        <v>2526</v>
      </c>
      <c r="AU1927">
        <v>1926</v>
      </c>
    </row>
    <row r="1928" spans="1:47" x14ac:dyDescent="0.2">
      <c r="A1928" s="133">
        <v>6457</v>
      </c>
      <c r="B1928" s="39" t="s">
        <v>45</v>
      </c>
      <c r="C1928" s="39">
        <v>100</v>
      </c>
      <c r="D1928" s="29" t="b">
        <v>0</v>
      </c>
      <c r="E1928" s="39" t="s">
        <v>3323</v>
      </c>
      <c r="F1928" s="47" t="s">
        <v>529</v>
      </c>
      <c r="G1928" s="47" t="s">
        <v>205</v>
      </c>
      <c r="H1928"/>
      <c r="I1928" s="47" t="b">
        <v>0</v>
      </c>
      <c r="J1928" s="47" t="b">
        <v>0</v>
      </c>
      <c r="K1928" s="47">
        <v>448</v>
      </c>
      <c r="L1928" s="48">
        <v>11</v>
      </c>
      <c r="M1928" s="47">
        <v>-1</v>
      </c>
      <c r="N1928" s="47">
        <v>-1</v>
      </c>
      <c r="O1928" s="47">
        <v>-1</v>
      </c>
      <c r="P1928" s="47">
        <v>-1</v>
      </c>
      <c r="Q1928" s="47">
        <v>-1</v>
      </c>
      <c r="R1928" s="47">
        <v>-1</v>
      </c>
      <c r="S1928" s="48">
        <v>11</v>
      </c>
      <c r="T1928" s="47">
        <v>0</v>
      </c>
      <c r="U1928" s="47">
        <v>0</v>
      </c>
      <c r="V1928" s="47">
        <v>0</v>
      </c>
      <c r="W1928" s="47"/>
      <c r="X1928" s="47">
        <v>280</v>
      </c>
      <c r="Y1928" s="47"/>
      <c r="Z1928" s="47" t="s">
        <v>2524</v>
      </c>
      <c r="AA1928" s="49"/>
      <c r="AB1928" s="49"/>
      <c r="AC1928" s="49"/>
      <c r="AD1928" s="50"/>
      <c r="AE1928" s="47" t="s">
        <v>2754</v>
      </c>
      <c r="AF1928" s="47"/>
      <c r="AG1928"/>
      <c r="AH1928"/>
      <c r="AI1928"/>
      <c r="AJ1928"/>
      <c r="AK1928"/>
      <c r="AL1928"/>
      <c r="AM1928"/>
      <c r="AN1928"/>
      <c r="AO1928"/>
      <c r="AP1928"/>
      <c r="AQ1928" t="s">
        <v>2526</v>
      </c>
      <c r="AU1928">
        <v>1927</v>
      </c>
    </row>
    <row r="1929" spans="1:47" x14ac:dyDescent="0.2">
      <c r="A1929" s="133">
        <v>6457</v>
      </c>
      <c r="B1929" s="39" t="s">
        <v>45</v>
      </c>
      <c r="C1929" s="39">
        <v>100</v>
      </c>
      <c r="D1929" s="29" t="b">
        <v>0</v>
      </c>
      <c r="E1929" s="39" t="s">
        <v>3160</v>
      </c>
      <c r="F1929" s="47" t="s">
        <v>529</v>
      </c>
      <c r="G1929" s="47" t="s">
        <v>205</v>
      </c>
      <c r="H1929"/>
      <c r="I1929" s="47" t="b">
        <v>0</v>
      </c>
      <c r="J1929" s="47" t="b">
        <v>0</v>
      </c>
      <c r="K1929" s="47">
        <v>355</v>
      </c>
      <c r="L1929" s="48">
        <v>11</v>
      </c>
      <c r="M1929" s="47">
        <v>-1</v>
      </c>
      <c r="N1929" s="47">
        <v>-1</v>
      </c>
      <c r="O1929" s="47">
        <v>-1</v>
      </c>
      <c r="P1929" s="47">
        <v>-1</v>
      </c>
      <c r="Q1929" s="47">
        <v>-1</v>
      </c>
      <c r="R1929" s="47">
        <v>-1</v>
      </c>
      <c r="S1929" s="48">
        <v>11</v>
      </c>
      <c r="T1929" s="47">
        <v>0</v>
      </c>
      <c r="U1929" s="47">
        <v>0</v>
      </c>
      <c r="V1929" s="47">
        <v>0</v>
      </c>
      <c r="W1929" s="47"/>
      <c r="X1929" s="47">
        <v>282</v>
      </c>
      <c r="Y1929" s="47"/>
      <c r="Z1929" s="47" t="s">
        <v>2524</v>
      </c>
      <c r="AA1929" s="49"/>
      <c r="AB1929" s="49"/>
      <c r="AC1929" s="49"/>
      <c r="AD1929" s="50"/>
      <c r="AE1929" s="47" t="s">
        <v>2754</v>
      </c>
      <c r="AF1929" s="47"/>
      <c r="AG1929"/>
      <c r="AH1929"/>
      <c r="AI1929"/>
      <c r="AJ1929"/>
      <c r="AK1929"/>
      <c r="AL1929"/>
      <c r="AM1929"/>
      <c r="AN1929"/>
      <c r="AO1929"/>
      <c r="AP1929"/>
      <c r="AQ1929" t="s">
        <v>2526</v>
      </c>
      <c r="AU1929">
        <v>1928</v>
      </c>
    </row>
    <row r="1930" spans="1:47" x14ac:dyDescent="0.2">
      <c r="A1930" s="133">
        <v>6457</v>
      </c>
      <c r="B1930" s="39" t="s">
        <v>45</v>
      </c>
      <c r="C1930" s="39">
        <v>100</v>
      </c>
      <c r="D1930" s="29" t="b">
        <v>0</v>
      </c>
      <c r="E1930" s="39" t="s">
        <v>3341</v>
      </c>
      <c r="F1930" s="47" t="s">
        <v>3342</v>
      </c>
      <c r="G1930" s="47" t="s">
        <v>49</v>
      </c>
      <c r="H1930"/>
      <c r="I1930" s="47" t="b">
        <v>0</v>
      </c>
      <c r="J1930" s="47" t="b">
        <v>0</v>
      </c>
      <c r="K1930" s="47">
        <v>355</v>
      </c>
      <c r="L1930" s="48">
        <v>11</v>
      </c>
      <c r="M1930" s="47">
        <v>-1</v>
      </c>
      <c r="N1930" s="47">
        <v>-1</v>
      </c>
      <c r="O1930" s="47">
        <v>-1</v>
      </c>
      <c r="P1930" s="47">
        <v>-1</v>
      </c>
      <c r="Q1930" s="47">
        <v>-1</v>
      </c>
      <c r="R1930" s="47">
        <v>-1</v>
      </c>
      <c r="S1930" s="48">
        <v>11</v>
      </c>
      <c r="T1930" s="47">
        <v>0</v>
      </c>
      <c r="U1930" s="47">
        <v>0</v>
      </c>
      <c r="V1930" s="47">
        <v>0</v>
      </c>
      <c r="W1930" s="47"/>
      <c r="X1930" s="47">
        <v>283</v>
      </c>
      <c r="Y1930" s="47"/>
      <c r="Z1930" s="47" t="s">
        <v>2524</v>
      </c>
      <c r="AA1930" s="49"/>
      <c r="AB1930" s="49"/>
      <c r="AC1930" s="49"/>
      <c r="AD1930" s="50"/>
      <c r="AE1930" s="47" t="s">
        <v>2754</v>
      </c>
      <c r="AF1930" s="47"/>
      <c r="AG1930"/>
      <c r="AH1930"/>
      <c r="AI1930"/>
      <c r="AJ1930"/>
      <c r="AK1930"/>
      <c r="AL1930"/>
      <c r="AM1930"/>
      <c r="AN1930"/>
      <c r="AO1930"/>
      <c r="AP1930"/>
      <c r="AQ1930" t="s">
        <v>2526</v>
      </c>
      <c r="AU1930">
        <v>1929</v>
      </c>
    </row>
    <row r="1931" spans="1:47" x14ac:dyDescent="0.2">
      <c r="A1931" s="133">
        <v>6457</v>
      </c>
      <c r="B1931" s="39" t="s">
        <v>45</v>
      </c>
      <c r="C1931" s="39" t="s">
        <v>142</v>
      </c>
      <c r="D1931" s="29"/>
      <c r="E1931" s="39" t="s">
        <v>3343</v>
      </c>
      <c r="F1931" s="47" t="s">
        <v>3344</v>
      </c>
      <c r="G1931" s="47"/>
      <c r="H1931"/>
      <c r="I1931" s="47" t="s">
        <v>3345</v>
      </c>
      <c r="J1931" s="47"/>
      <c r="K1931" s="47">
        <f>((275-36)*10+33*25)*2.2</f>
        <v>7073.0000000000009</v>
      </c>
      <c r="L1931" s="48">
        <v>24</v>
      </c>
      <c r="M1931" s="47"/>
      <c r="N1931" s="47"/>
      <c r="O1931" s="47"/>
      <c r="P1931" s="47"/>
      <c r="Q1931" s="47"/>
      <c r="R1931" s="47"/>
      <c r="S1931" s="48">
        <v>24</v>
      </c>
      <c r="T1931" s="47">
        <v>0</v>
      </c>
      <c r="U1931" s="47">
        <v>0</v>
      </c>
      <c r="V1931" s="47">
        <v>1</v>
      </c>
      <c r="W1931" s="47"/>
      <c r="X1931" s="47"/>
      <c r="Y1931" s="47" t="s">
        <v>51</v>
      </c>
      <c r="Z1931" s="47" t="s">
        <v>2203</v>
      </c>
      <c r="AA1931" s="49"/>
      <c r="AB1931" s="49"/>
      <c r="AC1931" s="49"/>
      <c r="AD1931" s="50"/>
      <c r="AE1931" s="47" t="s">
        <v>3198</v>
      </c>
      <c r="AF1931" s="47">
        <v>65</v>
      </c>
      <c r="AG1931"/>
      <c r="AH1931"/>
      <c r="AI1931"/>
      <c r="AJ1931"/>
      <c r="AK1931">
        <f>275-36+33</f>
        <v>272</v>
      </c>
      <c r="AL1931"/>
      <c r="AM1931"/>
      <c r="AN1931"/>
      <c r="AO1931"/>
      <c r="AP1931"/>
      <c r="AQ1931" s="32" t="s">
        <v>3320</v>
      </c>
      <c r="AU1931">
        <v>1930</v>
      </c>
    </row>
    <row r="1932" spans="1:47" x14ac:dyDescent="0.2">
      <c r="A1932" s="133">
        <v>6457</v>
      </c>
      <c r="B1932" s="39" t="s">
        <v>45</v>
      </c>
      <c r="C1932" s="39" t="s">
        <v>142</v>
      </c>
      <c r="D1932" s="29"/>
      <c r="E1932" s="121" t="s">
        <v>1006</v>
      </c>
      <c r="F1932" s="47" t="s">
        <v>365</v>
      </c>
      <c r="G1932" s="47" t="s">
        <v>73</v>
      </c>
      <c r="H1932"/>
      <c r="I1932" s="47" t="s">
        <v>3346</v>
      </c>
      <c r="J1932" s="47"/>
      <c r="K1932" s="47">
        <f>(24+12)*10*2.2</f>
        <v>792.00000000000011</v>
      </c>
      <c r="L1932" s="48">
        <v>5</v>
      </c>
      <c r="M1932" s="47"/>
      <c r="N1932" s="47">
        <v>1</v>
      </c>
      <c r="O1932" s="47"/>
      <c r="P1932" s="47"/>
      <c r="Q1932" s="47"/>
      <c r="R1932" s="47"/>
      <c r="S1932" s="48">
        <v>4</v>
      </c>
      <c r="T1932" s="47">
        <v>0</v>
      </c>
      <c r="U1932" s="47">
        <v>2</v>
      </c>
      <c r="V1932" s="47">
        <v>0</v>
      </c>
      <c r="W1932" s="47"/>
      <c r="X1932" s="47"/>
      <c r="Y1932" s="47" t="s">
        <v>51</v>
      </c>
      <c r="Z1932" s="47" t="s">
        <v>1809</v>
      </c>
      <c r="AA1932" s="49"/>
      <c r="AB1932" s="49"/>
      <c r="AC1932" s="49"/>
      <c r="AD1932" s="50"/>
      <c r="AE1932" s="47" t="s">
        <v>3198</v>
      </c>
      <c r="AF1932" s="47">
        <v>70</v>
      </c>
      <c r="AG1932"/>
      <c r="AH1932"/>
      <c r="AI1932"/>
      <c r="AJ1932"/>
      <c r="AK1932">
        <f>24+12</f>
        <v>36</v>
      </c>
      <c r="AL1932"/>
      <c r="AM1932"/>
      <c r="AN1932"/>
      <c r="AO1932"/>
      <c r="AP1932"/>
      <c r="AQ1932" s="32" t="s">
        <v>3320</v>
      </c>
      <c r="AU1932">
        <v>1931</v>
      </c>
    </row>
    <row r="1933" spans="1:47" x14ac:dyDescent="0.2">
      <c r="A1933" s="133">
        <v>6457</v>
      </c>
      <c r="B1933" s="39" t="s">
        <v>45</v>
      </c>
      <c r="C1933" s="38" t="s">
        <v>3330</v>
      </c>
      <c r="D1933" s="29"/>
      <c r="E1933" s="39" t="s">
        <v>1764</v>
      </c>
      <c r="F1933" s="47" t="s">
        <v>220</v>
      </c>
      <c r="G1933" s="47" t="s">
        <v>49</v>
      </c>
      <c r="H1933"/>
      <c r="I1933" s="47" t="s">
        <v>3347</v>
      </c>
      <c r="J1933" s="47"/>
      <c r="K1933" s="47">
        <f>(6*50+30*10)*2.2</f>
        <v>1320</v>
      </c>
      <c r="L1933" s="48">
        <v>2</v>
      </c>
      <c r="M1933" s="47"/>
      <c r="N1933" s="47"/>
      <c r="O1933" s="47"/>
      <c r="P1933" s="47"/>
      <c r="Q1933" s="47"/>
      <c r="R1933" s="47"/>
      <c r="S1933" s="48">
        <v>2</v>
      </c>
      <c r="T1933" s="47">
        <v>0</v>
      </c>
      <c r="U1933" s="47">
        <v>0</v>
      </c>
      <c r="V1933" s="47">
        <v>0</v>
      </c>
      <c r="W1933" s="47">
        <f>((2800+1800)/2)*39.37/12</f>
        <v>7545.916666666667</v>
      </c>
      <c r="Y1933" s="31" t="s">
        <v>51</v>
      </c>
      <c r="Z1933" s="47" t="s">
        <v>1846</v>
      </c>
      <c r="AA1933" s="49"/>
      <c r="AB1933" s="49"/>
      <c r="AC1933" s="49"/>
      <c r="AD1933" s="50">
        <v>2.25</v>
      </c>
      <c r="AE1933" s="47" t="s">
        <v>342</v>
      </c>
      <c r="AF1933" s="47">
        <v>70</v>
      </c>
      <c r="AG1933"/>
      <c r="AH1933"/>
      <c r="AI1933"/>
      <c r="AJ1933"/>
      <c r="AK1933">
        <f>6+30</f>
        <v>36</v>
      </c>
      <c r="AL1933"/>
      <c r="AM1933"/>
      <c r="AN1933"/>
      <c r="AO1933"/>
      <c r="AP1933"/>
      <c r="AQ1933" t="s">
        <v>3348</v>
      </c>
      <c r="AU1933">
        <v>1932</v>
      </c>
    </row>
    <row r="1934" spans="1:47" x14ac:dyDescent="0.2">
      <c r="A1934" s="133">
        <v>6457</v>
      </c>
      <c r="B1934" s="39" t="s">
        <v>45</v>
      </c>
      <c r="C1934" s="38" t="s">
        <v>3330</v>
      </c>
      <c r="D1934" s="29"/>
      <c r="E1934" s="39" t="s">
        <v>649</v>
      </c>
      <c r="F1934" s="47" t="s">
        <v>204</v>
      </c>
      <c r="G1934" s="47" t="s">
        <v>205</v>
      </c>
      <c r="H1934"/>
      <c r="I1934" s="47" t="s">
        <v>3349</v>
      </c>
      <c r="J1934" s="47"/>
      <c r="K1934" s="47">
        <f>(30*10+3*6*50)*2.2</f>
        <v>2640</v>
      </c>
      <c r="L1934" s="48">
        <v>4</v>
      </c>
      <c r="M1934" s="47"/>
      <c r="N1934" s="47"/>
      <c r="O1934" s="47"/>
      <c r="P1934" s="47"/>
      <c r="Q1934" s="47"/>
      <c r="R1934" s="47"/>
      <c r="S1934" s="48">
        <v>4</v>
      </c>
      <c r="T1934" s="47">
        <v>0</v>
      </c>
      <c r="U1934" s="47">
        <v>0</v>
      </c>
      <c r="V1934" s="47">
        <v>0</v>
      </c>
      <c r="W1934" s="47">
        <f>((2200+2600+2600+2500)/4)*39.37/12</f>
        <v>8120.0625</v>
      </c>
      <c r="Y1934" s="31" t="s">
        <v>51</v>
      </c>
      <c r="Z1934" s="47" t="s">
        <v>1846</v>
      </c>
      <c r="AA1934" s="49"/>
      <c r="AB1934" s="49"/>
      <c r="AC1934" s="49"/>
      <c r="AD1934" s="50">
        <v>1.5</v>
      </c>
      <c r="AE1934" s="47" t="s">
        <v>342</v>
      </c>
      <c r="AF1934" s="47">
        <v>40</v>
      </c>
      <c r="AG1934"/>
      <c r="AH1934"/>
      <c r="AI1934"/>
      <c r="AJ1934"/>
      <c r="AK1934">
        <f>30+6+6+6</f>
        <v>48</v>
      </c>
      <c r="AL1934"/>
      <c r="AM1934"/>
      <c r="AN1934"/>
      <c r="AO1934"/>
      <c r="AP1934"/>
      <c r="AQ1934" t="s">
        <v>3348</v>
      </c>
      <c r="AU1934">
        <v>1933</v>
      </c>
    </row>
    <row r="1935" spans="1:47" x14ac:dyDescent="0.2">
      <c r="A1935" s="133">
        <v>6457</v>
      </c>
      <c r="B1935" s="39" t="s">
        <v>45</v>
      </c>
      <c r="C1935" s="38" t="s">
        <v>3330</v>
      </c>
      <c r="D1935" s="29"/>
      <c r="E1935" s="121" t="s">
        <v>2210</v>
      </c>
      <c r="F1935" s="47" t="s">
        <v>967</v>
      </c>
      <c r="G1935" s="47" t="s">
        <v>481</v>
      </c>
      <c r="H1935"/>
      <c r="I1935" s="47" t="s">
        <v>3350</v>
      </c>
      <c r="J1935" s="47"/>
      <c r="K1935" s="47">
        <f>6*50*2.2</f>
        <v>660</v>
      </c>
      <c r="L1935" s="48">
        <v>1</v>
      </c>
      <c r="M1935" s="47"/>
      <c r="N1935" s="47"/>
      <c r="O1935" s="47"/>
      <c r="P1935" s="47"/>
      <c r="Q1935" s="47"/>
      <c r="R1935" s="47"/>
      <c r="S1935" s="48">
        <v>1</v>
      </c>
      <c r="T1935" s="47">
        <v>0</v>
      </c>
      <c r="U1935" s="47">
        <v>0</v>
      </c>
      <c r="V1935" s="47">
        <v>0</v>
      </c>
      <c r="W1935" s="47">
        <f>((2600))*39.37/12</f>
        <v>8530.1666666666661</v>
      </c>
      <c r="Y1935" s="31" t="s">
        <v>51</v>
      </c>
      <c r="Z1935" s="47" t="s">
        <v>1846</v>
      </c>
      <c r="AA1935" s="49"/>
      <c r="AB1935" s="49"/>
      <c r="AC1935" s="49"/>
      <c r="AD1935" s="50">
        <f>1+50/60</f>
        <v>1.8333333333333335</v>
      </c>
      <c r="AE1935" s="47" t="s">
        <v>342</v>
      </c>
      <c r="AF1935" s="47">
        <v>60</v>
      </c>
      <c r="AG1935"/>
      <c r="AH1935"/>
      <c r="AI1935"/>
      <c r="AJ1935"/>
      <c r="AK1935">
        <v>6</v>
      </c>
      <c r="AL1935"/>
      <c r="AM1935"/>
      <c r="AN1935"/>
      <c r="AO1935"/>
      <c r="AP1935"/>
      <c r="AQ1935" t="s">
        <v>3348</v>
      </c>
      <c r="AU1935">
        <v>1934</v>
      </c>
    </row>
    <row r="1936" spans="1:47" x14ac:dyDescent="0.2">
      <c r="A1936" s="133">
        <v>6457</v>
      </c>
      <c r="B1936" s="39" t="s">
        <v>45</v>
      </c>
      <c r="C1936" s="38" t="s">
        <v>3330</v>
      </c>
      <c r="D1936" s="29"/>
      <c r="E1936" s="121" t="s">
        <v>3082</v>
      </c>
      <c r="F1936" s="47" t="s">
        <v>220</v>
      </c>
      <c r="G1936" s="47" t="s">
        <v>49</v>
      </c>
      <c r="H1936"/>
      <c r="I1936" s="47" t="s">
        <v>3347</v>
      </c>
      <c r="J1936" s="47"/>
      <c r="K1936" s="47">
        <f>(6*50+30*10)*2.2</f>
        <v>1320</v>
      </c>
      <c r="L1936" s="48">
        <v>2</v>
      </c>
      <c r="M1936" s="47"/>
      <c r="N1936" s="47"/>
      <c r="O1936" s="47"/>
      <c r="P1936" s="47"/>
      <c r="Q1936" s="47"/>
      <c r="R1936" s="47"/>
      <c r="S1936" s="48">
        <v>2</v>
      </c>
      <c r="T1936" s="47">
        <v>0</v>
      </c>
      <c r="U1936" s="47">
        <v>0</v>
      </c>
      <c r="V1936" s="47">
        <v>0</v>
      </c>
      <c r="W1936" s="47">
        <f>((2600+2200)/2)*39.37/12</f>
        <v>7874</v>
      </c>
      <c r="Y1936" s="31" t="s">
        <v>51</v>
      </c>
      <c r="Z1936" s="47" t="s">
        <v>1846</v>
      </c>
      <c r="AA1936" s="49"/>
      <c r="AB1936" s="49"/>
      <c r="AC1936" s="49"/>
      <c r="AD1936" s="50">
        <v>1.5</v>
      </c>
      <c r="AE1936" s="47" t="s">
        <v>342</v>
      </c>
      <c r="AF1936" s="47">
        <v>45</v>
      </c>
      <c r="AG1936"/>
      <c r="AH1936"/>
      <c r="AI1936"/>
      <c r="AJ1936"/>
      <c r="AK1936">
        <v>30</v>
      </c>
      <c r="AL1936"/>
      <c r="AM1936"/>
      <c r="AN1936"/>
      <c r="AO1936"/>
      <c r="AP1936"/>
      <c r="AQ1936" t="s">
        <v>3348</v>
      </c>
      <c r="AU1936">
        <v>1935</v>
      </c>
    </row>
    <row r="1937" spans="1:47" x14ac:dyDescent="0.2">
      <c r="A1937" s="26">
        <v>6457</v>
      </c>
      <c r="B1937" s="27">
        <v>0.14583333333333334</v>
      </c>
      <c r="C1937" s="28"/>
      <c r="D1937" s="29"/>
      <c r="E1937" s="30" t="s">
        <v>464</v>
      </c>
      <c r="H1937" s="32">
        <v>1</v>
      </c>
      <c r="I1937" s="32" t="s">
        <v>3351</v>
      </c>
      <c r="AG1937" s="32">
        <v>0</v>
      </c>
      <c r="AH1937" s="32">
        <v>0</v>
      </c>
      <c r="AI1937" s="32">
        <v>0</v>
      </c>
      <c r="AJ1937" s="32">
        <v>0</v>
      </c>
      <c r="AL1937" s="32">
        <f>52/60</f>
        <v>0.8666666666666667</v>
      </c>
      <c r="AM1937" s="32">
        <v>0</v>
      </c>
      <c r="AO1937" s="32" t="s">
        <v>1898</v>
      </c>
      <c r="AP1937" s="32">
        <f>52/60</f>
        <v>0.8666666666666667</v>
      </c>
      <c r="AQ1937" s="32" t="s">
        <v>3067</v>
      </c>
      <c r="AU1937">
        <v>1936</v>
      </c>
    </row>
    <row r="1938" spans="1:47" x14ac:dyDescent="0.2">
      <c r="A1938" s="26">
        <v>6457</v>
      </c>
      <c r="B1938" s="27" t="s">
        <v>85</v>
      </c>
      <c r="C1938" s="28"/>
      <c r="D1938" s="29"/>
      <c r="E1938" s="30" t="s">
        <v>1461</v>
      </c>
      <c r="H1938" s="32">
        <v>1</v>
      </c>
      <c r="I1938" s="32" t="s">
        <v>3352</v>
      </c>
      <c r="AG1938" s="32">
        <v>0</v>
      </c>
      <c r="AH1938" s="32">
        <v>0</v>
      </c>
      <c r="AI1938" s="32">
        <v>0</v>
      </c>
      <c r="AK1938" s="32">
        <v>5</v>
      </c>
      <c r="AO1938" s="32" t="s">
        <v>1463</v>
      </c>
      <c r="AQ1938" s="32">
        <v>403</v>
      </c>
      <c r="AU1938">
        <v>1937</v>
      </c>
    </row>
    <row r="1939" spans="1:47" x14ac:dyDescent="0.2">
      <c r="A1939" s="26">
        <v>6457</v>
      </c>
      <c r="B1939" s="27">
        <v>0.92638888888888893</v>
      </c>
      <c r="C1939" s="28"/>
      <c r="D1939" s="29"/>
      <c r="E1939" s="30" t="s">
        <v>464</v>
      </c>
      <c r="H1939" s="32">
        <v>1</v>
      </c>
      <c r="I1939" s="32" t="s">
        <v>3353</v>
      </c>
      <c r="AG1939" s="32">
        <v>0</v>
      </c>
      <c r="AH1939" s="32">
        <v>0</v>
      </c>
      <c r="AL1939" s="32">
        <f>31/60</f>
        <v>0.51666666666666672</v>
      </c>
      <c r="AO1939" s="32" t="s">
        <v>1898</v>
      </c>
      <c r="AP1939" s="32">
        <f>31/60</f>
        <v>0.51666666666666672</v>
      </c>
      <c r="AQ1939" s="32" t="s">
        <v>3067</v>
      </c>
      <c r="AU1939">
        <v>1938</v>
      </c>
    </row>
    <row r="1940" spans="1:47" x14ac:dyDescent="0.2">
      <c r="A1940" s="26">
        <v>6457</v>
      </c>
      <c r="B1940" s="27">
        <v>0.92708333333333337</v>
      </c>
      <c r="C1940" s="28"/>
      <c r="D1940" s="29"/>
      <c r="E1940" s="30" t="s">
        <v>1124</v>
      </c>
      <c r="H1940" s="32">
        <v>1</v>
      </c>
      <c r="I1940" s="32" t="s">
        <v>1534</v>
      </c>
      <c r="AG1940" s="32">
        <v>0</v>
      </c>
      <c r="AH1940" s="32">
        <v>0</v>
      </c>
      <c r="AK1940" s="32">
        <v>7</v>
      </c>
      <c r="AL1940" s="32">
        <v>3.75</v>
      </c>
      <c r="AO1940" s="46" t="s">
        <v>1126</v>
      </c>
      <c r="AP1940" s="32">
        <v>3.75</v>
      </c>
      <c r="AQ1940" s="32" t="s">
        <v>589</v>
      </c>
      <c r="AU1940">
        <v>1939</v>
      </c>
    </row>
    <row r="1941" spans="1:47" x14ac:dyDescent="0.2">
      <c r="A1941" s="26">
        <v>6457</v>
      </c>
      <c r="B1941" s="27" t="s">
        <v>45</v>
      </c>
      <c r="C1941" s="28"/>
      <c r="D1941" s="29"/>
      <c r="E1941" s="30" t="s">
        <v>1531</v>
      </c>
      <c r="H1941" s="32">
        <v>0</v>
      </c>
      <c r="I1941" s="32" t="s">
        <v>2553</v>
      </c>
      <c r="AG1941" s="32">
        <v>0</v>
      </c>
      <c r="AH1941" s="32">
        <v>0</v>
      </c>
      <c r="AI1941" s="32">
        <v>0</v>
      </c>
      <c r="AK1941" s="32">
        <v>0</v>
      </c>
      <c r="AM1941" s="32">
        <f>498*100</f>
        <v>49800</v>
      </c>
      <c r="AO1941" s="32" t="s">
        <v>1533</v>
      </c>
      <c r="AQ1941" s="32" t="s">
        <v>1101</v>
      </c>
      <c r="AU1941">
        <v>1940</v>
      </c>
    </row>
    <row r="1942" spans="1:47" x14ac:dyDescent="0.2">
      <c r="A1942" s="26">
        <v>6457</v>
      </c>
      <c r="B1942" s="27" t="s">
        <v>45</v>
      </c>
      <c r="C1942" s="28"/>
      <c r="D1942" s="29"/>
      <c r="E1942" s="150" t="s">
        <v>2286</v>
      </c>
      <c r="H1942" s="32">
        <v>0</v>
      </c>
      <c r="I1942" s="32" t="s">
        <v>1824</v>
      </c>
      <c r="AG1942" s="32">
        <v>0</v>
      </c>
      <c r="AH1942" s="32">
        <v>0</v>
      </c>
      <c r="AI1942" s="32">
        <v>0</v>
      </c>
      <c r="AK1942" s="32">
        <v>0</v>
      </c>
      <c r="AM1942" s="32">
        <v>15000</v>
      </c>
      <c r="AO1942" s="73" t="s">
        <v>75</v>
      </c>
      <c r="AQ1942" s="32" t="s">
        <v>589</v>
      </c>
      <c r="AU1942">
        <v>1941</v>
      </c>
    </row>
    <row r="1943" spans="1:47" x14ac:dyDescent="0.2">
      <c r="A1943" s="26">
        <v>6457</v>
      </c>
      <c r="B1943" s="27"/>
      <c r="C1943" s="28"/>
      <c r="D1943" s="29"/>
      <c r="E1943" s="102" t="s">
        <v>1421</v>
      </c>
      <c r="H1943" s="32">
        <v>1</v>
      </c>
      <c r="I1943" s="32" t="s">
        <v>3354</v>
      </c>
      <c r="AK1943" s="32">
        <v>16</v>
      </c>
      <c r="AO1943" s="73"/>
      <c r="AQ1943" s="32" t="s">
        <v>589</v>
      </c>
      <c r="AU1943">
        <v>1942</v>
      </c>
    </row>
    <row r="1944" spans="1:47" x14ac:dyDescent="0.2">
      <c r="A1944" s="26">
        <v>6457</v>
      </c>
      <c r="B1944" s="27"/>
      <c r="C1944" s="28"/>
      <c r="D1944" s="29"/>
      <c r="E1944" s="102" t="s">
        <v>1421</v>
      </c>
      <c r="H1944" s="32">
        <v>1</v>
      </c>
      <c r="I1944" s="32" t="s">
        <v>3355</v>
      </c>
      <c r="AK1944" s="32">
        <v>5</v>
      </c>
      <c r="AO1944" s="73"/>
      <c r="AQ1944" s="32" t="s">
        <v>589</v>
      </c>
      <c r="AU1944">
        <v>1943</v>
      </c>
    </row>
    <row r="1945" spans="1:47" x14ac:dyDescent="0.2">
      <c r="A1945" s="133">
        <v>6458</v>
      </c>
      <c r="B1945" s="39" t="s">
        <v>45</v>
      </c>
      <c r="C1945" s="43" t="s">
        <v>142</v>
      </c>
      <c r="D1945" s="29"/>
      <c r="E1945" s="121" t="s">
        <v>3356</v>
      </c>
      <c r="F1945" s="31" t="s">
        <v>2969</v>
      </c>
      <c r="G1945" s="31" t="s">
        <v>73</v>
      </c>
      <c r="H1945" s="32"/>
      <c r="I1945" s="32" t="s">
        <v>3357</v>
      </c>
      <c r="K1945" s="31">
        <f>(278*10+4*25)*2.2</f>
        <v>6336.0000000000009</v>
      </c>
      <c r="L1945" s="33">
        <v>24</v>
      </c>
      <c r="S1945" s="33">
        <v>24</v>
      </c>
      <c r="T1945" s="31">
        <v>0</v>
      </c>
      <c r="U1945" s="31">
        <v>0</v>
      </c>
      <c r="V1945" s="31">
        <v>0</v>
      </c>
      <c r="Y1945" s="31" t="s">
        <v>51</v>
      </c>
      <c r="Z1945" s="47" t="s">
        <v>2865</v>
      </c>
      <c r="AE1945" s="47" t="s">
        <v>3198</v>
      </c>
      <c r="AF1945" s="31">
        <v>40</v>
      </c>
      <c r="AK1945" s="32">
        <f>278+4</f>
        <v>282</v>
      </c>
      <c r="AO1945" s="73"/>
      <c r="AQ1945" s="32" t="s">
        <v>3320</v>
      </c>
      <c r="AU1945">
        <v>1944</v>
      </c>
    </row>
    <row r="1946" spans="1:47" x14ac:dyDescent="0.2">
      <c r="A1946" s="133">
        <v>6458</v>
      </c>
      <c r="B1946" s="39" t="s">
        <v>45</v>
      </c>
      <c r="C1946" s="38" t="s">
        <v>3330</v>
      </c>
      <c r="D1946" s="29"/>
      <c r="E1946" s="121" t="s">
        <v>3358</v>
      </c>
      <c r="F1946" s="31" t="s">
        <v>3359</v>
      </c>
      <c r="G1946" s="31" t="s">
        <v>49</v>
      </c>
      <c r="H1946" s="32"/>
      <c r="I1946" s="47" t="b">
        <v>1</v>
      </c>
      <c r="J1946" s="47" t="b">
        <v>1</v>
      </c>
      <c r="K1946" s="31">
        <f>6*300*2.2</f>
        <v>3960.0000000000005</v>
      </c>
      <c r="L1946" s="33">
        <v>8</v>
      </c>
      <c r="N1946" s="31">
        <v>2</v>
      </c>
      <c r="S1946" s="33">
        <v>6</v>
      </c>
      <c r="T1946" s="31">
        <v>0</v>
      </c>
      <c r="U1946" s="31">
        <v>0</v>
      </c>
      <c r="V1946" s="31">
        <v>0</v>
      </c>
      <c r="W1946" s="47">
        <f>((2900+1800+2800+2000+2600+2500)/6)*39.37/12</f>
        <v>7983.3611111111104</v>
      </c>
      <c r="Y1946" s="31" t="s">
        <v>51</v>
      </c>
      <c r="Z1946" s="47" t="s">
        <v>1846</v>
      </c>
      <c r="AA1946" s="49"/>
      <c r="AB1946" s="49"/>
      <c r="AC1946" s="49"/>
      <c r="AD1946" s="50">
        <f>2+20/60</f>
        <v>2.3333333333333335</v>
      </c>
      <c r="AE1946" s="47" t="s">
        <v>342</v>
      </c>
      <c r="AF1946" s="31">
        <v>70</v>
      </c>
      <c r="AK1946" s="32">
        <f>30+6+10+6+2+6</f>
        <v>60</v>
      </c>
      <c r="AO1946" s="73"/>
      <c r="AQ1946" t="s">
        <v>3360</v>
      </c>
      <c r="AR1946" s="32" t="s">
        <v>3361</v>
      </c>
      <c r="AU1946">
        <v>1945</v>
      </c>
    </row>
    <row r="1947" spans="1:47" x14ac:dyDescent="0.2">
      <c r="A1947" s="133">
        <v>6458</v>
      </c>
      <c r="B1947" s="39" t="s">
        <v>45</v>
      </c>
      <c r="C1947" s="38" t="s">
        <v>3330</v>
      </c>
      <c r="D1947" s="29"/>
      <c r="E1947" s="121" t="s">
        <v>2210</v>
      </c>
      <c r="F1947" s="31" t="s">
        <v>967</v>
      </c>
      <c r="G1947" s="31" t="s">
        <v>481</v>
      </c>
      <c r="H1947" s="32"/>
      <c r="I1947" s="47" t="b">
        <v>0</v>
      </c>
      <c r="J1947" s="47" t="b">
        <v>0</v>
      </c>
      <c r="K1947" s="31">
        <f>30*10*2.2</f>
        <v>660</v>
      </c>
      <c r="S1947" s="33">
        <v>1</v>
      </c>
      <c r="W1947" s="47">
        <f>2900*39.37/12</f>
        <v>9514.4166666666661</v>
      </c>
      <c r="Y1947" s="31" t="s">
        <v>51</v>
      </c>
      <c r="Z1947" s="47" t="s">
        <v>1846</v>
      </c>
      <c r="AA1947" s="49"/>
      <c r="AB1947" s="49"/>
      <c r="AC1947" s="49"/>
      <c r="AD1947" s="50">
        <f>2+20/60</f>
        <v>2.3333333333333335</v>
      </c>
      <c r="AE1947" s="47" t="s">
        <v>342</v>
      </c>
      <c r="AF1947" s="31">
        <v>60</v>
      </c>
      <c r="AK1947" s="32">
        <v>30</v>
      </c>
      <c r="AO1947" s="73"/>
      <c r="AQ1947" t="s">
        <v>3360</v>
      </c>
      <c r="AR1947" s="32" t="s">
        <v>3362</v>
      </c>
      <c r="AU1947">
        <v>1946</v>
      </c>
    </row>
    <row r="1948" spans="1:47" x14ac:dyDescent="0.2">
      <c r="A1948" s="133">
        <v>6458</v>
      </c>
      <c r="B1948" s="39" t="s">
        <v>45</v>
      </c>
      <c r="C1948" s="38" t="s">
        <v>3330</v>
      </c>
      <c r="D1948" s="29"/>
      <c r="E1948" s="121" t="s">
        <v>1983</v>
      </c>
      <c r="F1948" s="31" t="s">
        <v>967</v>
      </c>
      <c r="G1948" s="31" t="s">
        <v>481</v>
      </c>
      <c r="H1948" s="32"/>
      <c r="I1948" s="47" t="b">
        <v>0</v>
      </c>
      <c r="J1948" s="47" t="b">
        <v>0</v>
      </c>
      <c r="K1948" s="31">
        <f>6*50*2.2</f>
        <v>660</v>
      </c>
      <c r="S1948" s="33">
        <v>1</v>
      </c>
      <c r="W1948" s="47">
        <f>2600*39.37/12</f>
        <v>8530.1666666666661</v>
      </c>
      <c r="Y1948" s="31" t="s">
        <v>51</v>
      </c>
      <c r="Z1948" s="47" t="s">
        <v>1846</v>
      </c>
      <c r="AA1948" s="49"/>
      <c r="AB1948" s="49"/>
      <c r="AC1948" s="49"/>
      <c r="AD1948" s="50">
        <f>1+55/60</f>
        <v>1.9166666666666665</v>
      </c>
      <c r="AE1948" s="47" t="s">
        <v>342</v>
      </c>
      <c r="AF1948" s="47">
        <v>65</v>
      </c>
      <c r="AK1948" s="32">
        <v>6</v>
      </c>
      <c r="AO1948" s="73"/>
      <c r="AQ1948" t="s">
        <v>3360</v>
      </c>
      <c r="AR1948" s="32" t="s">
        <v>3363</v>
      </c>
      <c r="AU1948">
        <v>1947</v>
      </c>
    </row>
    <row r="1949" spans="1:47" x14ac:dyDescent="0.2">
      <c r="A1949" s="133">
        <v>6458</v>
      </c>
      <c r="B1949" s="39" t="s">
        <v>45</v>
      </c>
      <c r="C1949" s="38" t="s">
        <v>3330</v>
      </c>
      <c r="D1949" s="29"/>
      <c r="E1949" s="121" t="s">
        <v>3082</v>
      </c>
      <c r="F1949" s="31" t="s">
        <v>220</v>
      </c>
      <c r="G1949" s="31" t="s">
        <v>49</v>
      </c>
      <c r="H1949" s="32"/>
      <c r="I1949" s="47" t="b">
        <v>0</v>
      </c>
      <c r="J1949" s="47" t="b">
        <v>0</v>
      </c>
      <c r="K1949" s="31">
        <f>(6+4)*50*2.2</f>
        <v>1100</v>
      </c>
      <c r="S1949" s="33">
        <v>2</v>
      </c>
      <c r="W1949" s="47">
        <f>((2000+2500)/2)*39.37/12</f>
        <v>7381.875</v>
      </c>
      <c r="Y1949" s="31" t="s">
        <v>51</v>
      </c>
      <c r="Z1949" s="47" t="s">
        <v>1846</v>
      </c>
      <c r="AA1949" s="49"/>
      <c r="AB1949" s="49"/>
      <c r="AC1949" s="49"/>
      <c r="AD1949" s="50">
        <f>1.33</f>
        <v>1.33</v>
      </c>
      <c r="AE1949" s="47" t="s">
        <v>342</v>
      </c>
      <c r="AF1949" s="31">
        <v>45</v>
      </c>
      <c r="AK1949" s="32">
        <f>6+4</f>
        <v>10</v>
      </c>
      <c r="AO1949" s="73"/>
      <c r="AQ1949" t="s">
        <v>3360</v>
      </c>
      <c r="AR1949" s="32" t="s">
        <v>3364</v>
      </c>
      <c r="AU1949">
        <v>1948</v>
      </c>
    </row>
    <row r="1950" spans="1:47" x14ac:dyDescent="0.2">
      <c r="A1950" s="133">
        <v>6458</v>
      </c>
      <c r="B1950" s="39" t="s">
        <v>45</v>
      </c>
      <c r="C1950" s="38" t="s">
        <v>3330</v>
      </c>
      <c r="D1950" s="29"/>
      <c r="E1950" s="121" t="s">
        <v>1764</v>
      </c>
      <c r="F1950" s="31" t="s">
        <v>220</v>
      </c>
      <c r="G1950" s="31" t="s">
        <v>49</v>
      </c>
      <c r="H1950" s="32"/>
      <c r="I1950" s="47" t="b">
        <v>0</v>
      </c>
      <c r="J1950" s="47" t="b">
        <v>0</v>
      </c>
      <c r="K1950" s="31">
        <f>6*50*2.2</f>
        <v>660</v>
      </c>
      <c r="S1950" s="33">
        <v>1</v>
      </c>
      <c r="W1950" s="47">
        <f>2800*39.37/12</f>
        <v>9186.3333333333339</v>
      </c>
      <c r="Y1950" s="31" t="s">
        <v>51</v>
      </c>
      <c r="Z1950" s="47" t="s">
        <v>1846</v>
      </c>
      <c r="AA1950" s="49"/>
      <c r="AB1950" s="49"/>
      <c r="AC1950" s="49"/>
      <c r="AD1950" s="50">
        <f>2+10/60</f>
        <v>2.1666666666666665</v>
      </c>
      <c r="AE1950" s="47" t="s">
        <v>342</v>
      </c>
      <c r="AF1950" s="31">
        <v>70</v>
      </c>
      <c r="AK1950" s="32">
        <v>6</v>
      </c>
      <c r="AO1950" s="73"/>
      <c r="AQ1950" t="s">
        <v>3360</v>
      </c>
      <c r="AR1950" s="32" t="s">
        <v>3365</v>
      </c>
      <c r="AU1950">
        <v>1949</v>
      </c>
    </row>
    <row r="1951" spans="1:47" x14ac:dyDescent="0.2">
      <c r="A1951" s="133">
        <v>6458</v>
      </c>
      <c r="B1951" s="39" t="s">
        <v>45</v>
      </c>
      <c r="C1951" s="38" t="s">
        <v>3330</v>
      </c>
      <c r="D1951" s="29"/>
      <c r="E1951" s="121" t="s">
        <v>649</v>
      </c>
      <c r="F1951" s="31" t="s">
        <v>204</v>
      </c>
      <c r="G1951" s="31" t="s">
        <v>205</v>
      </c>
      <c r="H1951" s="32"/>
      <c r="I1951" s="47" t="b">
        <v>0</v>
      </c>
      <c r="J1951" s="47" t="b">
        <v>0</v>
      </c>
      <c r="K1951" s="31">
        <f>2*50*2.2</f>
        <v>220.00000000000003</v>
      </c>
      <c r="S1951" s="33">
        <v>1</v>
      </c>
      <c r="W1951" s="47">
        <f>2500*39.37/12</f>
        <v>8202.0833333333339</v>
      </c>
      <c r="Y1951" s="31" t="s">
        <v>51</v>
      </c>
      <c r="Z1951" s="47" t="s">
        <v>1846</v>
      </c>
      <c r="AA1951" s="49"/>
      <c r="AB1951" s="49"/>
      <c r="AC1951" s="49"/>
      <c r="AD1951" s="50">
        <v>1.33</v>
      </c>
      <c r="AE1951" s="47" t="s">
        <v>342</v>
      </c>
      <c r="AF1951" s="31">
        <v>40</v>
      </c>
      <c r="AK1951" s="32">
        <v>2</v>
      </c>
      <c r="AO1951" s="73"/>
      <c r="AQ1951" t="s">
        <v>3360</v>
      </c>
      <c r="AR1951" s="32" t="s">
        <v>3366</v>
      </c>
      <c r="AU1951">
        <v>1950</v>
      </c>
    </row>
    <row r="1952" spans="1:47" x14ac:dyDescent="0.2">
      <c r="A1952" s="133">
        <v>6458</v>
      </c>
      <c r="B1952" s="39" t="s">
        <v>45</v>
      </c>
      <c r="C1952" s="38" t="s">
        <v>3330</v>
      </c>
      <c r="D1952" s="29"/>
      <c r="E1952" s="39" t="s">
        <v>3367</v>
      </c>
      <c r="F1952" s="31" t="s">
        <v>220</v>
      </c>
      <c r="G1952" s="31" t="s">
        <v>49</v>
      </c>
      <c r="H1952" s="32"/>
      <c r="I1952" s="47" t="b">
        <v>0</v>
      </c>
      <c r="J1952" s="47" t="b">
        <v>0</v>
      </c>
      <c r="K1952" s="31">
        <f>6*50*2.2</f>
        <v>660</v>
      </c>
      <c r="S1952" s="33">
        <v>1</v>
      </c>
      <c r="W1952" s="47">
        <f>1800*39.37/12</f>
        <v>5905.5</v>
      </c>
      <c r="Y1952" s="31" t="s">
        <v>51</v>
      </c>
      <c r="Z1952" s="47" t="s">
        <v>1846</v>
      </c>
      <c r="AA1952" s="49"/>
      <c r="AB1952" s="49"/>
      <c r="AC1952" s="49"/>
      <c r="AD1952" s="50">
        <v>1.75</v>
      </c>
      <c r="AE1952" s="47" t="s">
        <v>342</v>
      </c>
      <c r="AF1952" s="31">
        <v>45</v>
      </c>
      <c r="AK1952" s="32">
        <v>6</v>
      </c>
      <c r="AO1952" s="73"/>
      <c r="AQ1952" t="s">
        <v>3360</v>
      </c>
      <c r="AR1952" s="32" t="s">
        <v>3368</v>
      </c>
      <c r="AU1952">
        <v>1951</v>
      </c>
    </row>
    <row r="1953" spans="1:47" x14ac:dyDescent="0.2">
      <c r="A1953" s="133">
        <v>6458</v>
      </c>
      <c r="B1953" s="39" t="s">
        <v>45</v>
      </c>
      <c r="C1953" s="39">
        <v>100</v>
      </c>
      <c r="D1953" s="29" t="b">
        <v>0</v>
      </c>
      <c r="E1953" s="39" t="s">
        <v>3181</v>
      </c>
      <c r="F1953" s="47" t="s">
        <v>3006</v>
      </c>
      <c r="G1953" s="47" t="s">
        <v>205</v>
      </c>
      <c r="H1953"/>
      <c r="I1953" s="47" t="b">
        <v>1</v>
      </c>
      <c r="J1953" s="47" t="b">
        <v>1</v>
      </c>
      <c r="K1953" s="47">
        <v>1100</v>
      </c>
      <c r="L1953" s="48">
        <v>6</v>
      </c>
      <c r="M1953" s="47">
        <v>-1</v>
      </c>
      <c r="N1953" s="47">
        <v>-1</v>
      </c>
      <c r="O1953" s="47">
        <v>-1</v>
      </c>
      <c r="P1953" s="47">
        <v>-1</v>
      </c>
      <c r="Q1953" s="47">
        <v>-1</v>
      </c>
      <c r="R1953" s="47">
        <v>-1</v>
      </c>
      <c r="S1953" s="48">
        <v>6</v>
      </c>
      <c r="T1953" s="47">
        <v>0</v>
      </c>
      <c r="U1953" s="47">
        <v>0</v>
      </c>
      <c r="V1953" s="47">
        <v>0</v>
      </c>
      <c r="W1953" s="47"/>
      <c r="X1953" s="47">
        <v>292</v>
      </c>
      <c r="Y1953" s="47"/>
      <c r="Z1953" s="47" t="s">
        <v>2524</v>
      </c>
      <c r="AA1953" s="49"/>
      <c r="AB1953" s="49"/>
      <c r="AC1953" s="49"/>
      <c r="AD1953" s="50"/>
      <c r="AE1953" s="47" t="s">
        <v>2754</v>
      </c>
      <c r="AF1953" s="47"/>
      <c r="AG1953"/>
      <c r="AH1953"/>
      <c r="AI1953"/>
      <c r="AJ1953"/>
      <c r="AK1953"/>
      <c r="AL1953"/>
      <c r="AM1953"/>
      <c r="AN1953"/>
      <c r="AO1953"/>
      <c r="AP1953"/>
      <c r="AQ1953" t="s">
        <v>2526</v>
      </c>
      <c r="AU1953">
        <v>1952</v>
      </c>
    </row>
    <row r="1954" spans="1:47" x14ac:dyDescent="0.2">
      <c r="A1954" s="133">
        <v>6458</v>
      </c>
      <c r="B1954" s="39" t="s">
        <v>45</v>
      </c>
      <c r="C1954" s="39">
        <v>100</v>
      </c>
      <c r="D1954" s="29" t="b">
        <v>0</v>
      </c>
      <c r="E1954" s="39" t="s">
        <v>3369</v>
      </c>
      <c r="F1954" s="47" t="s">
        <v>3370</v>
      </c>
      <c r="G1954" s="47" t="s">
        <v>49</v>
      </c>
      <c r="H1954"/>
      <c r="I1954" s="47" t="b">
        <v>0</v>
      </c>
      <c r="J1954" s="47" t="b">
        <v>0</v>
      </c>
      <c r="K1954" s="47">
        <v>300</v>
      </c>
      <c r="L1954" s="48">
        <v>6</v>
      </c>
      <c r="M1954" s="47">
        <v>-1</v>
      </c>
      <c r="N1954" s="47">
        <v>-1</v>
      </c>
      <c r="O1954" s="47">
        <v>-1</v>
      </c>
      <c r="P1954" s="47">
        <v>-1</v>
      </c>
      <c r="Q1954" s="47">
        <v>-1</v>
      </c>
      <c r="R1954" s="47">
        <v>-1</v>
      </c>
      <c r="S1954" s="48">
        <v>6</v>
      </c>
      <c r="T1954" s="47">
        <v>0</v>
      </c>
      <c r="U1954" s="47">
        <v>0</v>
      </c>
      <c r="V1954" s="47">
        <v>0</v>
      </c>
      <c r="W1954" s="47"/>
      <c r="X1954" s="47">
        <v>288</v>
      </c>
      <c r="Y1954" s="47"/>
      <c r="Z1954" s="47" t="s">
        <v>2524</v>
      </c>
      <c r="AA1954" s="49"/>
      <c r="AB1954" s="49"/>
      <c r="AC1954" s="49"/>
      <c r="AD1954" s="50"/>
      <c r="AE1954" s="47" t="s">
        <v>2754</v>
      </c>
      <c r="AF1954" s="47"/>
      <c r="AG1954"/>
      <c r="AH1954"/>
      <c r="AI1954"/>
      <c r="AJ1954"/>
      <c r="AK1954"/>
      <c r="AL1954"/>
      <c r="AM1954"/>
      <c r="AN1954"/>
      <c r="AO1954"/>
      <c r="AP1954"/>
      <c r="AQ1954" t="s">
        <v>2526</v>
      </c>
      <c r="AU1954">
        <v>1953</v>
      </c>
    </row>
    <row r="1955" spans="1:47" x14ac:dyDescent="0.2">
      <c r="A1955" s="133">
        <v>6458</v>
      </c>
      <c r="B1955" s="39" t="s">
        <v>45</v>
      </c>
      <c r="C1955" s="39">
        <v>100</v>
      </c>
      <c r="D1955" s="29" t="b">
        <v>0</v>
      </c>
      <c r="E1955" s="39" t="s">
        <v>2779</v>
      </c>
      <c r="F1955" s="47" t="s">
        <v>220</v>
      </c>
      <c r="G1955" s="47" t="s">
        <v>49</v>
      </c>
      <c r="H1955"/>
      <c r="I1955" s="47" t="b">
        <v>0</v>
      </c>
      <c r="J1955" s="47" t="b">
        <v>0</v>
      </c>
      <c r="K1955" s="47">
        <v>200</v>
      </c>
      <c r="L1955" s="48">
        <v>6</v>
      </c>
      <c r="M1955" s="47">
        <v>-1</v>
      </c>
      <c r="N1955" s="47">
        <v>-1</v>
      </c>
      <c r="O1955" s="47">
        <v>-1</v>
      </c>
      <c r="P1955" s="47">
        <v>-1</v>
      </c>
      <c r="Q1955" s="47">
        <v>-1</v>
      </c>
      <c r="R1955" s="47">
        <v>-1</v>
      </c>
      <c r="S1955" s="48">
        <v>6</v>
      </c>
      <c r="T1955" s="47">
        <v>0</v>
      </c>
      <c r="U1955" s="47">
        <v>0</v>
      </c>
      <c r="V1955" s="47">
        <v>0</v>
      </c>
      <c r="W1955" s="47"/>
      <c r="X1955" s="47">
        <v>287</v>
      </c>
      <c r="Y1955" s="47"/>
      <c r="Z1955" s="47" t="s">
        <v>2524</v>
      </c>
      <c r="AA1955" s="49"/>
      <c r="AB1955" s="49"/>
      <c r="AC1955" s="49"/>
      <c r="AD1955" s="50"/>
      <c r="AE1955" s="47" t="s">
        <v>2754</v>
      </c>
      <c r="AF1955" s="47">
        <v>45</v>
      </c>
      <c r="AG1955"/>
      <c r="AH1955"/>
      <c r="AI1955"/>
      <c r="AJ1955"/>
      <c r="AK1955"/>
      <c r="AL1955"/>
      <c r="AM1955"/>
      <c r="AN1955"/>
      <c r="AO1955"/>
      <c r="AP1955"/>
      <c r="AQ1955" t="s">
        <v>2526</v>
      </c>
      <c r="AU1955">
        <v>1954</v>
      </c>
    </row>
    <row r="1956" spans="1:47" x14ac:dyDescent="0.2">
      <c r="A1956" s="133">
        <v>6458</v>
      </c>
      <c r="B1956" s="39" t="s">
        <v>45</v>
      </c>
      <c r="C1956" s="39">
        <v>100</v>
      </c>
      <c r="D1956" s="29" t="b">
        <v>0</v>
      </c>
      <c r="E1956" s="39" t="s">
        <v>3371</v>
      </c>
      <c r="F1956" s="47" t="s">
        <v>529</v>
      </c>
      <c r="G1956" s="47" t="s">
        <v>205</v>
      </c>
      <c r="H1956"/>
      <c r="I1956" s="47" t="b">
        <v>0</v>
      </c>
      <c r="J1956" s="47" t="b">
        <v>0</v>
      </c>
      <c r="K1956" s="47">
        <v>200</v>
      </c>
      <c r="L1956" s="48">
        <v>6</v>
      </c>
      <c r="M1956" s="47">
        <v>-1</v>
      </c>
      <c r="N1956" s="47">
        <v>-1</v>
      </c>
      <c r="O1956" s="47">
        <v>-1</v>
      </c>
      <c r="P1956" s="47">
        <v>-1</v>
      </c>
      <c r="Q1956" s="47">
        <v>-1</v>
      </c>
      <c r="R1956" s="47">
        <v>-1</v>
      </c>
      <c r="S1956" s="48">
        <v>6</v>
      </c>
      <c r="T1956" s="47">
        <v>0</v>
      </c>
      <c r="U1956" s="47">
        <v>0</v>
      </c>
      <c r="V1956" s="47">
        <v>0</v>
      </c>
      <c r="W1956" s="47"/>
      <c r="X1956" s="47">
        <v>289</v>
      </c>
      <c r="Y1956" s="47"/>
      <c r="Z1956" s="47" t="s">
        <v>2524</v>
      </c>
      <c r="AA1956" s="49"/>
      <c r="AB1956" s="49"/>
      <c r="AC1956" s="49"/>
      <c r="AD1956" s="50"/>
      <c r="AE1956" s="47" t="s">
        <v>2754</v>
      </c>
      <c r="AF1956" s="47">
        <v>65</v>
      </c>
      <c r="AG1956"/>
      <c r="AH1956"/>
      <c r="AI1956"/>
      <c r="AJ1956"/>
      <c r="AK1956"/>
      <c r="AL1956"/>
      <c r="AM1956"/>
      <c r="AN1956"/>
      <c r="AO1956"/>
      <c r="AP1956"/>
      <c r="AQ1956" t="s">
        <v>2526</v>
      </c>
      <c r="AU1956">
        <v>1955</v>
      </c>
    </row>
    <row r="1957" spans="1:47" x14ac:dyDescent="0.2">
      <c r="A1957" s="133">
        <v>6458</v>
      </c>
      <c r="B1957" s="39" t="s">
        <v>45</v>
      </c>
      <c r="C1957" s="39">
        <v>100</v>
      </c>
      <c r="D1957" s="29" t="b">
        <v>0</v>
      </c>
      <c r="E1957" s="39" t="s">
        <v>3022</v>
      </c>
      <c r="F1957" s="47" t="s">
        <v>3372</v>
      </c>
      <c r="G1957" s="47" t="s">
        <v>205</v>
      </c>
      <c r="H1957"/>
      <c r="I1957" s="47" t="b">
        <v>0</v>
      </c>
      <c r="J1957" s="47" t="b">
        <v>0</v>
      </c>
      <c r="K1957" s="47">
        <v>200</v>
      </c>
      <c r="L1957" s="48">
        <v>6</v>
      </c>
      <c r="M1957" s="47">
        <v>-1</v>
      </c>
      <c r="N1957" s="47">
        <v>-1</v>
      </c>
      <c r="O1957" s="47">
        <v>-1</v>
      </c>
      <c r="P1957" s="47">
        <v>-1</v>
      </c>
      <c r="Q1957" s="47">
        <v>-1</v>
      </c>
      <c r="R1957" s="47">
        <v>-1</v>
      </c>
      <c r="S1957" s="48">
        <v>6</v>
      </c>
      <c r="T1957" s="47">
        <v>0</v>
      </c>
      <c r="U1957" s="47">
        <v>0</v>
      </c>
      <c r="V1957" s="47">
        <v>0</v>
      </c>
      <c r="W1957" s="47"/>
      <c r="X1957" s="47">
        <v>290</v>
      </c>
      <c r="Y1957" s="47"/>
      <c r="Z1957" s="47" t="s">
        <v>2524</v>
      </c>
      <c r="AA1957" s="49"/>
      <c r="AB1957" s="49"/>
      <c r="AC1957" s="49"/>
      <c r="AD1957" s="50"/>
      <c r="AE1957" s="47" t="s">
        <v>2754</v>
      </c>
      <c r="AF1957" s="47"/>
      <c r="AG1957"/>
      <c r="AH1957"/>
      <c r="AI1957"/>
      <c r="AJ1957"/>
      <c r="AK1957"/>
      <c r="AL1957"/>
      <c r="AM1957"/>
      <c r="AN1957"/>
      <c r="AO1957"/>
      <c r="AP1957"/>
      <c r="AQ1957" t="s">
        <v>2526</v>
      </c>
      <c r="AU1957">
        <v>1956</v>
      </c>
    </row>
    <row r="1958" spans="1:47" x14ac:dyDescent="0.2">
      <c r="A1958" s="133">
        <v>6458</v>
      </c>
      <c r="B1958" s="39" t="s">
        <v>45</v>
      </c>
      <c r="C1958" s="39">
        <v>100</v>
      </c>
      <c r="D1958" s="29" t="b">
        <v>0</v>
      </c>
      <c r="E1958" s="39" t="s">
        <v>3242</v>
      </c>
      <c r="F1958" s="47" t="s">
        <v>529</v>
      </c>
      <c r="G1958" s="47" t="s">
        <v>205</v>
      </c>
      <c r="H1958"/>
      <c r="I1958" s="47" t="b">
        <v>0</v>
      </c>
      <c r="J1958" s="47" t="b">
        <v>0</v>
      </c>
      <c r="K1958" s="47">
        <v>200</v>
      </c>
      <c r="L1958" s="48">
        <v>6</v>
      </c>
      <c r="M1958" s="47">
        <v>-1</v>
      </c>
      <c r="N1958" s="47">
        <v>-1</v>
      </c>
      <c r="O1958" s="47">
        <v>-1</v>
      </c>
      <c r="P1958" s="47">
        <v>-1</v>
      </c>
      <c r="Q1958" s="47">
        <v>-1</v>
      </c>
      <c r="R1958" s="47">
        <v>-1</v>
      </c>
      <c r="S1958" s="48">
        <v>6</v>
      </c>
      <c r="T1958" s="47">
        <v>0</v>
      </c>
      <c r="U1958" s="47">
        <v>0</v>
      </c>
      <c r="V1958" s="47">
        <v>0</v>
      </c>
      <c r="W1958" s="47"/>
      <c r="X1958" s="47">
        <v>291</v>
      </c>
      <c r="Y1958" s="47"/>
      <c r="Z1958" s="47" t="s">
        <v>2524</v>
      </c>
      <c r="AA1958" s="49"/>
      <c r="AB1958" s="49"/>
      <c r="AC1958" s="49"/>
      <c r="AD1958" s="50"/>
      <c r="AE1958" s="47" t="s">
        <v>2754</v>
      </c>
      <c r="AF1958" s="47">
        <v>55</v>
      </c>
      <c r="AG1958"/>
      <c r="AH1958"/>
      <c r="AI1958"/>
      <c r="AJ1958"/>
      <c r="AK1958"/>
      <c r="AL1958"/>
      <c r="AM1958"/>
      <c r="AN1958"/>
      <c r="AO1958"/>
      <c r="AP1958"/>
      <c r="AQ1958" t="s">
        <v>2526</v>
      </c>
      <c r="AU1958">
        <v>1957</v>
      </c>
    </row>
    <row r="1959" spans="1:47" x14ac:dyDescent="0.2">
      <c r="A1959" s="26">
        <v>6458</v>
      </c>
      <c r="B1959" s="27">
        <v>0.91319444444444453</v>
      </c>
      <c r="C1959" s="28"/>
      <c r="D1959" s="29"/>
      <c r="E1959" s="30" t="s">
        <v>464</v>
      </c>
      <c r="H1959" s="32">
        <v>1</v>
      </c>
      <c r="I1959" s="32" t="s">
        <v>3373</v>
      </c>
      <c r="AG1959" s="32">
        <v>0</v>
      </c>
      <c r="AH1959" s="32">
        <v>0</v>
      </c>
      <c r="AK1959" s="32">
        <v>6</v>
      </c>
      <c r="AL1959" s="32">
        <f>265/60</f>
        <v>4.416666666666667</v>
      </c>
      <c r="AO1959" s="32" t="s">
        <v>1898</v>
      </c>
      <c r="AP1959" s="32">
        <f>265/60</f>
        <v>4.416666666666667</v>
      </c>
      <c r="AQ1959" s="32" t="s">
        <v>3067</v>
      </c>
      <c r="AU1959">
        <v>1958</v>
      </c>
    </row>
    <row r="1960" spans="1:47" x14ac:dyDescent="0.2">
      <c r="A1960" s="26">
        <v>6458</v>
      </c>
      <c r="B1960" s="27">
        <v>0.92708333333333337</v>
      </c>
      <c r="C1960" s="28"/>
      <c r="D1960" s="29"/>
      <c r="E1960" s="30" t="s">
        <v>1282</v>
      </c>
      <c r="H1960" s="32">
        <v>0</v>
      </c>
      <c r="I1960" s="32" t="s">
        <v>2244</v>
      </c>
      <c r="AG1960" s="32">
        <v>0</v>
      </c>
      <c r="AH1960" s="32">
        <v>0</v>
      </c>
      <c r="AI1960" s="32">
        <v>0</v>
      </c>
      <c r="AK1960" s="32">
        <v>0</v>
      </c>
      <c r="AL1960" s="32">
        <v>4.5</v>
      </c>
      <c r="AP1960" s="32">
        <v>4.5</v>
      </c>
      <c r="AQ1960" s="32" t="s">
        <v>1101</v>
      </c>
      <c r="AU1960">
        <v>1959</v>
      </c>
    </row>
    <row r="1961" spans="1:47" x14ac:dyDescent="0.2">
      <c r="A1961" s="26">
        <v>6458</v>
      </c>
      <c r="B1961" s="27">
        <v>0.99861111111111101</v>
      </c>
      <c r="C1961" s="28"/>
      <c r="D1961" s="29"/>
      <c r="E1961" s="30" t="s">
        <v>1144</v>
      </c>
      <c r="H1961" s="32">
        <v>1</v>
      </c>
      <c r="I1961" s="32" t="s">
        <v>3374</v>
      </c>
      <c r="AG1961" s="32">
        <v>4</v>
      </c>
      <c r="AI1961" s="32">
        <v>25981</v>
      </c>
      <c r="AK1961" s="32">
        <v>14</v>
      </c>
      <c r="AL1961" s="32">
        <f>17/60</f>
        <v>0.28333333333333333</v>
      </c>
      <c r="AO1961" s="32" t="s">
        <v>1006</v>
      </c>
      <c r="AP1961" s="32">
        <f>17/60</f>
        <v>0.28333333333333333</v>
      </c>
      <c r="AQ1961" s="32" t="s">
        <v>2673</v>
      </c>
      <c r="AU1961">
        <v>1960</v>
      </c>
    </row>
    <row r="1962" spans="1:47" x14ac:dyDescent="0.2">
      <c r="A1962" s="26">
        <v>6458</v>
      </c>
      <c r="B1962" s="27" t="s">
        <v>45</v>
      </c>
      <c r="C1962" s="28"/>
      <c r="D1962" s="29"/>
      <c r="E1962" s="30" t="s">
        <v>1531</v>
      </c>
      <c r="H1962" s="32">
        <v>1</v>
      </c>
      <c r="I1962" s="32" t="s">
        <v>3375</v>
      </c>
      <c r="AM1962" s="32">
        <f>498*130</f>
        <v>64740</v>
      </c>
      <c r="AO1962" s="32" t="s">
        <v>1533</v>
      </c>
      <c r="AQ1962" s="32" t="s">
        <v>1101</v>
      </c>
      <c r="AU1962">
        <v>1961</v>
      </c>
    </row>
    <row r="1963" spans="1:47" x14ac:dyDescent="0.2">
      <c r="A1963" s="26">
        <v>6458</v>
      </c>
      <c r="B1963" s="27" t="s">
        <v>45</v>
      </c>
      <c r="C1963" s="28"/>
      <c r="D1963" s="29"/>
      <c r="E1963" s="150" t="s">
        <v>2286</v>
      </c>
      <c r="H1963" s="32">
        <v>0</v>
      </c>
      <c r="I1963" s="32" t="s">
        <v>1824</v>
      </c>
      <c r="AG1963" s="32">
        <v>0</v>
      </c>
      <c r="AH1963" s="32">
        <v>0</v>
      </c>
      <c r="AI1963" s="32">
        <v>0</v>
      </c>
      <c r="AK1963" s="32">
        <v>0</v>
      </c>
      <c r="AM1963" s="32">
        <v>25000</v>
      </c>
      <c r="AO1963" s="73" t="s">
        <v>75</v>
      </c>
      <c r="AQ1963" s="32" t="s">
        <v>589</v>
      </c>
      <c r="AU1963">
        <v>1962</v>
      </c>
    </row>
    <row r="1964" spans="1:47" x14ac:dyDescent="0.2">
      <c r="A1964" s="26">
        <v>6458</v>
      </c>
      <c r="B1964" s="27"/>
      <c r="C1964" s="28"/>
      <c r="D1964" s="29"/>
      <c r="E1964" s="102" t="s">
        <v>1421</v>
      </c>
      <c r="H1964" s="32">
        <v>1</v>
      </c>
      <c r="I1964" s="32" t="s">
        <v>1422</v>
      </c>
      <c r="AK1964" s="32">
        <v>13</v>
      </c>
      <c r="AO1964" s="73"/>
      <c r="AQ1964" s="32" t="s">
        <v>589</v>
      </c>
      <c r="AU1964">
        <v>1963</v>
      </c>
    </row>
    <row r="1965" spans="1:47" x14ac:dyDescent="0.2">
      <c r="A1965" s="26">
        <v>6459</v>
      </c>
      <c r="B1965" s="27">
        <v>0.40625</v>
      </c>
      <c r="C1965" s="28"/>
      <c r="D1965" s="29"/>
      <c r="E1965" s="30" t="s">
        <v>464</v>
      </c>
      <c r="H1965" s="32">
        <v>0</v>
      </c>
      <c r="I1965" s="32" t="s">
        <v>2521</v>
      </c>
      <c r="AG1965" s="32">
        <v>0</v>
      </c>
      <c r="AH1965" s="32">
        <v>0</v>
      </c>
      <c r="AI1965" s="32">
        <v>0</v>
      </c>
      <c r="AK1965" s="32">
        <v>0</v>
      </c>
      <c r="AL1965" s="32">
        <v>0.33300000000000002</v>
      </c>
      <c r="AO1965" s="32" t="s">
        <v>1898</v>
      </c>
      <c r="AP1965" s="32">
        <v>0.33300000000000002</v>
      </c>
      <c r="AQ1965" s="32" t="s">
        <v>1522</v>
      </c>
      <c r="AU1965">
        <v>1964</v>
      </c>
    </row>
    <row r="1966" spans="1:47" x14ac:dyDescent="0.2">
      <c r="A1966" s="44">
        <v>6461</v>
      </c>
      <c r="B1966" s="42" t="s">
        <v>85</v>
      </c>
      <c r="C1966" s="43" t="s">
        <v>142</v>
      </c>
      <c r="D1966" s="29"/>
      <c r="E1966" s="36" t="s">
        <v>3376</v>
      </c>
      <c r="F1966" s="31" t="s">
        <v>83</v>
      </c>
      <c r="G1966" s="31" t="s">
        <v>69</v>
      </c>
      <c r="H1966" s="32"/>
      <c r="I1966" s="32" t="s">
        <v>3377</v>
      </c>
      <c r="K1966" s="127">
        <f>4*3*10*2.2</f>
        <v>264</v>
      </c>
      <c r="S1966" s="33">
        <v>3</v>
      </c>
      <c r="T1966" s="31">
        <v>0</v>
      </c>
      <c r="U1966" s="31">
        <v>0</v>
      </c>
      <c r="V1966" s="31">
        <v>0</v>
      </c>
      <c r="Y1966" s="31" t="s">
        <v>51</v>
      </c>
      <c r="Z1966" s="31" t="s">
        <v>1809</v>
      </c>
      <c r="AE1966" s="47" t="s">
        <v>3198</v>
      </c>
      <c r="AF1966" s="31">
        <v>65</v>
      </c>
      <c r="AK1966" s="53">
        <v>12</v>
      </c>
      <c r="AQ1966" s="32" t="s">
        <v>3378</v>
      </c>
      <c r="AU1966">
        <v>1965</v>
      </c>
    </row>
    <row r="1967" spans="1:47" x14ac:dyDescent="0.2">
      <c r="A1967" s="26">
        <v>6461</v>
      </c>
      <c r="B1967" s="27">
        <v>0.17361111111111113</v>
      </c>
      <c r="C1967" s="28"/>
      <c r="D1967" s="29"/>
      <c r="E1967" s="30" t="s">
        <v>464</v>
      </c>
      <c r="H1967" s="32">
        <v>1</v>
      </c>
      <c r="I1967" s="32" t="s">
        <v>3379</v>
      </c>
      <c r="AG1967" s="32">
        <v>0</v>
      </c>
      <c r="AH1967" s="32">
        <v>0</v>
      </c>
      <c r="AL1967" s="32">
        <f>5/6</f>
        <v>0.83333333333333337</v>
      </c>
      <c r="AO1967" s="32" t="s">
        <v>1898</v>
      </c>
      <c r="AP1967" s="32">
        <f>5/6</f>
        <v>0.83333333333333337</v>
      </c>
      <c r="AQ1967" s="32" t="s">
        <v>1522</v>
      </c>
      <c r="AU1967">
        <v>1966</v>
      </c>
    </row>
    <row r="1968" spans="1:47" x14ac:dyDescent="0.2">
      <c r="A1968" s="26">
        <v>6461</v>
      </c>
      <c r="B1968" s="27">
        <v>0.17361111111111113</v>
      </c>
      <c r="C1968" s="28"/>
      <c r="D1968" s="29"/>
      <c r="E1968" s="30" t="s">
        <v>1282</v>
      </c>
      <c r="H1968" s="32">
        <v>0</v>
      </c>
      <c r="I1968" s="32" t="s">
        <v>3380</v>
      </c>
      <c r="AG1968" s="32">
        <v>0</v>
      </c>
      <c r="AH1968" s="32">
        <v>0</v>
      </c>
      <c r="AI1968" s="32">
        <v>0</v>
      </c>
      <c r="AK1968" s="32">
        <v>0</v>
      </c>
      <c r="AL1968" s="32">
        <v>0.25</v>
      </c>
      <c r="AP1968" s="32">
        <v>0.25</v>
      </c>
      <c r="AQ1968" s="32" t="s">
        <v>1101</v>
      </c>
      <c r="AU1968">
        <v>1967</v>
      </c>
    </row>
    <row r="1969" spans="1:47" x14ac:dyDescent="0.2">
      <c r="A1969" s="26">
        <v>6461</v>
      </c>
      <c r="B1969" s="27">
        <v>0.71736111111111101</v>
      </c>
      <c r="C1969" s="28"/>
      <c r="D1969" s="29"/>
      <c r="E1969" s="30" t="s">
        <v>869</v>
      </c>
      <c r="H1969" s="32">
        <v>0</v>
      </c>
      <c r="I1969" s="32" t="s">
        <v>2344</v>
      </c>
      <c r="AG1969" s="32">
        <v>0</v>
      </c>
      <c r="AH1969" s="32">
        <v>0</v>
      </c>
      <c r="AI1969" s="32">
        <v>0</v>
      </c>
      <c r="AK1969" s="32">
        <v>0</v>
      </c>
      <c r="AL1969" s="32">
        <f>17/60</f>
        <v>0.28333333333333333</v>
      </c>
      <c r="AP1969" s="32">
        <f>17/60</f>
        <v>0.28333333333333333</v>
      </c>
      <c r="AQ1969" s="32" t="s">
        <v>589</v>
      </c>
      <c r="AU1969">
        <v>1968</v>
      </c>
    </row>
    <row r="1970" spans="1:47" x14ac:dyDescent="0.2">
      <c r="A1970" s="133">
        <v>6462</v>
      </c>
      <c r="B1970" s="39" t="s">
        <v>45</v>
      </c>
      <c r="C1970" s="38" t="s">
        <v>3330</v>
      </c>
      <c r="D1970" s="29"/>
      <c r="E1970" s="121" t="s">
        <v>1764</v>
      </c>
      <c r="F1970" s="31" t="s">
        <v>220</v>
      </c>
      <c r="G1970" s="31" t="s">
        <v>49</v>
      </c>
      <c r="H1970" s="32"/>
      <c r="I1970" s="32" t="s">
        <v>3381</v>
      </c>
      <c r="K1970" s="31">
        <f>3*30*10*2.2</f>
        <v>1980.0000000000002</v>
      </c>
      <c r="L1970" s="33">
        <v>3</v>
      </c>
      <c r="S1970" s="33">
        <v>3</v>
      </c>
      <c r="T1970" s="47">
        <v>0</v>
      </c>
      <c r="U1970" s="47">
        <v>0</v>
      </c>
      <c r="V1970" s="47">
        <v>0</v>
      </c>
      <c r="W1970" s="47">
        <f>((3400+2500+2000)/3)*39.37/12</f>
        <v>8639.5277777777774</v>
      </c>
      <c r="Y1970" s="31" t="s">
        <v>51</v>
      </c>
      <c r="Z1970" s="47" t="s">
        <v>1846</v>
      </c>
      <c r="AA1970" s="49"/>
      <c r="AB1970" s="49"/>
      <c r="AC1970" s="49"/>
      <c r="AD1970" s="50">
        <f>2+10/60</f>
        <v>2.1666666666666665</v>
      </c>
      <c r="AE1970" s="47" t="s">
        <v>342</v>
      </c>
      <c r="AF1970" s="31">
        <v>70</v>
      </c>
      <c r="AK1970" s="32">
        <f>3*30</f>
        <v>90</v>
      </c>
      <c r="AQ1970" t="s">
        <v>3382</v>
      </c>
      <c r="AU1970">
        <v>1969</v>
      </c>
    </row>
    <row r="1971" spans="1:47" x14ac:dyDescent="0.2">
      <c r="A1971" s="133">
        <v>6462</v>
      </c>
      <c r="B1971" s="39" t="s">
        <v>45</v>
      </c>
      <c r="C1971" s="38" t="s">
        <v>3330</v>
      </c>
      <c r="D1971" s="29"/>
      <c r="E1971" s="121" t="s">
        <v>3082</v>
      </c>
      <c r="F1971" s="31" t="s">
        <v>220</v>
      </c>
      <c r="G1971" s="31" t="s">
        <v>49</v>
      </c>
      <c r="H1971" s="32"/>
      <c r="I1971" s="32" t="s">
        <v>3383</v>
      </c>
      <c r="K1971" s="31">
        <f>6*50*2.2+30*10*2.2</f>
        <v>1320</v>
      </c>
      <c r="L1971" s="33">
        <v>2</v>
      </c>
      <c r="S1971" s="33">
        <v>2</v>
      </c>
      <c r="T1971" s="47">
        <v>0</v>
      </c>
      <c r="U1971" s="47">
        <v>0</v>
      </c>
      <c r="V1971" s="47">
        <v>0</v>
      </c>
      <c r="W1971" s="47">
        <f>((1600+1800)/2)*39.37/12</f>
        <v>5577.416666666667</v>
      </c>
      <c r="Y1971" s="31" t="s">
        <v>51</v>
      </c>
      <c r="Z1971" s="47" t="s">
        <v>1846</v>
      </c>
      <c r="AA1971" s="49"/>
      <c r="AB1971" s="49"/>
      <c r="AC1971" s="49"/>
      <c r="AD1971" s="50">
        <v>1.33</v>
      </c>
      <c r="AE1971" s="47" t="s">
        <v>342</v>
      </c>
      <c r="AF1971" s="31">
        <v>45</v>
      </c>
      <c r="AK1971" s="32">
        <f>6+30</f>
        <v>36</v>
      </c>
      <c r="AQ1971" t="s">
        <v>3382</v>
      </c>
      <c r="AU1971">
        <v>1970</v>
      </c>
    </row>
    <row r="1972" spans="1:47" x14ac:dyDescent="0.2">
      <c r="A1972" s="133">
        <v>6462</v>
      </c>
      <c r="B1972" s="39" t="s">
        <v>45</v>
      </c>
      <c r="C1972" s="38" t="s">
        <v>3330</v>
      </c>
      <c r="D1972" s="29"/>
      <c r="E1972" s="121" t="s">
        <v>1983</v>
      </c>
      <c r="F1972" s="31" t="s">
        <v>967</v>
      </c>
      <c r="G1972" s="31" t="s">
        <v>481</v>
      </c>
      <c r="H1972" s="32"/>
      <c r="I1972" s="32" t="s">
        <v>3384</v>
      </c>
      <c r="K1972" s="31">
        <f>6*50*2.2</f>
        <v>660</v>
      </c>
      <c r="L1972" s="33">
        <v>1</v>
      </c>
      <c r="S1972" s="33">
        <v>1</v>
      </c>
      <c r="T1972" s="47">
        <v>0</v>
      </c>
      <c r="U1972" s="47">
        <v>0</v>
      </c>
      <c r="V1972" s="47">
        <v>0</v>
      </c>
      <c r="W1972" s="47">
        <f>2000*39.37/12</f>
        <v>6561.666666666667</v>
      </c>
      <c r="Y1972" s="31" t="s">
        <v>51</v>
      </c>
      <c r="Z1972" s="47" t="s">
        <v>1846</v>
      </c>
      <c r="AA1972" s="49"/>
      <c r="AB1972" s="49"/>
      <c r="AC1972" s="49"/>
      <c r="AD1972" s="50">
        <f>1+55/60</f>
        <v>1.9166666666666665</v>
      </c>
      <c r="AE1972" s="47" t="s">
        <v>342</v>
      </c>
      <c r="AF1972" s="47">
        <v>65</v>
      </c>
      <c r="AK1972" s="32">
        <v>6</v>
      </c>
      <c r="AQ1972" t="s">
        <v>3382</v>
      </c>
      <c r="AU1972">
        <v>1971</v>
      </c>
    </row>
    <row r="1973" spans="1:47" x14ac:dyDescent="0.2">
      <c r="A1973" s="133">
        <v>6462</v>
      </c>
      <c r="B1973" s="39" t="s">
        <v>45</v>
      </c>
      <c r="C1973" s="38" t="s">
        <v>3330</v>
      </c>
      <c r="D1973" s="29"/>
      <c r="E1973" s="121" t="s">
        <v>649</v>
      </c>
      <c r="F1973" s="31" t="s">
        <v>204</v>
      </c>
      <c r="G1973" s="31" t="s">
        <v>205</v>
      </c>
      <c r="H1973" s="32"/>
      <c r="I1973" s="32" t="s">
        <v>3385</v>
      </c>
      <c r="K1973" s="31">
        <f>6*50*2.2</f>
        <v>660</v>
      </c>
      <c r="L1973" s="33">
        <v>1</v>
      </c>
      <c r="S1973" s="33">
        <v>1</v>
      </c>
      <c r="T1973" s="47">
        <v>0</v>
      </c>
      <c r="U1973" s="47">
        <v>0</v>
      </c>
      <c r="V1973" s="47">
        <v>0</v>
      </c>
      <c r="W1973" s="47">
        <f>2500*39.37/12</f>
        <v>8202.0833333333339</v>
      </c>
      <c r="Y1973" s="31" t="s">
        <v>51</v>
      </c>
      <c r="Z1973" s="47" t="s">
        <v>1846</v>
      </c>
      <c r="AA1973" s="49"/>
      <c r="AB1973" s="49"/>
      <c r="AC1973" s="49"/>
      <c r="AD1973" s="50">
        <v>1.33</v>
      </c>
      <c r="AE1973" s="47" t="s">
        <v>342</v>
      </c>
      <c r="AF1973" s="31">
        <v>40</v>
      </c>
      <c r="AK1973" s="32">
        <v>6</v>
      </c>
      <c r="AQ1973" t="s">
        <v>3382</v>
      </c>
      <c r="AU1973">
        <v>1972</v>
      </c>
    </row>
    <row r="1974" spans="1:47" x14ac:dyDescent="0.2">
      <c r="A1974" s="133">
        <v>6462</v>
      </c>
      <c r="B1974" s="39" t="s">
        <v>45</v>
      </c>
      <c r="C1974" s="39">
        <v>100</v>
      </c>
      <c r="D1974" s="29" t="b">
        <v>0</v>
      </c>
      <c r="E1974" s="39" t="s">
        <v>3386</v>
      </c>
      <c r="F1974" s="47" t="s">
        <v>3387</v>
      </c>
      <c r="G1974" s="47" t="s">
        <v>205</v>
      </c>
      <c r="H1974"/>
      <c r="I1974" s="47" t="b">
        <v>1</v>
      </c>
      <c r="J1974" s="47" t="b">
        <v>1</v>
      </c>
      <c r="K1974" s="47">
        <v>475</v>
      </c>
      <c r="L1974" s="48">
        <v>3</v>
      </c>
      <c r="M1974" s="47">
        <v>-1</v>
      </c>
      <c r="N1974" s="47">
        <v>-1</v>
      </c>
      <c r="O1974" s="47">
        <v>-1</v>
      </c>
      <c r="P1974" s="47">
        <v>-1</v>
      </c>
      <c r="Q1974" s="47">
        <v>-1</v>
      </c>
      <c r="R1974" s="47">
        <v>-1</v>
      </c>
      <c r="S1974" s="48">
        <v>3</v>
      </c>
      <c r="T1974" s="47">
        <v>0</v>
      </c>
      <c r="U1974" s="47">
        <v>0</v>
      </c>
      <c r="V1974" s="47">
        <v>0</v>
      </c>
      <c r="W1974" s="47"/>
      <c r="X1974" s="47">
        <v>296</v>
      </c>
      <c r="Y1974" s="47"/>
      <c r="Z1974" s="47" t="s">
        <v>2524</v>
      </c>
      <c r="AA1974" s="49"/>
      <c r="AB1974" s="49"/>
      <c r="AC1974" s="49"/>
      <c r="AD1974" s="50"/>
      <c r="AE1974" s="47" t="s">
        <v>2754</v>
      </c>
      <c r="AF1974" s="47">
        <v>55</v>
      </c>
      <c r="AG1974"/>
      <c r="AH1974"/>
      <c r="AI1974"/>
      <c r="AJ1974"/>
      <c r="AK1974"/>
      <c r="AL1974"/>
      <c r="AM1974"/>
      <c r="AN1974"/>
      <c r="AO1974"/>
      <c r="AP1974"/>
      <c r="AQ1974" t="s">
        <v>2526</v>
      </c>
      <c r="AU1974">
        <v>1973</v>
      </c>
    </row>
    <row r="1975" spans="1:47" x14ac:dyDescent="0.2">
      <c r="A1975" s="133">
        <v>6462</v>
      </c>
      <c r="B1975" s="39" t="s">
        <v>45</v>
      </c>
      <c r="C1975" s="39">
        <v>100</v>
      </c>
      <c r="D1975" s="29" t="b">
        <v>0</v>
      </c>
      <c r="E1975" s="39" t="s">
        <v>3388</v>
      </c>
      <c r="F1975" s="47" t="s">
        <v>1969</v>
      </c>
      <c r="G1975" s="47" t="s">
        <v>205</v>
      </c>
      <c r="H1975"/>
      <c r="I1975" s="47" t="b">
        <v>0</v>
      </c>
      <c r="J1975" s="47" t="b">
        <v>0</v>
      </c>
      <c r="K1975" s="47">
        <v>200</v>
      </c>
      <c r="L1975" s="48">
        <v>3</v>
      </c>
      <c r="M1975" s="47">
        <v>-1</v>
      </c>
      <c r="N1975" s="47">
        <v>-1</v>
      </c>
      <c r="O1975" s="47">
        <v>-1</v>
      </c>
      <c r="P1975" s="47">
        <v>-1</v>
      </c>
      <c r="Q1975" s="47">
        <v>-1</v>
      </c>
      <c r="R1975" s="47">
        <v>-1</v>
      </c>
      <c r="S1975" s="48">
        <v>3</v>
      </c>
      <c r="T1975" s="47">
        <v>0</v>
      </c>
      <c r="U1975" s="47">
        <v>0</v>
      </c>
      <c r="V1975" s="47">
        <v>0</v>
      </c>
      <c r="W1975" s="47"/>
      <c r="X1975" s="47">
        <v>293</v>
      </c>
      <c r="Y1975" s="47"/>
      <c r="Z1975" s="47" t="s">
        <v>2524</v>
      </c>
      <c r="AA1975" s="49"/>
      <c r="AB1975" s="49"/>
      <c r="AC1975" s="49"/>
      <c r="AD1975" s="50"/>
      <c r="AE1975" s="47" t="s">
        <v>2754</v>
      </c>
      <c r="AF1975" s="47">
        <v>55</v>
      </c>
      <c r="AG1975"/>
      <c r="AH1975"/>
      <c r="AI1975"/>
      <c r="AJ1975"/>
      <c r="AK1975"/>
      <c r="AL1975"/>
      <c r="AM1975"/>
      <c r="AN1975"/>
      <c r="AO1975"/>
      <c r="AP1975"/>
      <c r="AQ1975" t="s">
        <v>2526</v>
      </c>
      <c r="AU1975">
        <v>1974</v>
      </c>
    </row>
    <row r="1976" spans="1:47" x14ac:dyDescent="0.2">
      <c r="A1976" s="133">
        <v>6462</v>
      </c>
      <c r="B1976" s="39" t="s">
        <v>45</v>
      </c>
      <c r="C1976" s="39">
        <v>100</v>
      </c>
      <c r="D1976" s="29" t="b">
        <v>0</v>
      </c>
      <c r="E1976" s="39" t="s">
        <v>3389</v>
      </c>
      <c r="F1976" s="47" t="s">
        <v>1717</v>
      </c>
      <c r="G1976" s="47" t="s">
        <v>73</v>
      </c>
      <c r="H1976"/>
      <c r="I1976" s="47" t="b">
        <v>0</v>
      </c>
      <c r="J1976" s="47" t="b">
        <v>0</v>
      </c>
      <c r="K1976" s="47">
        <v>200</v>
      </c>
      <c r="L1976" s="48">
        <v>3</v>
      </c>
      <c r="M1976" s="47">
        <v>-1</v>
      </c>
      <c r="N1976" s="47">
        <v>-1</v>
      </c>
      <c r="O1976" s="47">
        <v>-1</v>
      </c>
      <c r="P1976" s="47">
        <v>-1</v>
      </c>
      <c r="Q1976" s="47">
        <v>-1</v>
      </c>
      <c r="R1976" s="47">
        <v>-1</v>
      </c>
      <c r="S1976" s="48">
        <v>3</v>
      </c>
      <c r="T1976" s="47">
        <v>0</v>
      </c>
      <c r="U1976" s="47">
        <v>0</v>
      </c>
      <c r="V1976" s="47">
        <v>0</v>
      </c>
      <c r="W1976" s="47"/>
      <c r="X1976" s="47">
        <v>295</v>
      </c>
      <c r="Y1976" s="47"/>
      <c r="Z1976" s="47" t="s">
        <v>2524</v>
      </c>
      <c r="AA1976" s="49"/>
      <c r="AB1976" s="49"/>
      <c r="AC1976" s="49"/>
      <c r="AD1976" s="50"/>
      <c r="AE1976" s="47" t="s">
        <v>2754</v>
      </c>
      <c r="AF1976" s="47"/>
      <c r="AG1976"/>
      <c r="AH1976"/>
      <c r="AI1976"/>
      <c r="AJ1976"/>
      <c r="AK1976"/>
      <c r="AL1976"/>
      <c r="AM1976"/>
      <c r="AN1976"/>
      <c r="AO1976"/>
      <c r="AP1976"/>
      <c r="AQ1976" t="s">
        <v>2526</v>
      </c>
      <c r="AU1976">
        <v>1975</v>
      </c>
    </row>
    <row r="1977" spans="1:47" x14ac:dyDescent="0.2">
      <c r="A1977" s="133">
        <v>6462</v>
      </c>
      <c r="B1977" s="39" t="s">
        <v>45</v>
      </c>
      <c r="C1977" s="39">
        <v>100</v>
      </c>
      <c r="D1977" s="29" t="b">
        <v>0</v>
      </c>
      <c r="E1977" s="39" t="s">
        <v>3160</v>
      </c>
      <c r="F1977" s="47" t="s">
        <v>529</v>
      </c>
      <c r="G1977" s="47" t="s">
        <v>205</v>
      </c>
      <c r="H1977"/>
      <c r="I1977" s="47" t="b">
        <v>0</v>
      </c>
      <c r="J1977" s="47" t="b">
        <v>0</v>
      </c>
      <c r="K1977" s="47">
        <v>75</v>
      </c>
      <c r="L1977" s="48">
        <v>3</v>
      </c>
      <c r="M1977" s="47">
        <v>-1</v>
      </c>
      <c r="N1977" s="47">
        <v>-1</v>
      </c>
      <c r="O1977" s="47">
        <v>-1</v>
      </c>
      <c r="P1977" s="47">
        <v>-1</v>
      </c>
      <c r="Q1977" s="47">
        <v>-1</v>
      </c>
      <c r="R1977" s="47">
        <v>-1</v>
      </c>
      <c r="S1977" s="48">
        <v>3</v>
      </c>
      <c r="T1977" s="47">
        <v>0</v>
      </c>
      <c r="U1977" s="47">
        <v>0</v>
      </c>
      <c r="V1977" s="47">
        <v>0</v>
      </c>
      <c r="W1977" s="47"/>
      <c r="X1977" s="47">
        <v>294</v>
      </c>
      <c r="Y1977" s="47"/>
      <c r="Z1977" s="47" t="s">
        <v>2524</v>
      </c>
      <c r="AA1977" s="49"/>
      <c r="AB1977" s="49"/>
      <c r="AC1977" s="49"/>
      <c r="AD1977" s="50"/>
      <c r="AE1977" s="47" t="s">
        <v>2754</v>
      </c>
      <c r="AF1977" s="47"/>
      <c r="AG1977"/>
      <c r="AH1977"/>
      <c r="AI1977"/>
      <c r="AJ1977"/>
      <c r="AK1977"/>
      <c r="AL1977"/>
      <c r="AM1977"/>
      <c r="AN1977"/>
      <c r="AO1977"/>
      <c r="AP1977"/>
      <c r="AQ1977" t="s">
        <v>2526</v>
      </c>
      <c r="AU1977">
        <v>1976</v>
      </c>
    </row>
    <row r="1978" spans="1:47" x14ac:dyDescent="0.2">
      <c r="A1978" s="26">
        <v>6462</v>
      </c>
      <c r="B1978" s="27">
        <v>0.96527777777777779</v>
      </c>
      <c r="C1978" s="28"/>
      <c r="D1978" s="29"/>
      <c r="E1978" s="30" t="s">
        <v>464</v>
      </c>
      <c r="H1978" s="32">
        <v>1</v>
      </c>
      <c r="I1978" s="32" t="s">
        <v>3379</v>
      </c>
      <c r="AG1978" s="32">
        <v>0</v>
      </c>
      <c r="AH1978" s="32">
        <v>0</v>
      </c>
      <c r="AL1978" s="32">
        <f>1/6</f>
        <v>0.16666666666666666</v>
      </c>
      <c r="AO1978" s="32" t="s">
        <v>1898</v>
      </c>
      <c r="AP1978" s="32">
        <f>1/6</f>
        <v>0.16666666666666666</v>
      </c>
      <c r="AQ1978" s="32" t="s">
        <v>1522</v>
      </c>
      <c r="AU1978">
        <v>1977</v>
      </c>
    </row>
    <row r="1979" spans="1:47" x14ac:dyDescent="0.2">
      <c r="A1979" s="26">
        <v>6462</v>
      </c>
      <c r="B1979" s="27">
        <v>0.96527777777777779</v>
      </c>
      <c r="C1979" s="28"/>
      <c r="D1979" s="29"/>
      <c r="E1979" s="30" t="s">
        <v>1282</v>
      </c>
      <c r="H1979" s="32">
        <v>1</v>
      </c>
      <c r="I1979" s="32" t="s">
        <v>3390</v>
      </c>
      <c r="AG1979" s="32">
        <v>0</v>
      </c>
      <c r="AH1979" s="32">
        <v>0</v>
      </c>
      <c r="AI1979" s="32">
        <v>0</v>
      </c>
      <c r="AK1979" s="32">
        <v>0</v>
      </c>
      <c r="AL1979" s="32">
        <f>4+10/60</f>
        <v>4.166666666666667</v>
      </c>
      <c r="AP1979" s="32">
        <f>2+40/60</f>
        <v>2.6666666666666665</v>
      </c>
      <c r="AQ1979" s="32" t="s">
        <v>1101</v>
      </c>
      <c r="AU1979">
        <v>1978</v>
      </c>
    </row>
    <row r="1980" spans="1:47" x14ac:dyDescent="0.2">
      <c r="A1980" s="26">
        <v>6462</v>
      </c>
      <c r="B1980" s="27" t="s">
        <v>45</v>
      </c>
      <c r="C1980" s="28"/>
      <c r="D1980" s="29"/>
      <c r="E1980" s="30" t="s">
        <v>1531</v>
      </c>
      <c r="H1980" s="32">
        <v>0</v>
      </c>
      <c r="I1980" s="32" t="s">
        <v>1532</v>
      </c>
      <c r="AG1980" s="32">
        <v>0</v>
      </c>
      <c r="AH1980" s="32">
        <v>0</v>
      </c>
      <c r="AI1980" s="32">
        <v>0</v>
      </c>
      <c r="AK1980" s="32">
        <v>0</v>
      </c>
      <c r="AM1980" s="32">
        <f>498*33</f>
        <v>16434</v>
      </c>
      <c r="AO1980" s="32" t="s">
        <v>1533</v>
      </c>
      <c r="AQ1980" s="32" t="s">
        <v>1101</v>
      </c>
      <c r="AU1980">
        <v>1979</v>
      </c>
    </row>
    <row r="1981" spans="1:47" x14ac:dyDescent="0.2">
      <c r="A1981" s="26">
        <v>6462</v>
      </c>
      <c r="B1981" s="27" t="s">
        <v>45</v>
      </c>
      <c r="C1981" s="28"/>
      <c r="D1981" s="29"/>
      <c r="E1981" s="150" t="s">
        <v>2286</v>
      </c>
      <c r="H1981" s="32">
        <v>0</v>
      </c>
      <c r="I1981" s="32" t="s">
        <v>1824</v>
      </c>
      <c r="AG1981" s="32">
        <v>0</v>
      </c>
      <c r="AH1981" s="32">
        <v>0</v>
      </c>
      <c r="AI1981" s="32">
        <v>0</v>
      </c>
      <c r="AK1981" s="32">
        <v>0</v>
      </c>
      <c r="AM1981" s="32">
        <v>5000</v>
      </c>
      <c r="AO1981" s="73" t="s">
        <v>75</v>
      </c>
      <c r="AQ1981" s="32" t="s">
        <v>589</v>
      </c>
      <c r="AU1981">
        <v>1980</v>
      </c>
    </row>
    <row r="1982" spans="1:47" x14ac:dyDescent="0.2">
      <c r="A1982" s="133">
        <v>6463</v>
      </c>
      <c r="B1982" s="39" t="s">
        <v>45</v>
      </c>
      <c r="C1982" s="39">
        <v>100</v>
      </c>
      <c r="D1982" s="29" t="b">
        <v>0</v>
      </c>
      <c r="E1982" s="39" t="s">
        <v>3391</v>
      </c>
      <c r="F1982" s="47" t="s">
        <v>3392</v>
      </c>
      <c r="G1982" s="47" t="s">
        <v>73</v>
      </c>
      <c r="H1982"/>
      <c r="I1982" s="47" t="b">
        <v>1</v>
      </c>
      <c r="J1982" s="47" t="b">
        <v>1</v>
      </c>
      <c r="K1982" s="47">
        <v>1450</v>
      </c>
      <c r="L1982" s="48">
        <v>8</v>
      </c>
      <c r="M1982" s="47">
        <v>-1</v>
      </c>
      <c r="N1982" s="47">
        <v>-1</v>
      </c>
      <c r="O1982" s="47">
        <v>-1</v>
      </c>
      <c r="P1982" s="47">
        <v>-1</v>
      </c>
      <c r="Q1982" s="47">
        <v>-1</v>
      </c>
      <c r="R1982" s="47">
        <v>-1</v>
      </c>
      <c r="S1982" s="48">
        <v>8</v>
      </c>
      <c r="T1982" s="47">
        <v>0</v>
      </c>
      <c r="U1982" s="47">
        <v>0</v>
      </c>
      <c r="V1982" s="47">
        <v>0</v>
      </c>
      <c r="W1982" s="47"/>
      <c r="X1982" s="47">
        <v>297</v>
      </c>
      <c r="Y1982" s="47"/>
      <c r="Z1982" s="47" t="s">
        <v>2524</v>
      </c>
      <c r="AA1982" s="49"/>
      <c r="AB1982" s="49"/>
      <c r="AC1982" s="49"/>
      <c r="AD1982" s="50"/>
      <c r="AE1982" s="47" t="s">
        <v>2754</v>
      </c>
      <c r="AF1982" s="47">
        <v>65</v>
      </c>
      <c r="AG1982"/>
      <c r="AH1982"/>
      <c r="AI1982"/>
      <c r="AJ1982"/>
      <c r="AK1982"/>
      <c r="AL1982"/>
      <c r="AM1982"/>
      <c r="AN1982"/>
      <c r="AO1982"/>
      <c r="AP1982"/>
      <c r="AQ1982" t="s">
        <v>2526</v>
      </c>
      <c r="AU1982">
        <v>1981</v>
      </c>
    </row>
    <row r="1983" spans="1:47" x14ac:dyDescent="0.2">
      <c r="A1983" s="133">
        <v>6463</v>
      </c>
      <c r="B1983" s="39" t="s">
        <v>45</v>
      </c>
      <c r="C1983" s="39">
        <v>100</v>
      </c>
      <c r="D1983" s="29" t="b">
        <v>0</v>
      </c>
      <c r="E1983" s="39" t="s">
        <v>3124</v>
      </c>
      <c r="F1983" s="47" t="s">
        <v>1717</v>
      </c>
      <c r="G1983" s="47" t="s">
        <v>73</v>
      </c>
      <c r="H1983"/>
      <c r="I1983" s="47" t="b">
        <v>0</v>
      </c>
      <c r="J1983" s="47" t="b">
        <v>0</v>
      </c>
      <c r="K1983" s="47">
        <v>300</v>
      </c>
      <c r="L1983" s="48">
        <v>8</v>
      </c>
      <c r="M1983" s="47">
        <v>-1</v>
      </c>
      <c r="N1983" s="47">
        <v>-1</v>
      </c>
      <c r="O1983" s="47">
        <v>-1</v>
      </c>
      <c r="P1983" s="47">
        <v>-1</v>
      </c>
      <c r="Q1983" s="47">
        <v>-1</v>
      </c>
      <c r="R1983" s="47">
        <v>-1</v>
      </c>
      <c r="S1983" s="48">
        <v>8</v>
      </c>
      <c r="T1983" s="47">
        <v>0</v>
      </c>
      <c r="U1983" s="47">
        <v>0</v>
      </c>
      <c r="V1983" s="47">
        <v>0</v>
      </c>
      <c r="W1983" s="47"/>
      <c r="X1983" s="47">
        <v>298</v>
      </c>
      <c r="Y1983" s="47"/>
      <c r="Z1983" s="47" t="s">
        <v>2524</v>
      </c>
      <c r="AA1983" s="49"/>
      <c r="AB1983" s="49"/>
      <c r="AC1983" s="49"/>
      <c r="AD1983" s="50"/>
      <c r="AE1983" s="47" t="s">
        <v>2754</v>
      </c>
      <c r="AF1983" s="47">
        <v>50</v>
      </c>
      <c r="AG1983"/>
      <c r="AH1983"/>
      <c r="AI1983"/>
      <c r="AJ1983"/>
      <c r="AK1983"/>
      <c r="AL1983"/>
      <c r="AM1983"/>
      <c r="AN1983"/>
      <c r="AO1983"/>
      <c r="AP1983"/>
      <c r="AQ1983" t="s">
        <v>2526</v>
      </c>
      <c r="AU1983">
        <v>1982</v>
      </c>
    </row>
    <row r="1984" spans="1:47" x14ac:dyDescent="0.2">
      <c r="A1984" s="133">
        <v>6463</v>
      </c>
      <c r="B1984" s="39" t="s">
        <v>45</v>
      </c>
      <c r="C1984" s="39">
        <v>100</v>
      </c>
      <c r="D1984" s="29" t="b">
        <v>0</v>
      </c>
      <c r="E1984" s="39" t="s">
        <v>3393</v>
      </c>
      <c r="F1984" s="47" t="s">
        <v>1717</v>
      </c>
      <c r="G1984" s="47" t="s">
        <v>73</v>
      </c>
      <c r="H1984"/>
      <c r="I1984" s="47" t="b">
        <v>0</v>
      </c>
      <c r="J1984" s="47" t="b">
        <v>0</v>
      </c>
      <c r="K1984" s="47">
        <v>900</v>
      </c>
      <c r="L1984" s="48">
        <v>8</v>
      </c>
      <c r="M1984" s="47">
        <v>-1</v>
      </c>
      <c r="N1984" s="47">
        <v>-1</v>
      </c>
      <c r="O1984" s="47">
        <v>-1</v>
      </c>
      <c r="P1984" s="47">
        <v>-1</v>
      </c>
      <c r="Q1984" s="47">
        <v>-1</v>
      </c>
      <c r="R1984" s="47">
        <v>-1</v>
      </c>
      <c r="S1984" s="48">
        <v>8</v>
      </c>
      <c r="T1984" s="47">
        <v>0</v>
      </c>
      <c r="U1984" s="47">
        <v>0</v>
      </c>
      <c r="V1984" s="47">
        <v>0</v>
      </c>
      <c r="W1984" s="47"/>
      <c r="X1984" s="47">
        <v>299</v>
      </c>
      <c r="Y1984" s="47"/>
      <c r="Z1984" s="47" t="s">
        <v>2524</v>
      </c>
      <c r="AA1984" s="49"/>
      <c r="AB1984" s="49"/>
      <c r="AC1984" s="49"/>
      <c r="AD1984" s="50"/>
      <c r="AE1984" s="47" t="s">
        <v>2754</v>
      </c>
      <c r="AF1984" s="47">
        <v>65</v>
      </c>
      <c r="AG1984"/>
      <c r="AH1984"/>
      <c r="AI1984"/>
      <c r="AJ1984"/>
      <c r="AK1984"/>
      <c r="AL1984"/>
      <c r="AM1984"/>
      <c r="AN1984"/>
      <c r="AO1984"/>
      <c r="AP1984"/>
      <c r="AQ1984" t="s">
        <v>2526</v>
      </c>
      <c r="AU1984">
        <v>1983</v>
      </c>
    </row>
    <row r="1985" spans="1:47" x14ac:dyDescent="0.2">
      <c r="A1985" s="133">
        <v>6463</v>
      </c>
      <c r="B1985" s="39" t="s">
        <v>45</v>
      </c>
      <c r="C1985" s="39">
        <v>100</v>
      </c>
      <c r="D1985" s="29" t="b">
        <v>0</v>
      </c>
      <c r="E1985" s="39" t="s">
        <v>3394</v>
      </c>
      <c r="F1985" s="47" t="s">
        <v>529</v>
      </c>
      <c r="G1985" s="47" t="s">
        <v>205</v>
      </c>
      <c r="H1985"/>
      <c r="I1985" s="47" t="b">
        <v>0</v>
      </c>
      <c r="J1985" s="47" t="b">
        <v>0</v>
      </c>
      <c r="K1985" s="47">
        <v>50</v>
      </c>
      <c r="L1985" s="48">
        <v>8</v>
      </c>
      <c r="M1985" s="47">
        <v>-1</v>
      </c>
      <c r="N1985" s="47">
        <v>-1</v>
      </c>
      <c r="O1985" s="47">
        <v>-1</v>
      </c>
      <c r="P1985" s="47">
        <v>-1</v>
      </c>
      <c r="Q1985" s="47">
        <v>-1</v>
      </c>
      <c r="R1985" s="47">
        <v>-1</v>
      </c>
      <c r="S1985" s="48">
        <v>8</v>
      </c>
      <c r="T1985" s="47">
        <v>0</v>
      </c>
      <c r="U1985" s="47">
        <v>0</v>
      </c>
      <c r="V1985" s="47">
        <v>0</v>
      </c>
      <c r="W1985" s="47"/>
      <c r="X1985" s="47">
        <v>300</v>
      </c>
      <c r="Y1985" s="47"/>
      <c r="Z1985" s="47" t="s">
        <v>2524</v>
      </c>
      <c r="AA1985" s="49"/>
      <c r="AB1985" s="49"/>
      <c r="AC1985" s="49"/>
      <c r="AD1985" s="50"/>
      <c r="AE1985" s="47" t="s">
        <v>2754</v>
      </c>
      <c r="AF1985" s="47">
        <v>65</v>
      </c>
      <c r="AG1985"/>
      <c r="AH1985"/>
      <c r="AI1985"/>
      <c r="AJ1985"/>
      <c r="AK1985"/>
      <c r="AL1985"/>
      <c r="AM1985"/>
      <c r="AN1985"/>
      <c r="AO1985"/>
      <c r="AP1985"/>
      <c r="AQ1985" t="s">
        <v>2526</v>
      </c>
      <c r="AU1985">
        <v>1984</v>
      </c>
    </row>
    <row r="1986" spans="1:47" x14ac:dyDescent="0.2">
      <c r="A1986" s="133">
        <v>6463</v>
      </c>
      <c r="B1986" s="39" t="s">
        <v>45</v>
      </c>
      <c r="C1986" s="39">
        <v>100</v>
      </c>
      <c r="D1986" s="29" t="b">
        <v>0</v>
      </c>
      <c r="E1986" s="39" t="s">
        <v>3395</v>
      </c>
      <c r="F1986" s="47" t="s">
        <v>3271</v>
      </c>
      <c r="G1986" s="47" t="s">
        <v>73</v>
      </c>
      <c r="H1986"/>
      <c r="I1986" s="47" t="b">
        <v>0</v>
      </c>
      <c r="J1986" s="47" t="b">
        <v>0</v>
      </c>
      <c r="K1986" s="47">
        <v>200</v>
      </c>
      <c r="L1986" s="48">
        <v>8</v>
      </c>
      <c r="M1986" s="47">
        <v>-1</v>
      </c>
      <c r="N1986" s="47">
        <v>-1</v>
      </c>
      <c r="O1986" s="47">
        <v>-1</v>
      </c>
      <c r="P1986" s="47">
        <v>-1</v>
      </c>
      <c r="Q1986" s="47">
        <v>-1</v>
      </c>
      <c r="R1986" s="47">
        <v>-1</v>
      </c>
      <c r="S1986" s="48">
        <v>8</v>
      </c>
      <c r="T1986" s="47">
        <v>0</v>
      </c>
      <c r="U1986" s="47">
        <v>0</v>
      </c>
      <c r="V1986" s="47">
        <v>0</v>
      </c>
      <c r="W1986" s="47"/>
      <c r="X1986" s="47">
        <v>301</v>
      </c>
      <c r="Y1986" s="47"/>
      <c r="Z1986" s="47" t="s">
        <v>2524</v>
      </c>
      <c r="AA1986" s="49"/>
      <c r="AB1986" s="49"/>
      <c r="AC1986" s="49"/>
      <c r="AD1986" s="50"/>
      <c r="AE1986" s="47" t="s">
        <v>2754</v>
      </c>
      <c r="AF1986" s="47"/>
      <c r="AG1986"/>
      <c r="AH1986"/>
      <c r="AI1986"/>
      <c r="AJ1986"/>
      <c r="AK1986"/>
      <c r="AL1986"/>
      <c r="AM1986"/>
      <c r="AN1986"/>
      <c r="AO1986"/>
      <c r="AP1986"/>
      <c r="AQ1986" t="s">
        <v>2526</v>
      </c>
      <c r="AU1986">
        <v>1985</v>
      </c>
    </row>
    <row r="1987" spans="1:47" x14ac:dyDescent="0.2">
      <c r="A1987" s="26">
        <v>6463</v>
      </c>
      <c r="B1987" s="27">
        <v>3.125E-2</v>
      </c>
      <c r="C1987" s="28"/>
      <c r="D1987" s="29"/>
      <c r="E1987" s="30" t="s">
        <v>464</v>
      </c>
      <c r="H1987" s="32">
        <v>1</v>
      </c>
      <c r="I1987" s="32" t="s">
        <v>3396</v>
      </c>
      <c r="AG1987" s="32">
        <v>0</v>
      </c>
      <c r="AH1987" s="32">
        <v>0</v>
      </c>
      <c r="AL1987" s="32">
        <v>3.6669999999999998</v>
      </c>
      <c r="AO1987" s="32" t="s">
        <v>1898</v>
      </c>
      <c r="AP1987" s="32">
        <v>3.6669999999999998</v>
      </c>
      <c r="AQ1987" s="32" t="s">
        <v>1522</v>
      </c>
      <c r="AU1987">
        <v>1986</v>
      </c>
    </row>
    <row r="1988" spans="1:47" x14ac:dyDescent="0.2">
      <c r="A1988" s="26">
        <v>6463</v>
      </c>
      <c r="B1988" s="27">
        <v>0.80555555555555547</v>
      </c>
      <c r="C1988" s="28"/>
      <c r="D1988" s="29"/>
      <c r="E1988" s="30" t="s">
        <v>464</v>
      </c>
      <c r="H1988" s="32">
        <v>1</v>
      </c>
      <c r="I1988" s="32" t="s">
        <v>3397</v>
      </c>
      <c r="AG1988" s="32">
        <v>0</v>
      </c>
      <c r="AH1988" s="32">
        <v>0</v>
      </c>
      <c r="AL1988" s="32">
        <v>3.25</v>
      </c>
      <c r="AO1988" s="32" t="s">
        <v>1898</v>
      </c>
      <c r="AP1988" s="32">
        <v>3.25</v>
      </c>
      <c r="AQ1988" s="32" t="s">
        <v>1522</v>
      </c>
      <c r="AU1988">
        <v>1987</v>
      </c>
    </row>
    <row r="1989" spans="1:47" x14ac:dyDescent="0.2">
      <c r="A1989" s="133">
        <v>6464</v>
      </c>
      <c r="B1989" s="39" t="s">
        <v>45</v>
      </c>
      <c r="C1989" s="39">
        <v>100</v>
      </c>
      <c r="D1989" s="29" t="b">
        <v>0</v>
      </c>
      <c r="E1989" s="39" t="s">
        <v>3398</v>
      </c>
      <c r="F1989" s="47" t="s">
        <v>3399</v>
      </c>
      <c r="G1989" s="47" t="s">
        <v>73</v>
      </c>
      <c r="H1989"/>
      <c r="I1989" s="47" t="b">
        <v>1</v>
      </c>
      <c r="J1989" s="47" t="b">
        <v>1</v>
      </c>
      <c r="K1989" s="47">
        <v>3022</v>
      </c>
      <c r="L1989" s="48">
        <v>13</v>
      </c>
      <c r="M1989" s="47">
        <v>-1</v>
      </c>
      <c r="N1989" s="47">
        <v>-1</v>
      </c>
      <c r="O1989" s="47">
        <v>-1</v>
      </c>
      <c r="P1989" s="47">
        <v>-1</v>
      </c>
      <c r="Q1989" s="47">
        <v>-1</v>
      </c>
      <c r="R1989" s="47">
        <v>-1</v>
      </c>
      <c r="S1989" s="48">
        <v>13</v>
      </c>
      <c r="T1989" s="47">
        <v>0</v>
      </c>
      <c r="U1989" s="47">
        <v>0</v>
      </c>
      <c r="V1989" s="47">
        <v>0</v>
      </c>
      <c r="W1989" s="47"/>
      <c r="X1989" s="47">
        <v>306</v>
      </c>
      <c r="Y1989" s="47"/>
      <c r="Z1989" s="47" t="s">
        <v>2524</v>
      </c>
      <c r="AA1989" s="49"/>
      <c r="AB1989" s="49"/>
      <c r="AC1989" s="49"/>
      <c r="AD1989" s="50"/>
      <c r="AE1989" s="47" t="s">
        <v>2754</v>
      </c>
      <c r="AF1989" s="47"/>
      <c r="AG1989"/>
      <c r="AH1989"/>
      <c r="AI1989"/>
      <c r="AJ1989"/>
      <c r="AK1989"/>
      <c r="AL1989"/>
      <c r="AM1989"/>
      <c r="AN1989"/>
      <c r="AO1989"/>
      <c r="AP1989"/>
      <c r="AQ1989" t="s">
        <v>2526</v>
      </c>
      <c r="AU1989">
        <v>1988</v>
      </c>
    </row>
    <row r="1990" spans="1:47" x14ac:dyDescent="0.2">
      <c r="A1990" s="133">
        <v>6464</v>
      </c>
      <c r="B1990" s="39" t="s">
        <v>45</v>
      </c>
      <c r="C1990" s="39">
        <v>100</v>
      </c>
      <c r="D1990" s="29" t="b">
        <v>0</v>
      </c>
      <c r="E1990" s="39" t="s">
        <v>3400</v>
      </c>
      <c r="F1990" s="47" t="s">
        <v>3401</v>
      </c>
      <c r="G1990" s="47" t="s">
        <v>73</v>
      </c>
      <c r="H1990"/>
      <c r="I1990" s="47" t="b">
        <v>0</v>
      </c>
      <c r="J1990" s="47" t="b">
        <v>0</v>
      </c>
      <c r="K1990" s="47">
        <v>1432</v>
      </c>
      <c r="L1990" s="48">
        <v>13</v>
      </c>
      <c r="M1990" s="47">
        <v>-1</v>
      </c>
      <c r="N1990" s="47">
        <v>-1</v>
      </c>
      <c r="O1990" s="47">
        <v>-1</v>
      </c>
      <c r="P1990" s="47">
        <v>-1</v>
      </c>
      <c r="Q1990" s="47">
        <v>-1</v>
      </c>
      <c r="R1990" s="47">
        <v>-1</v>
      </c>
      <c r="S1990" s="48">
        <v>13</v>
      </c>
      <c r="T1990" s="47">
        <v>0</v>
      </c>
      <c r="U1990" s="47">
        <v>0</v>
      </c>
      <c r="V1990" s="47">
        <v>0</v>
      </c>
      <c r="W1990" s="47"/>
      <c r="X1990" s="47">
        <v>305</v>
      </c>
      <c r="Y1990" s="47"/>
      <c r="Z1990" s="47" t="s">
        <v>2524</v>
      </c>
      <c r="AA1990" s="49"/>
      <c r="AB1990" s="49"/>
      <c r="AC1990" s="49"/>
      <c r="AD1990" s="50"/>
      <c r="AE1990" s="47" t="s">
        <v>2754</v>
      </c>
      <c r="AF1990" s="47">
        <v>65</v>
      </c>
      <c r="AG1990"/>
      <c r="AH1990"/>
      <c r="AI1990"/>
      <c r="AJ1990"/>
      <c r="AK1990"/>
      <c r="AL1990"/>
      <c r="AM1990"/>
      <c r="AN1990"/>
      <c r="AO1990"/>
      <c r="AP1990"/>
      <c r="AQ1990" t="s">
        <v>2526</v>
      </c>
      <c r="AU1990">
        <v>1989</v>
      </c>
    </row>
    <row r="1991" spans="1:47" x14ac:dyDescent="0.2">
      <c r="A1991" s="133">
        <v>6464</v>
      </c>
      <c r="B1991" s="39" t="s">
        <v>45</v>
      </c>
      <c r="C1991" s="39">
        <v>100</v>
      </c>
      <c r="D1991" s="29" t="b">
        <v>0</v>
      </c>
      <c r="E1991" s="39" t="s">
        <v>3402</v>
      </c>
      <c r="F1991" s="47" t="s">
        <v>3403</v>
      </c>
      <c r="G1991" s="47" t="s">
        <v>49</v>
      </c>
      <c r="H1991"/>
      <c r="I1991" s="47" t="b">
        <v>0</v>
      </c>
      <c r="J1991" s="47" t="b">
        <v>0</v>
      </c>
      <c r="K1991" s="47">
        <v>865</v>
      </c>
      <c r="L1991" s="48">
        <v>13</v>
      </c>
      <c r="M1991" s="47">
        <v>-1</v>
      </c>
      <c r="N1991" s="47">
        <v>-1</v>
      </c>
      <c r="O1991" s="47">
        <v>-1</v>
      </c>
      <c r="P1991" s="47">
        <v>-1</v>
      </c>
      <c r="Q1991" s="47">
        <v>-1</v>
      </c>
      <c r="R1991" s="47">
        <v>-1</v>
      </c>
      <c r="S1991" s="48">
        <v>13</v>
      </c>
      <c r="T1991" s="47">
        <v>0</v>
      </c>
      <c r="U1991" s="47">
        <v>0</v>
      </c>
      <c r="V1991" s="47">
        <v>0</v>
      </c>
      <c r="W1991" s="47"/>
      <c r="X1991" s="47">
        <v>304</v>
      </c>
      <c r="Y1991" s="47"/>
      <c r="Z1991" s="47" t="s">
        <v>2524</v>
      </c>
      <c r="AA1991" s="49"/>
      <c r="AB1991" s="49"/>
      <c r="AC1991" s="49"/>
      <c r="AD1991" s="50"/>
      <c r="AE1991" s="47" t="s">
        <v>2754</v>
      </c>
      <c r="AF1991" s="47">
        <v>55</v>
      </c>
      <c r="AG1991"/>
      <c r="AH1991"/>
      <c r="AI1991"/>
      <c r="AJ1991"/>
      <c r="AK1991"/>
      <c r="AL1991"/>
      <c r="AM1991"/>
      <c r="AN1991"/>
      <c r="AO1991"/>
      <c r="AP1991"/>
      <c r="AQ1991" t="s">
        <v>2526</v>
      </c>
      <c r="AU1991">
        <v>1990</v>
      </c>
    </row>
    <row r="1992" spans="1:47" x14ac:dyDescent="0.2">
      <c r="A1992" s="133">
        <v>6464</v>
      </c>
      <c r="B1992" s="39" t="s">
        <v>45</v>
      </c>
      <c r="C1992" s="39">
        <v>100</v>
      </c>
      <c r="D1992" s="29" t="b">
        <v>0</v>
      </c>
      <c r="E1992" s="39" t="s">
        <v>3404</v>
      </c>
      <c r="F1992" s="47" t="s">
        <v>3405</v>
      </c>
      <c r="G1992" s="47" t="s">
        <v>49</v>
      </c>
      <c r="H1992"/>
      <c r="I1992" s="47" t="b">
        <v>0</v>
      </c>
      <c r="J1992" s="47" t="b">
        <v>0</v>
      </c>
      <c r="K1992" s="47">
        <v>325</v>
      </c>
      <c r="L1992" s="48">
        <v>13</v>
      </c>
      <c r="M1992" s="47">
        <v>-1</v>
      </c>
      <c r="N1992" s="47">
        <v>-1</v>
      </c>
      <c r="O1992" s="47">
        <v>-1</v>
      </c>
      <c r="P1992" s="47">
        <v>-1</v>
      </c>
      <c r="Q1992" s="47">
        <v>-1</v>
      </c>
      <c r="R1992" s="47">
        <v>-1</v>
      </c>
      <c r="S1992" s="48">
        <v>13</v>
      </c>
      <c r="T1992" s="47">
        <v>0</v>
      </c>
      <c r="U1992" s="47">
        <v>0</v>
      </c>
      <c r="V1992" s="47">
        <v>0</v>
      </c>
      <c r="W1992" s="47"/>
      <c r="X1992" s="47">
        <v>303</v>
      </c>
      <c r="Y1992" s="47"/>
      <c r="Z1992" s="47" t="s">
        <v>2524</v>
      </c>
      <c r="AA1992" s="49"/>
      <c r="AB1992" s="49"/>
      <c r="AC1992" s="49"/>
      <c r="AD1992" s="50"/>
      <c r="AE1992" s="47" t="s">
        <v>2754</v>
      </c>
      <c r="AF1992" s="47">
        <v>50</v>
      </c>
      <c r="AG1992"/>
      <c r="AH1992"/>
      <c r="AI1992"/>
      <c r="AJ1992"/>
      <c r="AK1992"/>
      <c r="AL1992"/>
      <c r="AM1992"/>
      <c r="AN1992"/>
      <c r="AO1992"/>
      <c r="AP1992"/>
      <c r="AQ1992" t="s">
        <v>2526</v>
      </c>
      <c r="AU1992">
        <v>1991</v>
      </c>
    </row>
    <row r="1993" spans="1:47" x14ac:dyDescent="0.2">
      <c r="A1993" s="133">
        <v>6464</v>
      </c>
      <c r="B1993" s="39" t="s">
        <v>45</v>
      </c>
      <c r="C1993" s="39">
        <v>100</v>
      </c>
      <c r="D1993" s="29" t="b">
        <v>0</v>
      </c>
      <c r="E1993" s="39" t="s">
        <v>3406</v>
      </c>
      <c r="F1993" s="47" t="s">
        <v>3271</v>
      </c>
      <c r="G1993" s="47" t="s">
        <v>73</v>
      </c>
      <c r="H1993"/>
      <c r="I1993" s="47" t="b">
        <v>0</v>
      </c>
      <c r="J1993" s="47" t="b">
        <v>0</v>
      </c>
      <c r="K1993" s="47">
        <v>200</v>
      </c>
      <c r="L1993" s="48">
        <v>13</v>
      </c>
      <c r="M1993" s="47">
        <v>-1</v>
      </c>
      <c r="N1993" s="47">
        <v>-1</v>
      </c>
      <c r="O1993" s="47">
        <v>-1</v>
      </c>
      <c r="P1993" s="47">
        <v>-1</v>
      </c>
      <c r="Q1993" s="47">
        <v>-1</v>
      </c>
      <c r="R1993" s="47">
        <v>-1</v>
      </c>
      <c r="S1993" s="48">
        <v>13</v>
      </c>
      <c r="T1993" s="47">
        <v>0</v>
      </c>
      <c r="U1993" s="47">
        <v>0</v>
      </c>
      <c r="V1993" s="47">
        <v>0</v>
      </c>
      <c r="W1993" s="47"/>
      <c r="X1993" s="47">
        <v>302</v>
      </c>
      <c r="Y1993" s="47"/>
      <c r="Z1993" s="47" t="s">
        <v>2524</v>
      </c>
      <c r="AA1993" s="49"/>
      <c r="AB1993" s="49"/>
      <c r="AC1993" s="49"/>
      <c r="AD1993" s="50"/>
      <c r="AE1993" s="47" t="s">
        <v>2754</v>
      </c>
      <c r="AF1993" s="47"/>
      <c r="AG1993"/>
      <c r="AH1993"/>
      <c r="AI1993"/>
      <c r="AJ1993"/>
      <c r="AK1993"/>
      <c r="AL1993"/>
      <c r="AM1993"/>
      <c r="AN1993"/>
      <c r="AO1993"/>
      <c r="AP1993"/>
      <c r="AQ1993" t="s">
        <v>2526</v>
      </c>
      <c r="AU1993">
        <v>1992</v>
      </c>
    </row>
    <row r="1994" spans="1:47" x14ac:dyDescent="0.2">
      <c r="A1994" s="133">
        <v>6464</v>
      </c>
      <c r="B1994" s="39" t="s">
        <v>45</v>
      </c>
      <c r="C1994" s="39">
        <v>100</v>
      </c>
      <c r="D1994" s="29" t="b">
        <v>0</v>
      </c>
      <c r="E1994" s="39" t="s">
        <v>3181</v>
      </c>
      <c r="F1994" s="47" t="s">
        <v>529</v>
      </c>
      <c r="G1994" s="47" t="s">
        <v>205</v>
      </c>
      <c r="H1994"/>
      <c r="I1994" s="47" t="b">
        <v>0</v>
      </c>
      <c r="J1994" s="47" t="b">
        <v>0</v>
      </c>
      <c r="K1994" s="47">
        <v>200</v>
      </c>
      <c r="L1994" s="48">
        <v>13</v>
      </c>
      <c r="M1994" s="47">
        <v>-1</v>
      </c>
      <c r="N1994" s="47">
        <v>-1</v>
      </c>
      <c r="O1994" s="47">
        <v>-1</v>
      </c>
      <c r="P1994" s="47">
        <v>-1</v>
      </c>
      <c r="Q1994" s="47">
        <v>-1</v>
      </c>
      <c r="R1994" s="47">
        <v>-1</v>
      </c>
      <c r="S1994" s="48">
        <v>13</v>
      </c>
      <c r="T1994" s="47">
        <v>0</v>
      </c>
      <c r="U1994" s="47">
        <v>0</v>
      </c>
      <c r="V1994" s="47">
        <v>0</v>
      </c>
      <c r="W1994" s="47"/>
      <c r="X1994" s="47">
        <v>307</v>
      </c>
      <c r="Y1994" s="47"/>
      <c r="Z1994" s="47" t="s">
        <v>2524</v>
      </c>
      <c r="AA1994" s="49"/>
      <c r="AB1994" s="49"/>
      <c r="AC1994" s="49"/>
      <c r="AD1994" s="50"/>
      <c r="AE1994" s="47" t="s">
        <v>2754</v>
      </c>
      <c r="AF1994" s="47"/>
      <c r="AG1994"/>
      <c r="AH1994"/>
      <c r="AI1994"/>
      <c r="AJ1994"/>
      <c r="AK1994"/>
      <c r="AL1994"/>
      <c r="AM1994"/>
      <c r="AN1994"/>
      <c r="AO1994"/>
      <c r="AP1994"/>
      <c r="AQ1994" t="s">
        <v>2526</v>
      </c>
      <c r="AU1994">
        <v>1993</v>
      </c>
    </row>
    <row r="1995" spans="1:47" x14ac:dyDescent="0.2">
      <c r="A1995" s="26">
        <v>6464</v>
      </c>
      <c r="B1995" s="27">
        <v>0.8833333333333333</v>
      </c>
      <c r="C1995" s="28"/>
      <c r="D1995" s="29"/>
      <c r="E1995" s="30" t="s">
        <v>1282</v>
      </c>
      <c r="H1995" s="32">
        <v>0</v>
      </c>
      <c r="I1995" s="32" t="s">
        <v>2244</v>
      </c>
      <c r="AG1995" s="32">
        <v>0</v>
      </c>
      <c r="AH1995" s="32">
        <v>0</v>
      </c>
      <c r="AI1995" s="32">
        <v>0</v>
      </c>
      <c r="AK1995" s="32">
        <v>0</v>
      </c>
      <c r="AL1995" s="32">
        <f>23/60</f>
        <v>0.38333333333333336</v>
      </c>
      <c r="AP1995" s="32">
        <f>23/60</f>
        <v>0.38333333333333336</v>
      </c>
      <c r="AQ1995" s="32" t="s">
        <v>1101</v>
      </c>
      <c r="AU1995">
        <v>1994</v>
      </c>
    </row>
    <row r="1996" spans="1:47" x14ac:dyDescent="0.2">
      <c r="A1996" s="26">
        <v>6464</v>
      </c>
      <c r="B1996" s="27">
        <v>0.88888888888888884</v>
      </c>
      <c r="C1996" s="28"/>
      <c r="D1996" s="29"/>
      <c r="E1996" s="30" t="s">
        <v>464</v>
      </c>
      <c r="H1996" s="32">
        <v>1</v>
      </c>
      <c r="I1996" s="32" t="s">
        <v>3379</v>
      </c>
      <c r="AG1996" s="32">
        <v>0</v>
      </c>
      <c r="AH1996" s="32">
        <v>0</v>
      </c>
      <c r="AL1996" s="32">
        <v>2.3330000000000002</v>
      </c>
      <c r="AO1996" s="32" t="s">
        <v>1898</v>
      </c>
      <c r="AP1996" s="32">
        <v>2.3330000000000002</v>
      </c>
      <c r="AQ1996" s="32" t="s">
        <v>1522</v>
      </c>
      <c r="AU1996">
        <v>1995</v>
      </c>
    </row>
    <row r="1997" spans="1:47" x14ac:dyDescent="0.2">
      <c r="A1997" s="133">
        <v>6465</v>
      </c>
      <c r="B1997" s="39" t="s">
        <v>45</v>
      </c>
      <c r="C1997" s="39">
        <v>100</v>
      </c>
      <c r="D1997" s="29" t="b">
        <v>0</v>
      </c>
      <c r="E1997" s="39" t="s">
        <v>3181</v>
      </c>
      <c r="F1997" s="47" t="s">
        <v>3407</v>
      </c>
      <c r="G1997" s="47" t="s">
        <v>73</v>
      </c>
      <c r="H1997"/>
      <c r="I1997" s="47" t="b">
        <v>0</v>
      </c>
      <c r="J1997" s="47" t="b">
        <v>1</v>
      </c>
      <c r="K1997" s="47">
        <v>1464</v>
      </c>
      <c r="L1997" s="48">
        <v>6</v>
      </c>
      <c r="M1997" s="47">
        <v>-1</v>
      </c>
      <c r="N1997" s="47">
        <v>-1</v>
      </c>
      <c r="O1997" s="47">
        <v>-1</v>
      </c>
      <c r="P1997" s="47">
        <v>-1</v>
      </c>
      <c r="Q1997" s="47">
        <v>-1</v>
      </c>
      <c r="R1997" s="47">
        <v>-1</v>
      </c>
      <c r="S1997" s="48">
        <v>6</v>
      </c>
      <c r="T1997" s="47">
        <v>0</v>
      </c>
      <c r="U1997" s="47">
        <v>0</v>
      </c>
      <c r="V1997" s="47">
        <v>0</v>
      </c>
      <c r="W1997" s="47"/>
      <c r="X1997" s="47">
        <v>308</v>
      </c>
      <c r="Y1997" s="47"/>
      <c r="Z1997" s="47" t="s">
        <v>2524</v>
      </c>
      <c r="AA1997" s="49"/>
      <c r="AB1997" s="49"/>
      <c r="AC1997" s="49"/>
      <c r="AD1997" s="50"/>
      <c r="AE1997" s="47" t="s">
        <v>2754</v>
      </c>
      <c r="AF1997" s="47"/>
      <c r="AG1997"/>
      <c r="AH1997"/>
      <c r="AI1997"/>
      <c r="AJ1997"/>
      <c r="AK1997"/>
      <c r="AL1997"/>
      <c r="AM1997"/>
      <c r="AN1997"/>
      <c r="AO1997"/>
      <c r="AP1997"/>
      <c r="AQ1997" t="s">
        <v>2526</v>
      </c>
      <c r="AU1997">
        <v>1996</v>
      </c>
    </row>
    <row r="1998" spans="1:47" x14ac:dyDescent="0.2">
      <c r="A1998" s="133">
        <v>6465</v>
      </c>
      <c r="B1998" s="39" t="s">
        <v>45</v>
      </c>
      <c r="C1998" s="39" t="s">
        <v>142</v>
      </c>
      <c r="D1998" s="29"/>
      <c r="E1998" s="39" t="s">
        <v>3408</v>
      </c>
      <c r="F1998" s="47" t="s">
        <v>1473</v>
      </c>
      <c r="G1998" s="47" t="s">
        <v>69</v>
      </c>
      <c r="H1998"/>
      <c r="I1998" s="47" t="s">
        <v>3409</v>
      </c>
      <c r="J1998" s="47"/>
      <c r="K1998" s="47">
        <f>86*10*2.2</f>
        <v>1892.0000000000002</v>
      </c>
      <c r="L1998" s="48">
        <v>10</v>
      </c>
      <c r="M1998" s="47"/>
      <c r="N1998" s="47">
        <v>3</v>
      </c>
      <c r="O1998" s="47"/>
      <c r="P1998" s="47"/>
      <c r="Q1998" s="47"/>
      <c r="R1998" s="47"/>
      <c r="S1998" s="48">
        <v>7</v>
      </c>
      <c r="T1998" s="47">
        <v>0</v>
      </c>
      <c r="U1998" s="47">
        <v>0</v>
      </c>
      <c r="V1998" s="47">
        <v>0</v>
      </c>
      <c r="W1998" s="47"/>
      <c r="X1998" s="47"/>
      <c r="Y1998" s="47" t="s">
        <v>51</v>
      </c>
      <c r="Z1998" s="47" t="s">
        <v>2203</v>
      </c>
      <c r="AA1998" s="49">
        <v>0.88541666666666663</v>
      </c>
      <c r="AB1998" s="49"/>
      <c r="AC1998" s="49"/>
      <c r="AD1998" s="50"/>
      <c r="AE1998" s="47" t="s">
        <v>3198</v>
      </c>
      <c r="AF1998" s="47">
        <v>60</v>
      </c>
      <c r="AG1998"/>
      <c r="AH1998"/>
      <c r="AI1998"/>
      <c r="AJ1998"/>
      <c r="AK1998">
        <v>86</v>
      </c>
      <c r="AL1998"/>
      <c r="AM1998"/>
      <c r="AN1998"/>
      <c r="AO1998"/>
      <c r="AP1998"/>
      <c r="AQ1998" s="32" t="s">
        <v>3378</v>
      </c>
      <c r="AU1998">
        <v>1997</v>
      </c>
    </row>
    <row r="1999" spans="1:47" x14ac:dyDescent="0.2">
      <c r="A1999" s="26">
        <v>6466</v>
      </c>
      <c r="B1999" s="27">
        <v>1.3888888888888888E-2</v>
      </c>
      <c r="C1999" s="28"/>
      <c r="D1999" s="29"/>
      <c r="E1999" s="30" t="s">
        <v>464</v>
      </c>
      <c r="H1999" s="32">
        <v>1</v>
      </c>
      <c r="I1999" s="32" t="s">
        <v>3410</v>
      </c>
      <c r="AG1999" s="32">
        <v>0</v>
      </c>
      <c r="AH1999" s="32">
        <v>0</v>
      </c>
      <c r="AL1999" s="32">
        <v>1.75</v>
      </c>
      <c r="AO1999" s="32" t="s">
        <v>1898</v>
      </c>
      <c r="AP1999" s="32">
        <v>1.75</v>
      </c>
      <c r="AQ1999" s="32" t="s">
        <v>1522</v>
      </c>
      <c r="AU1999">
        <v>1998</v>
      </c>
    </row>
    <row r="2000" spans="1:47" x14ac:dyDescent="0.2">
      <c r="A2000" s="37">
        <v>6469</v>
      </c>
      <c r="B2000" s="38" t="s">
        <v>85</v>
      </c>
      <c r="C2000" s="39" t="s">
        <v>1234</v>
      </c>
      <c r="D2000" s="29"/>
      <c r="E2000" s="38" t="s">
        <v>3253</v>
      </c>
      <c r="F2000" s="32" t="s">
        <v>150</v>
      </c>
      <c r="G2000" s="47" t="s">
        <v>49</v>
      </c>
      <c r="H2000"/>
      <c r="I2000" s="32" t="s">
        <v>3411</v>
      </c>
      <c r="J2000" s="47"/>
      <c r="K2000" s="47"/>
      <c r="L2000" s="48">
        <v>12</v>
      </c>
      <c r="M2000" s="47"/>
      <c r="N2000" s="47"/>
      <c r="O2000" s="47"/>
      <c r="P2000" s="47"/>
      <c r="Q2000" s="47"/>
      <c r="R2000" s="47"/>
      <c r="S2000" s="48"/>
      <c r="T2000" s="47">
        <v>1</v>
      </c>
      <c r="U2000" s="47"/>
      <c r="V2000" s="47"/>
      <c r="W2000" s="47"/>
      <c r="X2000" s="47"/>
      <c r="Y2000" s="47" t="s">
        <v>120</v>
      </c>
      <c r="Z2000" s="47" t="s">
        <v>1809</v>
      </c>
      <c r="AA2000" s="49"/>
      <c r="AB2000" s="49"/>
      <c r="AC2000" s="49"/>
      <c r="AD2000" s="50"/>
      <c r="AE2000" s="47" t="s">
        <v>1653</v>
      </c>
      <c r="AF2000" s="47">
        <v>75</v>
      </c>
      <c r="AG2000"/>
      <c r="AH2000"/>
      <c r="AI2000"/>
      <c r="AJ2000"/>
      <c r="AK2000"/>
      <c r="AL2000"/>
      <c r="AM2000"/>
      <c r="AN2000"/>
      <c r="AO2000"/>
      <c r="AP2000"/>
      <c r="AQ2000" t="s">
        <v>3412</v>
      </c>
      <c r="AU2000">
        <v>1999</v>
      </c>
    </row>
    <row r="2001" spans="1:47" x14ac:dyDescent="0.2">
      <c r="A2001" s="37">
        <v>6469</v>
      </c>
      <c r="B2001" s="39" t="s">
        <v>45</v>
      </c>
      <c r="C2001" s="39" t="s">
        <v>142</v>
      </c>
      <c r="D2001" s="29"/>
      <c r="E2001" s="38" t="s">
        <v>3413</v>
      </c>
      <c r="F2001" s="31" t="s">
        <v>3414</v>
      </c>
      <c r="G2001" s="47" t="s">
        <v>69</v>
      </c>
      <c r="H2001"/>
      <c r="I2001" s="32" t="s">
        <v>3415</v>
      </c>
      <c r="J2001" s="47"/>
      <c r="K2001" s="47">
        <f>105*10*2.2</f>
        <v>2310</v>
      </c>
      <c r="L2001" s="48">
        <v>8</v>
      </c>
      <c r="M2001" s="47"/>
      <c r="N2001" s="47"/>
      <c r="O2001" s="47"/>
      <c r="P2001" s="47"/>
      <c r="Q2001" s="47"/>
      <c r="R2001" s="47"/>
      <c r="S2001" s="48">
        <v>8</v>
      </c>
      <c r="T2001" s="47">
        <v>0</v>
      </c>
      <c r="U2001" s="47">
        <v>0</v>
      </c>
      <c r="V2001" s="47">
        <v>0</v>
      </c>
      <c r="W2001" s="47"/>
      <c r="X2001" s="47"/>
      <c r="Y2001" s="47" t="s">
        <v>51</v>
      </c>
      <c r="Z2001" s="47" t="s">
        <v>2203</v>
      </c>
      <c r="AA2001" s="49"/>
      <c r="AB2001" s="49"/>
      <c r="AC2001" s="49"/>
      <c r="AD2001" s="50"/>
      <c r="AE2001" s="47" t="s">
        <v>3198</v>
      </c>
      <c r="AF2001" s="47">
        <v>40</v>
      </c>
      <c r="AG2001"/>
      <c r="AH2001"/>
      <c r="AI2001"/>
      <c r="AJ2001"/>
      <c r="AK2001">
        <v>105</v>
      </c>
      <c r="AL2001"/>
      <c r="AM2001"/>
      <c r="AN2001"/>
      <c r="AO2001"/>
      <c r="AP2001"/>
      <c r="AQ2001" s="32" t="s">
        <v>3378</v>
      </c>
      <c r="AU2001">
        <v>2000</v>
      </c>
    </row>
    <row r="2002" spans="1:47" x14ac:dyDescent="0.2">
      <c r="A2002" s="37">
        <v>6469</v>
      </c>
      <c r="B2002" s="39" t="s">
        <v>45</v>
      </c>
      <c r="C2002" s="38" t="s">
        <v>3330</v>
      </c>
      <c r="D2002" s="29"/>
      <c r="E2002" s="121" t="s">
        <v>1764</v>
      </c>
      <c r="F2002" s="31" t="s">
        <v>220</v>
      </c>
      <c r="G2002" s="31" t="s">
        <v>49</v>
      </c>
      <c r="H2002"/>
      <c r="I2002" s="32" t="s">
        <v>3416</v>
      </c>
      <c r="J2002" s="47"/>
      <c r="K2002" s="47">
        <f>((2*30*10)+(3*6*50))*2.2</f>
        <v>3300.0000000000005</v>
      </c>
      <c r="L2002" s="48">
        <v>6</v>
      </c>
      <c r="M2002" s="47"/>
      <c r="N2002" s="47">
        <v>1</v>
      </c>
      <c r="O2002" s="47"/>
      <c r="P2002" s="47"/>
      <c r="Q2002" s="47"/>
      <c r="R2002" s="47"/>
      <c r="S2002" s="48">
        <v>5</v>
      </c>
      <c r="T2002" s="47">
        <v>0</v>
      </c>
      <c r="U2002" s="47">
        <v>0</v>
      </c>
      <c r="V2002" s="47">
        <v>0</v>
      </c>
      <c r="W2002" s="47">
        <f>((3100+3000+2400+2000+2400)/5)*39.37/12</f>
        <v>8464.5499999999993</v>
      </c>
      <c r="X2002" s="47"/>
      <c r="Y2002" s="31" t="s">
        <v>51</v>
      </c>
      <c r="Z2002" s="47" t="s">
        <v>1846</v>
      </c>
      <c r="AA2002" s="49"/>
      <c r="AB2002" s="49"/>
      <c r="AC2002" s="49"/>
      <c r="AD2002" s="50">
        <v>2.33</v>
      </c>
      <c r="AE2002" s="47" t="s">
        <v>342</v>
      </c>
      <c r="AF2002" s="47">
        <v>70</v>
      </c>
      <c r="AG2002"/>
      <c r="AH2002"/>
      <c r="AI2002"/>
      <c r="AJ2002"/>
      <c r="AK2002">
        <f>2*30+3*6</f>
        <v>78</v>
      </c>
      <c r="AL2002"/>
      <c r="AM2002"/>
      <c r="AN2002"/>
      <c r="AO2002"/>
      <c r="AP2002"/>
      <c r="AQ2002" t="s">
        <v>3417</v>
      </c>
      <c r="AU2002">
        <v>2001</v>
      </c>
    </row>
    <row r="2003" spans="1:47" x14ac:dyDescent="0.2">
      <c r="A2003" s="37">
        <v>6469</v>
      </c>
      <c r="B2003" s="39" t="s">
        <v>45</v>
      </c>
      <c r="C2003" s="38" t="s">
        <v>3330</v>
      </c>
      <c r="D2003" s="29"/>
      <c r="E2003" s="38" t="s">
        <v>3418</v>
      </c>
      <c r="F2003" s="31" t="s">
        <v>3419</v>
      </c>
      <c r="G2003" s="47" t="s">
        <v>73</v>
      </c>
      <c r="H2003"/>
      <c r="I2003" s="32" t="s">
        <v>3420</v>
      </c>
      <c r="J2003" s="47"/>
      <c r="K2003" s="47">
        <f>6*50*2.2</f>
        <v>660</v>
      </c>
      <c r="L2003" s="48">
        <v>1</v>
      </c>
      <c r="M2003" s="47"/>
      <c r="N2003" s="47"/>
      <c r="O2003" s="47"/>
      <c r="P2003" s="47"/>
      <c r="Q2003" s="47"/>
      <c r="R2003" s="47"/>
      <c r="S2003" s="48">
        <v>1</v>
      </c>
      <c r="T2003" s="47">
        <v>0</v>
      </c>
      <c r="U2003" s="47">
        <v>0</v>
      </c>
      <c r="V2003" s="47">
        <v>0</v>
      </c>
      <c r="W2003" s="47">
        <f>2800*39.37/12</f>
        <v>9186.3333333333339</v>
      </c>
      <c r="X2003" s="47"/>
      <c r="Y2003" s="31" t="s">
        <v>51</v>
      </c>
      <c r="Z2003" s="47" t="s">
        <v>1846</v>
      </c>
      <c r="AA2003" s="49"/>
      <c r="AB2003" s="49"/>
      <c r="AC2003" s="49"/>
      <c r="AD2003" s="50">
        <v>2.75</v>
      </c>
      <c r="AE2003" s="47" t="s">
        <v>342</v>
      </c>
      <c r="AF2003" s="47"/>
      <c r="AG2003"/>
      <c r="AH2003"/>
      <c r="AI2003"/>
      <c r="AJ2003"/>
      <c r="AK2003">
        <v>6</v>
      </c>
      <c r="AL2003"/>
      <c r="AM2003"/>
      <c r="AN2003"/>
      <c r="AO2003"/>
      <c r="AP2003"/>
      <c r="AQ2003" t="s">
        <v>3417</v>
      </c>
      <c r="AU2003">
        <v>2002</v>
      </c>
    </row>
    <row r="2004" spans="1:47" x14ac:dyDescent="0.2">
      <c r="A2004" s="26">
        <v>6469</v>
      </c>
      <c r="B2004" s="27">
        <v>0.56944444444444442</v>
      </c>
      <c r="C2004" s="28"/>
      <c r="D2004" s="29"/>
      <c r="E2004" s="30" t="s">
        <v>869</v>
      </c>
      <c r="H2004" s="32">
        <v>0</v>
      </c>
      <c r="I2004" s="32" t="s">
        <v>2344</v>
      </c>
      <c r="AG2004" s="32">
        <v>0</v>
      </c>
      <c r="AH2004" s="32">
        <v>0</v>
      </c>
      <c r="AI2004" s="32">
        <v>0</v>
      </c>
      <c r="AK2004" s="32">
        <v>0</v>
      </c>
      <c r="AL2004" s="32">
        <v>0.75</v>
      </c>
      <c r="AP2004" s="32">
        <v>0.75</v>
      </c>
      <c r="AQ2004" s="32" t="s">
        <v>589</v>
      </c>
      <c r="AU2004">
        <v>2003</v>
      </c>
    </row>
    <row r="2005" spans="1:47" x14ac:dyDescent="0.2">
      <c r="A2005" s="26">
        <v>6469</v>
      </c>
      <c r="B2005" s="27">
        <v>0.86805555555555547</v>
      </c>
      <c r="C2005" s="28"/>
      <c r="D2005" s="29"/>
      <c r="E2005" s="30" t="s">
        <v>464</v>
      </c>
      <c r="H2005" s="32">
        <v>1</v>
      </c>
      <c r="I2005" s="32" t="s">
        <v>3421</v>
      </c>
      <c r="AG2005" s="32">
        <v>0</v>
      </c>
      <c r="AH2005" s="32">
        <v>0</v>
      </c>
      <c r="AK2005" s="32">
        <v>5</v>
      </c>
      <c r="AL2005" s="32">
        <f>5+34/60</f>
        <v>5.5666666666666664</v>
      </c>
      <c r="AO2005" s="32" t="s">
        <v>1898</v>
      </c>
      <c r="AP2005" s="32">
        <f>4+52/60</f>
        <v>4.8666666666666671</v>
      </c>
      <c r="AQ2005" s="32" t="s">
        <v>3422</v>
      </c>
      <c r="AU2005">
        <v>2004</v>
      </c>
    </row>
    <row r="2006" spans="1:47" x14ac:dyDescent="0.2">
      <c r="A2006" s="26">
        <v>6469</v>
      </c>
      <c r="B2006" s="27">
        <v>0.95</v>
      </c>
      <c r="C2006" s="28"/>
      <c r="D2006" s="29"/>
      <c r="E2006" s="102" t="s">
        <v>1102</v>
      </c>
      <c r="H2006" s="32">
        <v>0</v>
      </c>
      <c r="I2006" s="32" t="s">
        <v>1103</v>
      </c>
      <c r="AG2006" s="32">
        <v>0</v>
      </c>
      <c r="AH2006" s="32">
        <v>0</v>
      </c>
      <c r="AI2006" s="32">
        <v>0</v>
      </c>
      <c r="AK2006" s="32">
        <v>0</v>
      </c>
      <c r="AL2006" s="32">
        <f>37/60</f>
        <v>0.6166666666666667</v>
      </c>
      <c r="AO2006" s="73" t="s">
        <v>1006</v>
      </c>
      <c r="AP2006" s="32">
        <f>37/60</f>
        <v>0.6166666666666667</v>
      </c>
      <c r="AQ2006" s="32" t="s">
        <v>589</v>
      </c>
      <c r="AU2006">
        <v>2005</v>
      </c>
    </row>
    <row r="2007" spans="1:47" x14ac:dyDescent="0.2">
      <c r="A2007" s="26">
        <v>6469</v>
      </c>
      <c r="B2007" s="27">
        <v>0.95833333333333337</v>
      </c>
      <c r="C2007" s="28"/>
      <c r="D2007" s="29"/>
      <c r="E2007" s="30" t="s">
        <v>869</v>
      </c>
      <c r="H2007" s="32">
        <v>0</v>
      </c>
      <c r="I2007" s="32" t="s">
        <v>2344</v>
      </c>
      <c r="AG2007" s="32">
        <v>0</v>
      </c>
      <c r="AH2007" s="32">
        <v>0</v>
      </c>
      <c r="AI2007" s="32">
        <v>0</v>
      </c>
      <c r="AK2007" s="32">
        <v>0</v>
      </c>
      <c r="AL2007" s="32">
        <f>25/60</f>
        <v>0.41666666666666669</v>
      </c>
      <c r="AP2007" s="32">
        <f>25/60</f>
        <v>0.41666666666666669</v>
      </c>
      <c r="AQ2007" s="32" t="s">
        <v>589</v>
      </c>
      <c r="AU2007">
        <v>2006</v>
      </c>
    </row>
    <row r="2008" spans="1:47" x14ac:dyDescent="0.2">
      <c r="A2008" s="26">
        <v>6469</v>
      </c>
      <c r="B2008" s="27" t="s">
        <v>45</v>
      </c>
      <c r="C2008" s="28"/>
      <c r="D2008" s="29"/>
      <c r="E2008" s="30" t="s">
        <v>1531</v>
      </c>
      <c r="H2008" s="32">
        <v>0</v>
      </c>
      <c r="I2008" s="32" t="s">
        <v>1706</v>
      </c>
      <c r="AG2008" s="32">
        <v>0</v>
      </c>
      <c r="AH2008" s="32">
        <v>0</v>
      </c>
      <c r="AI2008" s="32">
        <v>0</v>
      </c>
      <c r="AK2008" s="32">
        <v>0</v>
      </c>
      <c r="AM2008" s="32">
        <f>498*87</f>
        <v>43326</v>
      </c>
      <c r="AO2008" s="32" t="s">
        <v>1533</v>
      </c>
      <c r="AQ2008" s="32" t="s">
        <v>1101</v>
      </c>
      <c r="AU2008">
        <v>2007</v>
      </c>
    </row>
    <row r="2009" spans="1:47" x14ac:dyDescent="0.2">
      <c r="A2009" s="26">
        <v>6469</v>
      </c>
      <c r="B2009" s="27" t="s">
        <v>45</v>
      </c>
      <c r="C2009" s="28"/>
      <c r="D2009" s="29"/>
      <c r="E2009" s="150" t="s">
        <v>2286</v>
      </c>
      <c r="H2009" s="32">
        <v>0</v>
      </c>
      <c r="I2009" s="32" t="s">
        <v>1824</v>
      </c>
      <c r="AG2009" s="32">
        <v>0</v>
      </c>
      <c r="AH2009" s="32">
        <v>0</v>
      </c>
      <c r="AI2009" s="32">
        <v>0</v>
      </c>
      <c r="AK2009" s="32">
        <v>0</v>
      </c>
      <c r="AM2009" s="32">
        <v>14000</v>
      </c>
      <c r="AO2009" s="73" t="s">
        <v>75</v>
      </c>
      <c r="AQ2009" s="32" t="s">
        <v>589</v>
      </c>
      <c r="AU2009">
        <v>2008</v>
      </c>
    </row>
    <row r="2010" spans="1:47" x14ac:dyDescent="0.2">
      <c r="A2010" s="44">
        <v>6470</v>
      </c>
      <c r="B2010" s="42" t="s">
        <v>45</v>
      </c>
      <c r="C2010" s="43" t="s">
        <v>156</v>
      </c>
      <c r="D2010" s="29"/>
      <c r="E2010" s="121" t="s">
        <v>3423</v>
      </c>
      <c r="F2010" s="31" t="s">
        <v>529</v>
      </c>
      <c r="G2010" s="31" t="s">
        <v>205</v>
      </c>
      <c r="H2010" s="32"/>
      <c r="I2010" s="32" t="s">
        <v>156</v>
      </c>
      <c r="AO2010" s="73"/>
      <c r="AU2010">
        <v>2009</v>
      </c>
    </row>
    <row r="2011" spans="1:47" x14ac:dyDescent="0.2">
      <c r="A2011" s="26">
        <v>6470</v>
      </c>
      <c r="B2011" s="27">
        <v>0.11666666666666665</v>
      </c>
      <c r="C2011" s="28"/>
      <c r="D2011" s="29"/>
      <c r="E2011" s="30" t="s">
        <v>464</v>
      </c>
      <c r="H2011" s="32">
        <v>0</v>
      </c>
      <c r="I2011" s="32" t="s">
        <v>2521</v>
      </c>
      <c r="AG2011" s="32">
        <v>0</v>
      </c>
      <c r="AH2011" s="32">
        <v>0</v>
      </c>
      <c r="AI2011" s="32">
        <v>0</v>
      </c>
      <c r="AK2011" s="32">
        <v>0</v>
      </c>
      <c r="AL2011" s="32">
        <v>0.33300000000000002</v>
      </c>
      <c r="AO2011" s="32" t="s">
        <v>1898</v>
      </c>
      <c r="AP2011" s="32">
        <v>0.33300000000000002</v>
      </c>
      <c r="AQ2011" s="32" t="s">
        <v>1522</v>
      </c>
      <c r="AU2011">
        <v>2010</v>
      </c>
    </row>
    <row r="2012" spans="1:47" x14ac:dyDescent="0.2">
      <c r="A2012" s="26">
        <v>6470</v>
      </c>
      <c r="B2012" s="27">
        <v>0.875</v>
      </c>
      <c r="C2012" s="28"/>
      <c r="D2012" s="29"/>
      <c r="E2012" s="30" t="s">
        <v>1124</v>
      </c>
      <c r="H2012" s="32">
        <v>1</v>
      </c>
      <c r="I2012" s="32"/>
      <c r="AG2012" s="32">
        <v>0</v>
      </c>
      <c r="AH2012" s="32">
        <v>0</v>
      </c>
      <c r="AK2012" s="32">
        <v>11</v>
      </c>
      <c r="AL2012" s="32">
        <v>1.75</v>
      </c>
      <c r="AO2012" s="46" t="s">
        <v>1126</v>
      </c>
      <c r="AP2012" s="32">
        <v>1.75</v>
      </c>
      <c r="AQ2012" s="32" t="s">
        <v>589</v>
      </c>
      <c r="AU2012">
        <v>2011</v>
      </c>
    </row>
    <row r="2013" spans="1:47" x14ac:dyDescent="0.2">
      <c r="A2013" s="44">
        <v>6471</v>
      </c>
      <c r="B2013" s="42" t="s">
        <v>45</v>
      </c>
      <c r="C2013" s="43" t="s">
        <v>156</v>
      </c>
      <c r="D2013" s="29"/>
      <c r="E2013" s="121" t="s">
        <v>3063</v>
      </c>
      <c r="F2013" s="31" t="s">
        <v>150</v>
      </c>
      <c r="G2013" s="31" t="s">
        <v>49</v>
      </c>
      <c r="H2013" s="32"/>
      <c r="I2013" s="32" t="s">
        <v>156</v>
      </c>
      <c r="AO2013" s="46"/>
      <c r="AU2013">
        <v>2012</v>
      </c>
    </row>
    <row r="2014" spans="1:47" x14ac:dyDescent="0.2">
      <c r="A2014" s="44">
        <v>6471</v>
      </c>
      <c r="B2014" s="42" t="s">
        <v>45</v>
      </c>
      <c r="C2014" s="38" t="s">
        <v>3330</v>
      </c>
      <c r="D2014" s="29"/>
      <c r="E2014" s="121" t="s">
        <v>405</v>
      </c>
      <c r="F2014" s="31" t="s">
        <v>150</v>
      </c>
      <c r="G2014" s="31" t="s">
        <v>49</v>
      </c>
      <c r="H2014" s="32"/>
      <c r="I2014" s="32" t="s">
        <v>3424</v>
      </c>
      <c r="K2014" s="31">
        <f>((4*6*50)+(3*30*10))*2.2</f>
        <v>4620</v>
      </c>
      <c r="L2014" s="33">
        <v>8</v>
      </c>
      <c r="N2014" s="31">
        <v>1</v>
      </c>
      <c r="S2014" s="33">
        <v>7</v>
      </c>
      <c r="T2014" s="31">
        <v>0</v>
      </c>
      <c r="U2014" s="31">
        <v>0</v>
      </c>
      <c r="V2014" s="31">
        <v>0</v>
      </c>
      <c r="W2014" s="47">
        <f>((2500+1700+2600+1800+2600+2100+2000)/7)*39.37/12</f>
        <v>7170.9642857142853</v>
      </c>
      <c r="Y2014" s="31" t="s">
        <v>51</v>
      </c>
      <c r="Z2014" s="47" t="s">
        <v>1846</v>
      </c>
      <c r="AA2014" s="49"/>
      <c r="AB2014" s="49"/>
      <c r="AC2014" s="49"/>
      <c r="AD2014" s="50">
        <v>2</v>
      </c>
      <c r="AE2014" s="47" t="s">
        <v>342</v>
      </c>
      <c r="AF2014" s="31">
        <v>40</v>
      </c>
      <c r="AK2014" s="32">
        <f>4*6+3*30</f>
        <v>114</v>
      </c>
      <c r="AO2014" s="46"/>
      <c r="AQ2014" t="s">
        <v>3425</v>
      </c>
      <c r="AU2014">
        <v>2013</v>
      </c>
    </row>
    <row r="2015" spans="1:47" x14ac:dyDescent="0.2">
      <c r="A2015" s="26">
        <v>6471</v>
      </c>
      <c r="B2015" s="27">
        <v>0.8208333333333333</v>
      </c>
      <c r="C2015" s="28"/>
      <c r="D2015" s="29"/>
      <c r="E2015" s="30" t="s">
        <v>464</v>
      </c>
      <c r="H2015" s="32">
        <v>1</v>
      </c>
      <c r="I2015" s="32" t="s">
        <v>3426</v>
      </c>
      <c r="AG2015" s="32">
        <v>0</v>
      </c>
      <c r="AH2015" s="32">
        <v>0</v>
      </c>
      <c r="AL2015" s="32">
        <f>24/60</f>
        <v>0.4</v>
      </c>
      <c r="AO2015" s="32" t="s">
        <v>1898</v>
      </c>
      <c r="AP2015" s="32">
        <f>24/60</f>
        <v>0.4</v>
      </c>
      <c r="AQ2015" s="32" t="s">
        <v>1522</v>
      </c>
      <c r="AU2015">
        <v>2014</v>
      </c>
    </row>
    <row r="2016" spans="1:47" x14ac:dyDescent="0.2">
      <c r="A2016" s="133">
        <v>6472</v>
      </c>
      <c r="B2016" s="39" t="s">
        <v>45</v>
      </c>
      <c r="C2016" s="39">
        <v>100</v>
      </c>
      <c r="D2016" s="29" t="b">
        <v>0</v>
      </c>
      <c r="E2016" s="39" t="s">
        <v>3427</v>
      </c>
      <c r="F2016" s="47" t="s">
        <v>3428</v>
      </c>
      <c r="G2016" s="47" t="s">
        <v>73</v>
      </c>
      <c r="H2016"/>
      <c r="I2016" s="47" t="b">
        <v>1</v>
      </c>
      <c r="J2016" s="47" t="b">
        <v>1</v>
      </c>
      <c r="K2016" s="47">
        <v>1675</v>
      </c>
      <c r="L2016" s="48">
        <v>6</v>
      </c>
      <c r="M2016" s="47">
        <v>-1</v>
      </c>
      <c r="N2016" s="47">
        <v>-1</v>
      </c>
      <c r="O2016" s="47">
        <v>-1</v>
      </c>
      <c r="P2016" s="47">
        <v>-1</v>
      </c>
      <c r="Q2016" s="47">
        <v>-1</v>
      </c>
      <c r="R2016" s="47">
        <v>-1</v>
      </c>
      <c r="S2016" s="48">
        <v>6</v>
      </c>
      <c r="T2016" s="47">
        <v>0</v>
      </c>
      <c r="U2016" s="47">
        <v>0</v>
      </c>
      <c r="V2016" s="47">
        <v>0</v>
      </c>
      <c r="W2016" s="47"/>
      <c r="X2016" s="47">
        <v>311</v>
      </c>
      <c r="Y2016" s="47"/>
      <c r="Z2016" s="47" t="s">
        <v>2524</v>
      </c>
      <c r="AA2016" s="49"/>
      <c r="AB2016" s="49"/>
      <c r="AC2016" s="49"/>
      <c r="AD2016" s="50"/>
      <c r="AE2016" s="47" t="s">
        <v>2754</v>
      </c>
      <c r="AF2016" s="47"/>
      <c r="AG2016"/>
      <c r="AH2016"/>
      <c r="AI2016"/>
      <c r="AJ2016"/>
      <c r="AK2016"/>
      <c r="AL2016"/>
      <c r="AM2016"/>
      <c r="AN2016"/>
      <c r="AO2016"/>
      <c r="AP2016"/>
      <c r="AQ2016" t="s">
        <v>2526</v>
      </c>
      <c r="AU2016">
        <v>2015</v>
      </c>
    </row>
    <row r="2017" spans="1:47" x14ac:dyDescent="0.2">
      <c r="A2017" s="133">
        <v>6472</v>
      </c>
      <c r="B2017" s="39" t="s">
        <v>45</v>
      </c>
      <c r="C2017" s="39">
        <v>100</v>
      </c>
      <c r="D2017" s="29" t="b">
        <v>0</v>
      </c>
      <c r="E2017" s="39" t="s">
        <v>3429</v>
      </c>
      <c r="F2017" s="47" t="s">
        <v>3430</v>
      </c>
      <c r="G2017" s="47" t="s">
        <v>73</v>
      </c>
      <c r="H2017"/>
      <c r="I2017" s="47" t="b">
        <v>0</v>
      </c>
      <c r="J2017" s="47" t="b">
        <v>0</v>
      </c>
      <c r="K2017" s="47">
        <v>735</v>
      </c>
      <c r="L2017" s="48">
        <v>6</v>
      </c>
      <c r="M2017" s="47">
        <v>-1</v>
      </c>
      <c r="N2017" s="47">
        <v>-1</v>
      </c>
      <c r="O2017" s="47">
        <v>-1</v>
      </c>
      <c r="P2017" s="47">
        <v>-1</v>
      </c>
      <c r="Q2017" s="47">
        <v>-1</v>
      </c>
      <c r="R2017" s="47">
        <v>-1</v>
      </c>
      <c r="S2017" s="48">
        <v>6</v>
      </c>
      <c r="T2017" s="47">
        <v>0</v>
      </c>
      <c r="U2017" s="47">
        <v>0</v>
      </c>
      <c r="V2017" s="47">
        <v>0</v>
      </c>
      <c r="W2017" s="47"/>
      <c r="X2017" s="47">
        <v>310</v>
      </c>
      <c r="Y2017" s="47"/>
      <c r="Z2017" s="47" t="s">
        <v>2524</v>
      </c>
      <c r="AA2017" s="49"/>
      <c r="AB2017" s="49"/>
      <c r="AC2017" s="49"/>
      <c r="AD2017" s="50"/>
      <c r="AE2017" s="47" t="s">
        <v>2754</v>
      </c>
      <c r="AF2017" s="47"/>
      <c r="AG2017"/>
      <c r="AH2017"/>
      <c r="AI2017"/>
      <c r="AJ2017"/>
      <c r="AK2017"/>
      <c r="AL2017"/>
      <c r="AM2017"/>
      <c r="AN2017"/>
      <c r="AO2017"/>
      <c r="AP2017"/>
      <c r="AQ2017" t="s">
        <v>2526</v>
      </c>
      <c r="AU2017">
        <v>2016</v>
      </c>
    </row>
    <row r="2018" spans="1:47" x14ac:dyDescent="0.2">
      <c r="A2018" s="133">
        <v>6472</v>
      </c>
      <c r="B2018" s="39" t="s">
        <v>45</v>
      </c>
      <c r="C2018" s="39">
        <v>100</v>
      </c>
      <c r="D2018" s="29" t="b">
        <v>0</v>
      </c>
      <c r="E2018" s="39" t="s">
        <v>3431</v>
      </c>
      <c r="F2018" s="47" t="s">
        <v>3430</v>
      </c>
      <c r="G2018" s="47" t="s">
        <v>73</v>
      </c>
      <c r="H2018"/>
      <c r="I2018" s="47" t="b">
        <v>0</v>
      </c>
      <c r="J2018" s="47" t="b">
        <v>0</v>
      </c>
      <c r="K2018" s="47">
        <v>480</v>
      </c>
      <c r="L2018" s="48">
        <v>6</v>
      </c>
      <c r="M2018" s="47">
        <v>-1</v>
      </c>
      <c r="N2018" s="47">
        <v>-1</v>
      </c>
      <c r="O2018" s="47">
        <v>-1</v>
      </c>
      <c r="P2018" s="47">
        <v>-1</v>
      </c>
      <c r="Q2018" s="47">
        <v>-1</v>
      </c>
      <c r="R2018" s="47">
        <v>-1</v>
      </c>
      <c r="S2018" s="48">
        <v>6</v>
      </c>
      <c r="T2018" s="47">
        <v>0</v>
      </c>
      <c r="U2018" s="47">
        <v>0</v>
      </c>
      <c r="V2018" s="47">
        <v>0</v>
      </c>
      <c r="W2018" s="47"/>
      <c r="X2018" s="47">
        <v>309</v>
      </c>
      <c r="Y2018" s="47"/>
      <c r="Z2018" s="47" t="s">
        <v>2524</v>
      </c>
      <c r="AA2018" s="49"/>
      <c r="AB2018" s="49"/>
      <c r="AC2018" s="49"/>
      <c r="AD2018" s="50"/>
      <c r="AE2018" s="47" t="s">
        <v>2754</v>
      </c>
      <c r="AF2018" s="47"/>
      <c r="AG2018"/>
      <c r="AH2018"/>
      <c r="AI2018"/>
      <c r="AJ2018"/>
      <c r="AK2018"/>
      <c r="AL2018"/>
      <c r="AM2018"/>
      <c r="AN2018"/>
      <c r="AO2018"/>
      <c r="AP2018"/>
      <c r="AQ2018" t="s">
        <v>2526</v>
      </c>
      <c r="AU2018">
        <v>2017</v>
      </c>
    </row>
    <row r="2019" spans="1:47" x14ac:dyDescent="0.2">
      <c r="A2019" s="26">
        <v>6472</v>
      </c>
      <c r="B2019" s="27">
        <v>0.93402777777777779</v>
      </c>
      <c r="C2019" s="28"/>
      <c r="D2019" s="29"/>
      <c r="E2019" s="30" t="s">
        <v>1282</v>
      </c>
      <c r="H2019" s="32">
        <v>0</v>
      </c>
      <c r="I2019" s="32" t="s">
        <v>2244</v>
      </c>
      <c r="AG2019" s="32">
        <v>0</v>
      </c>
      <c r="AH2019" s="32">
        <v>0</v>
      </c>
      <c r="AI2019" s="32">
        <v>0</v>
      </c>
      <c r="AK2019" s="32">
        <v>0</v>
      </c>
      <c r="AL2019" s="32">
        <v>0.33329999999999999</v>
      </c>
      <c r="AP2019" s="32">
        <v>0.33329999999999999</v>
      </c>
      <c r="AQ2019" s="32" t="s">
        <v>1101</v>
      </c>
      <c r="AU2019">
        <v>2018</v>
      </c>
    </row>
    <row r="2020" spans="1:47" x14ac:dyDescent="0.2">
      <c r="A2020" s="26">
        <v>6472</v>
      </c>
      <c r="B2020" s="27">
        <v>0.9375</v>
      </c>
      <c r="C2020" s="28"/>
      <c r="D2020" s="29"/>
      <c r="E2020" s="30" t="s">
        <v>464</v>
      </c>
      <c r="H2020" s="32">
        <v>1</v>
      </c>
      <c r="I2020" s="32" t="s">
        <v>3379</v>
      </c>
      <c r="AG2020" s="32">
        <v>0</v>
      </c>
      <c r="AH2020" s="32">
        <v>0</v>
      </c>
      <c r="AL2020" s="32">
        <f>110/60</f>
        <v>1.8333333333333333</v>
      </c>
      <c r="AO2020" s="32" t="s">
        <v>1898</v>
      </c>
      <c r="AP2020" s="32">
        <f>110/60</f>
        <v>1.8333333333333333</v>
      </c>
      <c r="AQ2020" s="32" t="s">
        <v>1522</v>
      </c>
      <c r="AU2020">
        <v>2019</v>
      </c>
    </row>
    <row r="2021" spans="1:47" x14ac:dyDescent="0.2">
      <c r="A2021" s="133">
        <v>6473</v>
      </c>
      <c r="B2021" s="39" t="s">
        <v>45</v>
      </c>
      <c r="C2021" s="39">
        <v>100</v>
      </c>
      <c r="D2021" s="29" t="b">
        <v>0</v>
      </c>
      <c r="E2021" s="39" t="s">
        <v>3432</v>
      </c>
      <c r="F2021" s="47" t="s">
        <v>3433</v>
      </c>
      <c r="G2021" s="47" t="s">
        <v>73</v>
      </c>
      <c r="H2021"/>
      <c r="I2021" s="47" t="b">
        <v>1</v>
      </c>
      <c r="J2021" s="47" t="b">
        <v>1</v>
      </c>
      <c r="K2021" s="47">
        <v>3326</v>
      </c>
      <c r="L2021" s="48">
        <v>14</v>
      </c>
      <c r="M2021" s="47">
        <v>-1</v>
      </c>
      <c r="N2021" s="47">
        <v>-1</v>
      </c>
      <c r="O2021" s="47">
        <v>-1</v>
      </c>
      <c r="P2021" s="47">
        <v>-1</v>
      </c>
      <c r="Q2021" s="47">
        <v>-1</v>
      </c>
      <c r="R2021" s="47">
        <v>-1</v>
      </c>
      <c r="S2021" s="48">
        <v>14</v>
      </c>
      <c r="T2021" s="47">
        <v>0</v>
      </c>
      <c r="U2021" s="47">
        <v>0</v>
      </c>
      <c r="V2021" s="47">
        <v>0</v>
      </c>
      <c r="W2021" s="47"/>
      <c r="X2021" s="47">
        <v>315</v>
      </c>
      <c r="Y2021" s="47"/>
      <c r="Z2021" s="47" t="s">
        <v>2524</v>
      </c>
      <c r="AA2021" s="49"/>
      <c r="AB2021" s="49"/>
      <c r="AC2021" s="49"/>
      <c r="AD2021" s="50"/>
      <c r="AE2021" s="47" t="s">
        <v>2754</v>
      </c>
      <c r="AF2021" s="47">
        <v>55</v>
      </c>
      <c r="AG2021"/>
      <c r="AH2021"/>
      <c r="AI2021"/>
      <c r="AJ2021"/>
      <c r="AK2021"/>
      <c r="AL2021"/>
      <c r="AM2021"/>
      <c r="AN2021"/>
      <c r="AO2021"/>
      <c r="AP2021"/>
      <c r="AQ2021" t="s">
        <v>2526</v>
      </c>
      <c r="AU2021">
        <v>2020</v>
      </c>
    </row>
    <row r="2022" spans="1:47" x14ac:dyDescent="0.2">
      <c r="A2022" s="133">
        <v>6473</v>
      </c>
      <c r="B2022" s="39" t="s">
        <v>45</v>
      </c>
      <c r="C2022" s="39">
        <v>100</v>
      </c>
      <c r="D2022" s="29" t="b">
        <v>0</v>
      </c>
      <c r="E2022" s="39" t="s">
        <v>2835</v>
      </c>
      <c r="F2022" s="47" t="s">
        <v>3433</v>
      </c>
      <c r="G2022" s="47" t="s">
        <v>73</v>
      </c>
      <c r="H2022"/>
      <c r="I2022" s="47" t="b">
        <v>0</v>
      </c>
      <c r="J2022" s="47" t="b">
        <v>0</v>
      </c>
      <c r="K2022" s="47">
        <v>2222</v>
      </c>
      <c r="L2022" s="48">
        <v>14</v>
      </c>
      <c r="M2022" s="47">
        <v>-1</v>
      </c>
      <c r="N2022" s="47">
        <v>-1</v>
      </c>
      <c r="O2022" s="47">
        <v>-1</v>
      </c>
      <c r="P2022" s="47">
        <v>-1</v>
      </c>
      <c r="Q2022" s="47">
        <v>-1</v>
      </c>
      <c r="R2022" s="47">
        <v>-1</v>
      </c>
      <c r="S2022" s="48">
        <v>14</v>
      </c>
      <c r="T2022" s="47">
        <v>0</v>
      </c>
      <c r="U2022" s="47">
        <v>0</v>
      </c>
      <c r="V2022" s="47">
        <v>0</v>
      </c>
      <c r="W2022" s="47"/>
      <c r="X2022" s="47">
        <v>316</v>
      </c>
      <c r="Y2022" s="47"/>
      <c r="Z2022" s="47" t="s">
        <v>2524</v>
      </c>
      <c r="AA2022" s="49"/>
      <c r="AB2022" s="49"/>
      <c r="AC2022" s="49"/>
      <c r="AD2022" s="50"/>
      <c r="AE2022" s="47" t="s">
        <v>2754</v>
      </c>
      <c r="AF2022" s="47">
        <v>55</v>
      </c>
      <c r="AG2022"/>
      <c r="AH2022"/>
      <c r="AI2022"/>
      <c r="AJ2022"/>
      <c r="AK2022"/>
      <c r="AL2022"/>
      <c r="AM2022"/>
      <c r="AN2022"/>
      <c r="AO2022"/>
      <c r="AP2022"/>
      <c r="AQ2022" t="s">
        <v>2526</v>
      </c>
      <c r="AU2022">
        <v>2021</v>
      </c>
    </row>
    <row r="2023" spans="1:47" x14ac:dyDescent="0.2">
      <c r="A2023" s="133">
        <v>6473</v>
      </c>
      <c r="B2023" s="39" t="s">
        <v>45</v>
      </c>
      <c r="C2023" s="39">
        <v>100</v>
      </c>
      <c r="D2023" s="29" t="b">
        <v>0</v>
      </c>
      <c r="E2023" s="39" t="s">
        <v>2780</v>
      </c>
      <c r="F2023" s="47" t="s">
        <v>748</v>
      </c>
      <c r="G2023" s="47" t="s">
        <v>73</v>
      </c>
      <c r="H2023"/>
      <c r="I2023" s="47" t="b">
        <v>0</v>
      </c>
      <c r="J2023" s="47" t="b">
        <v>0</v>
      </c>
      <c r="K2023" s="47">
        <v>680</v>
      </c>
      <c r="L2023" s="48">
        <v>14</v>
      </c>
      <c r="M2023" s="47">
        <v>-1</v>
      </c>
      <c r="N2023" s="47">
        <v>-1</v>
      </c>
      <c r="O2023" s="47">
        <v>-1</v>
      </c>
      <c r="P2023" s="47">
        <v>-1</v>
      </c>
      <c r="Q2023" s="47">
        <v>-1</v>
      </c>
      <c r="R2023" s="47">
        <v>-1</v>
      </c>
      <c r="S2023" s="48">
        <v>14</v>
      </c>
      <c r="T2023" s="47">
        <v>0</v>
      </c>
      <c r="U2023" s="47">
        <v>0</v>
      </c>
      <c r="V2023" s="47">
        <v>0</v>
      </c>
      <c r="W2023" s="47"/>
      <c r="X2023" s="47">
        <v>313</v>
      </c>
      <c r="Y2023" s="47"/>
      <c r="Z2023" s="47" t="s">
        <v>2524</v>
      </c>
      <c r="AA2023" s="49"/>
      <c r="AB2023" s="49"/>
      <c r="AC2023" s="49"/>
      <c r="AD2023" s="50"/>
      <c r="AE2023" s="47" t="s">
        <v>2754</v>
      </c>
      <c r="AF2023" s="47">
        <v>50</v>
      </c>
      <c r="AG2023"/>
      <c r="AH2023"/>
      <c r="AI2023"/>
      <c r="AJ2023"/>
      <c r="AK2023"/>
      <c r="AL2023"/>
      <c r="AM2023"/>
      <c r="AN2023"/>
      <c r="AO2023"/>
      <c r="AP2023"/>
      <c r="AQ2023" t="s">
        <v>2526</v>
      </c>
      <c r="AU2023">
        <v>2022</v>
      </c>
    </row>
    <row r="2024" spans="1:47" x14ac:dyDescent="0.2">
      <c r="A2024" s="133">
        <v>6473</v>
      </c>
      <c r="B2024" s="39" t="s">
        <v>45</v>
      </c>
      <c r="C2024" s="39">
        <v>100</v>
      </c>
      <c r="D2024" s="29" t="b">
        <v>0</v>
      </c>
      <c r="E2024" s="39" t="s">
        <v>3138</v>
      </c>
      <c r="F2024" s="47" t="s">
        <v>748</v>
      </c>
      <c r="G2024" s="47" t="s">
        <v>73</v>
      </c>
      <c r="H2024"/>
      <c r="I2024" s="47" t="b">
        <v>0</v>
      </c>
      <c r="J2024" s="47" t="b">
        <v>0</v>
      </c>
      <c r="K2024" s="47">
        <v>400</v>
      </c>
      <c r="L2024" s="48">
        <v>14</v>
      </c>
      <c r="M2024" s="47">
        <v>-1</v>
      </c>
      <c r="N2024" s="47">
        <v>-1</v>
      </c>
      <c r="O2024" s="47">
        <v>-1</v>
      </c>
      <c r="P2024" s="47">
        <v>-1</v>
      </c>
      <c r="Q2024" s="47">
        <v>-1</v>
      </c>
      <c r="R2024" s="47">
        <v>-1</v>
      </c>
      <c r="S2024" s="48">
        <v>14</v>
      </c>
      <c r="T2024" s="47">
        <v>0</v>
      </c>
      <c r="U2024" s="47">
        <v>0</v>
      </c>
      <c r="V2024" s="47">
        <v>0</v>
      </c>
      <c r="W2024" s="47"/>
      <c r="X2024" s="47">
        <v>312</v>
      </c>
      <c r="Y2024" s="47"/>
      <c r="Z2024" s="47" t="s">
        <v>2524</v>
      </c>
      <c r="AA2024" s="49"/>
      <c r="AB2024" s="49"/>
      <c r="AC2024" s="49"/>
      <c r="AD2024" s="50"/>
      <c r="AE2024" s="47" t="s">
        <v>2754</v>
      </c>
      <c r="AF2024" s="47"/>
      <c r="AG2024"/>
      <c r="AH2024"/>
      <c r="AI2024"/>
      <c r="AJ2024"/>
      <c r="AK2024"/>
      <c r="AL2024"/>
      <c r="AM2024"/>
      <c r="AN2024"/>
      <c r="AO2024"/>
      <c r="AP2024"/>
      <c r="AQ2024" t="s">
        <v>2526</v>
      </c>
      <c r="AU2024">
        <v>2023</v>
      </c>
    </row>
    <row r="2025" spans="1:47" x14ac:dyDescent="0.2">
      <c r="A2025" s="133">
        <v>6473</v>
      </c>
      <c r="B2025" s="39" t="s">
        <v>45</v>
      </c>
      <c r="C2025" s="39">
        <v>100</v>
      </c>
      <c r="D2025" s="29" t="b">
        <v>0</v>
      </c>
      <c r="E2025" s="39" t="s">
        <v>3147</v>
      </c>
      <c r="F2025" s="47" t="s">
        <v>748</v>
      </c>
      <c r="G2025" s="47" t="s">
        <v>73</v>
      </c>
      <c r="H2025"/>
      <c r="I2025" s="47" t="b">
        <v>0</v>
      </c>
      <c r="J2025" s="47" t="b">
        <v>0</v>
      </c>
      <c r="K2025" s="47">
        <v>224</v>
      </c>
      <c r="L2025" s="48">
        <v>14</v>
      </c>
      <c r="M2025" s="47">
        <v>-1</v>
      </c>
      <c r="N2025" s="47">
        <v>-1</v>
      </c>
      <c r="O2025" s="47">
        <v>-1</v>
      </c>
      <c r="P2025" s="47">
        <v>-1</v>
      </c>
      <c r="Q2025" s="47">
        <v>-1</v>
      </c>
      <c r="R2025" s="47">
        <v>-1</v>
      </c>
      <c r="S2025" s="48">
        <v>14</v>
      </c>
      <c r="T2025" s="47">
        <v>0</v>
      </c>
      <c r="U2025" s="47">
        <v>0</v>
      </c>
      <c r="V2025" s="47">
        <v>0</v>
      </c>
      <c r="W2025" s="47"/>
      <c r="X2025" s="47">
        <v>314</v>
      </c>
      <c r="Y2025" s="47"/>
      <c r="Z2025" s="47" t="s">
        <v>2524</v>
      </c>
      <c r="AA2025" s="49"/>
      <c r="AB2025" s="49"/>
      <c r="AC2025" s="49"/>
      <c r="AD2025" s="50"/>
      <c r="AE2025" s="47" t="s">
        <v>2754</v>
      </c>
      <c r="AF2025" s="47"/>
      <c r="AG2025"/>
      <c r="AH2025"/>
      <c r="AI2025"/>
      <c r="AJ2025"/>
      <c r="AK2025"/>
      <c r="AL2025"/>
      <c r="AM2025"/>
      <c r="AN2025"/>
      <c r="AO2025"/>
      <c r="AP2025"/>
      <c r="AQ2025" t="s">
        <v>2526</v>
      </c>
      <c r="AU2025">
        <v>2024</v>
      </c>
    </row>
    <row r="2026" spans="1:47" x14ac:dyDescent="0.2">
      <c r="A2026" s="133">
        <v>6474</v>
      </c>
      <c r="B2026" s="39" t="s">
        <v>45</v>
      </c>
      <c r="C2026" s="38" t="s">
        <v>3330</v>
      </c>
      <c r="D2026" s="29"/>
      <c r="E2026" s="39" t="s">
        <v>3434</v>
      </c>
      <c r="F2026" s="47" t="s">
        <v>220</v>
      </c>
      <c r="G2026" s="47" t="s">
        <v>49</v>
      </c>
      <c r="H2026"/>
      <c r="I2026" s="47" t="s">
        <v>3435</v>
      </c>
      <c r="J2026" s="47"/>
      <c r="K2026" s="47">
        <f>((2*30*10)+(2*6*50))*2.2</f>
        <v>2640</v>
      </c>
      <c r="L2026" s="48">
        <v>5</v>
      </c>
      <c r="M2026" s="47"/>
      <c r="N2026" s="47">
        <v>1</v>
      </c>
      <c r="O2026" s="47"/>
      <c r="P2026" s="47"/>
      <c r="Q2026" s="47"/>
      <c r="R2026" s="47"/>
      <c r="S2026" s="48">
        <v>4</v>
      </c>
      <c r="T2026" s="47">
        <v>0</v>
      </c>
      <c r="U2026" s="47">
        <v>0</v>
      </c>
      <c r="V2026" s="47">
        <v>0</v>
      </c>
      <c r="W2026" s="47">
        <f>((2900+2900+2300+2800)/4)*39.37/12</f>
        <v>8940.2708333333339</v>
      </c>
      <c r="X2026" s="47"/>
      <c r="Y2026" s="31" t="s">
        <v>51</v>
      </c>
      <c r="Z2026" s="47" t="s">
        <v>1846</v>
      </c>
      <c r="AA2026" s="49"/>
      <c r="AB2026" s="49"/>
      <c r="AC2026" s="49"/>
      <c r="AD2026" s="50">
        <f>2+25/60</f>
        <v>2.4166666666666665</v>
      </c>
      <c r="AE2026" s="47" t="s">
        <v>342</v>
      </c>
      <c r="AF2026" s="47">
        <v>55</v>
      </c>
      <c r="AG2026"/>
      <c r="AH2026"/>
      <c r="AI2026"/>
      <c r="AJ2026"/>
      <c r="AK2026">
        <f>30+30+6+6</f>
        <v>72</v>
      </c>
      <c r="AL2026"/>
      <c r="AM2026"/>
      <c r="AN2026"/>
      <c r="AO2026"/>
      <c r="AP2026"/>
      <c r="AQ2026" t="s">
        <v>3436</v>
      </c>
      <c r="AU2026">
        <v>2025</v>
      </c>
    </row>
    <row r="2027" spans="1:47" x14ac:dyDescent="0.2">
      <c r="A2027" s="133">
        <v>6474</v>
      </c>
      <c r="B2027" s="39" t="s">
        <v>45</v>
      </c>
      <c r="C2027" s="38" t="s">
        <v>3330</v>
      </c>
      <c r="D2027" s="29"/>
      <c r="E2027" s="39" t="s">
        <v>3367</v>
      </c>
      <c r="F2027" s="47" t="s">
        <v>220</v>
      </c>
      <c r="G2027" s="47" t="s">
        <v>49</v>
      </c>
      <c r="H2027"/>
      <c r="I2027" s="47" t="s">
        <v>3437</v>
      </c>
      <c r="J2027" s="47"/>
      <c r="K2027" s="47">
        <f>6*50*2.2</f>
        <v>660</v>
      </c>
      <c r="L2027" s="48">
        <v>1</v>
      </c>
      <c r="M2027" s="47"/>
      <c r="N2027" s="47"/>
      <c r="O2027" s="47"/>
      <c r="P2027" s="47"/>
      <c r="Q2027" s="47"/>
      <c r="R2027" s="47"/>
      <c r="S2027" s="48">
        <v>1</v>
      </c>
      <c r="T2027" s="47">
        <v>0</v>
      </c>
      <c r="U2027" s="47">
        <v>0</v>
      </c>
      <c r="V2027" s="47">
        <v>0</v>
      </c>
      <c r="W2027" s="47">
        <f>2200*39.37/12</f>
        <v>7217.833333333333</v>
      </c>
      <c r="X2027" s="47"/>
      <c r="Y2027" s="31" t="s">
        <v>51</v>
      </c>
      <c r="Z2027" s="47" t="s">
        <v>1846</v>
      </c>
      <c r="AA2027" s="49"/>
      <c r="AB2027" s="49"/>
      <c r="AC2027" s="49"/>
      <c r="AD2027" s="50">
        <f>1+35/60</f>
        <v>1.5833333333333335</v>
      </c>
      <c r="AE2027" s="47" t="s">
        <v>342</v>
      </c>
      <c r="AF2027" s="31">
        <v>45</v>
      </c>
      <c r="AG2027"/>
      <c r="AH2027"/>
      <c r="AI2027"/>
      <c r="AJ2027"/>
      <c r="AK2027">
        <v>6</v>
      </c>
      <c r="AL2027"/>
      <c r="AM2027"/>
      <c r="AN2027"/>
      <c r="AO2027"/>
      <c r="AP2027"/>
      <c r="AQ2027" t="s">
        <v>3436</v>
      </c>
      <c r="AU2027">
        <v>2026</v>
      </c>
    </row>
    <row r="2028" spans="1:47" x14ac:dyDescent="0.2">
      <c r="A2028" s="133">
        <v>6474</v>
      </c>
      <c r="B2028" s="39" t="s">
        <v>45</v>
      </c>
      <c r="C2028" s="38" t="s">
        <v>3330</v>
      </c>
      <c r="D2028" s="29"/>
      <c r="E2028" s="39" t="s">
        <v>3082</v>
      </c>
      <c r="F2028" s="47" t="s">
        <v>220</v>
      </c>
      <c r="G2028" s="47" t="s">
        <v>49</v>
      </c>
      <c r="H2028"/>
      <c r="I2028" s="47" t="s">
        <v>3438</v>
      </c>
      <c r="J2028" s="47"/>
      <c r="K2028" s="47">
        <f>30*10*2.2</f>
        <v>660</v>
      </c>
      <c r="L2028" s="48">
        <v>1</v>
      </c>
      <c r="M2028" s="47"/>
      <c r="N2028" s="47"/>
      <c r="O2028" s="47"/>
      <c r="P2028" s="47"/>
      <c r="Q2028" s="47"/>
      <c r="R2028" s="47"/>
      <c r="S2028" s="48">
        <v>1</v>
      </c>
      <c r="T2028" s="47">
        <v>0</v>
      </c>
      <c r="U2028" s="47">
        <v>0</v>
      </c>
      <c r="V2028" s="47">
        <v>0</v>
      </c>
      <c r="W2028" s="47">
        <f>2500*39.37/12</f>
        <v>8202.0833333333339</v>
      </c>
      <c r="X2028" s="47"/>
      <c r="Y2028" s="31" t="s">
        <v>51</v>
      </c>
      <c r="Z2028" s="47" t="s">
        <v>1846</v>
      </c>
      <c r="AA2028" s="49"/>
      <c r="AB2028" s="49"/>
      <c r="AC2028" s="49"/>
      <c r="AD2028" s="50">
        <v>1.5</v>
      </c>
      <c r="AE2028" s="47" t="s">
        <v>342</v>
      </c>
      <c r="AF2028" s="47">
        <v>45</v>
      </c>
      <c r="AG2028"/>
      <c r="AH2028"/>
      <c r="AI2028"/>
      <c r="AJ2028"/>
      <c r="AK2028">
        <v>30</v>
      </c>
      <c r="AL2028"/>
      <c r="AM2028"/>
      <c r="AN2028"/>
      <c r="AO2028"/>
      <c r="AP2028"/>
      <c r="AQ2028" t="s">
        <v>3436</v>
      </c>
      <c r="AU2028">
        <v>2027</v>
      </c>
    </row>
    <row r="2029" spans="1:47" x14ac:dyDescent="0.2">
      <c r="A2029" s="133">
        <v>6474</v>
      </c>
      <c r="B2029" s="39" t="s">
        <v>45</v>
      </c>
      <c r="C2029" s="39">
        <v>100</v>
      </c>
      <c r="D2029" s="29" t="b">
        <v>0</v>
      </c>
      <c r="E2029" s="39" t="s">
        <v>3439</v>
      </c>
      <c r="F2029" s="47" t="s">
        <v>3440</v>
      </c>
      <c r="G2029" s="47" t="s">
        <v>49</v>
      </c>
      <c r="H2029"/>
      <c r="I2029" s="47" t="b">
        <v>1</v>
      </c>
      <c r="J2029" s="47" t="b">
        <v>1</v>
      </c>
      <c r="K2029" s="47">
        <v>10039</v>
      </c>
      <c r="L2029" s="48">
        <v>32</v>
      </c>
      <c r="M2029" s="47">
        <v>-1</v>
      </c>
      <c r="N2029" s="47">
        <v>-1</v>
      </c>
      <c r="O2029" s="47">
        <v>-1</v>
      </c>
      <c r="P2029" s="47">
        <v>-1</v>
      </c>
      <c r="Q2029" s="47">
        <v>-1</v>
      </c>
      <c r="R2029" s="47">
        <v>-1</v>
      </c>
      <c r="S2029" s="48">
        <v>32</v>
      </c>
      <c r="T2029" s="47">
        <v>0</v>
      </c>
      <c r="U2029" s="47">
        <v>0</v>
      </c>
      <c r="V2029" s="47">
        <v>0</v>
      </c>
      <c r="W2029" s="47"/>
      <c r="X2029" s="47">
        <v>317</v>
      </c>
      <c r="Y2029" s="47"/>
      <c r="Z2029" s="47" t="s">
        <v>2524</v>
      </c>
      <c r="AA2029" s="49"/>
      <c r="AB2029" s="49"/>
      <c r="AC2029" s="49"/>
      <c r="AD2029" s="50"/>
      <c r="AE2029" s="47" t="s">
        <v>2754</v>
      </c>
      <c r="AF2029" s="47">
        <v>55</v>
      </c>
      <c r="AG2029"/>
      <c r="AH2029"/>
      <c r="AI2029"/>
      <c r="AJ2029"/>
      <c r="AK2029"/>
      <c r="AL2029"/>
      <c r="AM2029"/>
      <c r="AN2029"/>
      <c r="AO2029"/>
      <c r="AP2029"/>
      <c r="AQ2029" t="s">
        <v>2526</v>
      </c>
      <c r="AU2029">
        <v>2028</v>
      </c>
    </row>
    <row r="2030" spans="1:47" x14ac:dyDescent="0.2">
      <c r="A2030" s="133">
        <v>6474</v>
      </c>
      <c r="B2030" s="39" t="s">
        <v>45</v>
      </c>
      <c r="C2030" s="39">
        <v>100</v>
      </c>
      <c r="D2030" s="29" t="b">
        <v>0</v>
      </c>
      <c r="E2030" s="39" t="s">
        <v>2835</v>
      </c>
      <c r="F2030" s="47" t="s">
        <v>220</v>
      </c>
      <c r="G2030" s="47" t="s">
        <v>49</v>
      </c>
      <c r="H2030"/>
      <c r="I2030" s="47" t="b">
        <v>0</v>
      </c>
      <c r="J2030" s="47" t="b">
        <v>0</v>
      </c>
      <c r="K2030" s="47">
        <v>6739</v>
      </c>
      <c r="L2030" s="48">
        <v>32</v>
      </c>
      <c r="M2030" s="47">
        <v>-1</v>
      </c>
      <c r="N2030" s="47">
        <v>-1</v>
      </c>
      <c r="O2030" s="47">
        <v>-1</v>
      </c>
      <c r="P2030" s="47">
        <v>-1</v>
      </c>
      <c r="Q2030" s="47">
        <v>-1</v>
      </c>
      <c r="R2030" s="47">
        <v>-1</v>
      </c>
      <c r="S2030" s="48">
        <v>32</v>
      </c>
      <c r="T2030" s="47">
        <v>0</v>
      </c>
      <c r="U2030" s="47">
        <v>0</v>
      </c>
      <c r="V2030" s="47">
        <v>0</v>
      </c>
      <c r="W2030" s="47"/>
      <c r="X2030" s="47">
        <v>318</v>
      </c>
      <c r="Y2030" s="47"/>
      <c r="Z2030" s="47" t="s">
        <v>2524</v>
      </c>
      <c r="AA2030" s="49"/>
      <c r="AB2030" s="49"/>
      <c r="AC2030" s="49"/>
      <c r="AD2030" s="50"/>
      <c r="AE2030" s="47" t="s">
        <v>2754</v>
      </c>
      <c r="AF2030" s="47">
        <v>55</v>
      </c>
      <c r="AG2030"/>
      <c r="AH2030"/>
      <c r="AI2030"/>
      <c r="AJ2030"/>
      <c r="AK2030"/>
      <c r="AL2030"/>
      <c r="AM2030"/>
      <c r="AN2030"/>
      <c r="AO2030"/>
      <c r="AP2030"/>
      <c r="AQ2030" t="s">
        <v>2526</v>
      </c>
      <c r="AU2030">
        <v>2029</v>
      </c>
    </row>
    <row r="2031" spans="1:47" x14ac:dyDescent="0.2">
      <c r="A2031" s="133">
        <v>6474</v>
      </c>
      <c r="B2031" s="39" t="s">
        <v>45</v>
      </c>
      <c r="C2031" s="39">
        <v>100</v>
      </c>
      <c r="D2031" s="29" t="b">
        <v>0</v>
      </c>
      <c r="E2031" s="39" t="s">
        <v>2780</v>
      </c>
      <c r="F2031" s="47" t="s">
        <v>748</v>
      </c>
      <c r="G2031" s="47" t="s">
        <v>73</v>
      </c>
      <c r="H2031"/>
      <c r="I2031" s="47" t="b">
        <v>0</v>
      </c>
      <c r="J2031" s="47" t="b">
        <v>0</v>
      </c>
      <c r="K2031" s="47">
        <v>3550</v>
      </c>
      <c r="L2031" s="48">
        <v>32</v>
      </c>
      <c r="M2031" s="47">
        <v>-1</v>
      </c>
      <c r="N2031" s="47">
        <v>-1</v>
      </c>
      <c r="O2031" s="47">
        <v>-1</v>
      </c>
      <c r="P2031" s="47">
        <v>-1</v>
      </c>
      <c r="Q2031" s="47">
        <v>-1</v>
      </c>
      <c r="R2031" s="47">
        <v>-1</v>
      </c>
      <c r="S2031" s="48">
        <v>32</v>
      </c>
      <c r="T2031" s="47">
        <v>0</v>
      </c>
      <c r="U2031" s="47">
        <v>0</v>
      </c>
      <c r="V2031" s="47">
        <v>0</v>
      </c>
      <c r="W2031" s="47"/>
      <c r="X2031" s="47">
        <v>319</v>
      </c>
      <c r="Y2031" s="47"/>
      <c r="Z2031" s="47" t="s">
        <v>2524</v>
      </c>
      <c r="AA2031" s="49"/>
      <c r="AB2031" s="49"/>
      <c r="AC2031" s="49"/>
      <c r="AD2031" s="50"/>
      <c r="AE2031" s="47" t="s">
        <v>2754</v>
      </c>
      <c r="AF2031" s="47">
        <v>50</v>
      </c>
      <c r="AG2031"/>
      <c r="AH2031"/>
      <c r="AI2031"/>
      <c r="AJ2031"/>
      <c r="AK2031"/>
      <c r="AL2031"/>
      <c r="AM2031"/>
      <c r="AN2031"/>
      <c r="AO2031"/>
      <c r="AP2031"/>
      <c r="AQ2031" t="s">
        <v>2526</v>
      </c>
      <c r="AU2031">
        <v>2030</v>
      </c>
    </row>
    <row r="2032" spans="1:47" x14ac:dyDescent="0.2">
      <c r="A2032" s="26">
        <v>6474</v>
      </c>
      <c r="B2032" s="27">
        <v>0.71527777777777779</v>
      </c>
      <c r="C2032" s="28"/>
      <c r="D2032" s="29"/>
      <c r="E2032" s="30" t="s">
        <v>1282</v>
      </c>
      <c r="H2032" s="32">
        <v>0</v>
      </c>
      <c r="I2032" s="32" t="s">
        <v>3441</v>
      </c>
      <c r="AG2032" s="32">
        <v>0</v>
      </c>
      <c r="AH2032" s="32">
        <v>0</v>
      </c>
      <c r="AI2032" s="32">
        <v>0</v>
      </c>
      <c r="AK2032" s="32">
        <v>0</v>
      </c>
      <c r="AL2032" s="32">
        <f>1+5/60</f>
        <v>1.0833333333333333</v>
      </c>
      <c r="AP2032" s="32">
        <f>4+5/60</f>
        <v>4.083333333333333</v>
      </c>
      <c r="AQ2032" s="32" t="s">
        <v>1101</v>
      </c>
      <c r="AU2032">
        <v>2031</v>
      </c>
    </row>
    <row r="2033" spans="1:47" x14ac:dyDescent="0.2">
      <c r="A2033" s="26">
        <v>6474</v>
      </c>
      <c r="B2033" s="27">
        <v>0.82638888888888884</v>
      </c>
      <c r="C2033" s="28"/>
      <c r="D2033" s="29"/>
      <c r="E2033" s="30" t="s">
        <v>464</v>
      </c>
      <c r="H2033" s="32">
        <v>1</v>
      </c>
      <c r="I2033" s="32" t="s">
        <v>3442</v>
      </c>
      <c r="AG2033" s="32">
        <v>0</v>
      </c>
      <c r="AH2033" s="32">
        <v>0</v>
      </c>
      <c r="AL2033" s="32">
        <f>3+50/60</f>
        <v>3.8333333333333335</v>
      </c>
      <c r="AO2033" s="32" t="s">
        <v>1898</v>
      </c>
      <c r="AP2033" s="32">
        <f>3+50/60</f>
        <v>3.8333333333333335</v>
      </c>
      <c r="AQ2033" s="32" t="s">
        <v>1522</v>
      </c>
      <c r="AU2033">
        <v>2032</v>
      </c>
    </row>
    <row r="2034" spans="1:47" x14ac:dyDescent="0.2">
      <c r="A2034" s="133">
        <v>6475</v>
      </c>
      <c r="B2034" s="39" t="s">
        <v>45</v>
      </c>
      <c r="C2034" s="39">
        <v>100</v>
      </c>
      <c r="D2034" s="29" t="b">
        <v>0</v>
      </c>
      <c r="E2034" s="39" t="s">
        <v>3443</v>
      </c>
      <c r="F2034" s="47" t="s">
        <v>3444</v>
      </c>
      <c r="G2034" s="47" t="s">
        <v>49</v>
      </c>
      <c r="H2034"/>
      <c r="I2034" s="47" t="b">
        <v>1</v>
      </c>
      <c r="J2034" s="47" t="b">
        <v>1</v>
      </c>
      <c r="K2034" s="47">
        <v>4565</v>
      </c>
      <c r="L2034" s="48">
        <v>15</v>
      </c>
      <c r="M2034" s="47">
        <v>-1</v>
      </c>
      <c r="N2034" s="47">
        <v>-1</v>
      </c>
      <c r="O2034" s="47">
        <v>-1</v>
      </c>
      <c r="P2034" s="47">
        <v>-1</v>
      </c>
      <c r="Q2034" s="47">
        <v>-1</v>
      </c>
      <c r="R2034" s="47">
        <v>-1</v>
      </c>
      <c r="S2034" s="48">
        <v>15</v>
      </c>
      <c r="T2034" s="47">
        <v>0</v>
      </c>
      <c r="U2034" s="47">
        <v>0</v>
      </c>
      <c r="V2034" s="47">
        <v>0</v>
      </c>
      <c r="W2034" s="47"/>
      <c r="X2034" s="47">
        <v>323</v>
      </c>
      <c r="Y2034" s="47"/>
      <c r="Z2034" s="47" t="s">
        <v>2524</v>
      </c>
      <c r="AA2034" s="49"/>
      <c r="AB2034" s="49"/>
      <c r="AC2034" s="49"/>
      <c r="AD2034" s="50"/>
      <c r="AE2034" s="47" t="s">
        <v>2754</v>
      </c>
      <c r="AF2034" s="47">
        <v>50</v>
      </c>
      <c r="AG2034"/>
      <c r="AH2034"/>
      <c r="AI2034"/>
      <c r="AJ2034"/>
      <c r="AK2034"/>
      <c r="AL2034"/>
      <c r="AM2034"/>
      <c r="AN2034"/>
      <c r="AO2034"/>
      <c r="AP2034"/>
      <c r="AQ2034" t="s">
        <v>2526</v>
      </c>
      <c r="AU2034">
        <v>2033</v>
      </c>
    </row>
    <row r="2035" spans="1:47" x14ac:dyDescent="0.2">
      <c r="A2035" s="133">
        <v>6475</v>
      </c>
      <c r="B2035" s="39" t="s">
        <v>45</v>
      </c>
      <c r="C2035" s="39">
        <v>100</v>
      </c>
      <c r="D2035" s="29" t="b">
        <v>0</v>
      </c>
      <c r="E2035" s="39" t="s">
        <v>2780</v>
      </c>
      <c r="F2035" s="47" t="s">
        <v>3445</v>
      </c>
      <c r="G2035" s="47" t="s">
        <v>49</v>
      </c>
      <c r="H2035"/>
      <c r="I2035" s="47" t="b">
        <v>0</v>
      </c>
      <c r="J2035" s="47" t="b">
        <v>0</v>
      </c>
      <c r="K2035" s="47">
        <v>1850</v>
      </c>
      <c r="L2035" s="48">
        <v>15</v>
      </c>
      <c r="M2035" s="47">
        <v>-1</v>
      </c>
      <c r="N2035" s="47">
        <v>-1</v>
      </c>
      <c r="O2035" s="47">
        <v>-1</v>
      </c>
      <c r="P2035" s="47">
        <v>-1</v>
      </c>
      <c r="Q2035" s="47">
        <v>-1</v>
      </c>
      <c r="R2035" s="47">
        <v>-1</v>
      </c>
      <c r="S2035" s="48">
        <v>15</v>
      </c>
      <c r="T2035" s="47">
        <v>0</v>
      </c>
      <c r="U2035" s="47">
        <v>0</v>
      </c>
      <c r="V2035" s="47">
        <v>0</v>
      </c>
      <c r="W2035" s="47"/>
      <c r="X2035" s="47">
        <v>322</v>
      </c>
      <c r="Y2035" s="47"/>
      <c r="Z2035" s="47" t="s">
        <v>2524</v>
      </c>
      <c r="AA2035" s="49"/>
      <c r="AB2035" s="49"/>
      <c r="AC2035" s="49"/>
      <c r="AD2035" s="50"/>
      <c r="AE2035" s="47" t="s">
        <v>2754</v>
      </c>
      <c r="AF2035" s="47">
        <v>50</v>
      </c>
      <c r="AG2035"/>
      <c r="AH2035"/>
      <c r="AI2035"/>
      <c r="AJ2035"/>
      <c r="AK2035"/>
      <c r="AL2035"/>
      <c r="AM2035"/>
      <c r="AN2035"/>
      <c r="AO2035"/>
      <c r="AP2035"/>
      <c r="AQ2035" t="s">
        <v>2526</v>
      </c>
      <c r="AU2035">
        <v>2034</v>
      </c>
    </row>
    <row r="2036" spans="1:47" x14ac:dyDescent="0.2">
      <c r="A2036" s="133">
        <v>6475</v>
      </c>
      <c r="B2036" s="39" t="s">
        <v>45</v>
      </c>
      <c r="C2036" s="39">
        <v>100</v>
      </c>
      <c r="D2036" s="29" t="b">
        <v>0</v>
      </c>
      <c r="E2036" s="39" t="s">
        <v>2835</v>
      </c>
      <c r="F2036" s="47" t="s">
        <v>3445</v>
      </c>
      <c r="G2036" s="47" t="s">
        <v>49</v>
      </c>
      <c r="H2036"/>
      <c r="I2036" s="47" t="b">
        <v>0</v>
      </c>
      <c r="J2036" s="47" t="b">
        <v>0</v>
      </c>
      <c r="K2036" s="47">
        <v>1705</v>
      </c>
      <c r="L2036" s="48">
        <v>15</v>
      </c>
      <c r="M2036" s="47">
        <v>-1</v>
      </c>
      <c r="N2036" s="47">
        <v>-1</v>
      </c>
      <c r="O2036" s="47">
        <v>-1</v>
      </c>
      <c r="P2036" s="47">
        <v>-1</v>
      </c>
      <c r="Q2036" s="47">
        <v>-1</v>
      </c>
      <c r="R2036" s="47">
        <v>-1</v>
      </c>
      <c r="S2036" s="48">
        <v>15</v>
      </c>
      <c r="T2036" s="47">
        <v>0</v>
      </c>
      <c r="U2036" s="47">
        <v>0</v>
      </c>
      <c r="V2036" s="47">
        <v>0</v>
      </c>
      <c r="W2036" s="47"/>
      <c r="X2036" s="47">
        <v>321</v>
      </c>
      <c r="Y2036" s="47"/>
      <c r="Z2036" s="47" t="s">
        <v>2524</v>
      </c>
      <c r="AA2036" s="49"/>
      <c r="AB2036" s="49"/>
      <c r="AC2036" s="49"/>
      <c r="AD2036" s="50"/>
      <c r="AE2036" s="47" t="s">
        <v>2754</v>
      </c>
      <c r="AF2036" s="47">
        <v>55</v>
      </c>
      <c r="AG2036"/>
      <c r="AH2036"/>
      <c r="AI2036"/>
      <c r="AJ2036"/>
      <c r="AK2036"/>
      <c r="AL2036"/>
      <c r="AM2036"/>
      <c r="AN2036"/>
      <c r="AO2036"/>
      <c r="AP2036"/>
      <c r="AQ2036" t="s">
        <v>2526</v>
      </c>
      <c r="AU2036">
        <v>2035</v>
      </c>
    </row>
    <row r="2037" spans="1:47" x14ac:dyDescent="0.2">
      <c r="A2037" s="133">
        <v>6475</v>
      </c>
      <c r="B2037" s="39" t="s">
        <v>45</v>
      </c>
      <c r="C2037" s="39">
        <v>100</v>
      </c>
      <c r="D2037" s="29" t="b">
        <v>0</v>
      </c>
      <c r="E2037" s="39" t="s">
        <v>3446</v>
      </c>
      <c r="F2037" s="47" t="s">
        <v>3447</v>
      </c>
      <c r="G2037" s="47" t="s">
        <v>73</v>
      </c>
      <c r="H2037"/>
      <c r="I2037" s="47" t="b">
        <v>0</v>
      </c>
      <c r="J2037" s="47" t="b">
        <v>0</v>
      </c>
      <c r="K2037" s="47">
        <v>855</v>
      </c>
      <c r="L2037" s="48">
        <v>15</v>
      </c>
      <c r="M2037" s="47">
        <v>-1</v>
      </c>
      <c r="N2037" s="47">
        <v>-1</v>
      </c>
      <c r="O2037" s="47">
        <v>-1</v>
      </c>
      <c r="P2037" s="47">
        <v>-1</v>
      </c>
      <c r="Q2037" s="47">
        <v>-1</v>
      </c>
      <c r="R2037" s="47">
        <v>-1</v>
      </c>
      <c r="S2037" s="48">
        <v>15</v>
      </c>
      <c r="T2037" s="47">
        <v>0</v>
      </c>
      <c r="U2037" s="47">
        <v>0</v>
      </c>
      <c r="V2037" s="47">
        <v>0</v>
      </c>
      <c r="W2037" s="47"/>
      <c r="X2037" s="47">
        <v>320</v>
      </c>
      <c r="Y2037" s="47"/>
      <c r="Z2037" s="47" t="s">
        <v>2524</v>
      </c>
      <c r="AA2037" s="49"/>
      <c r="AB2037" s="49"/>
      <c r="AC2037" s="49"/>
      <c r="AD2037" s="50"/>
      <c r="AE2037" s="47" t="s">
        <v>2754</v>
      </c>
      <c r="AF2037" s="47">
        <v>55</v>
      </c>
      <c r="AG2037"/>
      <c r="AH2037"/>
      <c r="AI2037"/>
      <c r="AJ2037"/>
      <c r="AK2037"/>
      <c r="AL2037"/>
      <c r="AM2037"/>
      <c r="AN2037"/>
      <c r="AO2037"/>
      <c r="AP2037"/>
      <c r="AQ2037" t="s">
        <v>2526</v>
      </c>
      <c r="AU2037">
        <v>2036</v>
      </c>
    </row>
    <row r="2038" spans="1:47" x14ac:dyDescent="0.2">
      <c r="A2038" s="133">
        <v>6475</v>
      </c>
      <c r="B2038" s="39" t="s">
        <v>45</v>
      </c>
      <c r="C2038" s="39" t="s">
        <v>142</v>
      </c>
      <c r="D2038" s="29"/>
      <c r="E2038" s="39" t="s">
        <v>3448</v>
      </c>
      <c r="F2038" s="47" t="s">
        <v>83</v>
      </c>
      <c r="G2038" s="47" t="s">
        <v>69</v>
      </c>
      <c r="H2038"/>
      <c r="I2038" s="47" t="s">
        <v>3449</v>
      </c>
      <c r="J2038" s="47"/>
      <c r="K2038" s="47">
        <f>14*10*2.2</f>
        <v>308</v>
      </c>
      <c r="L2038" s="48"/>
      <c r="M2038" s="47"/>
      <c r="N2038" s="47"/>
      <c r="O2038" s="47"/>
      <c r="P2038" s="47"/>
      <c r="Q2038" s="47"/>
      <c r="R2038" s="47"/>
      <c r="S2038" s="48">
        <v>1</v>
      </c>
      <c r="T2038" s="47">
        <v>0</v>
      </c>
      <c r="U2038" s="47">
        <v>0</v>
      </c>
      <c r="V2038" s="47">
        <v>0</v>
      </c>
      <c r="W2038" s="47"/>
      <c r="X2038" s="47"/>
      <c r="Y2038" s="47" t="s">
        <v>51</v>
      </c>
      <c r="Z2038" s="47" t="s">
        <v>2203</v>
      </c>
      <c r="AA2038" s="49"/>
      <c r="AB2038" s="49"/>
      <c r="AC2038" s="49"/>
      <c r="AD2038" s="50"/>
      <c r="AE2038" s="47" t="s">
        <v>3198</v>
      </c>
      <c r="AF2038" s="47">
        <v>45</v>
      </c>
      <c r="AG2038"/>
      <c r="AH2038"/>
      <c r="AI2038"/>
      <c r="AJ2038"/>
      <c r="AK2038">
        <v>14</v>
      </c>
      <c r="AL2038"/>
      <c r="AM2038"/>
      <c r="AN2038"/>
      <c r="AO2038"/>
      <c r="AP2038"/>
      <c r="AQ2038" s="32" t="s">
        <v>3378</v>
      </c>
      <c r="AU2038">
        <v>2037</v>
      </c>
    </row>
    <row r="2039" spans="1:47" x14ac:dyDescent="0.2">
      <c r="A2039" s="133">
        <v>6475</v>
      </c>
      <c r="B2039" s="39" t="s">
        <v>45</v>
      </c>
      <c r="C2039" s="38" t="s">
        <v>3330</v>
      </c>
      <c r="D2039" s="29"/>
      <c r="E2039" s="39" t="s">
        <v>3450</v>
      </c>
      <c r="F2039" s="47" t="s">
        <v>3451</v>
      </c>
      <c r="G2039" s="47" t="s">
        <v>49</v>
      </c>
      <c r="H2039"/>
      <c r="I2039" s="47" t="b">
        <v>1</v>
      </c>
      <c r="J2039" s="47" t="b">
        <v>1</v>
      </c>
      <c r="K2039" s="47">
        <f>((4*30*10)+(53*50))*2.2</f>
        <v>8470</v>
      </c>
      <c r="L2039" s="48">
        <v>14</v>
      </c>
      <c r="M2039" s="47"/>
      <c r="N2039" s="47">
        <v>1</v>
      </c>
      <c r="O2039" s="47"/>
      <c r="P2039" s="47"/>
      <c r="Q2039" s="47"/>
      <c r="R2039" s="47"/>
      <c r="S2039" s="48">
        <v>13</v>
      </c>
      <c r="T2039" s="47">
        <v>0</v>
      </c>
      <c r="U2039" s="47">
        <v>0</v>
      </c>
      <c r="V2039" s="47">
        <v>0</v>
      </c>
      <c r="W2039" s="47">
        <f>((2800+2400+2900+3000+2600+2000+2200+2700+3200+2400+2200+2200+3400)/13)*39.37/12</f>
        <v>8580.6410256410254</v>
      </c>
      <c r="X2039" s="47"/>
      <c r="Y2039" s="31" t="s">
        <v>51</v>
      </c>
      <c r="Z2039" s="47" t="s">
        <v>1846</v>
      </c>
      <c r="AA2039" s="49"/>
      <c r="AB2039" s="49"/>
      <c r="AC2039" s="49"/>
      <c r="AD2039" s="50">
        <v>2.75</v>
      </c>
      <c r="AE2039" s="47" t="s">
        <v>342</v>
      </c>
      <c r="AF2039" s="31">
        <v>70</v>
      </c>
      <c r="AG2039"/>
      <c r="AH2039"/>
      <c r="AI2039"/>
      <c r="AJ2039"/>
      <c r="AK2039">
        <f>8*6+5+4*30</f>
        <v>173</v>
      </c>
      <c r="AL2039"/>
      <c r="AM2039"/>
      <c r="AN2039"/>
      <c r="AO2039"/>
      <c r="AP2039"/>
      <c r="AQ2039" t="s">
        <v>3452</v>
      </c>
      <c r="AR2039" s="32" t="s">
        <v>3453</v>
      </c>
      <c r="AU2039">
        <v>2038</v>
      </c>
    </row>
    <row r="2040" spans="1:47" x14ac:dyDescent="0.2">
      <c r="A2040" s="133">
        <v>6475</v>
      </c>
      <c r="B2040" s="39" t="s">
        <v>45</v>
      </c>
      <c r="C2040" s="38" t="s">
        <v>3330</v>
      </c>
      <c r="D2040" s="29"/>
      <c r="E2040" s="39" t="s">
        <v>1764</v>
      </c>
      <c r="F2040" s="47" t="s">
        <v>220</v>
      </c>
      <c r="G2040" s="47" t="s">
        <v>49</v>
      </c>
      <c r="H2040"/>
      <c r="I2040" s="47" t="b">
        <v>0</v>
      </c>
      <c r="J2040" s="47" t="b">
        <v>0</v>
      </c>
      <c r="K2040" s="47">
        <f>(6+5+6)*50*2.2</f>
        <v>1870.0000000000002</v>
      </c>
      <c r="L2040" s="48"/>
      <c r="M2040" s="47"/>
      <c r="N2040" s="47"/>
      <c r="O2040" s="47"/>
      <c r="P2040" s="47"/>
      <c r="Q2040" s="47"/>
      <c r="R2040" s="47"/>
      <c r="S2040" s="48">
        <v>3</v>
      </c>
      <c r="T2040" s="47"/>
      <c r="U2040" s="47"/>
      <c r="V2040" s="47"/>
      <c r="W2040" s="47">
        <f>((2400+3000+2400)/3)*39.37/12</f>
        <v>8530.1666666666661</v>
      </c>
      <c r="X2040" s="47"/>
      <c r="Y2040" s="31" t="s">
        <v>51</v>
      </c>
      <c r="Z2040" s="47" t="s">
        <v>1846</v>
      </c>
      <c r="AA2040" s="49"/>
      <c r="AB2040" s="49"/>
      <c r="AC2040" s="49"/>
      <c r="AD2040" s="50">
        <f>2+1/6</f>
        <v>2.1666666666666665</v>
      </c>
      <c r="AE2040" s="47" t="s">
        <v>342</v>
      </c>
      <c r="AF2040" s="47">
        <v>70</v>
      </c>
      <c r="AG2040"/>
      <c r="AH2040"/>
      <c r="AI2040"/>
      <c r="AJ2040"/>
      <c r="AK2040">
        <f>6+5+6</f>
        <v>17</v>
      </c>
      <c r="AL2040"/>
      <c r="AM2040"/>
      <c r="AN2040"/>
      <c r="AO2040"/>
      <c r="AP2040"/>
      <c r="AQ2040" t="s">
        <v>3452</v>
      </c>
      <c r="AR2040" s="32" t="s">
        <v>3454</v>
      </c>
      <c r="AU2040">
        <v>2039</v>
      </c>
    </row>
    <row r="2041" spans="1:47" x14ac:dyDescent="0.2">
      <c r="A2041" s="133">
        <v>6475</v>
      </c>
      <c r="B2041" s="39" t="s">
        <v>45</v>
      </c>
      <c r="C2041" s="38" t="s">
        <v>3330</v>
      </c>
      <c r="D2041" s="29"/>
      <c r="E2041" s="39" t="s">
        <v>3455</v>
      </c>
      <c r="F2041" s="47" t="s">
        <v>220</v>
      </c>
      <c r="G2041" s="47" t="s">
        <v>49</v>
      </c>
      <c r="H2041"/>
      <c r="I2041" s="47" t="b">
        <v>0</v>
      </c>
      <c r="J2041" s="47" t="b">
        <v>0</v>
      </c>
      <c r="K2041" s="47">
        <f>30*10*2.2</f>
        <v>660</v>
      </c>
      <c r="L2041" s="48"/>
      <c r="M2041" s="47"/>
      <c r="N2041" s="47"/>
      <c r="O2041" s="47"/>
      <c r="P2041" s="47"/>
      <c r="Q2041" s="47"/>
      <c r="R2041" s="47"/>
      <c r="S2041" s="48">
        <v>1</v>
      </c>
      <c r="T2041" s="47"/>
      <c r="U2041" s="47"/>
      <c r="V2041" s="47"/>
      <c r="W2041" s="47">
        <f>2900*39.37/12</f>
        <v>9514.4166666666661</v>
      </c>
      <c r="X2041" s="47"/>
      <c r="Y2041" s="31" t="s">
        <v>51</v>
      </c>
      <c r="Z2041" s="47" t="s">
        <v>1846</v>
      </c>
      <c r="AA2041" s="49"/>
      <c r="AB2041" s="49"/>
      <c r="AC2041" s="49"/>
      <c r="AD2041" s="50">
        <f>2+5/60</f>
        <v>2.0833333333333335</v>
      </c>
      <c r="AE2041" s="47" t="s">
        <v>342</v>
      </c>
      <c r="AF2041" s="47">
        <v>70</v>
      </c>
      <c r="AG2041"/>
      <c r="AH2041"/>
      <c r="AI2041"/>
      <c r="AJ2041"/>
      <c r="AK2041">
        <v>30</v>
      </c>
      <c r="AL2041"/>
      <c r="AM2041"/>
      <c r="AN2041"/>
      <c r="AO2041"/>
      <c r="AP2041"/>
      <c r="AQ2041" t="s">
        <v>3452</v>
      </c>
      <c r="AR2041" s="32" t="s">
        <v>3456</v>
      </c>
      <c r="AU2041">
        <v>2040</v>
      </c>
    </row>
    <row r="2042" spans="1:47" x14ac:dyDescent="0.2">
      <c r="A2042" s="133">
        <v>6475</v>
      </c>
      <c r="B2042" s="39" t="s">
        <v>45</v>
      </c>
      <c r="C2042" s="38" t="s">
        <v>3330</v>
      </c>
      <c r="D2042" s="29"/>
      <c r="E2042" s="39" t="s">
        <v>3082</v>
      </c>
      <c r="F2042" s="47" t="s">
        <v>220</v>
      </c>
      <c r="G2042" s="47" t="s">
        <v>49</v>
      </c>
      <c r="H2042"/>
      <c r="I2042" s="47" t="b">
        <v>0</v>
      </c>
      <c r="J2042" s="47" t="b">
        <v>0</v>
      </c>
      <c r="K2042" s="47">
        <f>3*6*50*2.2+30*10*2.2</f>
        <v>2640</v>
      </c>
      <c r="L2042" s="48"/>
      <c r="M2042" s="47"/>
      <c r="N2042" s="47"/>
      <c r="O2042" s="47"/>
      <c r="P2042" s="47"/>
      <c r="Q2042" s="47"/>
      <c r="R2042" s="47"/>
      <c r="S2042" s="48">
        <v>4</v>
      </c>
      <c r="T2042" s="47"/>
      <c r="U2042" s="47"/>
      <c r="V2042" s="47"/>
      <c r="W2042" s="47">
        <f>((2600+2000+3200+2200)/4)*39.37/12</f>
        <v>8202.0833333333339</v>
      </c>
      <c r="X2042" s="47"/>
      <c r="Y2042" s="31" t="s">
        <v>51</v>
      </c>
      <c r="Z2042" s="47" t="s">
        <v>1846</v>
      </c>
      <c r="AA2042" s="49"/>
      <c r="AB2042" s="49"/>
      <c r="AC2042" s="49"/>
      <c r="AD2042" s="50">
        <f>1+5/6</f>
        <v>1.8333333333333335</v>
      </c>
      <c r="AE2042" s="47" t="s">
        <v>342</v>
      </c>
      <c r="AF2042" s="47">
        <v>45</v>
      </c>
      <c r="AG2042"/>
      <c r="AH2042"/>
      <c r="AI2042"/>
      <c r="AJ2042"/>
      <c r="AK2042">
        <f>6+6+30+6</f>
        <v>48</v>
      </c>
      <c r="AL2042"/>
      <c r="AM2042"/>
      <c r="AN2042"/>
      <c r="AO2042"/>
      <c r="AP2042"/>
      <c r="AQ2042" t="s">
        <v>3452</v>
      </c>
      <c r="AR2042" s="32" t="s">
        <v>3457</v>
      </c>
      <c r="AU2042">
        <v>2041</v>
      </c>
    </row>
    <row r="2043" spans="1:47" x14ac:dyDescent="0.2">
      <c r="A2043" s="133">
        <v>6475</v>
      </c>
      <c r="B2043" s="39" t="s">
        <v>45</v>
      </c>
      <c r="C2043" s="38" t="s">
        <v>3330</v>
      </c>
      <c r="D2043" s="29"/>
      <c r="E2043" s="39" t="s">
        <v>3367</v>
      </c>
      <c r="F2043" s="47" t="s">
        <v>220</v>
      </c>
      <c r="G2043" s="47" t="s">
        <v>49</v>
      </c>
      <c r="H2043"/>
      <c r="I2043" s="47" t="b">
        <v>0</v>
      </c>
      <c r="J2043" s="47" t="b">
        <v>0</v>
      </c>
      <c r="K2043" s="47">
        <f>6*2*50*2.2+30*10*2.2</f>
        <v>1980</v>
      </c>
      <c r="L2043" s="48"/>
      <c r="M2043" s="47"/>
      <c r="N2043" s="47"/>
      <c r="O2043" s="47"/>
      <c r="P2043" s="47"/>
      <c r="Q2043" s="47"/>
      <c r="R2043" s="47"/>
      <c r="S2043" s="48">
        <v>3</v>
      </c>
      <c r="T2043" s="47"/>
      <c r="U2043" s="47"/>
      <c r="V2043" s="47"/>
      <c r="W2043" s="47">
        <f>((2200+2700+2200)/3)*39.37/12</f>
        <v>7764.6388888888878</v>
      </c>
      <c r="X2043" s="47"/>
      <c r="Y2043" s="31" t="s">
        <v>51</v>
      </c>
      <c r="Z2043" s="47" t="s">
        <v>1846</v>
      </c>
      <c r="AA2043" s="49"/>
      <c r="AB2043" s="49"/>
      <c r="AC2043" s="49"/>
      <c r="AD2043" s="50">
        <v>1.5</v>
      </c>
      <c r="AE2043" s="47" t="s">
        <v>342</v>
      </c>
      <c r="AF2043" s="31">
        <v>45</v>
      </c>
      <c r="AG2043"/>
      <c r="AH2043"/>
      <c r="AI2043"/>
      <c r="AJ2043"/>
      <c r="AK2043">
        <f>6+30+6</f>
        <v>42</v>
      </c>
      <c r="AL2043"/>
      <c r="AM2043"/>
      <c r="AN2043"/>
      <c r="AO2043"/>
      <c r="AP2043"/>
      <c r="AQ2043" t="s">
        <v>3452</v>
      </c>
      <c r="AR2043" s="32" t="s">
        <v>3458</v>
      </c>
      <c r="AU2043">
        <v>2042</v>
      </c>
    </row>
    <row r="2044" spans="1:47" x14ac:dyDescent="0.2">
      <c r="A2044" s="133">
        <v>6475</v>
      </c>
      <c r="B2044" s="39" t="s">
        <v>45</v>
      </c>
      <c r="C2044" s="38" t="s">
        <v>3330</v>
      </c>
      <c r="D2044" s="29"/>
      <c r="E2044" s="39" t="s">
        <v>3459</v>
      </c>
      <c r="F2044" s="47" t="s">
        <v>348</v>
      </c>
      <c r="G2044" s="47" t="s">
        <v>49</v>
      </c>
      <c r="H2044"/>
      <c r="I2044" s="47" t="b">
        <v>0</v>
      </c>
      <c r="J2044" s="47" t="b">
        <v>0</v>
      </c>
      <c r="K2044" s="47">
        <f>6*50*2.2</f>
        <v>660</v>
      </c>
      <c r="L2044" s="48"/>
      <c r="M2044" s="47"/>
      <c r="N2044" s="47"/>
      <c r="O2044" s="47"/>
      <c r="P2044" s="47"/>
      <c r="Q2044" s="47"/>
      <c r="R2044" s="47"/>
      <c r="S2044" s="48">
        <v>1</v>
      </c>
      <c r="T2044" s="47"/>
      <c r="U2044" s="47"/>
      <c r="V2044" s="47"/>
      <c r="W2044" s="47">
        <f>2800*39.37/12</f>
        <v>9186.3333333333339</v>
      </c>
      <c r="X2044" s="47"/>
      <c r="Y2044" s="31" t="s">
        <v>51</v>
      </c>
      <c r="Z2044" s="47" t="s">
        <v>1846</v>
      </c>
      <c r="AA2044" s="49"/>
      <c r="AB2044" s="49"/>
      <c r="AC2044" s="49"/>
      <c r="AD2044" s="50">
        <f>1+2/3</f>
        <v>1.6666666666666665</v>
      </c>
      <c r="AE2044" s="47" t="s">
        <v>342</v>
      </c>
      <c r="AF2044" s="47">
        <v>65</v>
      </c>
      <c r="AG2044"/>
      <c r="AH2044"/>
      <c r="AI2044"/>
      <c r="AJ2044"/>
      <c r="AK2044">
        <v>6</v>
      </c>
      <c r="AL2044"/>
      <c r="AM2044"/>
      <c r="AN2044"/>
      <c r="AO2044"/>
      <c r="AP2044"/>
      <c r="AQ2044" t="s">
        <v>3452</v>
      </c>
      <c r="AR2044" s="32" t="s">
        <v>3460</v>
      </c>
      <c r="AU2044">
        <v>2043</v>
      </c>
    </row>
    <row r="2045" spans="1:47" x14ac:dyDescent="0.2">
      <c r="A2045" s="133">
        <v>6475</v>
      </c>
      <c r="B2045" s="39" t="s">
        <v>45</v>
      </c>
      <c r="C2045" s="38" t="s">
        <v>3330</v>
      </c>
      <c r="D2045" s="29"/>
      <c r="E2045" s="39" t="s">
        <v>75</v>
      </c>
      <c r="F2045" s="47" t="s">
        <v>3419</v>
      </c>
      <c r="G2045" s="47" t="s">
        <v>73</v>
      </c>
      <c r="H2045"/>
      <c r="I2045" s="47" t="b">
        <v>0</v>
      </c>
      <c r="J2045" s="47" t="b">
        <v>0</v>
      </c>
      <c r="K2045" s="47">
        <f>30*10*2.2</f>
        <v>660</v>
      </c>
      <c r="L2045" s="48"/>
      <c r="M2045" s="47"/>
      <c r="N2045" s="47"/>
      <c r="O2045" s="47"/>
      <c r="P2045" s="47"/>
      <c r="Q2045" s="47"/>
      <c r="R2045" s="47"/>
      <c r="S2045" s="48">
        <v>1</v>
      </c>
      <c r="T2045" s="47"/>
      <c r="U2045" s="47"/>
      <c r="V2045" s="47"/>
      <c r="W2045" s="47">
        <f>3400*39.37/12</f>
        <v>11154.833333333334</v>
      </c>
      <c r="X2045" s="47"/>
      <c r="Y2045" s="31" t="s">
        <v>51</v>
      </c>
      <c r="Z2045" s="47" t="s">
        <v>1846</v>
      </c>
      <c r="AA2045" s="49"/>
      <c r="AB2045" s="49"/>
      <c r="AC2045" s="49"/>
      <c r="AD2045" s="50">
        <v>2.75</v>
      </c>
      <c r="AE2045" s="47" t="s">
        <v>342</v>
      </c>
      <c r="AF2045" s="47">
        <v>120</v>
      </c>
      <c r="AG2045"/>
      <c r="AH2045"/>
      <c r="AI2045"/>
      <c r="AJ2045"/>
      <c r="AK2045">
        <v>30</v>
      </c>
      <c r="AL2045"/>
      <c r="AM2045"/>
      <c r="AN2045"/>
      <c r="AO2045"/>
      <c r="AP2045"/>
      <c r="AQ2045" t="s">
        <v>3452</v>
      </c>
      <c r="AR2045" s="32" t="s">
        <v>3461</v>
      </c>
      <c r="AU2045">
        <v>2044</v>
      </c>
    </row>
    <row r="2046" spans="1:47" x14ac:dyDescent="0.2">
      <c r="A2046" s="26">
        <v>6475</v>
      </c>
      <c r="B2046" s="27">
        <v>0.5</v>
      </c>
      <c r="C2046" s="28"/>
      <c r="D2046" s="29"/>
      <c r="E2046" s="30" t="s">
        <v>464</v>
      </c>
      <c r="H2046" s="32">
        <v>1</v>
      </c>
      <c r="I2046" s="32" t="s">
        <v>3462</v>
      </c>
      <c r="AG2046" s="32">
        <v>0</v>
      </c>
      <c r="AH2046" s="32">
        <v>1</v>
      </c>
      <c r="AK2046" s="32">
        <f>160+55</f>
        <v>215</v>
      </c>
      <c r="AL2046" s="32">
        <v>6</v>
      </c>
      <c r="AO2046" s="32" t="s">
        <v>3085</v>
      </c>
      <c r="AP2046" s="32">
        <v>0.5</v>
      </c>
      <c r="AQ2046" s="32" t="s">
        <v>3463</v>
      </c>
      <c r="AU2046">
        <v>2045</v>
      </c>
    </row>
    <row r="2047" spans="1:47" x14ac:dyDescent="0.2">
      <c r="A2047" s="26">
        <v>6475</v>
      </c>
      <c r="B2047" s="27">
        <v>0.51041666666666663</v>
      </c>
      <c r="C2047" s="28"/>
      <c r="D2047" s="29"/>
      <c r="E2047" s="30" t="s">
        <v>869</v>
      </c>
      <c r="H2047" s="32">
        <v>0</v>
      </c>
      <c r="I2047" s="32" t="s">
        <v>2461</v>
      </c>
      <c r="AG2047" s="32">
        <v>0</v>
      </c>
      <c r="AH2047" s="32">
        <v>0</v>
      </c>
      <c r="AI2047" s="32">
        <v>0</v>
      </c>
      <c r="AK2047" s="32">
        <v>0</v>
      </c>
      <c r="AL2047" s="32">
        <v>0.75</v>
      </c>
      <c r="AP2047" s="32">
        <v>0.75</v>
      </c>
      <c r="AQ2047" s="32" t="s">
        <v>589</v>
      </c>
      <c r="AU2047">
        <v>2046</v>
      </c>
    </row>
    <row r="2048" spans="1:47" x14ac:dyDescent="0.2">
      <c r="A2048" s="26">
        <v>6475</v>
      </c>
      <c r="B2048" s="27">
        <v>0.82291666666666663</v>
      </c>
      <c r="C2048" s="28"/>
      <c r="D2048" s="29"/>
      <c r="E2048" s="30" t="s">
        <v>1124</v>
      </c>
      <c r="H2048" s="32">
        <v>1</v>
      </c>
      <c r="I2048" s="32" t="s">
        <v>3464</v>
      </c>
      <c r="AG2048" s="32">
        <v>0</v>
      </c>
      <c r="AH2048" s="32">
        <f>3+7</f>
        <v>10</v>
      </c>
      <c r="AK2048" s="32">
        <f>20+15</f>
        <v>35</v>
      </c>
      <c r="AL2048" s="32">
        <f>1.5+6.75</f>
        <v>8.25</v>
      </c>
      <c r="AO2048" s="18" t="s">
        <v>1126</v>
      </c>
      <c r="AP2048" s="32">
        <v>6.75</v>
      </c>
      <c r="AQ2048" s="32" t="s">
        <v>589</v>
      </c>
      <c r="AU2048">
        <v>2047</v>
      </c>
    </row>
    <row r="2049" spans="1:47" x14ac:dyDescent="0.2">
      <c r="A2049" s="26">
        <v>6475</v>
      </c>
      <c r="B2049" s="27">
        <v>0.84027777777777779</v>
      </c>
      <c r="C2049" s="28"/>
      <c r="D2049" s="29"/>
      <c r="E2049" s="30" t="s">
        <v>464</v>
      </c>
      <c r="H2049" s="32">
        <v>1</v>
      </c>
      <c r="I2049" s="32" t="s">
        <v>3465</v>
      </c>
      <c r="AG2049" s="32">
        <v>0</v>
      </c>
      <c r="AH2049" s="32">
        <v>0</v>
      </c>
      <c r="AL2049" s="32">
        <f>3+50/60</f>
        <v>3.8333333333333335</v>
      </c>
      <c r="AO2049" s="32" t="s">
        <v>1898</v>
      </c>
      <c r="AP2049" s="32">
        <f>3+50/60</f>
        <v>3.8333333333333335</v>
      </c>
      <c r="AQ2049" s="32" t="s">
        <v>3466</v>
      </c>
      <c r="AU2049">
        <v>2048</v>
      </c>
    </row>
    <row r="2050" spans="1:47" x14ac:dyDescent="0.2">
      <c r="A2050" s="26">
        <v>6475</v>
      </c>
      <c r="B2050" s="27" t="s">
        <v>85</v>
      </c>
      <c r="C2050" s="28"/>
      <c r="D2050" s="29"/>
      <c r="E2050" s="30" t="s">
        <v>1461</v>
      </c>
      <c r="H2050" s="32">
        <v>1</v>
      </c>
      <c r="I2050" s="32" t="s">
        <v>3467</v>
      </c>
      <c r="AG2050" s="32">
        <v>0</v>
      </c>
      <c r="AH2050" s="32">
        <v>0</v>
      </c>
      <c r="AI2050" s="32">
        <v>0</v>
      </c>
      <c r="AK2050" s="32">
        <v>3</v>
      </c>
      <c r="AO2050" s="32" t="s">
        <v>1463</v>
      </c>
      <c r="AQ2050" s="32">
        <v>403</v>
      </c>
      <c r="AU2050">
        <v>2049</v>
      </c>
    </row>
    <row r="2051" spans="1:47" x14ac:dyDescent="0.2">
      <c r="A2051" s="26">
        <v>6475</v>
      </c>
      <c r="B2051" s="27" t="s">
        <v>85</v>
      </c>
      <c r="C2051" s="28"/>
      <c r="D2051" s="29"/>
      <c r="E2051" s="30" t="s">
        <v>586</v>
      </c>
      <c r="H2051" s="32">
        <v>1</v>
      </c>
      <c r="I2051" s="32" t="s">
        <v>3468</v>
      </c>
      <c r="AI2051" s="32">
        <v>16000</v>
      </c>
      <c r="AO2051" s="46" t="s">
        <v>588</v>
      </c>
      <c r="AQ2051" s="32" t="s">
        <v>589</v>
      </c>
      <c r="AU2051">
        <v>2050</v>
      </c>
    </row>
    <row r="2052" spans="1:47" x14ac:dyDescent="0.2">
      <c r="A2052" s="26">
        <v>6475</v>
      </c>
      <c r="B2052" s="27" t="s">
        <v>45</v>
      </c>
      <c r="C2052" s="28"/>
      <c r="D2052" s="29"/>
      <c r="E2052" s="30" t="s">
        <v>1531</v>
      </c>
      <c r="H2052" s="32">
        <v>1</v>
      </c>
      <c r="I2052" s="32" t="s">
        <v>3469</v>
      </c>
      <c r="AM2052" s="32">
        <f>498*157</f>
        <v>78186</v>
      </c>
      <c r="AO2052" s="32" t="s">
        <v>1533</v>
      </c>
      <c r="AQ2052" s="32" t="s">
        <v>1101</v>
      </c>
      <c r="AU2052">
        <v>2051</v>
      </c>
    </row>
    <row r="2053" spans="1:47" x14ac:dyDescent="0.2">
      <c r="A2053" s="26">
        <v>6475</v>
      </c>
      <c r="B2053" s="27" t="s">
        <v>45</v>
      </c>
      <c r="C2053" s="28"/>
      <c r="D2053" s="29"/>
      <c r="E2053" s="150" t="s">
        <v>2286</v>
      </c>
      <c r="H2053" s="32">
        <v>0</v>
      </c>
      <c r="I2053" s="32" t="s">
        <v>1824</v>
      </c>
      <c r="AG2053" s="32">
        <v>0</v>
      </c>
      <c r="AH2053" s="32">
        <v>0</v>
      </c>
      <c r="AI2053" s="32">
        <v>0</v>
      </c>
      <c r="AK2053" s="32">
        <v>0</v>
      </c>
      <c r="AM2053" s="32">
        <v>32500</v>
      </c>
      <c r="AO2053" s="73" t="s">
        <v>75</v>
      </c>
      <c r="AQ2053" s="32" t="s">
        <v>589</v>
      </c>
      <c r="AU2053">
        <v>2052</v>
      </c>
    </row>
    <row r="2054" spans="1:47" x14ac:dyDescent="0.2">
      <c r="A2054" s="26">
        <v>6475</v>
      </c>
      <c r="B2054" s="27"/>
      <c r="C2054" s="28"/>
      <c r="D2054" s="29"/>
      <c r="E2054" s="102" t="s">
        <v>1421</v>
      </c>
      <c r="H2054" s="32">
        <v>1</v>
      </c>
      <c r="I2054" s="32" t="s">
        <v>1422</v>
      </c>
      <c r="AK2054" s="32">
        <v>5</v>
      </c>
      <c r="AO2054" s="73"/>
      <c r="AQ2054" s="32" t="s">
        <v>589</v>
      </c>
      <c r="AU2054">
        <v>2053</v>
      </c>
    </row>
    <row r="2055" spans="1:47" x14ac:dyDescent="0.2">
      <c r="A2055" s="37">
        <v>6476</v>
      </c>
      <c r="B2055" s="38" t="s">
        <v>85</v>
      </c>
      <c r="C2055" s="39" t="s">
        <v>1234</v>
      </c>
      <c r="D2055" s="29"/>
      <c r="E2055" s="38" t="s">
        <v>3470</v>
      </c>
      <c r="F2055" s="32" t="s">
        <v>107</v>
      </c>
      <c r="G2055" s="47"/>
      <c r="H2055"/>
      <c r="I2055" s="32" t="s">
        <v>3471</v>
      </c>
      <c r="J2055" s="47"/>
      <c r="K2055" s="47"/>
      <c r="L2055" s="48"/>
      <c r="M2055" s="47"/>
      <c r="N2055" s="47"/>
      <c r="O2055" s="47"/>
      <c r="P2055" s="47"/>
      <c r="Q2055" s="47"/>
      <c r="R2055" s="47"/>
      <c r="S2055" s="48"/>
      <c r="T2055" s="47"/>
      <c r="U2055" s="47"/>
      <c r="V2055" s="47"/>
      <c r="W2055" s="47"/>
      <c r="X2055" s="47"/>
      <c r="Y2055" s="47"/>
      <c r="Z2055" s="47" t="s">
        <v>1809</v>
      </c>
      <c r="AA2055" s="49"/>
      <c r="AB2055" s="49"/>
      <c r="AC2055" s="49"/>
      <c r="AD2055" s="50"/>
      <c r="AE2055" s="47" t="s">
        <v>1653</v>
      </c>
      <c r="AF2055" s="47">
        <v>100</v>
      </c>
      <c r="AG2055"/>
      <c r="AH2055"/>
      <c r="AI2055"/>
      <c r="AJ2055"/>
      <c r="AK2055"/>
      <c r="AL2055"/>
      <c r="AM2055"/>
      <c r="AN2055"/>
      <c r="AO2055"/>
      <c r="AP2055"/>
      <c r="AQ2055" t="s">
        <v>3412</v>
      </c>
      <c r="AU2055">
        <v>2054</v>
      </c>
    </row>
    <row r="2056" spans="1:47" x14ac:dyDescent="0.2">
      <c r="A2056" s="37">
        <v>6476</v>
      </c>
      <c r="B2056" s="39" t="s">
        <v>45</v>
      </c>
      <c r="C2056" s="38" t="s">
        <v>3330</v>
      </c>
      <c r="D2056" s="29"/>
      <c r="E2056" s="38" t="s">
        <v>405</v>
      </c>
      <c r="F2056" s="32" t="s">
        <v>220</v>
      </c>
      <c r="G2056" s="47" t="s">
        <v>49</v>
      </c>
      <c r="H2056"/>
      <c r="I2056" s="32" t="s">
        <v>3472</v>
      </c>
      <c r="J2056" s="47"/>
      <c r="K2056" s="47">
        <f>3*30*10*2.2+3*6*50*2.2</f>
        <v>3960.0000000000005</v>
      </c>
      <c r="L2056" s="48">
        <v>8</v>
      </c>
      <c r="M2056" s="47"/>
      <c r="N2056" s="47">
        <v>2</v>
      </c>
      <c r="O2056" s="47"/>
      <c r="P2056" s="47"/>
      <c r="Q2056" s="47"/>
      <c r="R2056" s="47"/>
      <c r="S2056" s="48">
        <v>6</v>
      </c>
      <c r="T2056" s="47">
        <v>0</v>
      </c>
      <c r="U2056" s="47">
        <v>0</v>
      </c>
      <c r="V2056" s="47">
        <v>0</v>
      </c>
      <c r="W2056" s="47">
        <f>((2500+2500+2000+1800+2600+2400)/6)*39.37/12</f>
        <v>7545.916666666667</v>
      </c>
      <c r="X2056" s="47"/>
      <c r="Y2056" s="31" t="s">
        <v>51</v>
      </c>
      <c r="Z2056" s="47" t="s">
        <v>1846</v>
      </c>
      <c r="AA2056" s="49"/>
      <c r="AB2056" s="49"/>
      <c r="AC2056" s="49"/>
      <c r="AD2056" s="50">
        <f>1+5/6</f>
        <v>1.8333333333333335</v>
      </c>
      <c r="AE2056" s="47" t="s">
        <v>342</v>
      </c>
      <c r="AF2056" s="47">
        <v>40</v>
      </c>
      <c r="AG2056"/>
      <c r="AH2056"/>
      <c r="AI2056"/>
      <c r="AJ2056"/>
      <c r="AK2056">
        <f>3*30+3*6</f>
        <v>108</v>
      </c>
      <c r="AL2056"/>
      <c r="AM2056"/>
      <c r="AN2056"/>
      <c r="AO2056"/>
      <c r="AP2056"/>
      <c r="AQ2056" t="s">
        <v>3473</v>
      </c>
      <c r="AU2056">
        <v>2055</v>
      </c>
    </row>
    <row r="2057" spans="1:47" x14ac:dyDescent="0.2">
      <c r="A2057" s="26">
        <v>6476</v>
      </c>
      <c r="B2057" s="27">
        <v>8.6805555555555566E-2</v>
      </c>
      <c r="C2057" s="28"/>
      <c r="D2057" s="29"/>
      <c r="E2057" s="30" t="s">
        <v>464</v>
      </c>
      <c r="H2057" s="32">
        <v>1</v>
      </c>
      <c r="I2057" s="32" t="s">
        <v>3474</v>
      </c>
      <c r="AG2057" s="32">
        <v>0</v>
      </c>
      <c r="AH2057" s="32">
        <v>0</v>
      </c>
      <c r="AL2057" s="32">
        <f>55/60</f>
        <v>0.91666666666666663</v>
      </c>
      <c r="AO2057" s="32" t="s">
        <v>1898</v>
      </c>
      <c r="AP2057" s="32">
        <f>55/60</f>
        <v>0.91666666666666663</v>
      </c>
      <c r="AQ2057" s="32" t="s">
        <v>3475</v>
      </c>
      <c r="AU2057">
        <v>2056</v>
      </c>
    </row>
    <row r="2058" spans="1:47" x14ac:dyDescent="0.2">
      <c r="A2058" s="26">
        <v>6476</v>
      </c>
      <c r="B2058" s="27">
        <v>0.80555555555555547</v>
      </c>
      <c r="C2058" s="28"/>
      <c r="D2058" s="29"/>
      <c r="E2058" s="30" t="s">
        <v>464</v>
      </c>
      <c r="H2058" s="32">
        <v>1</v>
      </c>
      <c r="I2058" s="32" t="s">
        <v>3476</v>
      </c>
      <c r="AG2058" s="32">
        <v>0</v>
      </c>
      <c r="AH2058" s="32">
        <v>0</v>
      </c>
      <c r="AL2058" s="32">
        <f>3+58/60</f>
        <v>3.9666666666666668</v>
      </c>
      <c r="AO2058" s="32" t="s">
        <v>1898</v>
      </c>
      <c r="AP2058" s="32">
        <f>3+58/60</f>
        <v>3.9666666666666668</v>
      </c>
      <c r="AQ2058" s="32" t="s">
        <v>1522</v>
      </c>
      <c r="AU2058">
        <v>2057</v>
      </c>
    </row>
    <row r="2059" spans="1:47" x14ac:dyDescent="0.2">
      <c r="A2059" s="26">
        <v>6476</v>
      </c>
      <c r="B2059" s="27">
        <v>0.80555555555555547</v>
      </c>
      <c r="C2059" s="28"/>
      <c r="D2059" s="29"/>
      <c r="E2059" s="30" t="s">
        <v>1282</v>
      </c>
      <c r="H2059" s="32">
        <v>0</v>
      </c>
      <c r="I2059" s="32" t="s">
        <v>3477</v>
      </c>
      <c r="AG2059" s="32">
        <v>0</v>
      </c>
      <c r="AH2059" s="32">
        <v>0</v>
      </c>
      <c r="AI2059" s="32">
        <v>0</v>
      </c>
      <c r="AK2059" s="32">
        <v>0</v>
      </c>
      <c r="AL2059" s="32">
        <f>4+1/3</f>
        <v>4.333333333333333</v>
      </c>
      <c r="AP2059" s="32">
        <f>4+1/3</f>
        <v>4.333333333333333</v>
      </c>
      <c r="AQ2059" s="32" t="s">
        <v>1101</v>
      </c>
      <c r="AU2059">
        <v>2058</v>
      </c>
    </row>
    <row r="2060" spans="1:47" x14ac:dyDescent="0.2">
      <c r="A2060" s="26">
        <v>6476</v>
      </c>
      <c r="B2060" s="27" t="s">
        <v>45</v>
      </c>
      <c r="C2060" s="28"/>
      <c r="D2060" s="29"/>
      <c r="E2060" s="30" t="s">
        <v>1531</v>
      </c>
      <c r="H2060" s="32">
        <v>0</v>
      </c>
      <c r="I2060" s="32" t="s">
        <v>1706</v>
      </c>
      <c r="AG2060" s="32">
        <v>0</v>
      </c>
      <c r="AH2060" s="32">
        <v>0</v>
      </c>
      <c r="AI2060" s="32">
        <v>0</v>
      </c>
      <c r="AK2060" s="32">
        <v>0</v>
      </c>
      <c r="AM2060" s="32">
        <f>498*77</f>
        <v>38346</v>
      </c>
      <c r="AO2060" s="32" t="s">
        <v>1533</v>
      </c>
      <c r="AQ2060" s="32" t="s">
        <v>1101</v>
      </c>
      <c r="AU2060">
        <v>2059</v>
      </c>
    </row>
    <row r="2061" spans="1:47" x14ac:dyDescent="0.2">
      <c r="A2061" s="26">
        <v>6476</v>
      </c>
      <c r="B2061" s="27" t="s">
        <v>45</v>
      </c>
      <c r="C2061" s="28"/>
      <c r="D2061" s="29"/>
      <c r="E2061" s="150" t="s">
        <v>2286</v>
      </c>
      <c r="H2061" s="32">
        <v>0</v>
      </c>
      <c r="I2061" s="32" t="s">
        <v>1824</v>
      </c>
      <c r="AG2061" s="32">
        <v>0</v>
      </c>
      <c r="AH2061" s="32">
        <v>0</v>
      </c>
      <c r="AI2061" s="32">
        <v>0</v>
      </c>
      <c r="AK2061" s="32">
        <v>0</v>
      </c>
      <c r="AM2061" s="32">
        <v>15000</v>
      </c>
      <c r="AO2061" s="73" t="s">
        <v>75</v>
      </c>
      <c r="AQ2061" s="32" t="s">
        <v>589</v>
      </c>
      <c r="AU2061">
        <v>2060</v>
      </c>
    </row>
    <row r="2062" spans="1:47" x14ac:dyDescent="0.2">
      <c r="A2062" s="37">
        <v>6477</v>
      </c>
      <c r="B2062" s="38" t="s">
        <v>85</v>
      </c>
      <c r="C2062" s="39" t="s">
        <v>1234</v>
      </c>
      <c r="D2062" s="29"/>
      <c r="E2062" s="38" t="s">
        <v>3470</v>
      </c>
      <c r="F2062" s="32" t="s">
        <v>107</v>
      </c>
      <c r="G2062" s="47"/>
      <c r="H2062"/>
      <c r="I2062" s="32" t="s">
        <v>3471</v>
      </c>
      <c r="J2062" s="47"/>
      <c r="K2062" s="47"/>
      <c r="L2062" s="48"/>
      <c r="M2062" s="47"/>
      <c r="N2062" s="47"/>
      <c r="O2062" s="47"/>
      <c r="P2062" s="47"/>
      <c r="Q2062" s="47"/>
      <c r="R2062" s="47"/>
      <c r="S2062" s="48"/>
      <c r="T2062" s="47"/>
      <c r="U2062" s="47"/>
      <c r="V2062" s="47"/>
      <c r="W2062" s="47"/>
      <c r="X2062" s="47"/>
      <c r="Y2062" s="47"/>
      <c r="Z2062" s="47" t="s">
        <v>1809</v>
      </c>
      <c r="AA2062" s="49"/>
      <c r="AB2062" s="49"/>
      <c r="AC2062" s="49"/>
      <c r="AD2062" s="50"/>
      <c r="AE2062" s="47" t="s">
        <v>1653</v>
      </c>
      <c r="AF2062" s="47">
        <v>100</v>
      </c>
      <c r="AG2062"/>
      <c r="AH2062"/>
      <c r="AI2062"/>
      <c r="AJ2062"/>
      <c r="AK2062"/>
      <c r="AL2062"/>
      <c r="AM2062"/>
      <c r="AN2062"/>
      <c r="AO2062"/>
      <c r="AP2062"/>
      <c r="AQ2062" t="s">
        <v>3412</v>
      </c>
      <c r="AU2062">
        <v>2061</v>
      </c>
    </row>
    <row r="2063" spans="1:47" x14ac:dyDescent="0.2">
      <c r="A2063" s="37">
        <v>6477</v>
      </c>
      <c r="B2063" s="39" t="s">
        <v>45</v>
      </c>
      <c r="C2063" s="39" t="s">
        <v>142</v>
      </c>
      <c r="D2063" s="29"/>
      <c r="E2063" s="38" t="s">
        <v>3478</v>
      </c>
      <c r="F2063" s="32" t="s">
        <v>2539</v>
      </c>
      <c r="G2063" s="47" t="s">
        <v>49</v>
      </c>
      <c r="H2063"/>
      <c r="I2063" s="47" t="b">
        <v>1</v>
      </c>
      <c r="J2063" s="47" t="b">
        <v>1</v>
      </c>
      <c r="K2063" s="47">
        <f>(112+36)*10*2.2</f>
        <v>3256.0000000000005</v>
      </c>
      <c r="L2063" s="48"/>
      <c r="M2063" s="47"/>
      <c r="N2063" s="47"/>
      <c r="O2063" s="47"/>
      <c r="P2063" s="47"/>
      <c r="Q2063" s="47"/>
      <c r="R2063" s="47"/>
      <c r="S2063" s="48">
        <v>12</v>
      </c>
      <c r="T2063" s="47">
        <v>0</v>
      </c>
      <c r="U2063" s="47">
        <v>0</v>
      </c>
      <c r="V2063" s="47">
        <v>0</v>
      </c>
      <c r="W2063" s="47"/>
      <c r="X2063" s="47"/>
      <c r="Y2063" s="47" t="s">
        <v>51</v>
      </c>
      <c r="Z2063" s="47" t="s">
        <v>2203</v>
      </c>
      <c r="AA2063" s="49"/>
      <c r="AB2063" s="49"/>
      <c r="AC2063" s="49"/>
      <c r="AD2063" s="50"/>
      <c r="AE2063" s="47" t="s">
        <v>3198</v>
      </c>
      <c r="AF2063" s="47">
        <v>40</v>
      </c>
      <c r="AG2063"/>
      <c r="AH2063"/>
      <c r="AI2063"/>
      <c r="AJ2063"/>
      <c r="AK2063">
        <f>112+36</f>
        <v>148</v>
      </c>
      <c r="AL2063"/>
      <c r="AM2063"/>
      <c r="AN2063"/>
      <c r="AO2063"/>
      <c r="AP2063"/>
      <c r="AQ2063" s="32" t="s">
        <v>3378</v>
      </c>
      <c r="AR2063" s="32" t="s">
        <v>3479</v>
      </c>
      <c r="AU2063">
        <v>2062</v>
      </c>
    </row>
    <row r="2064" spans="1:47" x14ac:dyDescent="0.2">
      <c r="A2064" s="37">
        <v>6477</v>
      </c>
      <c r="B2064" s="39" t="s">
        <v>45</v>
      </c>
      <c r="C2064" s="39" t="s">
        <v>142</v>
      </c>
      <c r="D2064" s="29"/>
      <c r="E2064" s="38" t="s">
        <v>3480</v>
      </c>
      <c r="F2064" s="32" t="s">
        <v>246</v>
      </c>
      <c r="G2064" s="47" t="s">
        <v>49</v>
      </c>
      <c r="H2064"/>
      <c r="I2064" s="47" t="b">
        <v>0</v>
      </c>
      <c r="J2064" s="47" t="b">
        <v>0</v>
      </c>
      <c r="K2064" s="47">
        <f>112*10*2.2</f>
        <v>2464</v>
      </c>
      <c r="L2064" s="48"/>
      <c r="M2064" s="47"/>
      <c r="N2064" s="47"/>
      <c r="O2064" s="47"/>
      <c r="P2064" s="47"/>
      <c r="Q2064" s="47"/>
      <c r="R2064" s="47"/>
      <c r="S2064" s="48"/>
      <c r="T2064" s="47"/>
      <c r="U2064" s="47"/>
      <c r="V2064" s="47"/>
      <c r="W2064" s="47"/>
      <c r="X2064" s="47"/>
      <c r="Y2064" s="47"/>
      <c r="Z2064" s="47" t="s">
        <v>2203</v>
      </c>
      <c r="AA2064" s="49"/>
      <c r="AB2064" s="49"/>
      <c r="AC2064" s="49"/>
      <c r="AD2064" s="50"/>
      <c r="AE2064" s="47" t="s">
        <v>3198</v>
      </c>
      <c r="AF2064" s="47">
        <v>40</v>
      </c>
      <c r="AG2064"/>
      <c r="AH2064"/>
      <c r="AI2064"/>
      <c r="AJ2064"/>
      <c r="AK2064">
        <v>112</v>
      </c>
      <c r="AL2064"/>
      <c r="AM2064"/>
      <c r="AN2064"/>
      <c r="AO2064"/>
      <c r="AP2064"/>
      <c r="AQ2064" s="32" t="s">
        <v>3378</v>
      </c>
      <c r="AR2064" s="32" t="s">
        <v>3479</v>
      </c>
      <c r="AU2064">
        <v>2063</v>
      </c>
    </row>
    <row r="2065" spans="1:47" x14ac:dyDescent="0.2">
      <c r="A2065" s="37">
        <v>6477</v>
      </c>
      <c r="B2065" s="39" t="s">
        <v>45</v>
      </c>
      <c r="C2065" s="39" t="s">
        <v>142</v>
      </c>
      <c r="D2065" s="29"/>
      <c r="E2065" s="38" t="s">
        <v>3481</v>
      </c>
      <c r="F2065" s="32" t="s">
        <v>204</v>
      </c>
      <c r="G2065" s="47" t="s">
        <v>205</v>
      </c>
      <c r="H2065"/>
      <c r="I2065" s="47" t="b">
        <v>0</v>
      </c>
      <c r="J2065" s="47" t="b">
        <v>0</v>
      </c>
      <c r="K2065" s="47">
        <f>36*10*2.2</f>
        <v>792.00000000000011</v>
      </c>
      <c r="L2065" s="48"/>
      <c r="M2065" s="47"/>
      <c r="N2065" s="47"/>
      <c r="O2065" s="47"/>
      <c r="P2065" s="47"/>
      <c r="Q2065" s="47"/>
      <c r="R2065" s="47"/>
      <c r="S2065" s="48"/>
      <c r="T2065" s="47"/>
      <c r="U2065" s="47"/>
      <c r="V2065" s="47"/>
      <c r="W2065" s="47"/>
      <c r="X2065" s="47"/>
      <c r="Y2065" s="47"/>
      <c r="Z2065" s="47" t="s">
        <v>2203</v>
      </c>
      <c r="AA2065" s="49"/>
      <c r="AB2065" s="49"/>
      <c r="AC2065" s="49"/>
      <c r="AD2065" s="50"/>
      <c r="AE2065" s="47" t="s">
        <v>3198</v>
      </c>
      <c r="AF2065" s="47">
        <v>45</v>
      </c>
      <c r="AG2065"/>
      <c r="AH2065"/>
      <c r="AI2065"/>
      <c r="AJ2065"/>
      <c r="AK2065">
        <v>36</v>
      </c>
      <c r="AL2065"/>
      <c r="AM2065"/>
      <c r="AN2065"/>
      <c r="AO2065"/>
      <c r="AP2065"/>
      <c r="AQ2065" s="32" t="s">
        <v>3378</v>
      </c>
      <c r="AR2065" s="32" t="s">
        <v>3479</v>
      </c>
      <c r="AU2065">
        <v>2064</v>
      </c>
    </row>
    <row r="2066" spans="1:47" x14ac:dyDescent="0.2">
      <c r="A2066" s="37">
        <v>6477</v>
      </c>
      <c r="B2066" s="39" t="s">
        <v>45</v>
      </c>
      <c r="C2066" s="38" t="s">
        <v>3330</v>
      </c>
      <c r="D2066" s="29"/>
      <c r="E2066" s="39" t="s">
        <v>1764</v>
      </c>
      <c r="F2066" s="47" t="s">
        <v>220</v>
      </c>
      <c r="G2066" s="47" t="s">
        <v>49</v>
      </c>
      <c r="H2066"/>
      <c r="I2066" s="47" t="s">
        <v>3482</v>
      </c>
      <c r="J2066" s="47"/>
      <c r="K2066" s="47">
        <f>30*10*2.2</f>
        <v>660</v>
      </c>
      <c r="L2066" s="48">
        <v>3</v>
      </c>
      <c r="M2066" s="47"/>
      <c r="N2066" s="47">
        <v>1</v>
      </c>
      <c r="O2066" s="47">
        <v>1</v>
      </c>
      <c r="P2066" s="47"/>
      <c r="Q2066" s="47"/>
      <c r="R2066" s="47"/>
      <c r="S2066" s="48">
        <v>1</v>
      </c>
      <c r="T2066" s="47">
        <v>0</v>
      </c>
      <c r="U2066" s="47">
        <v>0</v>
      </c>
      <c r="V2066" s="47">
        <v>0</v>
      </c>
      <c r="W2066" s="47">
        <f>2600*39.37/12</f>
        <v>8530.1666666666661</v>
      </c>
      <c r="X2066" s="47"/>
      <c r="Y2066" s="31" t="s">
        <v>51</v>
      </c>
      <c r="Z2066" s="47" t="s">
        <v>1846</v>
      </c>
      <c r="AA2066" s="49"/>
      <c r="AB2066" s="49"/>
      <c r="AC2066" s="49"/>
      <c r="AD2066" s="50">
        <v>2</v>
      </c>
      <c r="AE2066" s="47" t="s">
        <v>342</v>
      </c>
      <c r="AF2066" s="47">
        <v>70</v>
      </c>
      <c r="AG2066"/>
      <c r="AH2066"/>
      <c r="AI2066"/>
      <c r="AJ2066"/>
      <c r="AK2066">
        <v>30</v>
      </c>
      <c r="AL2066"/>
      <c r="AM2066"/>
      <c r="AN2066"/>
      <c r="AO2066"/>
      <c r="AP2066"/>
      <c r="AQ2066" t="s">
        <v>3483</v>
      </c>
      <c r="AU2066">
        <v>2065</v>
      </c>
    </row>
    <row r="2067" spans="1:47" x14ac:dyDescent="0.2">
      <c r="A2067" s="26">
        <v>6477</v>
      </c>
      <c r="B2067" s="27">
        <v>0.81597222222222221</v>
      </c>
      <c r="C2067" s="28"/>
      <c r="D2067" s="29"/>
      <c r="E2067" s="30" t="s">
        <v>464</v>
      </c>
      <c r="H2067" s="32">
        <v>1</v>
      </c>
      <c r="I2067" s="32" t="s">
        <v>3484</v>
      </c>
      <c r="AG2067" s="32">
        <v>0</v>
      </c>
      <c r="AH2067" s="32">
        <v>0</v>
      </c>
      <c r="AL2067" s="32">
        <f>4+19/60</f>
        <v>4.3166666666666664</v>
      </c>
      <c r="AO2067" s="32" t="s">
        <v>1898</v>
      </c>
      <c r="AP2067" s="32">
        <f>4+19/60</f>
        <v>4.3166666666666664</v>
      </c>
      <c r="AQ2067" s="32" t="s">
        <v>1522</v>
      </c>
      <c r="AU2067">
        <v>2066</v>
      </c>
    </row>
    <row r="2068" spans="1:47" x14ac:dyDescent="0.2">
      <c r="A2068" s="26">
        <v>6477</v>
      </c>
      <c r="B2068" s="27" t="s">
        <v>45</v>
      </c>
      <c r="C2068" s="28"/>
      <c r="D2068" s="29"/>
      <c r="E2068" s="30" t="s">
        <v>1531</v>
      </c>
      <c r="H2068" s="32">
        <v>1</v>
      </c>
      <c r="I2068" s="32" t="s">
        <v>3485</v>
      </c>
      <c r="AM2068" s="32">
        <f>498*164</f>
        <v>81672</v>
      </c>
      <c r="AO2068" s="32" t="s">
        <v>1533</v>
      </c>
      <c r="AQ2068" s="32" t="s">
        <v>1101</v>
      </c>
      <c r="AU2068">
        <v>2067</v>
      </c>
    </row>
    <row r="2069" spans="1:47" x14ac:dyDescent="0.2">
      <c r="A2069" s="26">
        <v>6477</v>
      </c>
      <c r="B2069" s="27" t="s">
        <v>45</v>
      </c>
      <c r="C2069" s="28"/>
      <c r="D2069" s="29"/>
      <c r="E2069" s="150" t="s">
        <v>2286</v>
      </c>
      <c r="H2069" s="32">
        <v>0</v>
      </c>
      <c r="I2069" s="32" t="s">
        <v>1824</v>
      </c>
      <c r="AG2069" s="32">
        <v>0</v>
      </c>
      <c r="AH2069" s="32">
        <v>0</v>
      </c>
      <c r="AI2069" s="32">
        <v>0</v>
      </c>
      <c r="AK2069" s="32">
        <v>0</v>
      </c>
      <c r="AM2069" s="32">
        <v>19500</v>
      </c>
      <c r="AO2069" s="73" t="s">
        <v>75</v>
      </c>
      <c r="AQ2069" s="32" t="s">
        <v>589</v>
      </c>
      <c r="AU2069">
        <v>2068</v>
      </c>
    </row>
    <row r="2070" spans="1:47" x14ac:dyDescent="0.2">
      <c r="A2070" s="133">
        <v>6478</v>
      </c>
      <c r="B2070" s="39" t="s">
        <v>45</v>
      </c>
      <c r="C2070" s="39">
        <v>100</v>
      </c>
      <c r="D2070" s="29" t="b">
        <v>0</v>
      </c>
      <c r="E2070" s="39" t="s">
        <v>3446</v>
      </c>
      <c r="F2070" s="47" t="s">
        <v>3486</v>
      </c>
      <c r="G2070" s="47" t="s">
        <v>49</v>
      </c>
      <c r="H2070"/>
      <c r="I2070" s="47" t="b">
        <v>1</v>
      </c>
      <c r="J2070" s="47" t="b">
        <v>1</v>
      </c>
      <c r="K2070" s="47">
        <v>9238</v>
      </c>
      <c r="L2070" s="48">
        <v>27</v>
      </c>
      <c r="M2070" s="47">
        <v>-1</v>
      </c>
      <c r="N2070" s="47">
        <v>-1</v>
      </c>
      <c r="O2070" s="47">
        <v>-1</v>
      </c>
      <c r="P2070" s="47">
        <v>-1</v>
      </c>
      <c r="Q2070" s="47">
        <v>-1</v>
      </c>
      <c r="R2070" s="47">
        <v>-1</v>
      </c>
      <c r="S2070" s="48">
        <v>27</v>
      </c>
      <c r="T2070" s="47">
        <v>0</v>
      </c>
      <c r="U2070" s="47">
        <v>0</v>
      </c>
      <c r="V2070" s="47">
        <v>0</v>
      </c>
      <c r="W2070" s="47"/>
      <c r="X2070" s="47">
        <v>329</v>
      </c>
      <c r="Y2070" s="47"/>
      <c r="Z2070" s="47" t="s">
        <v>2524</v>
      </c>
      <c r="AA2070" s="49"/>
      <c r="AB2070" s="49"/>
      <c r="AC2070" s="49"/>
      <c r="AD2070" s="50"/>
      <c r="AE2070" s="47" t="s">
        <v>2754</v>
      </c>
      <c r="AF2070" s="47">
        <v>55</v>
      </c>
      <c r="AG2070"/>
      <c r="AH2070"/>
      <c r="AI2070"/>
      <c r="AJ2070"/>
      <c r="AK2070"/>
      <c r="AL2070"/>
      <c r="AM2070"/>
      <c r="AN2070"/>
      <c r="AO2070"/>
      <c r="AP2070"/>
      <c r="AQ2070" t="s">
        <v>2526</v>
      </c>
      <c r="AU2070">
        <v>2069</v>
      </c>
    </row>
    <row r="2071" spans="1:47" x14ac:dyDescent="0.2">
      <c r="A2071" s="133">
        <v>6478</v>
      </c>
      <c r="B2071" s="39" t="s">
        <v>45</v>
      </c>
      <c r="C2071" s="39">
        <v>100</v>
      </c>
      <c r="D2071" s="29" t="b">
        <v>0</v>
      </c>
      <c r="E2071" s="39" t="s">
        <v>3487</v>
      </c>
      <c r="F2071" s="47" t="s">
        <v>3488</v>
      </c>
      <c r="G2071" s="47" t="s">
        <v>73</v>
      </c>
      <c r="H2071"/>
      <c r="I2071" s="47" t="b">
        <v>0</v>
      </c>
      <c r="J2071" s="47" t="b">
        <v>0</v>
      </c>
      <c r="K2071" s="47">
        <v>3964</v>
      </c>
      <c r="L2071" s="48">
        <v>27</v>
      </c>
      <c r="M2071" s="47">
        <v>-1</v>
      </c>
      <c r="N2071" s="47">
        <v>-1</v>
      </c>
      <c r="O2071" s="47">
        <v>-1</v>
      </c>
      <c r="P2071" s="47">
        <v>-1</v>
      </c>
      <c r="Q2071" s="47">
        <v>-1</v>
      </c>
      <c r="R2071" s="47">
        <v>-1</v>
      </c>
      <c r="S2071" s="48">
        <v>27</v>
      </c>
      <c r="T2071" s="47">
        <v>0</v>
      </c>
      <c r="U2071" s="47">
        <v>0</v>
      </c>
      <c r="V2071" s="47">
        <v>0</v>
      </c>
      <c r="W2071" s="47"/>
      <c r="X2071" s="47">
        <v>325</v>
      </c>
      <c r="Y2071" s="47"/>
      <c r="Z2071" s="47" t="s">
        <v>2524</v>
      </c>
      <c r="AA2071" s="49"/>
      <c r="AB2071" s="49"/>
      <c r="AC2071" s="49"/>
      <c r="AD2071" s="50"/>
      <c r="AE2071" s="47" t="s">
        <v>2754</v>
      </c>
      <c r="AF2071" s="47">
        <v>55</v>
      </c>
      <c r="AG2071"/>
      <c r="AH2071"/>
      <c r="AI2071"/>
      <c r="AJ2071"/>
      <c r="AK2071"/>
      <c r="AL2071"/>
      <c r="AM2071"/>
      <c r="AN2071"/>
      <c r="AO2071"/>
      <c r="AP2071"/>
      <c r="AQ2071" t="s">
        <v>2526</v>
      </c>
      <c r="AU2071">
        <v>2070</v>
      </c>
    </row>
    <row r="2072" spans="1:47" x14ac:dyDescent="0.2">
      <c r="A2072" s="133">
        <v>6478</v>
      </c>
      <c r="B2072" s="39" t="s">
        <v>45</v>
      </c>
      <c r="C2072" s="39">
        <v>100</v>
      </c>
      <c r="D2072" s="29" t="b">
        <v>0</v>
      </c>
      <c r="E2072" s="39" t="s">
        <v>2780</v>
      </c>
      <c r="F2072" s="47" t="s">
        <v>3440</v>
      </c>
      <c r="G2072" s="47" t="s">
        <v>49</v>
      </c>
      <c r="H2072"/>
      <c r="I2072" s="47" t="b">
        <v>0</v>
      </c>
      <c r="J2072" s="47" t="b">
        <v>0</v>
      </c>
      <c r="K2072" s="47">
        <v>2465</v>
      </c>
      <c r="L2072" s="48">
        <v>27</v>
      </c>
      <c r="M2072" s="47">
        <v>-1</v>
      </c>
      <c r="N2072" s="47">
        <v>-1</v>
      </c>
      <c r="O2072" s="47">
        <v>-1</v>
      </c>
      <c r="P2072" s="47">
        <v>-1</v>
      </c>
      <c r="Q2072" s="47">
        <v>-1</v>
      </c>
      <c r="R2072" s="47">
        <v>-1</v>
      </c>
      <c r="S2072" s="48">
        <v>27</v>
      </c>
      <c r="T2072" s="47">
        <v>0</v>
      </c>
      <c r="U2072" s="47">
        <v>0</v>
      </c>
      <c r="V2072" s="47">
        <v>0</v>
      </c>
      <c r="W2072" s="47"/>
      <c r="X2072" s="47">
        <v>324</v>
      </c>
      <c r="Y2072" s="47"/>
      <c r="Z2072" s="47" t="s">
        <v>2524</v>
      </c>
      <c r="AA2072" s="49"/>
      <c r="AB2072" s="49"/>
      <c r="AC2072" s="49"/>
      <c r="AD2072" s="50"/>
      <c r="AE2072" s="47" t="s">
        <v>2754</v>
      </c>
      <c r="AF2072" s="47">
        <v>50</v>
      </c>
      <c r="AG2072"/>
      <c r="AH2072"/>
      <c r="AI2072"/>
      <c r="AJ2072"/>
      <c r="AK2072"/>
      <c r="AL2072"/>
      <c r="AM2072"/>
      <c r="AN2072"/>
      <c r="AO2072"/>
      <c r="AP2072"/>
      <c r="AQ2072" t="s">
        <v>2526</v>
      </c>
      <c r="AU2072">
        <v>2071</v>
      </c>
    </row>
    <row r="2073" spans="1:47" x14ac:dyDescent="0.2">
      <c r="A2073" s="133">
        <v>6478</v>
      </c>
      <c r="B2073" s="39" t="s">
        <v>45</v>
      </c>
      <c r="C2073" s="39">
        <v>100</v>
      </c>
      <c r="D2073" s="29" t="b">
        <v>0</v>
      </c>
      <c r="E2073" s="39" t="s">
        <v>2835</v>
      </c>
      <c r="F2073" s="47" t="s">
        <v>3440</v>
      </c>
      <c r="G2073" s="47" t="s">
        <v>49</v>
      </c>
      <c r="H2073"/>
      <c r="I2073" s="47" t="b">
        <v>0</v>
      </c>
      <c r="J2073" s="47" t="b">
        <v>0</v>
      </c>
      <c r="K2073" s="47">
        <v>2404</v>
      </c>
      <c r="L2073" s="48">
        <v>27</v>
      </c>
      <c r="M2073" s="47">
        <v>-1</v>
      </c>
      <c r="N2073" s="47">
        <v>-1</v>
      </c>
      <c r="O2073" s="47">
        <v>-1</v>
      </c>
      <c r="P2073" s="47">
        <v>-1</v>
      </c>
      <c r="Q2073" s="47">
        <v>-1</v>
      </c>
      <c r="R2073" s="47">
        <v>-1</v>
      </c>
      <c r="S2073" s="48">
        <v>27</v>
      </c>
      <c r="T2073" s="47">
        <v>0</v>
      </c>
      <c r="U2073" s="47">
        <v>0</v>
      </c>
      <c r="V2073" s="47">
        <v>0</v>
      </c>
      <c r="W2073" s="47"/>
      <c r="X2073" s="47">
        <v>326</v>
      </c>
      <c r="Y2073" s="47"/>
      <c r="Z2073" s="47" t="s">
        <v>2524</v>
      </c>
      <c r="AA2073" s="49"/>
      <c r="AB2073" s="49"/>
      <c r="AC2073" s="49"/>
      <c r="AD2073" s="50"/>
      <c r="AE2073" s="47" t="s">
        <v>2754</v>
      </c>
      <c r="AF2073" s="47">
        <v>55</v>
      </c>
      <c r="AG2073"/>
      <c r="AH2073"/>
      <c r="AI2073"/>
      <c r="AJ2073"/>
      <c r="AK2073"/>
      <c r="AL2073"/>
      <c r="AM2073"/>
      <c r="AN2073"/>
      <c r="AO2073"/>
      <c r="AP2073"/>
      <c r="AQ2073" t="s">
        <v>2526</v>
      </c>
      <c r="AU2073">
        <v>2072</v>
      </c>
    </row>
    <row r="2074" spans="1:47" x14ac:dyDescent="0.2">
      <c r="A2074" s="133">
        <v>6478</v>
      </c>
      <c r="B2074" s="39" t="s">
        <v>45</v>
      </c>
      <c r="C2074" s="39">
        <v>100</v>
      </c>
      <c r="D2074" s="29" t="b">
        <v>0</v>
      </c>
      <c r="E2074" s="39" t="s">
        <v>3043</v>
      </c>
      <c r="F2074" s="47" t="s">
        <v>144</v>
      </c>
      <c r="G2074" s="47" t="s">
        <v>73</v>
      </c>
      <c r="H2074"/>
      <c r="I2074" s="47" t="b">
        <v>0</v>
      </c>
      <c r="J2074" s="47" t="b">
        <v>0</v>
      </c>
      <c r="K2074" s="47">
        <v>305</v>
      </c>
      <c r="L2074" s="48">
        <v>27</v>
      </c>
      <c r="M2074" s="47">
        <v>-1</v>
      </c>
      <c r="N2074" s="47">
        <v>-1</v>
      </c>
      <c r="O2074" s="47">
        <v>-1</v>
      </c>
      <c r="P2074" s="47">
        <v>-1</v>
      </c>
      <c r="Q2074" s="47">
        <v>-1</v>
      </c>
      <c r="R2074" s="47">
        <v>-1</v>
      </c>
      <c r="S2074" s="48">
        <v>27</v>
      </c>
      <c r="T2074" s="47">
        <v>0</v>
      </c>
      <c r="U2074" s="47">
        <v>0</v>
      </c>
      <c r="V2074" s="47">
        <v>0</v>
      </c>
      <c r="W2074" s="47"/>
      <c r="X2074" s="47">
        <v>327</v>
      </c>
      <c r="Y2074" s="47"/>
      <c r="Z2074" s="47" t="s">
        <v>2524</v>
      </c>
      <c r="AA2074" s="49"/>
      <c r="AB2074" s="49"/>
      <c r="AC2074" s="49"/>
      <c r="AD2074" s="50"/>
      <c r="AE2074" s="47" t="s">
        <v>2754</v>
      </c>
      <c r="AF2074" s="47"/>
      <c r="AG2074"/>
      <c r="AH2074"/>
      <c r="AI2074"/>
      <c r="AJ2074"/>
      <c r="AK2074"/>
      <c r="AL2074"/>
      <c r="AM2074"/>
      <c r="AN2074"/>
      <c r="AO2074"/>
      <c r="AP2074"/>
      <c r="AQ2074" t="s">
        <v>2526</v>
      </c>
      <c r="AU2074">
        <v>2073</v>
      </c>
    </row>
    <row r="2075" spans="1:47" x14ac:dyDescent="0.2">
      <c r="A2075" s="133">
        <v>6478</v>
      </c>
      <c r="B2075" s="39" t="s">
        <v>45</v>
      </c>
      <c r="C2075" s="39">
        <v>100</v>
      </c>
      <c r="D2075" s="29" t="b">
        <v>0</v>
      </c>
      <c r="E2075" s="39" t="s">
        <v>3489</v>
      </c>
      <c r="F2075" s="47" t="s">
        <v>144</v>
      </c>
      <c r="G2075" s="47" t="s">
        <v>73</v>
      </c>
      <c r="H2075"/>
      <c r="I2075" s="47" t="b">
        <v>0</v>
      </c>
      <c r="J2075" s="47" t="b">
        <v>0</v>
      </c>
      <c r="K2075" s="47">
        <v>75</v>
      </c>
      <c r="L2075" s="48">
        <v>27</v>
      </c>
      <c r="M2075" s="47">
        <v>-1</v>
      </c>
      <c r="N2075" s="47">
        <v>-1</v>
      </c>
      <c r="O2075" s="47">
        <v>-1</v>
      </c>
      <c r="P2075" s="47">
        <v>-1</v>
      </c>
      <c r="Q2075" s="47">
        <v>-1</v>
      </c>
      <c r="R2075" s="47">
        <v>-1</v>
      </c>
      <c r="S2075" s="48">
        <v>27</v>
      </c>
      <c r="T2075" s="47">
        <v>0</v>
      </c>
      <c r="U2075" s="47">
        <v>0</v>
      </c>
      <c r="V2075" s="47">
        <v>0</v>
      </c>
      <c r="W2075" s="47"/>
      <c r="X2075" s="47">
        <v>328</v>
      </c>
      <c r="Y2075" s="47"/>
      <c r="Z2075" s="47" t="s">
        <v>2524</v>
      </c>
      <c r="AA2075" s="49"/>
      <c r="AB2075" s="49"/>
      <c r="AC2075" s="49"/>
      <c r="AD2075" s="50"/>
      <c r="AE2075" s="47" t="s">
        <v>2754</v>
      </c>
      <c r="AF2075" s="47"/>
      <c r="AG2075"/>
      <c r="AH2075"/>
      <c r="AI2075"/>
      <c r="AJ2075"/>
      <c r="AK2075"/>
      <c r="AL2075"/>
      <c r="AM2075"/>
      <c r="AN2075"/>
      <c r="AO2075"/>
      <c r="AP2075"/>
      <c r="AQ2075" t="s">
        <v>2526</v>
      </c>
      <c r="AU2075">
        <v>2074</v>
      </c>
    </row>
    <row r="2076" spans="1:47" x14ac:dyDescent="0.2">
      <c r="A2076" s="133">
        <v>6478</v>
      </c>
      <c r="B2076" s="39" t="s">
        <v>45</v>
      </c>
      <c r="C2076" s="39" t="s">
        <v>156</v>
      </c>
      <c r="D2076" s="29"/>
      <c r="E2076" s="39" t="s">
        <v>3490</v>
      </c>
      <c r="F2076" s="47" t="s">
        <v>1528</v>
      </c>
      <c r="G2076" s="47"/>
      <c r="H2076"/>
      <c r="I2076" s="47" t="s">
        <v>156</v>
      </c>
      <c r="J2076" s="47"/>
      <c r="K2076" s="47"/>
      <c r="L2076" s="48"/>
      <c r="M2076" s="47"/>
      <c r="N2076" s="47"/>
      <c r="O2076" s="47"/>
      <c r="P2076" s="47"/>
      <c r="Q2076" s="47"/>
      <c r="R2076" s="47"/>
      <c r="S2076" s="48"/>
      <c r="T2076" s="47"/>
      <c r="U2076" s="47"/>
      <c r="V2076" s="47"/>
      <c r="W2076" s="47"/>
      <c r="X2076" s="47"/>
      <c r="Y2076" s="47"/>
      <c r="Z2076" s="47"/>
      <c r="AA2076" s="49"/>
      <c r="AB2076" s="49"/>
      <c r="AC2076" s="49"/>
      <c r="AD2076" s="50"/>
      <c r="AE2076" s="47"/>
      <c r="AF2076" s="47"/>
      <c r="AG2076"/>
      <c r="AH2076"/>
      <c r="AI2076"/>
      <c r="AJ2076"/>
      <c r="AK2076"/>
      <c r="AL2076"/>
      <c r="AM2076"/>
      <c r="AN2076"/>
      <c r="AO2076"/>
      <c r="AP2076"/>
      <c r="AQ2076"/>
      <c r="AU2076">
        <v>2075</v>
      </c>
    </row>
    <row r="2077" spans="1:47" x14ac:dyDescent="0.2">
      <c r="A2077" s="133">
        <v>6478</v>
      </c>
      <c r="B2077" s="39" t="s">
        <v>45</v>
      </c>
      <c r="C2077" s="39" t="s">
        <v>142</v>
      </c>
      <c r="D2077" s="29"/>
      <c r="E2077" s="39" t="s">
        <v>3491</v>
      </c>
      <c r="F2077" s="47" t="s">
        <v>3492</v>
      </c>
      <c r="G2077" s="47" t="s">
        <v>73</v>
      </c>
      <c r="H2077"/>
      <c r="I2077" s="47" t="s">
        <v>3493</v>
      </c>
      <c r="J2077" s="47"/>
      <c r="K2077" s="47">
        <f>150*10*2.2</f>
        <v>3300.0000000000005</v>
      </c>
      <c r="L2077" s="48"/>
      <c r="M2077" s="47"/>
      <c r="N2077" s="47"/>
      <c r="O2077" s="47"/>
      <c r="P2077" s="47"/>
      <c r="Q2077" s="47"/>
      <c r="R2077" s="47"/>
      <c r="S2077" s="48">
        <v>13</v>
      </c>
      <c r="T2077" s="47">
        <v>0</v>
      </c>
      <c r="U2077" s="47">
        <v>0</v>
      </c>
      <c r="V2077" s="47">
        <v>1</v>
      </c>
      <c r="W2077" s="47"/>
      <c r="X2077" s="47"/>
      <c r="Y2077" s="47" t="s">
        <v>51</v>
      </c>
      <c r="Z2077" s="47" t="s">
        <v>2203</v>
      </c>
      <c r="AA2077" s="49"/>
      <c r="AB2077" s="49"/>
      <c r="AC2077" s="49"/>
      <c r="AD2077" s="50"/>
      <c r="AE2077" s="47" t="s">
        <v>3198</v>
      </c>
      <c r="AF2077" s="47">
        <v>40</v>
      </c>
      <c r="AG2077"/>
      <c r="AH2077"/>
      <c r="AI2077"/>
      <c r="AJ2077"/>
      <c r="AK2077">
        <v>150</v>
      </c>
      <c r="AL2077"/>
      <c r="AM2077"/>
      <c r="AN2077"/>
      <c r="AO2077"/>
      <c r="AP2077"/>
      <c r="AQ2077" s="32" t="s">
        <v>3378</v>
      </c>
      <c r="AU2077">
        <v>2076</v>
      </c>
    </row>
    <row r="2078" spans="1:47" x14ac:dyDescent="0.2">
      <c r="A2078" s="133">
        <v>6478</v>
      </c>
      <c r="B2078" s="39" t="s">
        <v>45</v>
      </c>
      <c r="C2078" s="38" t="s">
        <v>3330</v>
      </c>
      <c r="D2078" s="29"/>
      <c r="E2078" s="39" t="s">
        <v>3082</v>
      </c>
      <c r="F2078" s="47" t="s">
        <v>220</v>
      </c>
      <c r="G2078" s="47" t="s">
        <v>49</v>
      </c>
      <c r="H2078"/>
      <c r="I2078" s="47" t="s">
        <v>3494</v>
      </c>
      <c r="J2078" s="47"/>
      <c r="K2078" s="47">
        <f>4*30*10*2.2+6*50*2.2</f>
        <v>3300</v>
      </c>
      <c r="L2078" s="48">
        <v>5</v>
      </c>
      <c r="M2078" s="47"/>
      <c r="N2078" s="47"/>
      <c r="O2078" s="47"/>
      <c r="P2078" s="47"/>
      <c r="Q2078" s="47"/>
      <c r="R2078" s="47"/>
      <c r="S2078" s="48">
        <v>5</v>
      </c>
      <c r="T2078" s="47">
        <v>0</v>
      </c>
      <c r="U2078" s="47">
        <v>0</v>
      </c>
      <c r="V2078" s="47">
        <v>0</v>
      </c>
      <c r="W2078" s="47">
        <f>((2400+2100+2200+2400+3200)/5)*39.37/12</f>
        <v>8070.8499999999995</v>
      </c>
      <c r="X2078" s="47"/>
      <c r="Y2078" s="31" t="s">
        <v>51</v>
      </c>
      <c r="Z2078" s="47" t="s">
        <v>1846</v>
      </c>
      <c r="AA2078" s="49"/>
      <c r="AB2078" s="49"/>
      <c r="AC2078" s="49"/>
      <c r="AD2078" s="50">
        <f>2+1/6</f>
        <v>2.1666666666666665</v>
      </c>
      <c r="AE2078" s="47" t="s">
        <v>342</v>
      </c>
      <c r="AF2078" s="47">
        <v>45</v>
      </c>
      <c r="AG2078"/>
      <c r="AH2078"/>
      <c r="AI2078"/>
      <c r="AJ2078"/>
      <c r="AK2078">
        <f>4*30+6</f>
        <v>126</v>
      </c>
      <c r="AL2078"/>
      <c r="AM2078"/>
      <c r="AN2078"/>
      <c r="AO2078"/>
      <c r="AP2078"/>
      <c r="AQ2078" t="s">
        <v>3495</v>
      </c>
      <c r="AU2078">
        <v>2077</v>
      </c>
    </row>
    <row r="2079" spans="1:47" x14ac:dyDescent="0.2">
      <c r="A2079" s="26">
        <v>6478</v>
      </c>
      <c r="B2079" s="27">
        <v>0.81597222222222221</v>
      </c>
      <c r="C2079" s="28"/>
      <c r="D2079" s="29"/>
      <c r="E2079" s="30" t="s">
        <v>464</v>
      </c>
      <c r="H2079" s="32">
        <v>1</v>
      </c>
      <c r="I2079" s="32" t="s">
        <v>3496</v>
      </c>
      <c r="AG2079" s="32">
        <v>0</v>
      </c>
      <c r="AH2079" s="32">
        <v>0</v>
      </c>
      <c r="AL2079" s="32">
        <f>3+25/60</f>
        <v>3.4166666666666665</v>
      </c>
      <c r="AO2079" s="32" t="s">
        <v>1898</v>
      </c>
      <c r="AP2079" s="32">
        <f>3+25/60</f>
        <v>3.4166666666666665</v>
      </c>
      <c r="AQ2079" s="32" t="s">
        <v>1522</v>
      </c>
      <c r="AU2079">
        <v>2078</v>
      </c>
    </row>
    <row r="2080" spans="1:47" x14ac:dyDescent="0.2">
      <c r="A2080" s="26">
        <v>6478</v>
      </c>
      <c r="B2080" s="27">
        <v>0.83333333333333337</v>
      </c>
      <c r="C2080" s="28"/>
      <c r="D2080" s="29"/>
      <c r="E2080" s="30" t="s">
        <v>2087</v>
      </c>
      <c r="H2080" s="32">
        <v>0</v>
      </c>
      <c r="I2080" s="32" t="s">
        <v>2521</v>
      </c>
      <c r="AG2080" s="32">
        <v>0</v>
      </c>
      <c r="AH2080" s="32">
        <v>0</v>
      </c>
      <c r="AI2080" s="32">
        <v>0</v>
      </c>
      <c r="AK2080" s="32">
        <v>0</v>
      </c>
      <c r="AL2080" s="32">
        <v>0</v>
      </c>
      <c r="AP2080" s="32">
        <v>0.25</v>
      </c>
      <c r="AQ2080" s="32" t="s">
        <v>1101</v>
      </c>
      <c r="AU2080">
        <v>2079</v>
      </c>
    </row>
    <row r="2081" spans="1:47" x14ac:dyDescent="0.2">
      <c r="A2081" s="26">
        <v>6478</v>
      </c>
      <c r="B2081" s="27">
        <v>0.83333333333333337</v>
      </c>
      <c r="C2081" s="28"/>
      <c r="D2081" s="29"/>
      <c r="E2081" s="30" t="s">
        <v>1282</v>
      </c>
      <c r="H2081" s="32">
        <v>0</v>
      </c>
      <c r="I2081" s="32" t="s">
        <v>3497</v>
      </c>
      <c r="AG2081" s="32">
        <v>0</v>
      </c>
      <c r="AH2081" s="32">
        <v>1</v>
      </c>
      <c r="AI2081" s="32">
        <v>0</v>
      </c>
      <c r="AK2081" s="32">
        <v>0</v>
      </c>
      <c r="AL2081" s="32">
        <v>3</v>
      </c>
      <c r="AP2081" s="32">
        <v>3</v>
      </c>
      <c r="AQ2081" s="32" t="s">
        <v>1101</v>
      </c>
      <c r="AU2081">
        <v>2080</v>
      </c>
    </row>
    <row r="2082" spans="1:47" x14ac:dyDescent="0.2">
      <c r="A2082" s="26">
        <v>6478</v>
      </c>
      <c r="B2082" s="27" t="s">
        <v>45</v>
      </c>
      <c r="C2082" s="28"/>
      <c r="D2082" s="29"/>
      <c r="E2082" s="30" t="s">
        <v>3498</v>
      </c>
      <c r="H2082" s="32">
        <v>1</v>
      </c>
      <c r="I2082" s="32" t="s">
        <v>3499</v>
      </c>
      <c r="AG2082" s="32">
        <v>6</v>
      </c>
      <c r="AO2082" s="32" t="s">
        <v>3500</v>
      </c>
      <c r="AQ2082" s="32">
        <v>394</v>
      </c>
      <c r="AU2082">
        <v>2081</v>
      </c>
    </row>
    <row r="2083" spans="1:47" x14ac:dyDescent="0.2">
      <c r="A2083" s="26">
        <v>6478</v>
      </c>
      <c r="B2083" s="27" t="s">
        <v>45</v>
      </c>
      <c r="C2083" s="28"/>
      <c r="D2083" s="29"/>
      <c r="E2083" s="30" t="s">
        <v>1531</v>
      </c>
      <c r="H2083" s="32">
        <v>0</v>
      </c>
      <c r="I2083" s="32" t="s">
        <v>1706</v>
      </c>
      <c r="AG2083" s="32">
        <v>0</v>
      </c>
      <c r="AH2083" s="32">
        <v>0</v>
      </c>
      <c r="AI2083" s="32">
        <v>0</v>
      </c>
      <c r="AK2083" s="32">
        <v>0</v>
      </c>
      <c r="AM2083" s="32">
        <f>498*63</f>
        <v>31374</v>
      </c>
      <c r="AO2083" s="32" t="s">
        <v>1533</v>
      </c>
      <c r="AQ2083" s="32" t="s">
        <v>1101</v>
      </c>
      <c r="AU2083">
        <v>2082</v>
      </c>
    </row>
    <row r="2084" spans="1:47" x14ac:dyDescent="0.2">
      <c r="A2084" s="26">
        <v>6478</v>
      </c>
      <c r="B2084" s="27" t="s">
        <v>45</v>
      </c>
      <c r="C2084" s="28"/>
      <c r="D2084" s="29"/>
      <c r="E2084" s="150" t="s">
        <v>2286</v>
      </c>
      <c r="H2084" s="32">
        <v>0</v>
      </c>
      <c r="I2084" s="32" t="s">
        <v>1824</v>
      </c>
      <c r="AG2084" s="32">
        <v>0</v>
      </c>
      <c r="AH2084" s="32">
        <v>0</v>
      </c>
      <c r="AI2084" s="32">
        <v>0</v>
      </c>
      <c r="AK2084" s="32">
        <v>0</v>
      </c>
      <c r="AM2084" s="32">
        <v>11000</v>
      </c>
      <c r="AO2084" s="73" t="s">
        <v>75</v>
      </c>
      <c r="AQ2084" s="32" t="s">
        <v>589</v>
      </c>
      <c r="AU2084">
        <v>2083</v>
      </c>
    </row>
    <row r="2085" spans="1:47" x14ac:dyDescent="0.2">
      <c r="A2085" s="37">
        <v>6479</v>
      </c>
      <c r="B2085" s="38" t="s">
        <v>85</v>
      </c>
      <c r="C2085" s="39" t="s">
        <v>1234</v>
      </c>
      <c r="D2085" s="29"/>
      <c r="E2085" s="38" t="s">
        <v>3501</v>
      </c>
      <c r="F2085" s="32"/>
      <c r="G2085" s="47"/>
      <c r="H2085"/>
      <c r="I2085" s="32" t="s">
        <v>3502</v>
      </c>
      <c r="J2085" s="47"/>
      <c r="K2085" s="47"/>
      <c r="L2085" s="48"/>
      <c r="M2085" s="47"/>
      <c r="N2085" s="47"/>
      <c r="O2085" s="47"/>
      <c r="P2085" s="47"/>
      <c r="Q2085" s="47"/>
      <c r="R2085" s="47"/>
      <c r="S2085" s="48"/>
      <c r="T2085" s="47"/>
      <c r="U2085" s="47"/>
      <c r="V2085" s="47"/>
      <c r="W2085" s="47"/>
      <c r="X2085" s="47"/>
      <c r="Y2085" s="47"/>
      <c r="Z2085" s="47" t="s">
        <v>1809</v>
      </c>
      <c r="AA2085" s="49"/>
      <c r="AB2085" s="49"/>
      <c r="AC2085" s="49"/>
      <c r="AD2085" s="50"/>
      <c r="AE2085" s="47" t="s">
        <v>1653</v>
      </c>
      <c r="AF2085" s="47">
        <v>65</v>
      </c>
      <c r="AG2085"/>
      <c r="AH2085"/>
      <c r="AI2085"/>
      <c r="AJ2085"/>
      <c r="AK2085"/>
      <c r="AL2085"/>
      <c r="AM2085"/>
      <c r="AN2085"/>
      <c r="AO2085"/>
      <c r="AP2085"/>
      <c r="AQ2085" t="s">
        <v>3412</v>
      </c>
      <c r="AU2085">
        <v>2084</v>
      </c>
    </row>
    <row r="2086" spans="1:47" x14ac:dyDescent="0.2">
      <c r="A2086" s="133">
        <v>6479</v>
      </c>
      <c r="B2086" s="39" t="s">
        <v>45</v>
      </c>
      <c r="C2086" s="39">
        <v>100</v>
      </c>
      <c r="D2086" s="29" t="b">
        <v>0</v>
      </c>
      <c r="E2086" s="39" t="s">
        <v>2780</v>
      </c>
      <c r="F2086" s="47" t="s">
        <v>3440</v>
      </c>
      <c r="G2086" s="47" t="s">
        <v>49</v>
      </c>
      <c r="H2086"/>
      <c r="I2086" s="47" t="b">
        <v>0</v>
      </c>
      <c r="J2086" s="47" t="b">
        <v>1</v>
      </c>
      <c r="K2086" s="47">
        <v>865</v>
      </c>
      <c r="L2086" s="48">
        <v>3</v>
      </c>
      <c r="M2086" s="47">
        <v>-1</v>
      </c>
      <c r="N2086" s="47">
        <v>-1</v>
      </c>
      <c r="O2086" s="47">
        <v>-1</v>
      </c>
      <c r="P2086" s="47">
        <v>-1</v>
      </c>
      <c r="Q2086" s="47">
        <v>-1</v>
      </c>
      <c r="R2086" s="47">
        <v>-1</v>
      </c>
      <c r="S2086" s="48">
        <v>3</v>
      </c>
      <c r="T2086" s="47">
        <v>0</v>
      </c>
      <c r="U2086" s="47">
        <v>0</v>
      </c>
      <c r="V2086" s="47">
        <v>0</v>
      </c>
      <c r="W2086" s="47"/>
      <c r="X2086" s="47">
        <v>330</v>
      </c>
      <c r="Y2086" s="47"/>
      <c r="Z2086" s="47" t="s">
        <v>2524</v>
      </c>
      <c r="AA2086" s="49"/>
      <c r="AB2086" s="49"/>
      <c r="AC2086" s="49"/>
      <c r="AD2086" s="50"/>
      <c r="AE2086" s="47" t="s">
        <v>2754</v>
      </c>
      <c r="AF2086" s="47">
        <v>50</v>
      </c>
      <c r="AG2086"/>
      <c r="AH2086"/>
      <c r="AI2086"/>
      <c r="AJ2086"/>
      <c r="AK2086"/>
      <c r="AL2086"/>
      <c r="AM2086"/>
      <c r="AN2086"/>
      <c r="AO2086"/>
      <c r="AP2086"/>
      <c r="AQ2086" t="s">
        <v>2526</v>
      </c>
      <c r="AU2086">
        <v>2085</v>
      </c>
    </row>
    <row r="2087" spans="1:47" x14ac:dyDescent="0.2">
      <c r="A2087" s="37">
        <v>6479</v>
      </c>
      <c r="B2087" s="38" t="s">
        <v>45</v>
      </c>
      <c r="C2087" s="39" t="s">
        <v>1234</v>
      </c>
      <c r="D2087" s="29"/>
      <c r="E2087" s="38" t="s">
        <v>782</v>
      </c>
      <c r="F2087" s="32" t="s">
        <v>150</v>
      </c>
      <c r="G2087" s="47"/>
      <c r="H2087"/>
      <c r="I2087" s="32" t="s">
        <v>3503</v>
      </c>
      <c r="J2087" s="47"/>
      <c r="K2087" s="47">
        <f>60*2.2</f>
        <v>132</v>
      </c>
      <c r="L2087" s="48"/>
      <c r="M2087" s="47"/>
      <c r="N2087" s="47"/>
      <c r="O2087" s="47"/>
      <c r="P2087" s="47"/>
      <c r="Q2087" s="47"/>
      <c r="R2087" s="47"/>
      <c r="S2087" s="48">
        <v>1</v>
      </c>
      <c r="T2087" s="47"/>
      <c r="U2087" s="47"/>
      <c r="V2087" s="47"/>
      <c r="W2087" s="47"/>
      <c r="X2087" s="47"/>
      <c r="Y2087" s="47"/>
      <c r="Z2087" s="47"/>
      <c r="AA2087" s="49"/>
      <c r="AB2087" s="49"/>
      <c r="AC2087" s="49"/>
      <c r="AD2087" s="50"/>
      <c r="AE2087" s="47" t="s">
        <v>1653</v>
      </c>
      <c r="AF2087" s="47">
        <v>80</v>
      </c>
      <c r="AG2087"/>
      <c r="AH2087"/>
      <c r="AI2087"/>
      <c r="AJ2087"/>
      <c r="AK2087"/>
      <c r="AL2087"/>
      <c r="AM2087"/>
      <c r="AN2087"/>
      <c r="AO2087"/>
      <c r="AP2087"/>
      <c r="AQ2087" t="s">
        <v>3412</v>
      </c>
      <c r="AU2087">
        <v>2086</v>
      </c>
    </row>
    <row r="2088" spans="1:47" x14ac:dyDescent="0.2">
      <c r="A2088" s="37">
        <v>6479</v>
      </c>
      <c r="B2088" s="38" t="s">
        <v>45</v>
      </c>
      <c r="C2088" s="39" t="s">
        <v>156</v>
      </c>
      <c r="D2088" s="29"/>
      <c r="E2088" s="38" t="s">
        <v>3504</v>
      </c>
      <c r="F2088" s="32" t="s">
        <v>3505</v>
      </c>
      <c r="G2088" s="47"/>
      <c r="H2088"/>
      <c r="I2088" s="32" t="s">
        <v>156</v>
      </c>
      <c r="J2088" s="47"/>
      <c r="K2088" s="47"/>
      <c r="L2088" s="48"/>
      <c r="M2088" s="47"/>
      <c r="N2088" s="47"/>
      <c r="O2088" s="47"/>
      <c r="P2088" s="47"/>
      <c r="Q2088" s="47"/>
      <c r="R2088" s="47"/>
      <c r="S2088" s="48"/>
      <c r="T2088" s="47"/>
      <c r="U2088" s="47"/>
      <c r="V2088" s="47"/>
      <c r="W2088" s="47"/>
      <c r="X2088" s="47"/>
      <c r="Y2088" s="47"/>
      <c r="Z2088" s="47"/>
      <c r="AA2088" s="49"/>
      <c r="AB2088" s="49"/>
      <c r="AC2088" s="49"/>
      <c r="AD2088" s="50"/>
      <c r="AE2088" s="47"/>
      <c r="AF2088" s="47"/>
      <c r="AG2088"/>
      <c r="AH2088"/>
      <c r="AI2088"/>
      <c r="AJ2088"/>
      <c r="AK2088"/>
      <c r="AL2088"/>
      <c r="AM2088"/>
      <c r="AN2088"/>
      <c r="AO2088"/>
      <c r="AP2088"/>
      <c r="AQ2088"/>
      <c r="AU2088">
        <v>2087</v>
      </c>
    </row>
    <row r="2089" spans="1:47" x14ac:dyDescent="0.2">
      <c r="A2089" s="26">
        <v>6479</v>
      </c>
      <c r="B2089" s="27">
        <v>0.84375</v>
      </c>
      <c r="C2089" s="28"/>
      <c r="D2089" s="29"/>
      <c r="E2089" s="30" t="s">
        <v>464</v>
      </c>
      <c r="H2089" s="32">
        <v>1</v>
      </c>
      <c r="I2089" s="157" t="s">
        <v>3506</v>
      </c>
      <c r="AG2089" s="32">
        <v>0</v>
      </c>
      <c r="AH2089" s="32">
        <v>0</v>
      </c>
      <c r="AL2089" s="32">
        <v>3.75</v>
      </c>
      <c r="AO2089" s="32" t="s">
        <v>1898</v>
      </c>
      <c r="AP2089" s="32">
        <v>3.75</v>
      </c>
      <c r="AQ2089" s="32" t="s">
        <v>1522</v>
      </c>
      <c r="AU2089">
        <v>2088</v>
      </c>
    </row>
    <row r="2090" spans="1:47" x14ac:dyDescent="0.2">
      <c r="A2090" s="26">
        <v>6479</v>
      </c>
      <c r="B2090" s="27" t="s">
        <v>45</v>
      </c>
      <c r="C2090" s="28"/>
      <c r="D2090" s="29"/>
      <c r="E2090" s="30" t="s">
        <v>1531</v>
      </c>
      <c r="H2090" s="32">
        <v>0</v>
      </c>
      <c r="I2090" s="32" t="s">
        <v>1532</v>
      </c>
      <c r="AG2090" s="32">
        <v>0</v>
      </c>
      <c r="AH2090" s="32">
        <v>0</v>
      </c>
      <c r="AI2090" s="32">
        <v>0</v>
      </c>
      <c r="AK2090" s="32">
        <v>0</v>
      </c>
      <c r="AM2090" s="32">
        <f>498*105</f>
        <v>52290</v>
      </c>
      <c r="AO2090" s="32" t="s">
        <v>1533</v>
      </c>
      <c r="AQ2090" s="32" t="s">
        <v>1101</v>
      </c>
      <c r="AU2090">
        <v>2089</v>
      </c>
    </row>
    <row r="2091" spans="1:47" x14ac:dyDescent="0.2">
      <c r="A2091" s="26">
        <v>6479</v>
      </c>
      <c r="B2091" s="27" t="s">
        <v>45</v>
      </c>
      <c r="C2091" s="28"/>
      <c r="D2091" s="29"/>
      <c r="E2091" s="150" t="s">
        <v>2286</v>
      </c>
      <c r="H2091" s="32">
        <v>0</v>
      </c>
      <c r="I2091" s="32" t="s">
        <v>1824</v>
      </c>
      <c r="AG2091" s="32">
        <v>0</v>
      </c>
      <c r="AH2091" s="32">
        <v>0</v>
      </c>
      <c r="AI2091" s="32">
        <v>0</v>
      </c>
      <c r="AK2091" s="32">
        <v>0</v>
      </c>
      <c r="AM2091" s="32">
        <v>11500</v>
      </c>
      <c r="AO2091" s="73" t="s">
        <v>75</v>
      </c>
      <c r="AQ2091" s="32" t="s">
        <v>589</v>
      </c>
      <c r="AU2091">
        <v>2090</v>
      </c>
    </row>
    <row r="2092" spans="1:47" x14ac:dyDescent="0.2">
      <c r="A2092" s="133">
        <v>6480</v>
      </c>
      <c r="B2092" s="39" t="s">
        <v>45</v>
      </c>
      <c r="C2092" s="39">
        <v>100</v>
      </c>
      <c r="D2092" s="29" t="b">
        <v>0</v>
      </c>
      <c r="E2092" s="39" t="s">
        <v>3507</v>
      </c>
      <c r="F2092" s="47" t="s">
        <v>3508</v>
      </c>
      <c r="G2092" s="47" t="s">
        <v>49</v>
      </c>
      <c r="H2092"/>
      <c r="I2092" s="47" t="b">
        <v>1</v>
      </c>
      <c r="J2092" s="47" t="b">
        <v>1</v>
      </c>
      <c r="K2092" s="47">
        <v>7661</v>
      </c>
      <c r="L2092" s="48">
        <v>24</v>
      </c>
      <c r="M2092" s="47">
        <v>-1</v>
      </c>
      <c r="N2092" s="47">
        <v>-1</v>
      </c>
      <c r="O2092" s="47">
        <v>-1</v>
      </c>
      <c r="P2092" s="47">
        <v>-1</v>
      </c>
      <c r="Q2092" s="47">
        <v>-1</v>
      </c>
      <c r="R2092" s="47">
        <v>-1</v>
      </c>
      <c r="S2092" s="48">
        <v>24</v>
      </c>
      <c r="T2092" s="47">
        <v>0</v>
      </c>
      <c r="U2092" s="47">
        <v>0</v>
      </c>
      <c r="V2092" s="47">
        <v>0</v>
      </c>
      <c r="W2092" s="47"/>
      <c r="X2092" s="47">
        <v>336</v>
      </c>
      <c r="Y2092" s="47"/>
      <c r="Z2092" s="47" t="s">
        <v>2524</v>
      </c>
      <c r="AA2092" s="49"/>
      <c r="AB2092" s="49"/>
      <c r="AC2092" s="49"/>
      <c r="AD2092" s="50"/>
      <c r="AE2092" s="47" t="s">
        <v>2754</v>
      </c>
      <c r="AF2092" s="47"/>
      <c r="AG2092"/>
      <c r="AH2092"/>
      <c r="AI2092"/>
      <c r="AJ2092"/>
      <c r="AK2092"/>
      <c r="AL2092"/>
      <c r="AM2092"/>
      <c r="AN2092"/>
      <c r="AO2092"/>
      <c r="AP2092"/>
      <c r="AQ2092" t="s">
        <v>2526</v>
      </c>
      <c r="AU2092">
        <v>2091</v>
      </c>
    </row>
    <row r="2093" spans="1:47" x14ac:dyDescent="0.2">
      <c r="A2093" s="133">
        <v>6480</v>
      </c>
      <c r="B2093" s="39" t="s">
        <v>45</v>
      </c>
      <c r="C2093" s="39">
        <v>100</v>
      </c>
      <c r="D2093" s="29" t="b">
        <v>0</v>
      </c>
      <c r="E2093" s="39" t="s">
        <v>3138</v>
      </c>
      <c r="F2093" s="47" t="s">
        <v>3509</v>
      </c>
      <c r="G2093" s="47" t="s">
        <v>49</v>
      </c>
      <c r="H2093"/>
      <c r="I2093" s="47" t="b">
        <v>0</v>
      </c>
      <c r="J2093" s="47" t="b">
        <v>0</v>
      </c>
      <c r="K2093" s="47">
        <v>3562</v>
      </c>
      <c r="L2093" s="48">
        <v>24</v>
      </c>
      <c r="M2093" s="47">
        <v>-1</v>
      </c>
      <c r="N2093" s="47">
        <v>-1</v>
      </c>
      <c r="O2093" s="47">
        <v>-1</v>
      </c>
      <c r="P2093" s="47">
        <v>-1</v>
      </c>
      <c r="Q2093" s="47">
        <v>-1</v>
      </c>
      <c r="R2093" s="47">
        <v>-1</v>
      </c>
      <c r="S2093" s="48">
        <v>24</v>
      </c>
      <c r="T2093" s="47">
        <v>0</v>
      </c>
      <c r="U2093" s="47">
        <v>0</v>
      </c>
      <c r="V2093" s="47">
        <v>0</v>
      </c>
      <c r="W2093" s="47"/>
      <c r="X2093" s="47">
        <v>332</v>
      </c>
      <c r="Y2093" s="47"/>
      <c r="Z2093" s="47" t="s">
        <v>2524</v>
      </c>
      <c r="AA2093" s="49"/>
      <c r="AB2093" s="49"/>
      <c r="AC2093" s="49"/>
      <c r="AD2093" s="50"/>
      <c r="AE2093" s="47" t="s">
        <v>2754</v>
      </c>
      <c r="AF2093" s="47"/>
      <c r="AG2093"/>
      <c r="AH2093"/>
      <c r="AI2093"/>
      <c r="AJ2093"/>
      <c r="AK2093"/>
      <c r="AL2093"/>
      <c r="AM2093"/>
      <c r="AN2093"/>
      <c r="AO2093"/>
      <c r="AP2093"/>
      <c r="AQ2093" t="s">
        <v>2526</v>
      </c>
      <c r="AU2093">
        <v>2092</v>
      </c>
    </row>
    <row r="2094" spans="1:47" x14ac:dyDescent="0.2">
      <c r="A2094" s="133">
        <v>6480</v>
      </c>
      <c r="B2094" s="39" t="s">
        <v>45</v>
      </c>
      <c r="C2094" s="39">
        <v>100</v>
      </c>
      <c r="D2094" s="29" t="b">
        <v>0</v>
      </c>
      <c r="E2094" s="39" t="s">
        <v>2835</v>
      </c>
      <c r="F2094" s="47" t="s">
        <v>3509</v>
      </c>
      <c r="G2094" s="47" t="s">
        <v>49</v>
      </c>
      <c r="H2094"/>
      <c r="I2094" s="47" t="b">
        <v>0</v>
      </c>
      <c r="J2094" s="47" t="b">
        <v>0</v>
      </c>
      <c r="K2094" s="47">
        <v>2529</v>
      </c>
      <c r="L2094" s="48">
        <v>24</v>
      </c>
      <c r="M2094" s="47">
        <v>-1</v>
      </c>
      <c r="N2094" s="47">
        <v>-1</v>
      </c>
      <c r="O2094" s="47">
        <v>-1</v>
      </c>
      <c r="P2094" s="47">
        <v>-1</v>
      </c>
      <c r="Q2094" s="47">
        <v>-1</v>
      </c>
      <c r="R2094" s="47">
        <v>-1</v>
      </c>
      <c r="S2094" s="48">
        <v>24</v>
      </c>
      <c r="T2094" s="47">
        <v>0</v>
      </c>
      <c r="U2094" s="47">
        <v>0</v>
      </c>
      <c r="V2094" s="47">
        <v>0</v>
      </c>
      <c r="W2094" s="47"/>
      <c r="X2094" s="47">
        <v>333</v>
      </c>
      <c r="Y2094" s="47"/>
      <c r="Z2094" s="47" t="s">
        <v>2524</v>
      </c>
      <c r="AA2094" s="49"/>
      <c r="AB2094" s="49"/>
      <c r="AC2094" s="49"/>
      <c r="AD2094" s="50"/>
      <c r="AE2094" s="47" t="s">
        <v>2754</v>
      </c>
      <c r="AF2094" s="47">
        <v>55</v>
      </c>
      <c r="AG2094"/>
      <c r="AH2094"/>
      <c r="AI2094"/>
      <c r="AJ2094"/>
      <c r="AK2094"/>
      <c r="AL2094"/>
      <c r="AM2094"/>
      <c r="AN2094"/>
      <c r="AO2094"/>
      <c r="AP2094"/>
      <c r="AQ2094" t="s">
        <v>2526</v>
      </c>
      <c r="AU2094">
        <v>2093</v>
      </c>
    </row>
    <row r="2095" spans="1:47" x14ac:dyDescent="0.2">
      <c r="A2095" s="133">
        <v>6480</v>
      </c>
      <c r="B2095" s="39" t="s">
        <v>45</v>
      </c>
      <c r="C2095" s="39">
        <v>100</v>
      </c>
      <c r="D2095" s="29" t="b">
        <v>0</v>
      </c>
      <c r="E2095" s="39" t="s">
        <v>3510</v>
      </c>
      <c r="F2095" s="47" t="s">
        <v>3509</v>
      </c>
      <c r="G2095" s="47" t="s">
        <v>49</v>
      </c>
      <c r="H2095"/>
      <c r="I2095" s="47" t="b">
        <v>0</v>
      </c>
      <c r="J2095" s="47" t="b">
        <v>0</v>
      </c>
      <c r="K2095" s="47">
        <v>1370</v>
      </c>
      <c r="L2095" s="48">
        <v>24</v>
      </c>
      <c r="M2095" s="47">
        <v>-1</v>
      </c>
      <c r="N2095" s="47">
        <v>-1</v>
      </c>
      <c r="O2095" s="47">
        <v>-1</v>
      </c>
      <c r="P2095" s="47">
        <v>-1</v>
      </c>
      <c r="Q2095" s="47">
        <v>-1</v>
      </c>
      <c r="R2095" s="47">
        <v>-1</v>
      </c>
      <c r="S2095" s="48">
        <v>24</v>
      </c>
      <c r="T2095" s="47">
        <v>0</v>
      </c>
      <c r="U2095" s="47">
        <v>0</v>
      </c>
      <c r="V2095" s="47">
        <v>0</v>
      </c>
      <c r="W2095" s="47"/>
      <c r="X2095" s="47">
        <v>334</v>
      </c>
      <c r="Y2095" s="47"/>
      <c r="Z2095" s="47" t="s">
        <v>2524</v>
      </c>
      <c r="AA2095" s="49"/>
      <c r="AB2095" s="49"/>
      <c r="AC2095" s="49"/>
      <c r="AD2095" s="50"/>
      <c r="AE2095" s="47" t="s">
        <v>2754</v>
      </c>
      <c r="AF2095" s="47"/>
      <c r="AG2095"/>
      <c r="AH2095"/>
      <c r="AI2095"/>
      <c r="AJ2095"/>
      <c r="AK2095"/>
      <c r="AL2095"/>
      <c r="AM2095"/>
      <c r="AN2095"/>
      <c r="AO2095"/>
      <c r="AP2095"/>
      <c r="AQ2095" t="s">
        <v>2526</v>
      </c>
      <c r="AU2095">
        <v>2094</v>
      </c>
    </row>
    <row r="2096" spans="1:47" x14ac:dyDescent="0.2">
      <c r="A2096" s="133">
        <v>6480</v>
      </c>
      <c r="B2096" s="39" t="s">
        <v>45</v>
      </c>
      <c r="C2096" s="39">
        <v>100</v>
      </c>
      <c r="D2096" s="29" t="b">
        <v>0</v>
      </c>
      <c r="E2096" s="39" t="s">
        <v>3511</v>
      </c>
      <c r="F2096" s="47" t="s">
        <v>3512</v>
      </c>
      <c r="G2096" s="47" t="s">
        <v>73</v>
      </c>
      <c r="H2096"/>
      <c r="I2096" s="47" t="b">
        <v>0</v>
      </c>
      <c r="J2096" s="47" t="b">
        <v>0</v>
      </c>
      <c r="K2096" s="47">
        <v>150</v>
      </c>
      <c r="L2096" s="48">
        <v>24</v>
      </c>
      <c r="M2096" s="47">
        <v>-1</v>
      </c>
      <c r="N2096" s="47">
        <v>-1</v>
      </c>
      <c r="O2096" s="47">
        <v>-1</v>
      </c>
      <c r="P2096" s="47">
        <v>-1</v>
      </c>
      <c r="Q2096" s="47">
        <v>-1</v>
      </c>
      <c r="R2096" s="47">
        <v>-1</v>
      </c>
      <c r="S2096" s="48">
        <v>24</v>
      </c>
      <c r="T2096" s="47">
        <v>0</v>
      </c>
      <c r="U2096" s="47">
        <v>0</v>
      </c>
      <c r="V2096" s="47">
        <v>0</v>
      </c>
      <c r="W2096" s="47"/>
      <c r="X2096" s="47">
        <v>335</v>
      </c>
      <c r="Y2096" s="47"/>
      <c r="Z2096" s="47" t="s">
        <v>2524</v>
      </c>
      <c r="AA2096" s="49"/>
      <c r="AB2096" s="49"/>
      <c r="AC2096" s="49"/>
      <c r="AD2096" s="50"/>
      <c r="AE2096" s="47" t="s">
        <v>2754</v>
      </c>
      <c r="AF2096" s="47"/>
      <c r="AG2096"/>
      <c r="AH2096"/>
      <c r="AI2096"/>
      <c r="AJ2096"/>
      <c r="AK2096"/>
      <c r="AL2096"/>
      <c r="AM2096"/>
      <c r="AN2096"/>
      <c r="AO2096"/>
      <c r="AP2096"/>
      <c r="AQ2096" t="s">
        <v>2526</v>
      </c>
      <c r="AU2096">
        <v>2095</v>
      </c>
    </row>
    <row r="2097" spans="1:47" x14ac:dyDescent="0.2">
      <c r="A2097" s="133">
        <v>6480</v>
      </c>
      <c r="B2097" s="39" t="s">
        <v>45</v>
      </c>
      <c r="C2097" s="39">
        <v>100</v>
      </c>
      <c r="D2097" s="29" t="b">
        <v>0</v>
      </c>
      <c r="E2097" s="39" t="s">
        <v>3513</v>
      </c>
      <c r="F2097" s="47" t="s">
        <v>144</v>
      </c>
      <c r="G2097" s="47" t="s">
        <v>73</v>
      </c>
      <c r="H2097"/>
      <c r="I2097" s="47" t="b">
        <v>0</v>
      </c>
      <c r="J2097" s="47" t="b">
        <v>0</v>
      </c>
      <c r="K2097" s="47">
        <v>50</v>
      </c>
      <c r="L2097" s="48">
        <v>24</v>
      </c>
      <c r="M2097" s="47">
        <v>-1</v>
      </c>
      <c r="N2097" s="47">
        <v>-1</v>
      </c>
      <c r="O2097" s="47">
        <v>-1</v>
      </c>
      <c r="P2097" s="47">
        <v>-1</v>
      </c>
      <c r="Q2097" s="47">
        <v>-1</v>
      </c>
      <c r="R2097" s="47">
        <v>-1</v>
      </c>
      <c r="S2097" s="48">
        <v>24</v>
      </c>
      <c r="T2097" s="47">
        <v>0</v>
      </c>
      <c r="U2097" s="47">
        <v>0</v>
      </c>
      <c r="V2097" s="47">
        <v>0</v>
      </c>
      <c r="W2097" s="47"/>
      <c r="X2097" s="47">
        <v>331</v>
      </c>
      <c r="Y2097" s="47"/>
      <c r="Z2097" s="47" t="s">
        <v>2524</v>
      </c>
      <c r="AA2097" s="49"/>
      <c r="AB2097" s="49"/>
      <c r="AC2097" s="49"/>
      <c r="AD2097" s="50"/>
      <c r="AE2097" s="47" t="s">
        <v>2754</v>
      </c>
      <c r="AF2097" s="47"/>
      <c r="AG2097"/>
      <c r="AH2097"/>
      <c r="AI2097"/>
      <c r="AJ2097"/>
      <c r="AK2097"/>
      <c r="AL2097"/>
      <c r="AM2097"/>
      <c r="AN2097"/>
      <c r="AO2097"/>
      <c r="AP2097"/>
      <c r="AQ2097" t="s">
        <v>2526</v>
      </c>
      <c r="AU2097">
        <v>2096</v>
      </c>
    </row>
    <row r="2098" spans="1:47" x14ac:dyDescent="0.2">
      <c r="A2098" s="133">
        <v>6480</v>
      </c>
      <c r="B2098" s="39" t="s">
        <v>45</v>
      </c>
      <c r="C2098" s="39" t="s">
        <v>142</v>
      </c>
      <c r="D2098" s="29"/>
      <c r="E2098" s="39" t="s">
        <v>3514</v>
      </c>
      <c r="F2098" s="47" t="s">
        <v>3515</v>
      </c>
      <c r="G2098" s="47" t="s">
        <v>73</v>
      </c>
      <c r="H2098"/>
      <c r="I2098" s="47" t="b">
        <v>1</v>
      </c>
      <c r="J2098" s="47" t="b">
        <v>1</v>
      </c>
      <c r="K2098" s="47">
        <f>(62+16+10+10+12)*10*2.2</f>
        <v>2420</v>
      </c>
      <c r="L2098" s="48"/>
      <c r="M2098" s="47"/>
      <c r="N2098" s="47"/>
      <c r="O2098" s="47"/>
      <c r="P2098" s="47"/>
      <c r="Q2098" s="47"/>
      <c r="R2098" s="47"/>
      <c r="S2098" s="48">
        <v>10</v>
      </c>
      <c r="T2098" s="47">
        <v>0</v>
      </c>
      <c r="U2098" s="47">
        <v>0</v>
      </c>
      <c r="V2098" s="47">
        <v>1</v>
      </c>
      <c r="W2098" s="47"/>
      <c r="X2098" s="47"/>
      <c r="Y2098" s="47" t="s">
        <v>51</v>
      </c>
      <c r="Z2098" s="47" t="s">
        <v>2203</v>
      </c>
      <c r="AA2098" s="49"/>
      <c r="AB2098" s="49"/>
      <c r="AC2098" s="49"/>
      <c r="AD2098" s="50"/>
      <c r="AE2098" s="47" t="s">
        <v>3198</v>
      </c>
      <c r="AF2098" s="47">
        <v>60</v>
      </c>
      <c r="AG2098"/>
      <c r="AH2098"/>
      <c r="AI2098"/>
      <c r="AJ2098"/>
      <c r="AK2098" s="47">
        <f>(62+16+10+10+12)</f>
        <v>110</v>
      </c>
      <c r="AL2098"/>
      <c r="AM2098"/>
      <c r="AN2098"/>
      <c r="AO2098"/>
      <c r="AP2098"/>
      <c r="AQ2098" s="32" t="s">
        <v>3516</v>
      </c>
      <c r="AR2098" s="32" t="s">
        <v>3517</v>
      </c>
      <c r="AU2098">
        <v>2097</v>
      </c>
    </row>
    <row r="2099" spans="1:47" x14ac:dyDescent="0.2">
      <c r="A2099" s="133">
        <v>6480</v>
      </c>
      <c r="B2099" s="39" t="s">
        <v>45</v>
      </c>
      <c r="C2099" s="39" t="s">
        <v>142</v>
      </c>
      <c r="D2099" s="29"/>
      <c r="E2099" s="39" t="s">
        <v>3423</v>
      </c>
      <c r="F2099" s="47" t="s">
        <v>204</v>
      </c>
      <c r="G2099" s="47" t="s">
        <v>205</v>
      </c>
      <c r="H2099"/>
      <c r="I2099" s="47" t="b">
        <v>0</v>
      </c>
      <c r="J2099" s="47" t="b">
        <v>0</v>
      </c>
      <c r="K2099" s="31">
        <f>62*10*2.2</f>
        <v>1364</v>
      </c>
      <c r="L2099" s="48"/>
      <c r="M2099" s="47"/>
      <c r="N2099" s="47"/>
      <c r="O2099" s="47"/>
      <c r="P2099" s="47"/>
      <c r="Q2099" s="47"/>
      <c r="R2099" s="47"/>
      <c r="S2099" s="48"/>
      <c r="T2099" s="47"/>
      <c r="U2099" s="47"/>
      <c r="V2099" s="47"/>
      <c r="W2099" s="47"/>
      <c r="X2099" s="47"/>
      <c r="Y2099" s="47"/>
      <c r="Z2099" s="47" t="s">
        <v>2203</v>
      </c>
      <c r="AA2099" s="49"/>
      <c r="AB2099" s="49"/>
      <c r="AC2099" s="49"/>
      <c r="AD2099" s="50"/>
      <c r="AE2099" s="47" t="s">
        <v>3198</v>
      </c>
      <c r="AF2099" s="47">
        <v>60</v>
      </c>
      <c r="AG2099"/>
      <c r="AH2099"/>
      <c r="AI2099"/>
      <c r="AJ2099"/>
      <c r="AK2099" s="31">
        <f>62</f>
        <v>62</v>
      </c>
      <c r="AL2099"/>
      <c r="AM2099"/>
      <c r="AN2099"/>
      <c r="AO2099"/>
      <c r="AP2099"/>
      <c r="AQ2099" s="32" t="s">
        <v>3516</v>
      </c>
      <c r="AR2099" s="32" t="s">
        <v>3517</v>
      </c>
      <c r="AU2099">
        <v>2098</v>
      </c>
    </row>
    <row r="2100" spans="1:47" x14ac:dyDescent="0.2">
      <c r="A2100" s="133">
        <v>6480</v>
      </c>
      <c r="B2100" s="39" t="s">
        <v>45</v>
      </c>
      <c r="C2100" s="39" t="s">
        <v>142</v>
      </c>
      <c r="D2100" s="29"/>
      <c r="E2100" s="39" t="s">
        <v>3518</v>
      </c>
      <c r="F2100" s="47" t="s">
        <v>246</v>
      </c>
      <c r="G2100" s="47" t="s">
        <v>49</v>
      </c>
      <c r="H2100"/>
      <c r="I2100" s="47" t="b">
        <v>0</v>
      </c>
      <c r="J2100" s="47" t="b">
        <v>0</v>
      </c>
      <c r="K2100" s="47">
        <f>(16+10)*10*2.2</f>
        <v>572</v>
      </c>
      <c r="L2100" s="48"/>
      <c r="M2100" s="47"/>
      <c r="N2100" s="47"/>
      <c r="O2100" s="47"/>
      <c r="P2100" s="47"/>
      <c r="Q2100" s="47"/>
      <c r="R2100" s="47"/>
      <c r="S2100" s="48"/>
      <c r="T2100" s="47"/>
      <c r="U2100" s="47"/>
      <c r="V2100" s="47"/>
      <c r="W2100" s="47"/>
      <c r="X2100" s="47"/>
      <c r="Y2100" s="47"/>
      <c r="Z2100" s="47" t="s">
        <v>2203</v>
      </c>
      <c r="AA2100" s="49"/>
      <c r="AB2100" s="49"/>
      <c r="AC2100" s="49"/>
      <c r="AD2100" s="50"/>
      <c r="AE2100" s="47" t="s">
        <v>3198</v>
      </c>
      <c r="AF2100" s="47">
        <v>40</v>
      </c>
      <c r="AG2100"/>
      <c r="AH2100"/>
      <c r="AI2100"/>
      <c r="AJ2100"/>
      <c r="AK2100" s="47">
        <f>(16+10)</f>
        <v>26</v>
      </c>
      <c r="AL2100"/>
      <c r="AM2100"/>
      <c r="AN2100"/>
      <c r="AO2100"/>
      <c r="AP2100"/>
      <c r="AQ2100" s="32" t="s">
        <v>3516</v>
      </c>
      <c r="AR2100" s="32" t="s">
        <v>3517</v>
      </c>
      <c r="AU2100">
        <v>2099</v>
      </c>
    </row>
    <row r="2101" spans="1:47" x14ac:dyDescent="0.2">
      <c r="A2101" s="133">
        <v>6480</v>
      </c>
      <c r="B2101" s="39" t="s">
        <v>45</v>
      </c>
      <c r="C2101" s="39" t="s">
        <v>142</v>
      </c>
      <c r="D2101" s="29"/>
      <c r="E2101" s="39" t="s">
        <v>3519</v>
      </c>
      <c r="F2101" s="47" t="s">
        <v>1473</v>
      </c>
      <c r="G2101" s="47" t="s">
        <v>69</v>
      </c>
      <c r="H2101"/>
      <c r="I2101" s="47" t="b">
        <v>0</v>
      </c>
      <c r="J2101" s="47" t="b">
        <v>0</v>
      </c>
      <c r="K2101" s="47">
        <f>(10+12)*10*2.2</f>
        <v>484.00000000000006</v>
      </c>
      <c r="L2101" s="48"/>
      <c r="M2101" s="47"/>
      <c r="N2101" s="47"/>
      <c r="O2101" s="47"/>
      <c r="P2101" s="47"/>
      <c r="Q2101" s="47"/>
      <c r="R2101" s="47"/>
      <c r="S2101" s="48"/>
      <c r="T2101" s="47"/>
      <c r="U2101" s="47"/>
      <c r="V2101" s="47"/>
      <c r="W2101" s="47"/>
      <c r="X2101" s="47"/>
      <c r="Y2101" s="47"/>
      <c r="Z2101" s="47" t="s">
        <v>2203</v>
      </c>
      <c r="AA2101" s="49"/>
      <c r="AB2101" s="49"/>
      <c r="AC2101" s="49"/>
      <c r="AD2101" s="50"/>
      <c r="AE2101" s="47" t="s">
        <v>3198</v>
      </c>
      <c r="AF2101" s="47">
        <v>40</v>
      </c>
      <c r="AG2101"/>
      <c r="AH2101"/>
      <c r="AI2101"/>
      <c r="AJ2101"/>
      <c r="AK2101" s="47">
        <f>(10+12)</f>
        <v>22</v>
      </c>
      <c r="AL2101"/>
      <c r="AM2101"/>
      <c r="AN2101"/>
      <c r="AO2101"/>
      <c r="AP2101"/>
      <c r="AQ2101" s="32" t="s">
        <v>3516</v>
      </c>
      <c r="AR2101" s="32" t="s">
        <v>3517</v>
      </c>
      <c r="AU2101">
        <v>2100</v>
      </c>
    </row>
    <row r="2102" spans="1:47" x14ac:dyDescent="0.2">
      <c r="A2102" s="26">
        <v>6480</v>
      </c>
      <c r="B2102" s="27">
        <v>0.875</v>
      </c>
      <c r="C2102" s="28"/>
      <c r="D2102" s="29"/>
      <c r="E2102" s="30" t="s">
        <v>2087</v>
      </c>
      <c r="H2102" s="32">
        <v>1</v>
      </c>
      <c r="I2102" s="32" t="s">
        <v>3520</v>
      </c>
      <c r="AG2102" s="32">
        <v>0</v>
      </c>
      <c r="AH2102" s="32">
        <v>0</v>
      </c>
      <c r="AI2102" s="32">
        <v>0</v>
      </c>
      <c r="AK2102" s="32">
        <v>5</v>
      </c>
      <c r="AL2102" s="32">
        <v>0</v>
      </c>
      <c r="AP2102" s="32">
        <v>0.5</v>
      </c>
      <c r="AQ2102" s="32">
        <v>418</v>
      </c>
      <c r="AU2102">
        <v>2101</v>
      </c>
    </row>
    <row r="2103" spans="1:47" x14ac:dyDescent="0.2">
      <c r="A2103" s="26">
        <v>6480</v>
      </c>
      <c r="B2103" s="27">
        <v>0.89236111111111116</v>
      </c>
      <c r="C2103" s="28"/>
      <c r="D2103" s="29"/>
      <c r="E2103" s="30" t="s">
        <v>1282</v>
      </c>
      <c r="H2103" s="32">
        <v>0</v>
      </c>
      <c r="I2103" s="32" t="s">
        <v>2244</v>
      </c>
      <c r="AG2103" s="32">
        <v>0</v>
      </c>
      <c r="AH2103" s="32">
        <v>0</v>
      </c>
      <c r="AI2103" s="32">
        <v>0</v>
      </c>
      <c r="AK2103" s="32">
        <v>0</v>
      </c>
      <c r="AL2103" s="32">
        <v>2</v>
      </c>
      <c r="AP2103" s="32">
        <v>2</v>
      </c>
      <c r="AQ2103" s="32" t="s">
        <v>1101</v>
      </c>
      <c r="AU2103">
        <v>2102</v>
      </c>
    </row>
    <row r="2104" spans="1:47" x14ac:dyDescent="0.2">
      <c r="A2104" s="26">
        <v>6480</v>
      </c>
      <c r="B2104" s="27">
        <v>0.89583333333333337</v>
      </c>
      <c r="C2104" s="28"/>
      <c r="D2104" s="29"/>
      <c r="E2104" s="30" t="s">
        <v>464</v>
      </c>
      <c r="H2104" s="32">
        <v>1</v>
      </c>
      <c r="I2104" s="32" t="s">
        <v>3521</v>
      </c>
      <c r="AG2104" s="32">
        <v>0</v>
      </c>
      <c r="AH2104" s="32">
        <v>0</v>
      </c>
      <c r="AL2104" s="32">
        <f>65/60</f>
        <v>1.0833333333333333</v>
      </c>
      <c r="AO2104" s="32" t="s">
        <v>1898</v>
      </c>
      <c r="AP2104" s="32">
        <f>65/60</f>
        <v>1.0833333333333333</v>
      </c>
      <c r="AQ2104" s="32" t="s">
        <v>1522</v>
      </c>
      <c r="AU2104">
        <v>2103</v>
      </c>
    </row>
    <row r="2105" spans="1:47" x14ac:dyDescent="0.2">
      <c r="A2105" s="26">
        <v>6480</v>
      </c>
      <c r="B2105" s="27" t="s">
        <v>45</v>
      </c>
      <c r="C2105" s="28"/>
      <c r="D2105" s="29"/>
      <c r="E2105" s="30" t="s">
        <v>1531</v>
      </c>
      <c r="H2105" s="32">
        <v>0</v>
      </c>
      <c r="I2105" s="32" t="s">
        <v>1706</v>
      </c>
      <c r="AG2105" s="32">
        <v>0</v>
      </c>
      <c r="AH2105" s="32">
        <v>0</v>
      </c>
      <c r="AI2105" s="32">
        <v>0</v>
      </c>
      <c r="AK2105" s="32">
        <v>0</v>
      </c>
      <c r="AM2105" s="32">
        <f>498*133</f>
        <v>66234</v>
      </c>
      <c r="AO2105" s="32" t="s">
        <v>1533</v>
      </c>
      <c r="AQ2105" s="32" t="s">
        <v>1101</v>
      </c>
      <c r="AU2105">
        <v>2104</v>
      </c>
    </row>
    <row r="2106" spans="1:47" x14ac:dyDescent="0.2">
      <c r="A2106" s="26">
        <v>6480</v>
      </c>
      <c r="B2106" s="27" t="s">
        <v>45</v>
      </c>
      <c r="C2106" s="28"/>
      <c r="D2106" s="29"/>
      <c r="E2106" s="150" t="s">
        <v>2286</v>
      </c>
      <c r="H2106" s="32">
        <v>0</v>
      </c>
      <c r="I2106" s="32" t="s">
        <v>1824</v>
      </c>
      <c r="AG2106" s="32">
        <v>0</v>
      </c>
      <c r="AH2106" s="32">
        <v>0</v>
      </c>
      <c r="AI2106" s="32">
        <v>0</v>
      </c>
      <c r="AK2106" s="32">
        <v>0</v>
      </c>
      <c r="AM2106" s="32">
        <v>22000</v>
      </c>
      <c r="AO2106" s="73" t="s">
        <v>75</v>
      </c>
      <c r="AQ2106" s="32" t="s">
        <v>589</v>
      </c>
      <c r="AU2106">
        <v>2105</v>
      </c>
    </row>
    <row r="2107" spans="1:47" x14ac:dyDescent="0.2">
      <c r="A2107" s="133">
        <v>6481</v>
      </c>
      <c r="B2107" s="39" t="s">
        <v>45</v>
      </c>
      <c r="C2107" s="39">
        <v>100</v>
      </c>
      <c r="D2107" s="29" t="b">
        <v>0</v>
      </c>
      <c r="E2107" s="39" t="s">
        <v>3522</v>
      </c>
      <c r="F2107" s="47" t="s">
        <v>3523</v>
      </c>
      <c r="G2107" s="47" t="s">
        <v>205</v>
      </c>
      <c r="H2107"/>
      <c r="I2107" s="47" t="b">
        <v>1</v>
      </c>
      <c r="J2107" s="47" t="b">
        <v>1</v>
      </c>
      <c r="K2107" s="47">
        <v>3659</v>
      </c>
      <c r="L2107" s="48">
        <v>12</v>
      </c>
      <c r="M2107" s="47">
        <v>-1</v>
      </c>
      <c r="N2107" s="47">
        <v>-1</v>
      </c>
      <c r="O2107" s="47">
        <v>-1</v>
      </c>
      <c r="P2107" s="47">
        <v>-1</v>
      </c>
      <c r="Q2107" s="47">
        <v>-1</v>
      </c>
      <c r="R2107" s="47">
        <v>-1</v>
      </c>
      <c r="S2107" s="48">
        <v>12</v>
      </c>
      <c r="T2107" s="47">
        <v>0</v>
      </c>
      <c r="U2107" s="47">
        <v>0</v>
      </c>
      <c r="V2107" s="47">
        <v>0</v>
      </c>
      <c r="W2107" s="47"/>
      <c r="X2107" s="47">
        <v>337</v>
      </c>
      <c r="Y2107" s="47"/>
      <c r="Z2107" s="47" t="s">
        <v>2524</v>
      </c>
      <c r="AA2107" s="49"/>
      <c r="AB2107" s="49"/>
      <c r="AC2107" s="49"/>
      <c r="AD2107" s="50"/>
      <c r="AE2107" s="47" t="s">
        <v>2754</v>
      </c>
      <c r="AF2107" s="47"/>
      <c r="AG2107"/>
      <c r="AH2107"/>
      <c r="AI2107"/>
      <c r="AJ2107"/>
      <c r="AK2107"/>
      <c r="AL2107"/>
      <c r="AM2107"/>
      <c r="AN2107"/>
      <c r="AO2107"/>
      <c r="AP2107"/>
      <c r="AQ2107" t="s">
        <v>2526</v>
      </c>
      <c r="AU2107">
        <v>2106</v>
      </c>
    </row>
    <row r="2108" spans="1:47" x14ac:dyDescent="0.2">
      <c r="A2108" s="133">
        <v>6481</v>
      </c>
      <c r="B2108" s="39" t="s">
        <v>45</v>
      </c>
      <c r="C2108" s="39">
        <v>100</v>
      </c>
      <c r="D2108" s="29" t="b">
        <v>0</v>
      </c>
      <c r="E2108" s="39" t="s">
        <v>3524</v>
      </c>
      <c r="F2108" s="47" t="s">
        <v>3525</v>
      </c>
      <c r="G2108" s="47" t="s">
        <v>205</v>
      </c>
      <c r="H2108"/>
      <c r="I2108" s="47" t="b">
        <v>0</v>
      </c>
      <c r="J2108" s="47" t="b">
        <v>0</v>
      </c>
      <c r="K2108" s="47">
        <v>960</v>
      </c>
      <c r="L2108" s="48">
        <v>12</v>
      </c>
      <c r="M2108" s="47">
        <v>-1</v>
      </c>
      <c r="N2108" s="47">
        <v>-1</v>
      </c>
      <c r="O2108" s="47">
        <v>-1</v>
      </c>
      <c r="P2108" s="47">
        <v>-1</v>
      </c>
      <c r="Q2108" s="47">
        <v>-1</v>
      </c>
      <c r="R2108" s="47">
        <v>-1</v>
      </c>
      <c r="S2108" s="48">
        <v>12</v>
      </c>
      <c r="T2108" s="47">
        <v>0</v>
      </c>
      <c r="U2108" s="47">
        <v>0</v>
      </c>
      <c r="V2108" s="47">
        <v>0</v>
      </c>
      <c r="W2108" s="47"/>
      <c r="X2108" s="47">
        <v>338</v>
      </c>
      <c r="Y2108" s="47"/>
      <c r="Z2108" s="47" t="s">
        <v>2524</v>
      </c>
      <c r="AA2108" s="49"/>
      <c r="AB2108" s="49"/>
      <c r="AC2108" s="49"/>
      <c r="AD2108" s="50"/>
      <c r="AE2108" s="47" t="s">
        <v>2754</v>
      </c>
      <c r="AF2108" s="47">
        <v>100</v>
      </c>
      <c r="AG2108"/>
      <c r="AH2108"/>
      <c r="AI2108"/>
      <c r="AJ2108"/>
      <c r="AK2108"/>
      <c r="AL2108"/>
      <c r="AM2108"/>
      <c r="AN2108"/>
      <c r="AO2108"/>
      <c r="AP2108"/>
      <c r="AQ2108" t="s">
        <v>2526</v>
      </c>
      <c r="AU2108">
        <v>2107</v>
      </c>
    </row>
    <row r="2109" spans="1:47" x14ac:dyDescent="0.2">
      <c r="A2109" s="133">
        <v>6481</v>
      </c>
      <c r="B2109" s="39" t="s">
        <v>45</v>
      </c>
      <c r="C2109" s="39">
        <v>100</v>
      </c>
      <c r="D2109" s="29" t="b">
        <v>0</v>
      </c>
      <c r="E2109" s="39" t="s">
        <v>3526</v>
      </c>
      <c r="F2109" s="47" t="s">
        <v>3527</v>
      </c>
      <c r="G2109" s="47" t="s">
        <v>205</v>
      </c>
      <c r="H2109"/>
      <c r="I2109" s="47" t="b">
        <v>0</v>
      </c>
      <c r="J2109" s="47" t="b">
        <v>0</v>
      </c>
      <c r="K2109" s="47">
        <v>2475</v>
      </c>
      <c r="L2109" s="48">
        <v>12</v>
      </c>
      <c r="M2109" s="47">
        <v>-1</v>
      </c>
      <c r="N2109" s="47">
        <v>-1</v>
      </c>
      <c r="O2109" s="47">
        <v>-1</v>
      </c>
      <c r="P2109" s="47">
        <v>-1</v>
      </c>
      <c r="Q2109" s="47">
        <v>-1</v>
      </c>
      <c r="R2109" s="47">
        <v>-1</v>
      </c>
      <c r="S2109" s="48">
        <v>12</v>
      </c>
      <c r="T2109" s="47">
        <v>0</v>
      </c>
      <c r="U2109" s="47">
        <v>0</v>
      </c>
      <c r="V2109" s="47">
        <v>0</v>
      </c>
      <c r="W2109" s="47"/>
      <c r="X2109" s="47">
        <v>339</v>
      </c>
      <c r="Y2109" s="47"/>
      <c r="Z2109" s="47" t="s">
        <v>2524</v>
      </c>
      <c r="AA2109" s="49"/>
      <c r="AB2109" s="49"/>
      <c r="AC2109" s="49"/>
      <c r="AD2109" s="50"/>
      <c r="AE2109" s="47" t="s">
        <v>2754</v>
      </c>
      <c r="AF2109" s="47"/>
      <c r="AG2109"/>
      <c r="AH2109"/>
      <c r="AI2109"/>
      <c r="AJ2109"/>
      <c r="AK2109"/>
      <c r="AL2109"/>
      <c r="AM2109"/>
      <c r="AN2109"/>
      <c r="AO2109"/>
      <c r="AP2109"/>
      <c r="AQ2109" t="s">
        <v>2526</v>
      </c>
      <c r="AU2109">
        <v>2108</v>
      </c>
    </row>
    <row r="2110" spans="1:47" x14ac:dyDescent="0.2">
      <c r="A2110" s="26">
        <v>6481</v>
      </c>
      <c r="B2110" s="27">
        <v>0.92013888888888884</v>
      </c>
      <c r="C2110" s="28"/>
      <c r="D2110" s="29"/>
      <c r="E2110" s="30" t="s">
        <v>464</v>
      </c>
      <c r="H2110" s="32">
        <v>1</v>
      </c>
      <c r="I2110" s="32" t="s">
        <v>3379</v>
      </c>
      <c r="AG2110" s="32">
        <v>0</v>
      </c>
      <c r="AH2110" s="32">
        <v>0</v>
      </c>
      <c r="AL2110" s="32">
        <v>0.5</v>
      </c>
      <c r="AO2110" s="32" t="s">
        <v>1898</v>
      </c>
      <c r="AP2110" s="32">
        <v>0.5</v>
      </c>
      <c r="AQ2110" s="32" t="s">
        <v>1522</v>
      </c>
      <c r="AU2110">
        <v>2109</v>
      </c>
    </row>
    <row r="2111" spans="1:47" x14ac:dyDescent="0.2">
      <c r="A2111" s="133">
        <v>6482</v>
      </c>
      <c r="B2111" s="39" t="s">
        <v>45</v>
      </c>
      <c r="C2111" s="39">
        <v>100</v>
      </c>
      <c r="D2111" s="29" t="b">
        <v>0</v>
      </c>
      <c r="E2111" s="39" t="s">
        <v>3528</v>
      </c>
      <c r="F2111" s="47" t="s">
        <v>3529</v>
      </c>
      <c r="G2111" s="47" t="s">
        <v>49</v>
      </c>
      <c r="H2111"/>
      <c r="I2111" s="47" t="b">
        <v>1</v>
      </c>
      <c r="J2111" s="47" t="b">
        <v>1</v>
      </c>
      <c r="K2111" s="47">
        <v>3627</v>
      </c>
      <c r="L2111" s="48">
        <v>13</v>
      </c>
      <c r="M2111" s="47">
        <v>-1</v>
      </c>
      <c r="N2111" s="47">
        <v>-1</v>
      </c>
      <c r="O2111" s="47">
        <v>-1</v>
      </c>
      <c r="P2111" s="47">
        <v>-1</v>
      </c>
      <c r="Q2111" s="47">
        <v>-1</v>
      </c>
      <c r="R2111" s="47">
        <v>-1</v>
      </c>
      <c r="S2111" s="48">
        <v>13</v>
      </c>
      <c r="T2111" s="47">
        <v>0</v>
      </c>
      <c r="U2111" s="47">
        <v>0</v>
      </c>
      <c r="V2111" s="47">
        <v>0</v>
      </c>
      <c r="W2111" s="47"/>
      <c r="X2111" s="47">
        <v>344</v>
      </c>
      <c r="Y2111" s="47"/>
      <c r="Z2111" s="47" t="s">
        <v>2524</v>
      </c>
      <c r="AA2111" s="49"/>
      <c r="AB2111" s="49"/>
      <c r="AC2111" s="49"/>
      <c r="AD2111" s="50"/>
      <c r="AE2111" s="47" t="s">
        <v>2754</v>
      </c>
      <c r="AF2111" s="47"/>
      <c r="AG2111"/>
      <c r="AH2111"/>
      <c r="AI2111"/>
      <c r="AJ2111"/>
      <c r="AK2111"/>
      <c r="AL2111"/>
      <c r="AM2111"/>
      <c r="AN2111"/>
      <c r="AO2111"/>
      <c r="AP2111"/>
      <c r="AQ2111" t="s">
        <v>2526</v>
      </c>
      <c r="AU2111">
        <v>2110</v>
      </c>
    </row>
    <row r="2112" spans="1:47" x14ac:dyDescent="0.2">
      <c r="A2112" s="133">
        <v>6482</v>
      </c>
      <c r="B2112" s="39" t="s">
        <v>45</v>
      </c>
      <c r="C2112" s="39">
        <v>100</v>
      </c>
      <c r="D2112" s="29" t="b">
        <v>0</v>
      </c>
      <c r="E2112" s="39" t="s">
        <v>2852</v>
      </c>
      <c r="F2112" s="47" t="s">
        <v>220</v>
      </c>
      <c r="G2112" s="47" t="s">
        <v>49</v>
      </c>
      <c r="H2112"/>
      <c r="I2112" s="47" t="b">
        <v>0</v>
      </c>
      <c r="J2112" s="47" t="b">
        <v>0</v>
      </c>
      <c r="K2112" s="47">
        <v>1575</v>
      </c>
      <c r="L2112" s="48">
        <v>13</v>
      </c>
      <c r="M2112" s="47">
        <v>-1</v>
      </c>
      <c r="N2112" s="47">
        <v>-1</v>
      </c>
      <c r="O2112" s="47">
        <v>-1</v>
      </c>
      <c r="P2112" s="47">
        <v>-1</v>
      </c>
      <c r="Q2112" s="47">
        <v>-1</v>
      </c>
      <c r="R2112" s="47">
        <v>-1</v>
      </c>
      <c r="S2112" s="48">
        <v>13</v>
      </c>
      <c r="T2112" s="47">
        <v>0</v>
      </c>
      <c r="U2112" s="47">
        <v>0</v>
      </c>
      <c r="V2112" s="47">
        <v>0</v>
      </c>
      <c r="W2112" s="47"/>
      <c r="X2112" s="47">
        <v>340</v>
      </c>
      <c r="Y2112" s="47"/>
      <c r="Z2112" s="47" t="s">
        <v>2524</v>
      </c>
      <c r="AA2112" s="49"/>
      <c r="AB2112" s="49"/>
      <c r="AC2112" s="49"/>
      <c r="AD2112" s="50"/>
      <c r="AE2112" s="47" t="s">
        <v>2754</v>
      </c>
      <c r="AF2112" s="47">
        <v>65</v>
      </c>
      <c r="AG2112"/>
      <c r="AH2112"/>
      <c r="AI2112"/>
      <c r="AJ2112"/>
      <c r="AK2112"/>
      <c r="AL2112"/>
      <c r="AM2112"/>
      <c r="AN2112"/>
      <c r="AO2112"/>
      <c r="AP2112"/>
      <c r="AQ2112" t="s">
        <v>2526</v>
      </c>
      <c r="AU2112">
        <v>2111</v>
      </c>
    </row>
    <row r="2113" spans="1:47" x14ac:dyDescent="0.2">
      <c r="A2113" s="133">
        <v>6482</v>
      </c>
      <c r="B2113" s="39" t="s">
        <v>45</v>
      </c>
      <c r="C2113" s="39">
        <v>100</v>
      </c>
      <c r="D2113" s="29" t="b">
        <v>0</v>
      </c>
      <c r="E2113" s="39" t="s">
        <v>3526</v>
      </c>
      <c r="F2113" s="47" t="s">
        <v>3527</v>
      </c>
      <c r="G2113" s="47" t="s">
        <v>205</v>
      </c>
      <c r="H2113"/>
      <c r="I2113" s="47" t="b">
        <v>0</v>
      </c>
      <c r="J2113" s="47" t="b">
        <v>0</v>
      </c>
      <c r="K2113" s="47">
        <v>1548</v>
      </c>
      <c r="L2113" s="48">
        <v>13</v>
      </c>
      <c r="M2113" s="47">
        <v>-1</v>
      </c>
      <c r="N2113" s="47">
        <v>-1</v>
      </c>
      <c r="O2113" s="47">
        <v>-1</v>
      </c>
      <c r="P2113" s="47">
        <v>-1</v>
      </c>
      <c r="Q2113" s="47">
        <v>-1</v>
      </c>
      <c r="R2113" s="47">
        <v>-1</v>
      </c>
      <c r="S2113" s="48">
        <v>13</v>
      </c>
      <c r="T2113" s="47">
        <v>0</v>
      </c>
      <c r="U2113" s="47">
        <v>0</v>
      </c>
      <c r="V2113" s="47">
        <v>0</v>
      </c>
      <c r="W2113" s="47"/>
      <c r="X2113" s="47">
        <v>341</v>
      </c>
      <c r="Y2113" s="47"/>
      <c r="Z2113" s="47" t="s">
        <v>2524</v>
      </c>
      <c r="AA2113" s="49"/>
      <c r="AB2113" s="49"/>
      <c r="AC2113" s="49"/>
      <c r="AD2113" s="50"/>
      <c r="AE2113" s="47" t="s">
        <v>2754</v>
      </c>
      <c r="AF2113" s="47"/>
      <c r="AG2113"/>
      <c r="AH2113"/>
      <c r="AI2113"/>
      <c r="AJ2113"/>
      <c r="AK2113"/>
      <c r="AL2113"/>
      <c r="AM2113"/>
      <c r="AN2113"/>
      <c r="AO2113"/>
      <c r="AP2113"/>
      <c r="AQ2113" t="s">
        <v>2526</v>
      </c>
      <c r="AU2113">
        <v>2112</v>
      </c>
    </row>
    <row r="2114" spans="1:47" x14ac:dyDescent="0.2">
      <c r="A2114" s="133">
        <v>6482</v>
      </c>
      <c r="B2114" s="39" t="s">
        <v>45</v>
      </c>
      <c r="C2114" s="39">
        <v>100</v>
      </c>
      <c r="D2114" s="29" t="b">
        <v>0</v>
      </c>
      <c r="E2114" s="39" t="s">
        <v>3028</v>
      </c>
      <c r="F2114" s="47" t="s">
        <v>3123</v>
      </c>
      <c r="G2114" s="47" t="s">
        <v>73</v>
      </c>
      <c r="H2114"/>
      <c r="I2114" s="47" t="b">
        <v>0</v>
      </c>
      <c r="J2114" s="47" t="b">
        <v>0</v>
      </c>
      <c r="K2114" s="47">
        <v>380</v>
      </c>
      <c r="L2114" s="48">
        <v>13</v>
      </c>
      <c r="M2114" s="47">
        <v>-1</v>
      </c>
      <c r="N2114" s="47">
        <v>-1</v>
      </c>
      <c r="O2114" s="47">
        <v>-1</v>
      </c>
      <c r="P2114" s="47">
        <v>-1</v>
      </c>
      <c r="Q2114" s="47">
        <v>-1</v>
      </c>
      <c r="R2114" s="47">
        <v>-1</v>
      </c>
      <c r="S2114" s="48">
        <v>13</v>
      </c>
      <c r="T2114" s="47">
        <v>0</v>
      </c>
      <c r="U2114" s="47">
        <v>0</v>
      </c>
      <c r="V2114" s="47">
        <v>0</v>
      </c>
      <c r="W2114" s="47"/>
      <c r="X2114" s="47">
        <v>343</v>
      </c>
      <c r="Y2114" s="47"/>
      <c r="Z2114" s="47" t="s">
        <v>2524</v>
      </c>
      <c r="AA2114" s="49"/>
      <c r="AB2114" s="49"/>
      <c r="AC2114" s="49"/>
      <c r="AD2114" s="50"/>
      <c r="AE2114" s="47" t="s">
        <v>2754</v>
      </c>
      <c r="AF2114" s="47"/>
      <c r="AG2114"/>
      <c r="AH2114"/>
      <c r="AI2114"/>
      <c r="AJ2114"/>
      <c r="AK2114"/>
      <c r="AL2114"/>
      <c r="AM2114"/>
      <c r="AN2114"/>
      <c r="AO2114"/>
      <c r="AP2114"/>
      <c r="AQ2114" t="s">
        <v>2526</v>
      </c>
      <c r="AU2114">
        <v>2113</v>
      </c>
    </row>
    <row r="2115" spans="1:47" x14ac:dyDescent="0.2">
      <c r="A2115" s="133">
        <v>6482</v>
      </c>
      <c r="B2115" s="39" t="s">
        <v>45</v>
      </c>
      <c r="C2115" s="39">
        <v>100</v>
      </c>
      <c r="D2115" s="29" t="b">
        <v>0</v>
      </c>
      <c r="E2115" s="39" t="s">
        <v>2835</v>
      </c>
      <c r="F2115" s="47" t="s">
        <v>220</v>
      </c>
      <c r="G2115" s="47" t="s">
        <v>49</v>
      </c>
      <c r="H2115"/>
      <c r="I2115" s="47" t="b">
        <v>0</v>
      </c>
      <c r="J2115" s="47" t="b">
        <v>0</v>
      </c>
      <c r="K2115" s="47">
        <v>224</v>
      </c>
      <c r="L2115" s="48">
        <v>13</v>
      </c>
      <c r="M2115" s="47">
        <v>-1</v>
      </c>
      <c r="N2115" s="47">
        <v>-1</v>
      </c>
      <c r="O2115" s="47">
        <v>-1</v>
      </c>
      <c r="P2115" s="47">
        <v>-1</v>
      </c>
      <c r="Q2115" s="47">
        <v>-1</v>
      </c>
      <c r="R2115" s="47">
        <v>-1</v>
      </c>
      <c r="S2115" s="48">
        <v>13</v>
      </c>
      <c r="T2115" s="47">
        <v>0</v>
      </c>
      <c r="U2115" s="47">
        <v>0</v>
      </c>
      <c r="V2115" s="47">
        <v>0</v>
      </c>
      <c r="W2115" s="47"/>
      <c r="X2115" s="47">
        <v>342</v>
      </c>
      <c r="Y2115" s="47"/>
      <c r="Z2115" s="47" t="s">
        <v>2524</v>
      </c>
      <c r="AA2115" s="49"/>
      <c r="AB2115" s="49"/>
      <c r="AC2115" s="49"/>
      <c r="AD2115" s="50"/>
      <c r="AE2115" s="47" t="s">
        <v>2754</v>
      </c>
      <c r="AF2115" s="47">
        <v>55</v>
      </c>
      <c r="AG2115"/>
      <c r="AH2115"/>
      <c r="AI2115"/>
      <c r="AJ2115"/>
      <c r="AK2115"/>
      <c r="AL2115"/>
      <c r="AM2115"/>
      <c r="AN2115"/>
      <c r="AO2115"/>
      <c r="AP2115"/>
      <c r="AQ2115" t="s">
        <v>2526</v>
      </c>
      <c r="AU2115">
        <v>2114</v>
      </c>
    </row>
    <row r="2116" spans="1:47" x14ac:dyDescent="0.2">
      <c r="A2116" s="133">
        <v>6482</v>
      </c>
      <c r="B2116" s="39" t="s">
        <v>45</v>
      </c>
      <c r="C2116" s="38" t="s">
        <v>3330</v>
      </c>
      <c r="D2116" s="29" t="s">
        <v>296</v>
      </c>
      <c r="E2116" s="39" t="s">
        <v>881</v>
      </c>
      <c r="F2116" s="47"/>
      <c r="G2116" s="47"/>
      <c r="H2116"/>
      <c r="I2116" s="47" t="s">
        <v>3530</v>
      </c>
      <c r="J2116" s="47"/>
      <c r="K2116" s="47">
        <v>0</v>
      </c>
      <c r="L2116" s="48">
        <v>4</v>
      </c>
      <c r="M2116" s="47">
        <v>4</v>
      </c>
      <c r="N2116" s="47"/>
      <c r="O2116" s="47"/>
      <c r="P2116" s="47"/>
      <c r="Q2116" s="47"/>
      <c r="R2116" s="47"/>
      <c r="S2116" s="48">
        <v>0</v>
      </c>
      <c r="T2116" s="47">
        <v>0</v>
      </c>
      <c r="U2116" s="47">
        <v>0</v>
      </c>
      <c r="V2116" s="47">
        <v>0</v>
      </c>
      <c r="W2116" s="47"/>
      <c r="X2116" s="47"/>
      <c r="Y2116" s="31" t="s">
        <v>51</v>
      </c>
      <c r="Z2116" s="47" t="s">
        <v>1846</v>
      </c>
      <c r="AA2116" s="49"/>
      <c r="AB2116" s="49"/>
      <c r="AC2116" s="49"/>
      <c r="AD2116" s="50">
        <f>5/6</f>
        <v>0.83333333333333337</v>
      </c>
      <c r="AE2116" s="47" t="s">
        <v>342</v>
      </c>
      <c r="AF2116" s="47"/>
      <c r="AG2116"/>
      <c r="AH2116"/>
      <c r="AI2116"/>
      <c r="AJ2116"/>
      <c r="AK2116">
        <v>0</v>
      </c>
      <c r="AL2116"/>
      <c r="AM2116"/>
      <c r="AN2116"/>
      <c r="AO2116"/>
      <c r="AP2116"/>
      <c r="AQ2116" t="s">
        <v>3495</v>
      </c>
      <c r="AU2116">
        <v>2115</v>
      </c>
    </row>
    <row r="2117" spans="1:47" x14ac:dyDescent="0.2">
      <c r="A2117" s="26">
        <v>6482</v>
      </c>
      <c r="B2117" s="27">
        <v>0.82499999999999996</v>
      </c>
      <c r="C2117" s="28"/>
      <c r="D2117" s="29"/>
      <c r="E2117" s="30" t="s">
        <v>464</v>
      </c>
      <c r="H2117" s="32">
        <v>1</v>
      </c>
      <c r="I2117" s="32" t="s">
        <v>3531</v>
      </c>
      <c r="AG2117" s="32">
        <v>0</v>
      </c>
      <c r="AH2117" s="32">
        <v>0</v>
      </c>
      <c r="AL2117" s="32">
        <f>4+57/60</f>
        <v>4.95</v>
      </c>
      <c r="AO2117" s="32" t="s">
        <v>1898</v>
      </c>
      <c r="AP2117" s="32">
        <f>4+57/60</f>
        <v>4.95</v>
      </c>
      <c r="AQ2117" s="32" t="s">
        <v>1522</v>
      </c>
      <c r="AU2117">
        <v>2116</v>
      </c>
    </row>
    <row r="2118" spans="1:47" x14ac:dyDescent="0.2">
      <c r="A2118" s="26">
        <v>6482</v>
      </c>
      <c r="B2118" s="27">
        <v>0.95486111111111116</v>
      </c>
      <c r="C2118" s="28"/>
      <c r="D2118" s="29"/>
      <c r="E2118" s="30" t="s">
        <v>1282</v>
      </c>
      <c r="H2118" s="32">
        <v>0</v>
      </c>
      <c r="I2118" s="32" t="s">
        <v>3532</v>
      </c>
      <c r="AG2118" s="32">
        <v>0</v>
      </c>
      <c r="AH2118" s="32">
        <v>2</v>
      </c>
      <c r="AK2118" s="32">
        <v>0</v>
      </c>
      <c r="AL2118" s="32">
        <f>25/60</f>
        <v>0.41666666666666669</v>
      </c>
      <c r="AP2118" s="32">
        <f>25/60</f>
        <v>0.41666666666666669</v>
      </c>
      <c r="AQ2118" s="32" t="s">
        <v>1101</v>
      </c>
      <c r="AU2118">
        <v>2117</v>
      </c>
    </row>
    <row r="2119" spans="1:47" x14ac:dyDescent="0.2">
      <c r="A2119" s="133">
        <v>6483</v>
      </c>
      <c r="B2119" s="39" t="s">
        <v>45</v>
      </c>
      <c r="C2119" s="39">
        <v>100</v>
      </c>
      <c r="D2119" s="29" t="b">
        <v>0</v>
      </c>
      <c r="E2119" s="39" t="s">
        <v>3533</v>
      </c>
      <c r="F2119" s="47" t="s">
        <v>3534</v>
      </c>
      <c r="G2119" s="47" t="s">
        <v>49</v>
      </c>
      <c r="H2119"/>
      <c r="I2119" s="47" t="b">
        <v>1</v>
      </c>
      <c r="J2119" s="47" t="b">
        <v>1</v>
      </c>
      <c r="K2119" s="47">
        <v>3074</v>
      </c>
      <c r="L2119" s="48">
        <v>11</v>
      </c>
      <c r="M2119" s="47">
        <v>-1</v>
      </c>
      <c r="N2119" s="47">
        <v>-1</v>
      </c>
      <c r="O2119" s="47">
        <v>-1</v>
      </c>
      <c r="P2119" s="47">
        <v>-1</v>
      </c>
      <c r="Q2119" s="47">
        <v>-1</v>
      </c>
      <c r="R2119" s="47">
        <v>-1</v>
      </c>
      <c r="S2119" s="48">
        <v>11</v>
      </c>
      <c r="T2119" s="47">
        <v>1</v>
      </c>
      <c r="U2119" s="47">
        <v>0</v>
      </c>
      <c r="V2119" s="47">
        <v>0</v>
      </c>
      <c r="W2119" s="47"/>
      <c r="X2119" s="47">
        <v>346</v>
      </c>
      <c r="Y2119" s="47"/>
      <c r="Z2119" s="47" t="s">
        <v>2524</v>
      </c>
      <c r="AA2119" s="49"/>
      <c r="AB2119" s="49"/>
      <c r="AC2119" s="49"/>
      <c r="AD2119" s="50"/>
      <c r="AE2119" s="47" t="s">
        <v>2754</v>
      </c>
      <c r="AF2119" s="47"/>
      <c r="AG2119"/>
      <c r="AH2119"/>
      <c r="AI2119"/>
      <c r="AJ2119"/>
      <c r="AK2119"/>
      <c r="AL2119"/>
      <c r="AM2119"/>
      <c r="AN2119"/>
      <c r="AO2119"/>
      <c r="AP2119"/>
      <c r="AQ2119" t="s">
        <v>2526</v>
      </c>
      <c r="AU2119">
        <v>2118</v>
      </c>
    </row>
    <row r="2120" spans="1:47" x14ac:dyDescent="0.2">
      <c r="A2120" s="133">
        <v>6483</v>
      </c>
      <c r="B2120" s="39" t="s">
        <v>45</v>
      </c>
      <c r="C2120" s="39">
        <v>100</v>
      </c>
      <c r="D2120" s="29" t="b">
        <v>0</v>
      </c>
      <c r="E2120" s="39" t="s">
        <v>2852</v>
      </c>
      <c r="F2120" s="47" t="s">
        <v>220</v>
      </c>
      <c r="G2120" s="47" t="s">
        <v>49</v>
      </c>
      <c r="H2120"/>
      <c r="I2120" s="47" t="b">
        <v>0</v>
      </c>
      <c r="J2120" s="47" t="b">
        <v>0</v>
      </c>
      <c r="K2120" s="47">
        <v>1350</v>
      </c>
      <c r="L2120" s="48">
        <v>11</v>
      </c>
      <c r="M2120" s="47">
        <v>-1</v>
      </c>
      <c r="N2120" s="47">
        <v>-1</v>
      </c>
      <c r="O2120" s="47">
        <v>-1</v>
      </c>
      <c r="P2120" s="47">
        <v>-1</v>
      </c>
      <c r="Q2120" s="47">
        <v>-1</v>
      </c>
      <c r="R2120" s="47">
        <v>-1</v>
      </c>
      <c r="S2120" s="48">
        <v>11</v>
      </c>
      <c r="T2120" s="47">
        <v>1</v>
      </c>
      <c r="U2120" s="47">
        <v>0</v>
      </c>
      <c r="V2120" s="47">
        <v>0</v>
      </c>
      <c r="W2120" s="47"/>
      <c r="X2120" s="47">
        <v>348</v>
      </c>
      <c r="Y2120" s="47"/>
      <c r="Z2120" s="47" t="s">
        <v>2524</v>
      </c>
      <c r="AA2120" s="49"/>
      <c r="AB2120" s="49"/>
      <c r="AC2120" s="49"/>
      <c r="AD2120" s="50"/>
      <c r="AE2120" s="47" t="s">
        <v>2754</v>
      </c>
      <c r="AF2120" s="47">
        <v>65</v>
      </c>
      <c r="AG2120"/>
      <c r="AH2120"/>
      <c r="AI2120"/>
      <c r="AJ2120"/>
      <c r="AK2120"/>
      <c r="AL2120"/>
      <c r="AM2120"/>
      <c r="AN2120"/>
      <c r="AO2120"/>
      <c r="AP2120"/>
      <c r="AQ2120" t="s">
        <v>2526</v>
      </c>
      <c r="AU2120">
        <v>2119</v>
      </c>
    </row>
    <row r="2121" spans="1:47" x14ac:dyDescent="0.2">
      <c r="A2121" s="133">
        <v>6483</v>
      </c>
      <c r="B2121" s="39" t="s">
        <v>45</v>
      </c>
      <c r="C2121" s="39">
        <v>100</v>
      </c>
      <c r="D2121" s="29" t="b">
        <v>0</v>
      </c>
      <c r="E2121" s="39" t="s">
        <v>3526</v>
      </c>
      <c r="F2121" s="47" t="s">
        <v>3527</v>
      </c>
      <c r="G2121" s="47" t="s">
        <v>205</v>
      </c>
      <c r="H2121"/>
      <c r="I2121" s="47" t="b">
        <v>0</v>
      </c>
      <c r="J2121" s="47" t="b">
        <v>0</v>
      </c>
      <c r="K2121" s="47">
        <v>814</v>
      </c>
      <c r="L2121" s="48">
        <v>11</v>
      </c>
      <c r="M2121" s="47">
        <v>-1</v>
      </c>
      <c r="N2121" s="47">
        <v>-1</v>
      </c>
      <c r="O2121" s="47">
        <v>-1</v>
      </c>
      <c r="P2121" s="47">
        <v>-1</v>
      </c>
      <c r="Q2121" s="47">
        <v>-1</v>
      </c>
      <c r="R2121" s="47">
        <v>-1</v>
      </c>
      <c r="S2121" s="48">
        <v>11</v>
      </c>
      <c r="T2121" s="47">
        <v>1</v>
      </c>
      <c r="U2121" s="47">
        <v>0</v>
      </c>
      <c r="V2121" s="47">
        <v>0</v>
      </c>
      <c r="W2121" s="47"/>
      <c r="X2121" s="47">
        <v>347</v>
      </c>
      <c r="Y2121" s="47"/>
      <c r="Z2121" s="47" t="s">
        <v>2524</v>
      </c>
      <c r="AA2121" s="49"/>
      <c r="AB2121" s="49"/>
      <c r="AC2121" s="49"/>
      <c r="AD2121" s="50"/>
      <c r="AE2121" s="47" t="s">
        <v>2754</v>
      </c>
      <c r="AF2121" s="47"/>
      <c r="AG2121"/>
      <c r="AH2121"/>
      <c r="AI2121"/>
      <c r="AJ2121"/>
      <c r="AK2121"/>
      <c r="AL2121"/>
      <c r="AM2121"/>
      <c r="AN2121"/>
      <c r="AO2121"/>
      <c r="AP2121"/>
      <c r="AQ2121" t="s">
        <v>2526</v>
      </c>
      <c r="AU2121">
        <v>2120</v>
      </c>
    </row>
    <row r="2122" spans="1:47" x14ac:dyDescent="0.2">
      <c r="A2122" s="133">
        <v>6483</v>
      </c>
      <c r="B2122" s="39" t="s">
        <v>45</v>
      </c>
      <c r="C2122" s="39">
        <v>100</v>
      </c>
      <c r="D2122" s="29" t="b">
        <v>0</v>
      </c>
      <c r="E2122" s="39" t="s">
        <v>3400</v>
      </c>
      <c r="F2122" s="47" t="s">
        <v>3401</v>
      </c>
      <c r="G2122" s="47" t="s">
        <v>73</v>
      </c>
      <c r="H2122"/>
      <c r="I2122" s="47" t="b">
        <v>0</v>
      </c>
      <c r="J2122" s="47" t="b">
        <v>0</v>
      </c>
      <c r="K2122" s="47">
        <v>300</v>
      </c>
      <c r="L2122" s="48">
        <v>11</v>
      </c>
      <c r="M2122" s="47">
        <v>-1</v>
      </c>
      <c r="N2122" s="47">
        <v>-1</v>
      </c>
      <c r="O2122" s="47">
        <v>-1</v>
      </c>
      <c r="P2122" s="47">
        <v>-1</v>
      </c>
      <c r="Q2122" s="47">
        <v>-1</v>
      </c>
      <c r="R2122" s="47">
        <v>-1</v>
      </c>
      <c r="S2122" s="48">
        <v>11</v>
      </c>
      <c r="T2122" s="47">
        <v>1</v>
      </c>
      <c r="U2122" s="47">
        <v>0</v>
      </c>
      <c r="V2122" s="47">
        <v>0</v>
      </c>
      <c r="W2122" s="47"/>
      <c r="X2122" s="47">
        <v>350</v>
      </c>
      <c r="Y2122" s="47"/>
      <c r="Z2122" s="47" t="s">
        <v>2524</v>
      </c>
      <c r="AA2122" s="49"/>
      <c r="AB2122" s="49"/>
      <c r="AC2122" s="49"/>
      <c r="AD2122" s="50"/>
      <c r="AE2122" s="47" t="s">
        <v>2754</v>
      </c>
      <c r="AF2122" s="47">
        <v>65</v>
      </c>
      <c r="AG2122"/>
      <c r="AH2122"/>
      <c r="AI2122"/>
      <c r="AJ2122"/>
      <c r="AK2122"/>
      <c r="AL2122"/>
      <c r="AM2122"/>
      <c r="AN2122"/>
      <c r="AO2122"/>
      <c r="AP2122"/>
      <c r="AQ2122" t="s">
        <v>2526</v>
      </c>
      <c r="AU2122">
        <v>2121</v>
      </c>
    </row>
    <row r="2123" spans="1:47" x14ac:dyDescent="0.2">
      <c r="A2123" s="133">
        <v>6483</v>
      </c>
      <c r="B2123" s="39" t="s">
        <v>45</v>
      </c>
      <c r="C2123" s="39">
        <v>100</v>
      </c>
      <c r="D2123" s="29" t="b">
        <v>0</v>
      </c>
      <c r="E2123" s="39" t="s">
        <v>3535</v>
      </c>
      <c r="F2123" s="47" t="s">
        <v>3536</v>
      </c>
      <c r="G2123" s="47" t="s">
        <v>49</v>
      </c>
      <c r="H2123"/>
      <c r="I2123" s="47" t="b">
        <v>0</v>
      </c>
      <c r="J2123" s="47" t="b">
        <v>0</v>
      </c>
      <c r="K2123" s="47">
        <v>280</v>
      </c>
      <c r="L2123" s="48">
        <v>11</v>
      </c>
      <c r="M2123" s="47">
        <v>-1</v>
      </c>
      <c r="N2123" s="47">
        <v>-1</v>
      </c>
      <c r="O2123" s="47">
        <v>-1</v>
      </c>
      <c r="P2123" s="47">
        <v>-1</v>
      </c>
      <c r="Q2123" s="47">
        <v>-1</v>
      </c>
      <c r="R2123" s="47">
        <v>-1</v>
      </c>
      <c r="S2123" s="48">
        <v>11</v>
      </c>
      <c r="T2123" s="47">
        <v>1</v>
      </c>
      <c r="U2123" s="47">
        <v>0</v>
      </c>
      <c r="V2123" s="47">
        <v>0</v>
      </c>
      <c r="W2123" s="47"/>
      <c r="X2123" s="47">
        <v>345</v>
      </c>
      <c r="Y2123" s="47"/>
      <c r="Z2123" s="47" t="s">
        <v>2524</v>
      </c>
      <c r="AA2123" s="49"/>
      <c r="AB2123" s="49"/>
      <c r="AC2123" s="49"/>
      <c r="AD2123" s="50"/>
      <c r="AE2123" s="47" t="s">
        <v>2754</v>
      </c>
      <c r="AF2123" s="47">
        <v>50</v>
      </c>
      <c r="AG2123"/>
      <c r="AH2123"/>
      <c r="AI2123"/>
      <c r="AJ2123"/>
      <c r="AK2123"/>
      <c r="AL2123"/>
      <c r="AM2123"/>
      <c r="AN2123"/>
      <c r="AO2123"/>
      <c r="AP2123"/>
      <c r="AQ2123" t="s">
        <v>2526</v>
      </c>
      <c r="AU2123">
        <v>2122</v>
      </c>
    </row>
    <row r="2124" spans="1:47" x14ac:dyDescent="0.2">
      <c r="A2124" s="133">
        <v>6483</v>
      </c>
      <c r="B2124" s="39" t="s">
        <v>45</v>
      </c>
      <c r="C2124" s="39">
        <v>100</v>
      </c>
      <c r="D2124" s="29" t="b">
        <v>0</v>
      </c>
      <c r="E2124" s="39" t="s">
        <v>3537</v>
      </c>
      <c r="F2124" s="47" t="s">
        <v>57</v>
      </c>
      <c r="G2124" s="47" t="s">
        <v>49</v>
      </c>
      <c r="H2124"/>
      <c r="I2124" s="47" t="b">
        <v>0</v>
      </c>
      <c r="J2124" s="47" t="b">
        <v>0</v>
      </c>
      <c r="K2124" s="47">
        <v>100</v>
      </c>
      <c r="L2124" s="48">
        <v>11</v>
      </c>
      <c r="M2124" s="47">
        <v>-1</v>
      </c>
      <c r="N2124" s="47">
        <v>-1</v>
      </c>
      <c r="O2124" s="47">
        <v>-1</v>
      </c>
      <c r="P2124" s="47">
        <v>-1</v>
      </c>
      <c r="Q2124" s="47">
        <v>-1</v>
      </c>
      <c r="R2124" s="47">
        <v>-1</v>
      </c>
      <c r="S2124" s="48">
        <v>11</v>
      </c>
      <c r="T2124" s="47">
        <v>1</v>
      </c>
      <c r="U2124" s="47">
        <v>0</v>
      </c>
      <c r="V2124" s="47">
        <v>0</v>
      </c>
      <c r="W2124" s="47"/>
      <c r="X2124" s="47">
        <v>349</v>
      </c>
      <c r="Y2124" s="47"/>
      <c r="Z2124" s="47" t="s">
        <v>2524</v>
      </c>
      <c r="AA2124" s="49"/>
      <c r="AB2124" s="49"/>
      <c r="AC2124" s="49"/>
      <c r="AD2124" s="50"/>
      <c r="AE2124" s="47" t="s">
        <v>2754</v>
      </c>
      <c r="AF2124" s="47">
        <v>65</v>
      </c>
      <c r="AG2124"/>
      <c r="AH2124"/>
      <c r="AI2124"/>
      <c r="AJ2124"/>
      <c r="AK2124"/>
      <c r="AL2124"/>
      <c r="AM2124"/>
      <c r="AN2124"/>
      <c r="AO2124"/>
      <c r="AP2124"/>
      <c r="AQ2124" t="s">
        <v>2526</v>
      </c>
      <c r="AU2124">
        <v>2123</v>
      </c>
    </row>
    <row r="2125" spans="1:47" x14ac:dyDescent="0.2">
      <c r="A2125" s="133">
        <v>6483</v>
      </c>
      <c r="B2125" s="39" t="s">
        <v>45</v>
      </c>
      <c r="C2125" s="39" t="s">
        <v>2876</v>
      </c>
      <c r="D2125" s="29"/>
      <c r="E2125" s="39" t="s">
        <v>153</v>
      </c>
      <c r="F2125" s="47"/>
      <c r="G2125" s="47" t="s">
        <v>73</v>
      </c>
      <c r="H2125"/>
      <c r="I2125" s="47" t="s">
        <v>3538</v>
      </c>
      <c r="J2125" s="47"/>
      <c r="K2125" s="47">
        <f>10*10*2.2</f>
        <v>220.00000000000003</v>
      </c>
      <c r="L2125" s="48">
        <v>1</v>
      </c>
      <c r="M2125" s="47"/>
      <c r="N2125" s="47"/>
      <c r="O2125" s="47"/>
      <c r="P2125" s="47">
        <v>1</v>
      </c>
      <c r="Q2125" s="47"/>
      <c r="R2125" s="47"/>
      <c r="S2125" s="48">
        <v>1</v>
      </c>
      <c r="T2125" s="47">
        <v>0</v>
      </c>
      <c r="U2125" s="47">
        <v>0</v>
      </c>
      <c r="V2125" s="47">
        <v>0</v>
      </c>
      <c r="W2125" s="47"/>
      <c r="X2125" s="47"/>
      <c r="Y2125" s="47" t="s">
        <v>51</v>
      </c>
      <c r="Z2125" s="47" t="s">
        <v>1809</v>
      </c>
      <c r="AA2125" s="49"/>
      <c r="AB2125" s="49"/>
      <c r="AC2125" s="49"/>
      <c r="AD2125" s="50"/>
      <c r="AE2125" s="47" t="s">
        <v>2470</v>
      </c>
      <c r="AF2125" s="47">
        <v>200</v>
      </c>
      <c r="AG2125"/>
      <c r="AH2125"/>
      <c r="AI2125"/>
      <c r="AJ2125"/>
      <c r="AK2125">
        <v>10</v>
      </c>
      <c r="AL2125"/>
      <c r="AM2125"/>
      <c r="AN2125"/>
      <c r="AO2125"/>
      <c r="AP2125"/>
      <c r="AQ2125" s="32" t="s">
        <v>3539</v>
      </c>
      <c r="AU2125">
        <v>2124</v>
      </c>
    </row>
    <row r="2126" spans="1:47" x14ac:dyDescent="0.2">
      <c r="A2126" s="26">
        <v>6483</v>
      </c>
      <c r="B2126" s="27" t="s">
        <v>45</v>
      </c>
      <c r="C2126" s="28"/>
      <c r="D2126" s="29"/>
      <c r="E2126" s="30" t="s">
        <v>1531</v>
      </c>
      <c r="H2126" s="32">
        <v>0</v>
      </c>
      <c r="I2126" s="32" t="s">
        <v>1706</v>
      </c>
      <c r="AG2126" s="32">
        <v>0</v>
      </c>
      <c r="AH2126" s="32">
        <v>0</v>
      </c>
      <c r="AI2126" s="32">
        <v>0</v>
      </c>
      <c r="AK2126" s="32">
        <v>0</v>
      </c>
      <c r="AM2126" s="32">
        <f>498*67</f>
        <v>33366</v>
      </c>
      <c r="AO2126" s="32" t="s">
        <v>1533</v>
      </c>
      <c r="AQ2126" s="32" t="s">
        <v>1101</v>
      </c>
      <c r="AU2126">
        <v>2125</v>
      </c>
    </row>
    <row r="2127" spans="1:47" x14ac:dyDescent="0.2">
      <c r="A2127" s="26">
        <v>6483</v>
      </c>
      <c r="B2127" s="27" t="s">
        <v>45</v>
      </c>
      <c r="C2127" s="28"/>
      <c r="D2127" s="29"/>
      <c r="E2127" s="150" t="s">
        <v>2286</v>
      </c>
      <c r="H2127" s="32">
        <v>0</v>
      </c>
      <c r="I2127" s="32" t="s">
        <v>1824</v>
      </c>
      <c r="AG2127" s="32">
        <v>0</v>
      </c>
      <c r="AH2127" s="32">
        <v>0</v>
      </c>
      <c r="AI2127" s="32">
        <v>0</v>
      </c>
      <c r="AK2127" s="32">
        <v>0</v>
      </c>
      <c r="AM2127" s="32">
        <v>11000</v>
      </c>
      <c r="AO2127" s="73" t="s">
        <v>75</v>
      </c>
      <c r="AQ2127" s="32" t="s">
        <v>589</v>
      </c>
      <c r="AU2127">
        <v>2126</v>
      </c>
    </row>
    <row r="2128" spans="1:47" x14ac:dyDescent="0.2">
      <c r="A2128" s="26">
        <v>6483</v>
      </c>
      <c r="B2128" s="27"/>
      <c r="C2128" s="28"/>
      <c r="D2128" s="29"/>
      <c r="E2128" s="30" t="s">
        <v>75</v>
      </c>
      <c r="H2128" s="32">
        <v>1</v>
      </c>
      <c r="I2128" s="32" t="s">
        <v>3540</v>
      </c>
      <c r="AG2128" s="32">
        <v>0</v>
      </c>
      <c r="AH2128" s="32">
        <v>0</v>
      </c>
      <c r="AI2128" s="32">
        <v>65</v>
      </c>
      <c r="AQ2128" s="32">
        <v>413</v>
      </c>
      <c r="AU2128">
        <v>2127</v>
      </c>
    </row>
    <row r="2129" spans="1:47" x14ac:dyDescent="0.2">
      <c r="A2129" s="37">
        <v>6484</v>
      </c>
      <c r="B2129" s="38" t="s">
        <v>85</v>
      </c>
      <c r="C2129" s="39" t="s">
        <v>3541</v>
      </c>
      <c r="D2129" s="29"/>
      <c r="E2129" s="38" t="s">
        <v>3542</v>
      </c>
      <c r="F2129" s="32"/>
      <c r="G2129" s="47"/>
      <c r="H2129"/>
      <c r="I2129" s="32" t="s">
        <v>3543</v>
      </c>
      <c r="J2129" s="47"/>
      <c r="K2129" s="47"/>
      <c r="L2129" s="48"/>
      <c r="M2129" s="47"/>
      <c r="N2129" s="47"/>
      <c r="O2129" s="47"/>
      <c r="P2129" s="47"/>
      <c r="Q2129" s="47"/>
      <c r="R2129" s="47"/>
      <c r="S2129" s="48"/>
      <c r="T2129" s="47"/>
      <c r="U2129" s="47"/>
      <c r="V2129" s="47"/>
      <c r="W2129" s="47"/>
      <c r="X2129" s="47"/>
      <c r="Y2129" s="47"/>
      <c r="Z2129" s="31" t="s">
        <v>1809</v>
      </c>
      <c r="AA2129" s="49"/>
      <c r="AB2129" s="49"/>
      <c r="AC2129" s="49"/>
      <c r="AD2129" s="50"/>
      <c r="AE2129" s="47" t="s">
        <v>3544</v>
      </c>
      <c r="AF2129" s="47">
        <v>150</v>
      </c>
      <c r="AG2129"/>
      <c r="AH2129"/>
      <c r="AI2129"/>
      <c r="AJ2129"/>
      <c r="AK2129"/>
      <c r="AL2129"/>
      <c r="AM2129"/>
      <c r="AN2129"/>
      <c r="AO2129"/>
      <c r="AP2129"/>
      <c r="AQ2129"/>
      <c r="AU2129">
        <v>2128</v>
      </c>
    </row>
    <row r="2130" spans="1:47" x14ac:dyDescent="0.2">
      <c r="A2130" s="37">
        <v>6484</v>
      </c>
      <c r="B2130" s="38" t="s">
        <v>85</v>
      </c>
      <c r="C2130" s="39" t="s">
        <v>2800</v>
      </c>
      <c r="D2130" s="29"/>
      <c r="E2130" s="38" t="s">
        <v>631</v>
      </c>
      <c r="F2130" s="32"/>
      <c r="G2130" s="47"/>
      <c r="H2130"/>
      <c r="I2130" s="32" t="s">
        <v>3545</v>
      </c>
      <c r="J2130" s="47"/>
      <c r="K2130" s="47"/>
      <c r="L2130" s="48"/>
      <c r="M2130" s="47"/>
      <c r="N2130" s="47"/>
      <c r="O2130" s="47"/>
      <c r="P2130" s="47"/>
      <c r="Q2130" s="47"/>
      <c r="R2130" s="47"/>
      <c r="S2130" s="48"/>
      <c r="T2130" s="47"/>
      <c r="U2130" s="47"/>
      <c r="V2130" s="47"/>
      <c r="W2130" s="47"/>
      <c r="X2130" s="47"/>
      <c r="Y2130" s="47"/>
      <c r="Z2130" s="31" t="s">
        <v>1809</v>
      </c>
      <c r="AA2130" s="49"/>
      <c r="AB2130" s="49"/>
      <c r="AC2130" s="49"/>
      <c r="AD2130" s="50"/>
      <c r="AE2130" s="47" t="s">
        <v>3544</v>
      </c>
      <c r="AF2130" s="47">
        <v>120</v>
      </c>
      <c r="AG2130"/>
      <c r="AH2130"/>
      <c r="AI2130"/>
      <c r="AJ2130"/>
      <c r="AK2130"/>
      <c r="AL2130"/>
      <c r="AM2130"/>
      <c r="AN2130"/>
      <c r="AO2130"/>
      <c r="AP2130"/>
      <c r="AQ2130"/>
      <c r="AU2130">
        <v>2129</v>
      </c>
    </row>
    <row r="2131" spans="1:47" x14ac:dyDescent="0.2">
      <c r="A2131" s="37">
        <v>6484</v>
      </c>
      <c r="B2131" s="38" t="s">
        <v>45</v>
      </c>
      <c r="C2131" s="39" t="s">
        <v>156</v>
      </c>
      <c r="D2131" s="29"/>
      <c r="E2131" s="38" t="s">
        <v>3546</v>
      </c>
      <c r="F2131" s="32"/>
      <c r="G2131" s="47"/>
      <c r="H2131"/>
      <c r="I2131" s="32"/>
      <c r="J2131" s="47"/>
      <c r="K2131" s="47"/>
      <c r="L2131" s="48"/>
      <c r="M2131" s="47"/>
      <c r="N2131" s="47"/>
      <c r="O2131" s="47"/>
      <c r="P2131" s="47"/>
      <c r="Q2131" s="47"/>
      <c r="R2131" s="47"/>
      <c r="S2131" s="48"/>
      <c r="T2131" s="47"/>
      <c r="U2131" s="47"/>
      <c r="V2131" s="47"/>
      <c r="W2131" s="47"/>
      <c r="X2131" s="47"/>
      <c r="Y2131" s="47"/>
      <c r="Z2131" s="47"/>
      <c r="AA2131" s="49"/>
      <c r="AB2131" s="49"/>
      <c r="AC2131" s="49"/>
      <c r="AD2131" s="50"/>
      <c r="AE2131" s="47"/>
      <c r="AF2131" s="47"/>
      <c r="AG2131"/>
      <c r="AH2131"/>
      <c r="AI2131"/>
      <c r="AJ2131"/>
      <c r="AK2131"/>
      <c r="AL2131"/>
      <c r="AM2131"/>
      <c r="AN2131"/>
      <c r="AO2131"/>
      <c r="AP2131"/>
      <c r="AQ2131"/>
      <c r="AU2131">
        <v>2130</v>
      </c>
    </row>
    <row r="2132" spans="1:47" x14ac:dyDescent="0.2">
      <c r="A2132" s="37">
        <v>6484</v>
      </c>
      <c r="B2132" s="38" t="s">
        <v>45</v>
      </c>
      <c r="C2132" s="39" t="s">
        <v>142</v>
      </c>
      <c r="D2132" s="29"/>
      <c r="E2132" s="38" t="s">
        <v>3547</v>
      </c>
      <c r="F2132" s="32" t="s">
        <v>3548</v>
      </c>
      <c r="G2132" s="47" t="s">
        <v>722</v>
      </c>
      <c r="H2132"/>
      <c r="I2132" s="47" t="b">
        <v>1</v>
      </c>
      <c r="J2132" s="47" t="b">
        <v>1</v>
      </c>
      <c r="K2132" s="47">
        <f>54*10*2.2</f>
        <v>1188</v>
      </c>
      <c r="L2132" s="48">
        <v>5</v>
      </c>
      <c r="M2132" s="47"/>
      <c r="N2132" s="47"/>
      <c r="O2132" s="47"/>
      <c r="P2132" s="47">
        <v>4</v>
      </c>
      <c r="Q2132" s="47"/>
      <c r="R2132" s="47"/>
      <c r="S2132" s="48">
        <v>5</v>
      </c>
      <c r="T2132" s="47">
        <v>0</v>
      </c>
      <c r="U2132" s="47">
        <v>0</v>
      </c>
      <c r="V2132" s="47">
        <v>0</v>
      </c>
      <c r="W2132" s="47"/>
      <c r="X2132" s="47"/>
      <c r="Y2132" s="47" t="s">
        <v>51</v>
      </c>
      <c r="Z2132" s="47" t="s">
        <v>1809</v>
      </c>
      <c r="AA2132" s="49"/>
      <c r="AB2132" s="49"/>
      <c r="AC2132" s="49"/>
      <c r="AD2132" s="50"/>
      <c r="AE2132" s="47" t="s">
        <v>342</v>
      </c>
      <c r="AF2132" s="47">
        <v>195</v>
      </c>
      <c r="AG2132"/>
      <c r="AH2132"/>
      <c r="AI2132"/>
      <c r="AJ2132"/>
      <c r="AK2132">
        <v>54</v>
      </c>
      <c r="AL2132"/>
      <c r="AM2132"/>
      <c r="AN2132"/>
      <c r="AO2132"/>
      <c r="AP2132"/>
      <c r="AQ2132" s="32" t="s">
        <v>3549</v>
      </c>
      <c r="AU2132">
        <v>2131</v>
      </c>
    </row>
    <row r="2133" spans="1:47" x14ac:dyDescent="0.2">
      <c r="A2133" s="37">
        <v>6484</v>
      </c>
      <c r="B2133" s="38" t="s">
        <v>45</v>
      </c>
      <c r="C2133" s="39" t="s">
        <v>2876</v>
      </c>
      <c r="D2133" s="29"/>
      <c r="E2133" s="38" t="s">
        <v>3542</v>
      </c>
      <c r="F2133" s="32" t="s">
        <v>365</v>
      </c>
      <c r="G2133" s="47" t="s">
        <v>722</v>
      </c>
      <c r="H2133"/>
      <c r="I2133" s="47" t="b">
        <v>0</v>
      </c>
      <c r="J2133" s="47" t="b">
        <v>0</v>
      </c>
      <c r="K2133" s="47">
        <f>10*10*2.2</f>
        <v>220.00000000000003</v>
      </c>
      <c r="L2133" s="48"/>
      <c r="M2133" s="47"/>
      <c r="N2133" s="47"/>
      <c r="O2133" s="47"/>
      <c r="P2133" s="47"/>
      <c r="Q2133" s="47"/>
      <c r="R2133" s="47"/>
      <c r="S2133" s="48">
        <v>1</v>
      </c>
      <c r="T2133" s="47"/>
      <c r="U2133" s="47"/>
      <c r="V2133" s="47"/>
      <c r="W2133" s="47"/>
      <c r="X2133" s="47"/>
      <c r="Y2133" s="47"/>
      <c r="Z2133" s="47" t="s">
        <v>1809</v>
      </c>
      <c r="AA2133" s="49"/>
      <c r="AB2133" s="49"/>
      <c r="AC2133" s="49"/>
      <c r="AD2133" s="50"/>
      <c r="AE2133" s="47" t="s">
        <v>2470</v>
      </c>
      <c r="AF2133" s="47">
        <v>180</v>
      </c>
      <c r="AG2133"/>
      <c r="AH2133"/>
      <c r="AI2133"/>
      <c r="AJ2133"/>
      <c r="AK2133">
        <v>10</v>
      </c>
      <c r="AL2133"/>
      <c r="AM2133"/>
      <c r="AN2133"/>
      <c r="AO2133"/>
      <c r="AP2133"/>
      <c r="AQ2133" s="32" t="s">
        <v>3549</v>
      </c>
      <c r="AU2133">
        <v>2132</v>
      </c>
    </row>
    <row r="2134" spans="1:47" x14ac:dyDescent="0.2">
      <c r="A2134" s="37">
        <v>6484</v>
      </c>
      <c r="B2134" s="38" t="s">
        <v>45</v>
      </c>
      <c r="C2134" s="39" t="s">
        <v>2876</v>
      </c>
      <c r="D2134" s="29"/>
      <c r="E2134" s="38" t="s">
        <v>1006</v>
      </c>
      <c r="F2134" s="32" t="s">
        <v>365</v>
      </c>
      <c r="G2134" s="47" t="s">
        <v>722</v>
      </c>
      <c r="H2134"/>
      <c r="I2134" s="47" t="b">
        <v>0</v>
      </c>
      <c r="J2134" s="47" t="b">
        <v>0</v>
      </c>
      <c r="K2134" s="47">
        <f>12*10*2.2</f>
        <v>264</v>
      </c>
      <c r="L2134" s="48"/>
      <c r="M2134" s="47"/>
      <c r="N2134" s="47"/>
      <c r="O2134" s="47"/>
      <c r="P2134" s="47">
        <v>1</v>
      </c>
      <c r="Q2134" s="47"/>
      <c r="R2134" s="47"/>
      <c r="S2134" s="48">
        <v>1</v>
      </c>
      <c r="T2134" s="47"/>
      <c r="U2134" s="47"/>
      <c r="V2134" s="47"/>
      <c r="W2134" s="47"/>
      <c r="X2134" s="47"/>
      <c r="Y2134" s="47"/>
      <c r="Z2134" s="47" t="s">
        <v>1809</v>
      </c>
      <c r="AA2134" s="49"/>
      <c r="AB2134" s="49"/>
      <c r="AC2134" s="49"/>
      <c r="AD2134" s="50"/>
      <c r="AE2134" s="47" t="s">
        <v>2470</v>
      </c>
      <c r="AF2134" s="47">
        <v>210</v>
      </c>
      <c r="AG2134"/>
      <c r="AH2134"/>
      <c r="AI2134"/>
      <c r="AJ2134"/>
      <c r="AK2134">
        <v>12</v>
      </c>
      <c r="AL2134"/>
      <c r="AM2134"/>
      <c r="AN2134"/>
      <c r="AO2134"/>
      <c r="AP2134"/>
      <c r="AQ2134" s="32" t="s">
        <v>3549</v>
      </c>
      <c r="AU2134">
        <v>2133</v>
      </c>
    </row>
    <row r="2135" spans="1:47" x14ac:dyDescent="0.2">
      <c r="A2135" s="37">
        <v>6484</v>
      </c>
      <c r="B2135" s="38" t="s">
        <v>45</v>
      </c>
      <c r="C2135" s="39" t="s">
        <v>2900</v>
      </c>
      <c r="D2135" s="29"/>
      <c r="E2135" s="38" t="s">
        <v>3550</v>
      </c>
      <c r="F2135" s="32" t="s">
        <v>150</v>
      </c>
      <c r="G2135" s="47" t="s">
        <v>49</v>
      </c>
      <c r="H2135"/>
      <c r="I2135" s="47" t="b">
        <v>0</v>
      </c>
      <c r="J2135" s="47" t="b">
        <v>0</v>
      </c>
      <c r="K2135" s="47">
        <f>12*10*2.2</f>
        <v>264</v>
      </c>
      <c r="L2135" s="48"/>
      <c r="M2135" s="47"/>
      <c r="N2135" s="47"/>
      <c r="O2135" s="47"/>
      <c r="P2135" s="47">
        <v>1</v>
      </c>
      <c r="Q2135" s="47"/>
      <c r="R2135" s="47"/>
      <c r="S2135" s="48">
        <v>1</v>
      </c>
      <c r="T2135" s="47"/>
      <c r="U2135" s="47"/>
      <c r="V2135" s="47"/>
      <c r="W2135" s="47"/>
      <c r="X2135" s="47"/>
      <c r="Y2135" s="47"/>
      <c r="Z2135" s="47" t="s">
        <v>1809</v>
      </c>
      <c r="AA2135" s="49"/>
      <c r="AB2135" s="49"/>
      <c r="AC2135" s="49"/>
      <c r="AD2135" s="50"/>
      <c r="AE2135" s="47" t="s">
        <v>2470</v>
      </c>
      <c r="AF2135" s="47">
        <v>155</v>
      </c>
      <c r="AG2135"/>
      <c r="AH2135"/>
      <c r="AI2135"/>
      <c r="AJ2135"/>
      <c r="AK2135">
        <v>12</v>
      </c>
      <c r="AL2135"/>
      <c r="AM2135"/>
      <c r="AN2135"/>
      <c r="AO2135"/>
      <c r="AP2135"/>
      <c r="AQ2135" s="32" t="s">
        <v>3549</v>
      </c>
      <c r="AU2135">
        <v>2134</v>
      </c>
    </row>
    <row r="2136" spans="1:47" x14ac:dyDescent="0.2">
      <c r="A2136" s="37">
        <v>6484</v>
      </c>
      <c r="B2136" s="38" t="s">
        <v>45</v>
      </c>
      <c r="C2136" s="39" t="s">
        <v>2900</v>
      </c>
      <c r="D2136" s="29"/>
      <c r="E2136" s="38" t="s">
        <v>1764</v>
      </c>
      <c r="F2136" s="32" t="s">
        <v>111</v>
      </c>
      <c r="G2136" s="47" t="s">
        <v>722</v>
      </c>
      <c r="H2136"/>
      <c r="I2136" s="47" t="b">
        <v>0</v>
      </c>
      <c r="J2136" s="47" t="b">
        <v>0</v>
      </c>
      <c r="K2136" s="47">
        <f>10*10*2.2</f>
        <v>220.00000000000003</v>
      </c>
      <c r="L2136" s="48"/>
      <c r="M2136" s="47"/>
      <c r="N2136" s="47"/>
      <c r="O2136" s="47"/>
      <c r="P2136" s="47">
        <v>1</v>
      </c>
      <c r="Q2136" s="47"/>
      <c r="R2136" s="47"/>
      <c r="S2136" s="48">
        <v>1</v>
      </c>
      <c r="T2136" s="47"/>
      <c r="U2136" s="47"/>
      <c r="V2136" s="47"/>
      <c r="W2136" s="47"/>
      <c r="X2136" s="47"/>
      <c r="Y2136" s="47"/>
      <c r="Z2136" s="47" t="s">
        <v>1809</v>
      </c>
      <c r="AA2136" s="49"/>
      <c r="AB2136" s="49"/>
      <c r="AC2136" s="49"/>
      <c r="AD2136" s="50"/>
      <c r="AE2136" s="47" t="s">
        <v>2470</v>
      </c>
      <c r="AF2136" s="47">
        <v>160</v>
      </c>
      <c r="AG2136"/>
      <c r="AH2136"/>
      <c r="AI2136"/>
      <c r="AJ2136"/>
      <c r="AK2136">
        <v>10</v>
      </c>
      <c r="AL2136"/>
      <c r="AM2136"/>
      <c r="AN2136"/>
      <c r="AO2136"/>
      <c r="AP2136"/>
      <c r="AQ2136" s="32" t="s">
        <v>3549</v>
      </c>
      <c r="AU2136">
        <v>2135</v>
      </c>
    </row>
    <row r="2137" spans="1:47" x14ac:dyDescent="0.2">
      <c r="A2137" s="37">
        <v>6484</v>
      </c>
      <c r="B2137" s="38" t="s">
        <v>45</v>
      </c>
      <c r="C2137" s="39" t="s">
        <v>2900</v>
      </c>
      <c r="D2137" s="29"/>
      <c r="E2137" s="38" t="s">
        <v>2964</v>
      </c>
      <c r="F2137" s="32" t="s">
        <v>365</v>
      </c>
      <c r="G2137" s="47" t="s">
        <v>722</v>
      </c>
      <c r="H2137"/>
      <c r="I2137" s="47" t="b">
        <v>0</v>
      </c>
      <c r="J2137" s="47" t="b">
        <v>0</v>
      </c>
      <c r="K2137" s="47">
        <f>10*10*2.2</f>
        <v>220.00000000000003</v>
      </c>
      <c r="L2137" s="48"/>
      <c r="M2137" s="47"/>
      <c r="N2137" s="47"/>
      <c r="O2137" s="47"/>
      <c r="P2137" s="47">
        <v>1</v>
      </c>
      <c r="Q2137" s="47"/>
      <c r="R2137" s="47"/>
      <c r="S2137" s="48">
        <v>1</v>
      </c>
      <c r="T2137" s="47"/>
      <c r="U2137" s="47"/>
      <c r="V2137" s="47"/>
      <c r="W2137" s="47"/>
      <c r="X2137" s="47"/>
      <c r="Y2137" s="47"/>
      <c r="Z2137" s="47" t="s">
        <v>1809</v>
      </c>
      <c r="AA2137" s="49"/>
      <c r="AB2137" s="49"/>
      <c r="AC2137" s="49"/>
      <c r="AD2137" s="50"/>
      <c r="AE2137" s="47" t="s">
        <v>2470</v>
      </c>
      <c r="AF2137" s="47">
        <v>325</v>
      </c>
      <c r="AG2137"/>
      <c r="AH2137"/>
      <c r="AI2137"/>
      <c r="AJ2137"/>
      <c r="AK2137">
        <v>10</v>
      </c>
      <c r="AL2137"/>
      <c r="AM2137"/>
      <c r="AN2137"/>
      <c r="AO2137"/>
      <c r="AP2137"/>
      <c r="AQ2137" s="32" t="s">
        <v>3549</v>
      </c>
      <c r="AU2137">
        <v>2136</v>
      </c>
    </row>
    <row r="2138" spans="1:47" x14ac:dyDescent="0.2">
      <c r="A2138" s="37">
        <v>6484</v>
      </c>
      <c r="B2138" s="38" t="s">
        <v>45</v>
      </c>
      <c r="C2138" s="57" t="s">
        <v>1077</v>
      </c>
      <c r="D2138" s="29"/>
      <c r="E2138" s="57" t="s">
        <v>1040</v>
      </c>
      <c r="F2138" s="31" t="s">
        <v>365</v>
      </c>
      <c r="G2138" s="31" t="s">
        <v>722</v>
      </c>
      <c r="I2138" s="31" t="s">
        <v>3551</v>
      </c>
      <c r="S2138" s="33">
        <v>1</v>
      </c>
      <c r="AE2138" s="47" t="s">
        <v>1312</v>
      </c>
      <c r="AF2138" s="31">
        <v>120</v>
      </c>
      <c r="AQ2138" s="32" t="s">
        <v>3552</v>
      </c>
      <c r="AU2138">
        <v>2137</v>
      </c>
    </row>
    <row r="2139" spans="1:47" x14ac:dyDescent="0.2">
      <c r="A2139" s="37">
        <v>6484</v>
      </c>
      <c r="B2139" s="38" t="s">
        <v>45</v>
      </c>
      <c r="C2139" s="38" t="s">
        <v>3330</v>
      </c>
      <c r="D2139" s="29"/>
      <c r="E2139" s="57" t="s">
        <v>3553</v>
      </c>
      <c r="F2139" s="31" t="s">
        <v>3554</v>
      </c>
      <c r="G2139" s="31" t="s">
        <v>49</v>
      </c>
      <c r="I2139" s="47" t="b">
        <v>1</v>
      </c>
      <c r="J2139" s="47" t="b">
        <v>1</v>
      </c>
      <c r="K2139" s="31">
        <f>131*10*2.2+6*50*2.2</f>
        <v>3542.0000000000005</v>
      </c>
      <c r="L2139" s="33">
        <v>8</v>
      </c>
      <c r="N2139" s="31">
        <v>1</v>
      </c>
      <c r="P2139" s="31">
        <v>1</v>
      </c>
      <c r="S2139" s="33">
        <v>7</v>
      </c>
      <c r="T2139" s="31">
        <v>0</v>
      </c>
      <c r="U2139" s="31">
        <v>0</v>
      </c>
      <c r="V2139" s="31">
        <v>0</v>
      </c>
      <c r="W2139" s="47">
        <f>((2200+2600+2500+2000+2800+2800+2400)/7)*39.37/12</f>
        <v>8108.3452380952376</v>
      </c>
      <c r="Y2139" s="31" t="s">
        <v>51</v>
      </c>
      <c r="Z2139" s="47" t="s">
        <v>1846</v>
      </c>
      <c r="AA2139" s="49"/>
      <c r="AB2139" s="49"/>
      <c r="AC2139" s="49"/>
      <c r="AD2139" s="50">
        <f>6+1/6</f>
        <v>6.166666666666667</v>
      </c>
      <c r="AE2139" s="47" t="s">
        <v>342</v>
      </c>
      <c r="AF2139" s="31">
        <v>110</v>
      </c>
      <c r="AK2139" s="32">
        <f>131+6</f>
        <v>137</v>
      </c>
      <c r="AQ2139" t="s">
        <v>3555</v>
      </c>
      <c r="AR2139" s="32" t="s">
        <v>3556</v>
      </c>
      <c r="AU2139">
        <v>2138</v>
      </c>
    </row>
    <row r="2140" spans="1:47" x14ac:dyDescent="0.2">
      <c r="A2140" s="37">
        <v>6484</v>
      </c>
      <c r="B2140" s="38" t="s">
        <v>45</v>
      </c>
      <c r="C2140" s="38" t="s">
        <v>3330</v>
      </c>
      <c r="D2140" s="29"/>
      <c r="E2140" s="57" t="s">
        <v>1040</v>
      </c>
      <c r="F2140" s="31" t="s">
        <v>1640</v>
      </c>
      <c r="G2140" s="31" t="s">
        <v>722</v>
      </c>
      <c r="I2140" s="47" t="b">
        <v>0</v>
      </c>
      <c r="J2140" s="47" t="b">
        <v>0</v>
      </c>
      <c r="K2140" s="31">
        <f>2*15*10*2.2</f>
        <v>660</v>
      </c>
      <c r="S2140" s="33">
        <v>2</v>
      </c>
      <c r="W2140" s="47">
        <f>((2800+2800)/2)*39.37/12</f>
        <v>9186.3333333333339</v>
      </c>
      <c r="Y2140" s="31" t="s">
        <v>51</v>
      </c>
      <c r="Z2140" s="47" t="s">
        <v>1846</v>
      </c>
      <c r="AA2140" s="49"/>
      <c r="AB2140" s="49"/>
      <c r="AC2140" s="49"/>
      <c r="AD2140" s="50">
        <f>6+1/6</f>
        <v>6.166666666666667</v>
      </c>
      <c r="AE2140" s="47" t="s">
        <v>342</v>
      </c>
      <c r="AF2140" s="31">
        <v>110</v>
      </c>
      <c r="AK2140" s="32">
        <f>15+15</f>
        <v>30</v>
      </c>
      <c r="AQ2140" t="s">
        <v>3555</v>
      </c>
      <c r="AR2140" s="32" t="s">
        <v>3557</v>
      </c>
      <c r="AU2140">
        <v>2139</v>
      </c>
    </row>
    <row r="2141" spans="1:47" x14ac:dyDescent="0.2">
      <c r="A2141" s="37">
        <v>6484</v>
      </c>
      <c r="B2141" s="38" t="s">
        <v>45</v>
      </c>
      <c r="C2141" s="38" t="s">
        <v>3330</v>
      </c>
      <c r="D2141" s="29"/>
      <c r="E2141" s="38" t="s">
        <v>1764</v>
      </c>
      <c r="F2141" s="31" t="s">
        <v>220</v>
      </c>
      <c r="G2141" s="31" t="s">
        <v>49</v>
      </c>
      <c r="I2141" s="47" t="b">
        <v>0</v>
      </c>
      <c r="J2141" s="47" t="b">
        <v>0</v>
      </c>
      <c r="K2141" s="31">
        <f>2*30*10*2.2</f>
        <v>1320</v>
      </c>
      <c r="S2141" s="33">
        <v>2</v>
      </c>
      <c r="W2141" s="47">
        <f>((2500+2400)/2)*39.37/12</f>
        <v>8038.041666666667</v>
      </c>
      <c r="Y2141" s="31" t="s">
        <v>51</v>
      </c>
      <c r="Z2141" s="47" t="s">
        <v>1846</v>
      </c>
      <c r="AA2141" s="49"/>
      <c r="AB2141" s="49"/>
      <c r="AC2141" s="49"/>
      <c r="AD2141" s="50">
        <f>2+5/60</f>
        <v>2.0833333333333335</v>
      </c>
      <c r="AE2141" s="47" t="s">
        <v>342</v>
      </c>
      <c r="AF2141" s="31">
        <v>70</v>
      </c>
      <c r="AK2141" s="32">
        <f>30+30</f>
        <v>60</v>
      </c>
      <c r="AQ2141" t="s">
        <v>3555</v>
      </c>
      <c r="AR2141" s="32" t="s">
        <v>3558</v>
      </c>
      <c r="AU2141">
        <v>2140</v>
      </c>
    </row>
    <row r="2142" spans="1:47" x14ac:dyDescent="0.2">
      <c r="A2142" s="37">
        <v>6484</v>
      </c>
      <c r="B2142" s="38" t="s">
        <v>45</v>
      </c>
      <c r="C2142" s="38" t="s">
        <v>3330</v>
      </c>
      <c r="D2142" s="29"/>
      <c r="E2142" s="57" t="s">
        <v>153</v>
      </c>
      <c r="F2142" s="31" t="s">
        <v>220</v>
      </c>
      <c r="G2142" s="31" t="s">
        <v>49</v>
      </c>
      <c r="I2142" s="47" t="b">
        <v>0</v>
      </c>
      <c r="J2142" s="47" t="b">
        <v>0</v>
      </c>
      <c r="K2142" s="31">
        <f>11*10*2.2</f>
        <v>242.00000000000003</v>
      </c>
      <c r="S2142" s="33">
        <v>1</v>
      </c>
      <c r="W2142" s="47">
        <f>2200*39.37/12</f>
        <v>7217.833333333333</v>
      </c>
      <c r="Y2142" s="31" t="s">
        <v>51</v>
      </c>
      <c r="Z2142" s="47" t="s">
        <v>1846</v>
      </c>
      <c r="AA2142" s="49"/>
      <c r="AB2142" s="49"/>
      <c r="AC2142" s="49"/>
      <c r="AD2142" s="50">
        <v>1.75</v>
      </c>
      <c r="AE2142" s="47" t="s">
        <v>342</v>
      </c>
      <c r="AF2142" s="31">
        <v>40</v>
      </c>
      <c r="AK2142" s="32">
        <v>11</v>
      </c>
      <c r="AQ2142" t="s">
        <v>3555</v>
      </c>
      <c r="AR2142" s="32" t="s">
        <v>3559</v>
      </c>
      <c r="AU2142">
        <v>2141</v>
      </c>
    </row>
    <row r="2143" spans="1:47" x14ac:dyDescent="0.2">
      <c r="A2143" s="37">
        <v>6484</v>
      </c>
      <c r="B2143" s="38" t="s">
        <v>45</v>
      </c>
      <c r="C2143" s="38" t="s">
        <v>3330</v>
      </c>
      <c r="D2143" s="29"/>
      <c r="E2143" s="57" t="s">
        <v>3434</v>
      </c>
      <c r="F2143" s="31" t="s">
        <v>220</v>
      </c>
      <c r="G2143" s="31" t="s">
        <v>49</v>
      </c>
      <c r="I2143" s="47" t="b">
        <v>0</v>
      </c>
      <c r="J2143" s="47" t="b">
        <v>0</v>
      </c>
      <c r="K2143" s="31">
        <f>30*10*2.2</f>
        <v>660</v>
      </c>
      <c r="S2143" s="33">
        <v>1</v>
      </c>
      <c r="W2143" s="47">
        <f>2600*39.37/12</f>
        <v>8530.1666666666661</v>
      </c>
      <c r="Y2143" s="31" t="s">
        <v>51</v>
      </c>
      <c r="Z2143" s="47" t="s">
        <v>1846</v>
      </c>
      <c r="AA2143" s="49"/>
      <c r="AB2143" s="49"/>
      <c r="AC2143" s="49"/>
      <c r="AD2143" s="50">
        <v>1.75</v>
      </c>
      <c r="AE2143" s="47" t="s">
        <v>342</v>
      </c>
      <c r="AF2143" s="31">
        <v>55</v>
      </c>
      <c r="AK2143" s="32">
        <v>30</v>
      </c>
      <c r="AQ2143" t="s">
        <v>3555</v>
      </c>
      <c r="AR2143" s="32" t="s">
        <v>3456</v>
      </c>
      <c r="AU2143">
        <v>2142</v>
      </c>
    </row>
    <row r="2144" spans="1:47" x14ac:dyDescent="0.2">
      <c r="A2144" s="37">
        <v>6484</v>
      </c>
      <c r="B2144" s="38" t="s">
        <v>45</v>
      </c>
      <c r="C2144" s="38" t="s">
        <v>3330</v>
      </c>
      <c r="D2144" s="29"/>
      <c r="E2144" s="57" t="s">
        <v>3560</v>
      </c>
      <c r="F2144" s="31" t="s">
        <v>220</v>
      </c>
      <c r="G2144" s="31" t="s">
        <v>49</v>
      </c>
      <c r="I2144" s="47" t="b">
        <v>0</v>
      </c>
      <c r="J2144" s="47" t="b">
        <v>0</v>
      </c>
      <c r="K2144" s="31">
        <f>6*50*2.2</f>
        <v>660</v>
      </c>
      <c r="S2144" s="33">
        <v>1</v>
      </c>
      <c r="W2144" s="47">
        <f>2000*39.37/12</f>
        <v>6561.666666666667</v>
      </c>
      <c r="Y2144" s="31" t="s">
        <v>51</v>
      </c>
      <c r="Z2144" s="47" t="s">
        <v>1846</v>
      </c>
      <c r="AA2144" s="49"/>
      <c r="AB2144" s="49"/>
      <c r="AC2144" s="49"/>
      <c r="AD2144" s="50">
        <f>2+25/60</f>
        <v>2.4166666666666665</v>
      </c>
      <c r="AE2144" s="47" t="s">
        <v>342</v>
      </c>
      <c r="AF2144" s="31">
        <v>60</v>
      </c>
      <c r="AK2144" s="32">
        <v>6</v>
      </c>
      <c r="AQ2144" t="s">
        <v>3555</v>
      </c>
      <c r="AR2144" s="32" t="s">
        <v>3561</v>
      </c>
      <c r="AU2144">
        <v>2143</v>
      </c>
    </row>
    <row r="2145" spans="1:47" x14ac:dyDescent="0.2">
      <c r="A2145" s="26">
        <v>6484</v>
      </c>
      <c r="B2145" s="27">
        <v>0.84375</v>
      </c>
      <c r="C2145" s="28"/>
      <c r="D2145" s="29"/>
      <c r="E2145" s="30" t="s">
        <v>464</v>
      </c>
      <c r="H2145" s="32">
        <v>1</v>
      </c>
      <c r="I2145" s="32" t="s">
        <v>3562</v>
      </c>
      <c r="AG2145" s="32">
        <v>0</v>
      </c>
      <c r="AH2145" s="32">
        <v>0</v>
      </c>
      <c r="AL2145" s="32">
        <f>4+25/60</f>
        <v>4.416666666666667</v>
      </c>
      <c r="AO2145" s="32" t="s">
        <v>487</v>
      </c>
      <c r="AP2145" s="32">
        <f>4+25/60</f>
        <v>4.416666666666667</v>
      </c>
      <c r="AQ2145" s="32" t="s">
        <v>3563</v>
      </c>
      <c r="AU2145">
        <v>2144</v>
      </c>
    </row>
    <row r="2146" spans="1:47" x14ac:dyDescent="0.2">
      <c r="A2146" s="26">
        <v>6484</v>
      </c>
      <c r="B2146" s="27">
        <v>0.86319444444444438</v>
      </c>
      <c r="C2146" s="28"/>
      <c r="D2146" s="29"/>
      <c r="E2146" s="30" t="s">
        <v>1282</v>
      </c>
      <c r="H2146" s="32">
        <v>0</v>
      </c>
      <c r="I2146" s="32" t="s">
        <v>2244</v>
      </c>
      <c r="AG2146" s="32">
        <v>0</v>
      </c>
      <c r="AH2146" s="32">
        <v>0</v>
      </c>
      <c r="AI2146" s="32">
        <v>0</v>
      </c>
      <c r="AK2146" s="32">
        <v>0</v>
      </c>
      <c r="AL2146" s="32">
        <f>3+27/60</f>
        <v>3.45</v>
      </c>
      <c r="AP2146" s="32">
        <f>3+27/60</f>
        <v>3.45</v>
      </c>
      <c r="AQ2146" s="32" t="s">
        <v>1101</v>
      </c>
      <c r="AU2146">
        <v>2145</v>
      </c>
    </row>
    <row r="2147" spans="1:47" x14ac:dyDescent="0.2">
      <c r="A2147" s="26">
        <v>6484</v>
      </c>
      <c r="B2147" s="27">
        <v>0.86458333333333337</v>
      </c>
      <c r="C2147" s="28"/>
      <c r="D2147" s="29"/>
      <c r="E2147" s="30" t="s">
        <v>1124</v>
      </c>
      <c r="H2147" s="32">
        <v>1</v>
      </c>
      <c r="I2147" s="32" t="s">
        <v>1534</v>
      </c>
      <c r="AG2147" s="32">
        <v>3</v>
      </c>
      <c r="AH2147" s="32">
        <v>4</v>
      </c>
      <c r="AK2147" s="32">
        <v>12</v>
      </c>
      <c r="AL2147" s="32">
        <v>3.25</v>
      </c>
      <c r="AO2147" s="46" t="s">
        <v>1126</v>
      </c>
      <c r="AP2147" s="32">
        <v>3.25</v>
      </c>
      <c r="AQ2147" s="32" t="s">
        <v>589</v>
      </c>
      <c r="AU2147">
        <v>2146</v>
      </c>
    </row>
    <row r="2148" spans="1:47" x14ac:dyDescent="0.2">
      <c r="A2148" s="26">
        <v>6484</v>
      </c>
      <c r="B2148" s="27">
        <v>0.875</v>
      </c>
      <c r="C2148" s="28"/>
      <c r="D2148" s="29"/>
      <c r="E2148" s="30" t="s">
        <v>2323</v>
      </c>
      <c r="H2148" s="32">
        <v>1</v>
      </c>
      <c r="I2148" s="32" t="s">
        <v>3564</v>
      </c>
      <c r="AK2148" s="32">
        <v>13</v>
      </c>
      <c r="AO2148" s="32" t="s">
        <v>2325</v>
      </c>
      <c r="AQ2148" s="32">
        <v>418</v>
      </c>
      <c r="AU2148">
        <v>2147</v>
      </c>
    </row>
    <row r="2149" spans="1:47" x14ac:dyDescent="0.2">
      <c r="A2149" s="26">
        <v>6484</v>
      </c>
      <c r="B2149" s="27">
        <v>0.87847222222222221</v>
      </c>
      <c r="C2149" s="28"/>
      <c r="D2149" s="29"/>
      <c r="E2149" s="30" t="s">
        <v>3155</v>
      </c>
      <c r="H2149" s="32">
        <v>0</v>
      </c>
      <c r="I2149" s="32" t="s">
        <v>3156</v>
      </c>
      <c r="AG2149" s="32">
        <v>0</v>
      </c>
      <c r="AH2149" s="32">
        <v>0</v>
      </c>
      <c r="AI2149" s="32">
        <v>0</v>
      </c>
      <c r="AK2149" s="32">
        <v>0</v>
      </c>
      <c r="AP2149" s="32">
        <v>0.75</v>
      </c>
      <c r="AQ2149" s="32" t="s">
        <v>1101</v>
      </c>
      <c r="AU2149">
        <v>2148</v>
      </c>
    </row>
    <row r="2150" spans="1:47" x14ac:dyDescent="0.2">
      <c r="A2150" s="26">
        <v>6484</v>
      </c>
      <c r="B2150" s="27">
        <v>0.90625</v>
      </c>
      <c r="C2150" s="28"/>
      <c r="D2150" s="29"/>
      <c r="E2150" s="30" t="s">
        <v>869</v>
      </c>
      <c r="H2150" s="32">
        <v>0</v>
      </c>
      <c r="I2150" s="32" t="s">
        <v>2344</v>
      </c>
      <c r="AG2150" s="32">
        <v>0</v>
      </c>
      <c r="AH2150" s="32">
        <v>0</v>
      </c>
      <c r="AI2150" s="32">
        <v>0</v>
      </c>
      <c r="AK2150" s="32">
        <v>0</v>
      </c>
      <c r="AL2150" s="32">
        <f>35/60</f>
        <v>0.58333333333333337</v>
      </c>
      <c r="AP2150" s="32">
        <f>35/60</f>
        <v>0.58333333333333337</v>
      </c>
      <c r="AQ2150" s="32" t="s">
        <v>589</v>
      </c>
      <c r="AU2150">
        <v>2149</v>
      </c>
    </row>
    <row r="2151" spans="1:47" x14ac:dyDescent="0.2">
      <c r="A2151" s="26">
        <v>6484</v>
      </c>
      <c r="B2151" s="27">
        <v>0.91666666666666663</v>
      </c>
      <c r="C2151" s="28"/>
      <c r="D2151" s="29"/>
      <c r="E2151" s="30" t="s">
        <v>2964</v>
      </c>
      <c r="H2151" s="32">
        <v>1</v>
      </c>
      <c r="I2151" s="32" t="s">
        <v>3565</v>
      </c>
      <c r="AG2151" s="32">
        <v>0</v>
      </c>
      <c r="AH2151" s="32">
        <v>0</v>
      </c>
      <c r="AI2151" s="32">
        <f>4045+4550+100</f>
        <v>8695</v>
      </c>
      <c r="AK2151" s="32">
        <v>4</v>
      </c>
      <c r="AQ2151" s="32" t="s">
        <v>3566</v>
      </c>
      <c r="AU2151">
        <v>2150</v>
      </c>
    </row>
    <row r="2152" spans="1:47" x14ac:dyDescent="0.2">
      <c r="A2152" s="26">
        <v>6484</v>
      </c>
      <c r="B2152" s="27">
        <v>0.94791666666666663</v>
      </c>
      <c r="C2152" s="28"/>
      <c r="D2152" s="29"/>
      <c r="E2152" s="102" t="s">
        <v>1102</v>
      </c>
      <c r="H2152" s="32">
        <v>0</v>
      </c>
      <c r="I2152" s="32" t="s">
        <v>1103</v>
      </c>
      <c r="AG2152" s="32">
        <v>0</v>
      </c>
      <c r="AH2152" s="32">
        <v>0</v>
      </c>
      <c r="AI2152" s="32">
        <v>0</v>
      </c>
      <c r="AK2152" s="32">
        <v>0</v>
      </c>
      <c r="AL2152" s="32">
        <f>37/60</f>
        <v>0.6166666666666667</v>
      </c>
      <c r="AO2152" s="73" t="s">
        <v>1006</v>
      </c>
      <c r="AP2152" s="32">
        <f>37/60</f>
        <v>0.6166666666666667</v>
      </c>
      <c r="AQ2152" s="32" t="s">
        <v>589</v>
      </c>
      <c r="AU2152">
        <v>2151</v>
      </c>
    </row>
    <row r="2153" spans="1:47" x14ac:dyDescent="0.2">
      <c r="A2153" s="26">
        <v>6484</v>
      </c>
      <c r="B2153" s="27">
        <v>0.96527777777777779</v>
      </c>
      <c r="C2153" s="28"/>
      <c r="D2153" s="29"/>
      <c r="E2153" s="30" t="s">
        <v>1144</v>
      </c>
      <c r="H2153" s="32">
        <v>1</v>
      </c>
      <c r="I2153" s="32" t="s">
        <v>3567</v>
      </c>
      <c r="AG2153" s="32">
        <v>0</v>
      </c>
      <c r="AH2153" s="32">
        <v>0</v>
      </c>
      <c r="AI2153" s="32">
        <v>1406</v>
      </c>
      <c r="AK2153" s="32">
        <v>7</v>
      </c>
      <c r="AL2153" s="32">
        <f>77/60</f>
        <v>1.2833333333333334</v>
      </c>
      <c r="AO2153" s="32" t="s">
        <v>1006</v>
      </c>
      <c r="AP2153" s="32">
        <f>77/60</f>
        <v>1.2833333333333334</v>
      </c>
      <c r="AQ2153" s="32">
        <v>421</v>
      </c>
      <c r="AU2153">
        <v>2152</v>
      </c>
    </row>
    <row r="2154" spans="1:47" x14ac:dyDescent="0.2">
      <c r="A2154" s="26">
        <v>6484</v>
      </c>
      <c r="B2154" s="27" t="s">
        <v>85</v>
      </c>
      <c r="C2154" s="28"/>
      <c r="D2154" s="29"/>
      <c r="E2154" s="30" t="s">
        <v>1461</v>
      </c>
      <c r="H2154" s="32">
        <v>1</v>
      </c>
      <c r="I2154" s="32" t="s">
        <v>3568</v>
      </c>
      <c r="AG2154" s="32">
        <v>0</v>
      </c>
      <c r="AH2154" s="32">
        <v>0</v>
      </c>
      <c r="AI2154" s="32">
        <v>5087</v>
      </c>
      <c r="AK2154" s="32">
        <v>16</v>
      </c>
      <c r="AO2154" s="32" t="s">
        <v>1463</v>
      </c>
      <c r="AQ2154" s="32">
        <v>403</v>
      </c>
      <c r="AU2154">
        <v>2153</v>
      </c>
    </row>
    <row r="2155" spans="1:47" x14ac:dyDescent="0.2">
      <c r="A2155" s="26">
        <v>6484</v>
      </c>
      <c r="B2155" s="27" t="s">
        <v>45</v>
      </c>
      <c r="C2155" s="28"/>
      <c r="D2155" s="29"/>
      <c r="E2155" s="30" t="s">
        <v>1531</v>
      </c>
      <c r="H2155" s="32">
        <v>0</v>
      </c>
      <c r="I2155" s="32" t="s">
        <v>1532</v>
      </c>
      <c r="AG2155" s="32">
        <v>0</v>
      </c>
      <c r="AH2155" s="32">
        <v>0</v>
      </c>
      <c r="AI2155" s="32">
        <v>0</v>
      </c>
      <c r="AK2155" s="32">
        <v>0</v>
      </c>
      <c r="AM2155" s="32">
        <f>498*42</f>
        <v>20916</v>
      </c>
      <c r="AO2155" s="32" t="s">
        <v>1533</v>
      </c>
      <c r="AQ2155" s="32" t="s">
        <v>1101</v>
      </c>
      <c r="AU2155">
        <v>2154</v>
      </c>
    </row>
    <row r="2156" spans="1:47" x14ac:dyDescent="0.2">
      <c r="A2156" s="26">
        <v>6484</v>
      </c>
      <c r="B2156" s="27" t="s">
        <v>45</v>
      </c>
      <c r="C2156" s="28"/>
      <c r="D2156" s="29"/>
      <c r="E2156" s="150" t="s">
        <v>2286</v>
      </c>
      <c r="H2156" s="32">
        <v>0</v>
      </c>
      <c r="I2156" s="32" t="s">
        <v>1824</v>
      </c>
      <c r="AG2156" s="32">
        <v>0</v>
      </c>
      <c r="AH2156" s="32">
        <v>0</v>
      </c>
      <c r="AI2156" s="32">
        <v>0</v>
      </c>
      <c r="AK2156" s="32">
        <v>0</v>
      </c>
      <c r="AM2156" s="32">
        <v>8000</v>
      </c>
      <c r="AO2156" s="73" t="s">
        <v>75</v>
      </c>
      <c r="AQ2156" s="32" t="s">
        <v>589</v>
      </c>
      <c r="AU2156">
        <v>2155</v>
      </c>
    </row>
    <row r="2157" spans="1:47" x14ac:dyDescent="0.2">
      <c r="A2157" s="26">
        <v>6484</v>
      </c>
      <c r="B2157" s="27"/>
      <c r="C2157" s="28"/>
      <c r="D2157" s="29"/>
      <c r="E2157" s="30" t="s">
        <v>75</v>
      </c>
      <c r="H2157" s="32">
        <v>1</v>
      </c>
      <c r="I2157" s="32" t="s">
        <v>3569</v>
      </c>
      <c r="AG2157" s="32">
        <v>0</v>
      </c>
      <c r="AH2157" s="32">
        <v>0</v>
      </c>
      <c r="AI2157" s="32">
        <v>575</v>
      </c>
      <c r="AL2157" s="32">
        <v>7</v>
      </c>
      <c r="AQ2157" s="32">
        <v>413</v>
      </c>
      <c r="AU2157">
        <v>2156</v>
      </c>
    </row>
    <row r="2158" spans="1:47" x14ac:dyDescent="0.2">
      <c r="A2158" s="26">
        <v>6484</v>
      </c>
      <c r="B2158" s="27"/>
      <c r="C2158" s="28"/>
      <c r="D2158" s="29"/>
      <c r="E2158" s="102" t="s">
        <v>1421</v>
      </c>
      <c r="H2158" s="32">
        <v>1</v>
      </c>
      <c r="I2158" s="32" t="s">
        <v>3570</v>
      </c>
      <c r="AK2158" s="32">
        <v>20</v>
      </c>
      <c r="AO2158" s="73"/>
      <c r="AQ2158" s="32" t="s">
        <v>589</v>
      </c>
      <c r="AU2158">
        <v>2157</v>
      </c>
    </row>
    <row r="2159" spans="1:47" x14ac:dyDescent="0.2">
      <c r="A2159" s="44">
        <v>6485</v>
      </c>
      <c r="B2159" s="42" t="s">
        <v>45</v>
      </c>
      <c r="C2159" s="43" t="s">
        <v>3571</v>
      </c>
      <c r="D2159" s="29"/>
      <c r="E2159" s="121" t="s">
        <v>3572</v>
      </c>
      <c r="F2159" s="31" t="s">
        <v>365</v>
      </c>
      <c r="G2159" s="31" t="s">
        <v>722</v>
      </c>
      <c r="H2159" s="32"/>
      <c r="I2159" s="32" t="s">
        <v>3573</v>
      </c>
      <c r="S2159" s="33">
        <v>2</v>
      </c>
      <c r="AE2159" s="31" t="s">
        <v>1578</v>
      </c>
      <c r="AO2159" s="73"/>
      <c r="AQ2159" s="32" t="s">
        <v>3552</v>
      </c>
      <c r="AU2159">
        <v>2158</v>
      </c>
    </row>
    <row r="2160" spans="1:47" x14ac:dyDescent="0.2">
      <c r="A2160" s="44">
        <v>6485</v>
      </c>
      <c r="B2160" s="42" t="s">
        <v>45</v>
      </c>
      <c r="C2160" s="43" t="s">
        <v>3571</v>
      </c>
      <c r="D2160" s="29"/>
      <c r="E2160" s="121" t="s">
        <v>3574</v>
      </c>
      <c r="F2160" s="31" t="s">
        <v>365</v>
      </c>
      <c r="G2160" s="31" t="s">
        <v>722</v>
      </c>
      <c r="H2160" s="32"/>
      <c r="I2160" s="32" t="s">
        <v>3573</v>
      </c>
      <c r="S2160" s="33">
        <v>1</v>
      </c>
      <c r="AE2160" s="31" t="s">
        <v>1578</v>
      </c>
      <c r="AO2160" s="73"/>
      <c r="AQ2160" s="32" t="s">
        <v>3552</v>
      </c>
      <c r="AU2160">
        <v>2159</v>
      </c>
    </row>
    <row r="2161" spans="1:47" x14ac:dyDescent="0.2">
      <c r="A2161" s="44">
        <v>6485</v>
      </c>
      <c r="B2161" s="42" t="s">
        <v>45</v>
      </c>
      <c r="C2161" s="43" t="s">
        <v>1077</v>
      </c>
      <c r="D2161" s="29"/>
      <c r="E2161" s="121" t="s">
        <v>3575</v>
      </c>
      <c r="F2161" s="31" t="s">
        <v>365</v>
      </c>
      <c r="G2161" s="31" t="s">
        <v>722</v>
      </c>
      <c r="H2161" s="32"/>
      <c r="I2161" s="32" t="s">
        <v>3573</v>
      </c>
      <c r="S2161" s="33">
        <v>1</v>
      </c>
      <c r="AE2161" s="47" t="s">
        <v>1312</v>
      </c>
      <c r="AF2161" s="31">
        <v>160</v>
      </c>
      <c r="AO2161" s="73"/>
      <c r="AQ2161" s="32" t="s">
        <v>3552</v>
      </c>
      <c r="AU2161">
        <v>2160</v>
      </c>
    </row>
    <row r="2162" spans="1:47" x14ac:dyDescent="0.2">
      <c r="A2162" s="44">
        <v>6485</v>
      </c>
      <c r="B2162" s="42" t="s">
        <v>45</v>
      </c>
      <c r="C2162" s="43" t="s">
        <v>156</v>
      </c>
      <c r="D2162" s="29"/>
      <c r="E2162" s="121" t="s">
        <v>2444</v>
      </c>
      <c r="F2162" s="31" t="s">
        <v>1663</v>
      </c>
      <c r="G2162" s="31" t="s">
        <v>459</v>
      </c>
      <c r="H2162" s="32"/>
      <c r="I2162" s="32" t="s">
        <v>156</v>
      </c>
      <c r="AO2162" s="73"/>
      <c r="AU2162">
        <v>2161</v>
      </c>
    </row>
    <row r="2163" spans="1:47" x14ac:dyDescent="0.2">
      <c r="A2163" s="44">
        <v>6485</v>
      </c>
      <c r="B2163" s="42" t="s">
        <v>45</v>
      </c>
      <c r="C2163" s="43" t="s">
        <v>142</v>
      </c>
      <c r="D2163" s="29"/>
      <c r="E2163" s="121" t="s">
        <v>3576</v>
      </c>
      <c r="F2163" s="31" t="s">
        <v>3577</v>
      </c>
      <c r="G2163" s="31" t="s">
        <v>722</v>
      </c>
      <c r="H2163" s="32"/>
      <c r="I2163" s="47" t="b">
        <v>1</v>
      </c>
      <c r="J2163" s="47" t="b">
        <v>1</v>
      </c>
      <c r="K2163" s="31">
        <f>88*10*2.2</f>
        <v>1936.0000000000002</v>
      </c>
      <c r="L2163" s="33">
        <v>11</v>
      </c>
      <c r="N2163" s="31">
        <v>1</v>
      </c>
      <c r="P2163" s="31">
        <v>1</v>
      </c>
      <c r="S2163" s="33">
        <v>8</v>
      </c>
      <c r="T2163" s="31">
        <v>2</v>
      </c>
      <c r="U2163" s="31">
        <v>0</v>
      </c>
      <c r="V2163" s="31">
        <v>1</v>
      </c>
      <c r="Y2163" s="31" t="s">
        <v>51</v>
      </c>
      <c r="Z2163" s="31" t="s">
        <v>1809</v>
      </c>
      <c r="AE2163" s="31" t="s">
        <v>342</v>
      </c>
      <c r="AF2163" s="31">
        <v>120</v>
      </c>
      <c r="AK2163" s="32">
        <v>88</v>
      </c>
      <c r="AO2163" s="73"/>
      <c r="AQ2163" s="32" t="s">
        <v>3578</v>
      </c>
      <c r="AR2163" s="32" t="s">
        <v>3579</v>
      </c>
      <c r="AU2163">
        <v>2162</v>
      </c>
    </row>
    <row r="2164" spans="1:47" x14ac:dyDescent="0.2">
      <c r="A2164" s="44">
        <v>6485</v>
      </c>
      <c r="B2164" s="42" t="s">
        <v>45</v>
      </c>
      <c r="C2164" s="43" t="s">
        <v>142</v>
      </c>
      <c r="D2164" s="29"/>
      <c r="E2164" s="121" t="s">
        <v>3542</v>
      </c>
      <c r="F2164" s="31" t="s">
        <v>365</v>
      </c>
      <c r="G2164" s="31" t="s">
        <v>722</v>
      </c>
      <c r="H2164" s="32"/>
      <c r="I2164" s="47" t="b">
        <v>0</v>
      </c>
      <c r="J2164" s="47" t="b">
        <v>0</v>
      </c>
      <c r="K2164" s="31">
        <f>66*10*2.2</f>
        <v>1452.0000000000002</v>
      </c>
      <c r="S2164" s="33">
        <v>6</v>
      </c>
      <c r="Y2164" s="31" t="s">
        <v>51</v>
      </c>
      <c r="Z2164" s="31" t="s">
        <v>1809</v>
      </c>
      <c r="AA2164" s="34">
        <v>0.86111111111111116</v>
      </c>
      <c r="AB2164" s="34">
        <v>8.3333333333333329E-2</v>
      </c>
      <c r="AC2164" s="49">
        <f>AVERAGE(AA2164:AB2164)</f>
        <v>0.47222222222222227</v>
      </c>
      <c r="AD2164" s="50">
        <f>5+1/3</f>
        <v>5.333333333333333</v>
      </c>
      <c r="AE2164" s="31" t="s">
        <v>342</v>
      </c>
      <c r="AF2164" s="31">
        <v>120</v>
      </c>
      <c r="AK2164" s="32">
        <v>66</v>
      </c>
      <c r="AO2164" s="73"/>
      <c r="AQ2164" s="32" t="s">
        <v>3578</v>
      </c>
      <c r="AR2164" s="32" t="s">
        <v>3579</v>
      </c>
      <c r="AU2164">
        <v>2163</v>
      </c>
    </row>
    <row r="2165" spans="1:47" x14ac:dyDescent="0.2">
      <c r="A2165" s="44">
        <v>6485</v>
      </c>
      <c r="B2165" s="42" t="s">
        <v>45</v>
      </c>
      <c r="C2165" s="43" t="s">
        <v>142</v>
      </c>
      <c r="D2165" s="29"/>
      <c r="E2165" s="121" t="s">
        <v>3580</v>
      </c>
      <c r="F2165" s="31" t="s">
        <v>365</v>
      </c>
      <c r="G2165" s="31" t="s">
        <v>722</v>
      </c>
      <c r="H2165" s="32"/>
      <c r="I2165" s="47" t="b">
        <v>0</v>
      </c>
      <c r="J2165" s="47" t="b">
        <v>0</v>
      </c>
      <c r="K2165" s="31">
        <f>10*10*2.2</f>
        <v>220.00000000000003</v>
      </c>
      <c r="P2165" s="31">
        <v>1</v>
      </c>
      <c r="S2165" s="33">
        <v>1</v>
      </c>
      <c r="Y2165" s="31" t="s">
        <v>51</v>
      </c>
      <c r="Z2165" s="31" t="s">
        <v>1809</v>
      </c>
      <c r="AE2165" s="31" t="s">
        <v>342</v>
      </c>
      <c r="AF2165" s="31">
        <v>150</v>
      </c>
      <c r="AK2165" s="32">
        <v>10</v>
      </c>
      <c r="AO2165" s="73"/>
      <c r="AQ2165" s="32" t="s">
        <v>3578</v>
      </c>
      <c r="AR2165" s="32" t="s">
        <v>3579</v>
      </c>
      <c r="AU2165">
        <v>2164</v>
      </c>
    </row>
    <row r="2166" spans="1:47" x14ac:dyDescent="0.2">
      <c r="A2166" s="44">
        <v>6485</v>
      </c>
      <c r="B2166" s="38" t="s">
        <v>45</v>
      </c>
      <c r="C2166" s="39" t="s">
        <v>2916</v>
      </c>
      <c r="D2166" s="29"/>
      <c r="E2166" s="38" t="s">
        <v>3581</v>
      </c>
      <c r="F2166" s="32" t="s">
        <v>3582</v>
      </c>
      <c r="G2166" s="47" t="s">
        <v>73</v>
      </c>
      <c r="H2166"/>
      <c r="I2166" s="47" t="s">
        <v>3583</v>
      </c>
      <c r="J2166" s="47"/>
      <c r="K2166" s="47">
        <f>32*10*2.2</f>
        <v>704</v>
      </c>
      <c r="L2166" s="48">
        <v>3</v>
      </c>
      <c r="M2166" s="47"/>
      <c r="N2166" s="47"/>
      <c r="O2166" s="47"/>
      <c r="P2166" s="47"/>
      <c r="Q2166" s="47"/>
      <c r="R2166" s="47"/>
      <c r="S2166" s="48">
        <v>3</v>
      </c>
      <c r="T2166" s="47">
        <v>1</v>
      </c>
      <c r="U2166" s="47">
        <v>0</v>
      </c>
      <c r="V2166" s="47">
        <v>0</v>
      </c>
      <c r="W2166" s="47"/>
      <c r="X2166" s="47"/>
      <c r="Y2166" s="47"/>
      <c r="Z2166" s="47" t="s">
        <v>2203</v>
      </c>
      <c r="AA2166" s="49"/>
      <c r="AB2166" s="49"/>
      <c r="AC2166" s="49"/>
      <c r="AD2166" s="50"/>
      <c r="AE2166" s="47" t="s">
        <v>3198</v>
      </c>
      <c r="AF2166" s="47">
        <v>40</v>
      </c>
      <c r="AG2166"/>
      <c r="AH2166"/>
      <c r="AI2166"/>
      <c r="AJ2166"/>
      <c r="AK2166" s="32">
        <v>32</v>
      </c>
      <c r="AL2166"/>
      <c r="AM2166"/>
      <c r="AN2166"/>
      <c r="AO2166"/>
      <c r="AP2166"/>
      <c r="AQ2166" s="32" t="s">
        <v>3584</v>
      </c>
      <c r="AU2166">
        <v>2165</v>
      </c>
    </row>
    <row r="2167" spans="1:47" x14ac:dyDescent="0.2">
      <c r="A2167" s="44">
        <v>6485</v>
      </c>
      <c r="B2167" s="38" t="s">
        <v>45</v>
      </c>
      <c r="C2167" s="38" t="s">
        <v>3330</v>
      </c>
      <c r="D2167" s="29"/>
      <c r="E2167" s="38" t="s">
        <v>405</v>
      </c>
      <c r="F2167" s="31" t="s">
        <v>220</v>
      </c>
      <c r="G2167" s="47" t="s">
        <v>49</v>
      </c>
      <c r="H2167"/>
      <c r="I2167" s="47" t="s">
        <v>3585</v>
      </c>
      <c r="J2167" s="47"/>
      <c r="K2167" s="47">
        <f>2*30*10*2.2+6*50*2.2</f>
        <v>1980</v>
      </c>
      <c r="L2167" s="48">
        <v>3</v>
      </c>
      <c r="M2167" s="47"/>
      <c r="N2167" s="47"/>
      <c r="O2167" s="47"/>
      <c r="P2167" s="47"/>
      <c r="Q2167" s="47"/>
      <c r="R2167" s="47"/>
      <c r="S2167" s="48">
        <v>3</v>
      </c>
      <c r="T2167" s="47">
        <v>0</v>
      </c>
      <c r="U2167" s="47">
        <v>0</v>
      </c>
      <c r="V2167" s="47">
        <v>0</v>
      </c>
      <c r="W2167" s="47">
        <f>((2200+2700+2400)/3)*39.37/12</f>
        <v>7983.3611111111104</v>
      </c>
      <c r="Y2167" s="31" t="s">
        <v>51</v>
      </c>
      <c r="Z2167" s="47" t="s">
        <v>1846</v>
      </c>
      <c r="AA2167" s="49"/>
      <c r="AB2167" s="49"/>
      <c r="AC2167" s="49"/>
      <c r="AD2167" s="50">
        <f>1+5/6</f>
        <v>1.8333333333333335</v>
      </c>
      <c r="AE2167" s="47" t="s">
        <v>342</v>
      </c>
      <c r="AF2167" s="47">
        <v>40</v>
      </c>
      <c r="AG2167"/>
      <c r="AH2167"/>
      <c r="AI2167"/>
      <c r="AJ2167"/>
      <c r="AK2167" s="32">
        <f>30+30+6</f>
        <v>66</v>
      </c>
      <c r="AL2167"/>
      <c r="AM2167"/>
      <c r="AN2167"/>
      <c r="AO2167"/>
      <c r="AP2167"/>
      <c r="AQ2167" t="s">
        <v>3555</v>
      </c>
      <c r="AU2167">
        <v>2166</v>
      </c>
    </row>
    <row r="2168" spans="1:47" x14ac:dyDescent="0.2">
      <c r="A2168" s="26">
        <v>6485</v>
      </c>
      <c r="B2168" s="27">
        <v>5.2083333333333336E-2</v>
      </c>
      <c r="C2168" s="28"/>
      <c r="D2168" s="29"/>
      <c r="E2168" s="30" t="s">
        <v>869</v>
      </c>
      <c r="H2168" s="32">
        <v>0</v>
      </c>
      <c r="I2168" s="32" t="s">
        <v>2344</v>
      </c>
      <c r="AG2168" s="32">
        <v>0</v>
      </c>
      <c r="AH2168" s="32">
        <v>0</v>
      </c>
      <c r="AI2168" s="32">
        <v>0</v>
      </c>
      <c r="AK2168" s="32">
        <v>0</v>
      </c>
      <c r="AL2168" s="32">
        <v>0.75</v>
      </c>
      <c r="AP2168" s="32">
        <v>0.75</v>
      </c>
      <c r="AQ2168" s="32" t="s">
        <v>589</v>
      </c>
      <c r="AU2168">
        <v>2167</v>
      </c>
    </row>
    <row r="2169" spans="1:47" x14ac:dyDescent="0.2">
      <c r="A2169" s="26">
        <v>6485</v>
      </c>
      <c r="B2169" s="27">
        <v>0.39374999999999999</v>
      </c>
      <c r="C2169" s="28"/>
      <c r="D2169" s="29"/>
      <c r="E2169" s="30" t="s">
        <v>869</v>
      </c>
      <c r="H2169" s="32">
        <v>0</v>
      </c>
      <c r="I2169" s="32" t="s">
        <v>2344</v>
      </c>
      <c r="AG2169" s="32">
        <v>0</v>
      </c>
      <c r="AH2169" s="32">
        <v>0</v>
      </c>
      <c r="AI2169" s="32">
        <v>0</v>
      </c>
      <c r="AK2169" s="32">
        <v>0</v>
      </c>
      <c r="AL2169" s="32">
        <f>3+18/60</f>
        <v>3.3</v>
      </c>
      <c r="AP2169" s="32">
        <f>3+18/60</f>
        <v>3.3</v>
      </c>
      <c r="AQ2169" s="32" t="s">
        <v>589</v>
      </c>
      <c r="AU2169">
        <v>2168</v>
      </c>
    </row>
    <row r="2170" spans="1:47" x14ac:dyDescent="0.2">
      <c r="A2170" s="26">
        <v>6485</v>
      </c>
      <c r="B2170" s="27">
        <v>0.875</v>
      </c>
      <c r="C2170" s="28"/>
      <c r="D2170" s="29"/>
      <c r="E2170" s="30" t="s">
        <v>464</v>
      </c>
      <c r="H2170" s="32">
        <v>0</v>
      </c>
      <c r="I2170" s="32" t="s">
        <v>3586</v>
      </c>
      <c r="AG2170" s="32">
        <v>0</v>
      </c>
      <c r="AH2170" s="32">
        <v>0</v>
      </c>
      <c r="AL2170" s="32">
        <f>3+35/60</f>
        <v>3.5833333333333335</v>
      </c>
      <c r="AO2170" s="32" t="s">
        <v>1898</v>
      </c>
      <c r="AP2170" s="32">
        <f>3+35/60</f>
        <v>3.5833333333333335</v>
      </c>
      <c r="AQ2170" s="32" t="s">
        <v>1522</v>
      </c>
      <c r="AU2170">
        <v>2169</v>
      </c>
    </row>
    <row r="2171" spans="1:47" x14ac:dyDescent="0.2">
      <c r="A2171" s="26">
        <v>6485</v>
      </c>
      <c r="B2171" s="27">
        <v>0.89583333333333337</v>
      </c>
      <c r="C2171" s="28"/>
      <c r="D2171" s="29"/>
      <c r="E2171" s="30" t="s">
        <v>2087</v>
      </c>
      <c r="H2171" s="32">
        <v>0</v>
      </c>
      <c r="I2171" s="32"/>
      <c r="AG2171" s="32">
        <v>0</v>
      </c>
      <c r="AH2171" s="32">
        <v>0</v>
      </c>
      <c r="AI2171" s="32">
        <v>0</v>
      </c>
      <c r="AK2171" s="32">
        <v>0</v>
      </c>
      <c r="AL2171" s="32">
        <v>0</v>
      </c>
      <c r="AP2171" s="32">
        <v>0.5</v>
      </c>
      <c r="AQ2171" s="32" t="s">
        <v>1101</v>
      </c>
      <c r="AU2171">
        <v>2170</v>
      </c>
    </row>
    <row r="2172" spans="1:47" x14ac:dyDescent="0.2">
      <c r="A2172" s="26">
        <v>6485</v>
      </c>
      <c r="B2172" s="27">
        <v>0.90625</v>
      </c>
      <c r="C2172" s="28"/>
      <c r="D2172" s="29"/>
      <c r="E2172" s="102" t="s">
        <v>1102</v>
      </c>
      <c r="H2172" s="32">
        <v>0</v>
      </c>
      <c r="I2172" s="32" t="s">
        <v>1103</v>
      </c>
      <c r="AG2172" s="32">
        <v>0</v>
      </c>
      <c r="AH2172" s="32">
        <v>0</v>
      </c>
      <c r="AI2172" s="32">
        <v>0</v>
      </c>
      <c r="AK2172" s="32">
        <v>0</v>
      </c>
      <c r="AL2172" s="32">
        <v>0.75</v>
      </c>
      <c r="AO2172" s="73" t="s">
        <v>1006</v>
      </c>
      <c r="AP2172" s="32">
        <v>0.75</v>
      </c>
      <c r="AQ2172" s="32" t="s">
        <v>589</v>
      </c>
      <c r="AU2172">
        <v>2171</v>
      </c>
    </row>
    <row r="2173" spans="1:47" x14ac:dyDescent="0.2">
      <c r="A2173" s="26">
        <v>6485</v>
      </c>
      <c r="B2173" s="27">
        <v>0.95138888888888884</v>
      </c>
      <c r="C2173" s="28"/>
      <c r="D2173" s="29"/>
      <c r="E2173" s="30" t="s">
        <v>110</v>
      </c>
      <c r="H2173" s="32">
        <v>0</v>
      </c>
      <c r="I2173" s="32" t="s">
        <v>3587</v>
      </c>
      <c r="AG2173" s="32">
        <v>0</v>
      </c>
      <c r="AH2173" s="32">
        <v>0</v>
      </c>
      <c r="AI2173" s="32">
        <v>0</v>
      </c>
      <c r="AK2173" s="32">
        <v>0</v>
      </c>
      <c r="AL2173" s="32">
        <f>77/60</f>
        <v>1.2833333333333334</v>
      </c>
      <c r="AP2173" s="32">
        <f>77/60</f>
        <v>1.2833333333333334</v>
      </c>
      <c r="AQ2173" s="32" t="s">
        <v>1101</v>
      </c>
      <c r="AU2173">
        <v>2172</v>
      </c>
    </row>
    <row r="2174" spans="1:47" s="115" customFormat="1" x14ac:dyDescent="0.2">
      <c r="A2174" s="158">
        <v>6485</v>
      </c>
      <c r="B2174" s="159">
        <v>0.98402777777777783</v>
      </c>
      <c r="C2174" s="160"/>
      <c r="D2174" s="112"/>
      <c r="E2174" s="161" t="s">
        <v>3155</v>
      </c>
      <c r="F2174" s="108"/>
      <c r="G2174" s="108"/>
      <c r="H2174" s="113">
        <v>0</v>
      </c>
      <c r="I2174" s="113" t="s">
        <v>3156</v>
      </c>
      <c r="J2174" s="108"/>
      <c r="K2174" s="108"/>
      <c r="L2174" s="162"/>
      <c r="M2174" s="108"/>
      <c r="N2174" s="108"/>
      <c r="O2174" s="108"/>
      <c r="P2174" s="108"/>
      <c r="Q2174" s="108"/>
      <c r="R2174" s="108"/>
      <c r="S2174" s="162"/>
      <c r="T2174" s="108"/>
      <c r="U2174" s="108"/>
      <c r="V2174" s="108"/>
      <c r="W2174" s="108"/>
      <c r="X2174" s="108"/>
      <c r="Y2174" s="108"/>
      <c r="Z2174" s="108"/>
      <c r="AA2174" s="163"/>
      <c r="AB2174" s="163"/>
      <c r="AC2174" s="163"/>
      <c r="AD2174" s="164"/>
      <c r="AE2174" s="108"/>
      <c r="AF2174" s="108"/>
      <c r="AG2174" s="113">
        <v>0</v>
      </c>
      <c r="AH2174" s="113">
        <v>0</v>
      </c>
      <c r="AI2174" s="113">
        <v>0</v>
      </c>
      <c r="AJ2174" s="113"/>
      <c r="AK2174" s="113">
        <v>0</v>
      </c>
      <c r="AL2174" s="165">
        <f>0.4*0.767</f>
        <v>0.30680000000000002</v>
      </c>
      <c r="AM2174" s="113"/>
      <c r="AN2174" s="113"/>
      <c r="AO2174" s="113"/>
      <c r="AP2174" s="113">
        <f>46/60</f>
        <v>0.76666666666666672</v>
      </c>
      <c r="AQ2174" s="113" t="s">
        <v>1101</v>
      </c>
      <c r="AR2174" s="113"/>
      <c r="AU2174" s="115">
        <v>2073</v>
      </c>
    </row>
    <row r="2175" spans="1:47" x14ac:dyDescent="0.2">
      <c r="A2175" s="26">
        <v>6485</v>
      </c>
      <c r="B2175" s="27" t="s">
        <v>45</v>
      </c>
      <c r="C2175" s="28"/>
      <c r="D2175" s="29"/>
      <c r="E2175" s="30" t="s">
        <v>1531</v>
      </c>
      <c r="H2175" s="32">
        <v>0</v>
      </c>
      <c r="I2175" s="32" t="s">
        <v>1532</v>
      </c>
      <c r="AG2175" s="32">
        <v>0</v>
      </c>
      <c r="AH2175" s="32">
        <v>0</v>
      </c>
      <c r="AI2175" s="32">
        <v>0</v>
      </c>
      <c r="AK2175" s="32">
        <v>0</v>
      </c>
      <c r="AM2175" s="32">
        <f>498*124</f>
        <v>61752</v>
      </c>
      <c r="AO2175" s="32" t="s">
        <v>1533</v>
      </c>
      <c r="AQ2175" s="32" t="s">
        <v>1101</v>
      </c>
      <c r="AU2175">
        <v>2174</v>
      </c>
    </row>
    <row r="2176" spans="1:47" x14ac:dyDescent="0.2">
      <c r="A2176" s="26">
        <v>6485</v>
      </c>
      <c r="B2176" s="27" t="s">
        <v>45</v>
      </c>
      <c r="C2176" s="28"/>
      <c r="D2176" s="29"/>
      <c r="E2176" s="150" t="s">
        <v>2286</v>
      </c>
      <c r="H2176" s="32">
        <v>0</v>
      </c>
      <c r="I2176" s="32" t="s">
        <v>1824</v>
      </c>
      <c r="AG2176" s="32">
        <v>0</v>
      </c>
      <c r="AH2176" s="32">
        <v>0</v>
      </c>
      <c r="AI2176" s="32">
        <v>0</v>
      </c>
      <c r="AK2176" s="32">
        <v>0</v>
      </c>
      <c r="AM2176" s="32">
        <v>20000</v>
      </c>
      <c r="AO2176" s="73" t="s">
        <v>75</v>
      </c>
      <c r="AQ2176" s="32" t="s">
        <v>589</v>
      </c>
      <c r="AU2176">
        <v>2175</v>
      </c>
    </row>
    <row r="2177" spans="1:47" x14ac:dyDescent="0.2">
      <c r="A2177" s="26">
        <v>6485</v>
      </c>
      <c r="B2177" s="27"/>
      <c r="C2177" s="28"/>
      <c r="D2177" s="29"/>
      <c r="E2177" s="30" t="s">
        <v>2478</v>
      </c>
      <c r="H2177" s="32">
        <v>1</v>
      </c>
      <c r="I2177" s="32" t="s">
        <v>2495</v>
      </c>
      <c r="AG2177" s="32">
        <v>0</v>
      </c>
      <c r="AH2177" s="32">
        <v>5</v>
      </c>
      <c r="AI2177" s="130">
        <f>120000+10000+300000*130/1342</f>
        <v>159061.10283159465</v>
      </c>
      <c r="AK2177" s="32">
        <v>20</v>
      </c>
      <c r="AQ2177" s="32" t="s">
        <v>2496</v>
      </c>
      <c r="AU2177">
        <v>2176</v>
      </c>
    </row>
    <row r="2178" spans="1:47" x14ac:dyDescent="0.2">
      <c r="A2178" s="26">
        <v>6485</v>
      </c>
      <c r="B2178" s="27"/>
      <c r="C2178" s="28"/>
      <c r="D2178" s="29"/>
      <c r="E2178" s="102" t="s">
        <v>1421</v>
      </c>
      <c r="H2178" s="32">
        <v>1</v>
      </c>
      <c r="I2178" s="32" t="s">
        <v>1422</v>
      </c>
      <c r="AK2178" s="32">
        <v>10</v>
      </c>
      <c r="AO2178" s="73"/>
      <c r="AQ2178" s="32" t="s">
        <v>589</v>
      </c>
      <c r="AU2178">
        <v>2177</v>
      </c>
    </row>
    <row r="2179" spans="1:47" x14ac:dyDescent="0.2">
      <c r="A2179" s="26">
        <v>6486</v>
      </c>
      <c r="B2179" s="27">
        <v>3.1944444444444449E-2</v>
      </c>
      <c r="C2179" s="28"/>
      <c r="D2179" s="29"/>
      <c r="E2179" s="30" t="s">
        <v>869</v>
      </c>
      <c r="H2179" s="32">
        <v>0</v>
      </c>
      <c r="I2179" s="32" t="s">
        <v>3588</v>
      </c>
      <c r="AG2179" s="32">
        <v>0</v>
      </c>
      <c r="AH2179" s="32">
        <v>0</v>
      </c>
      <c r="AI2179" s="32">
        <v>0</v>
      </c>
      <c r="AK2179" s="32">
        <v>0</v>
      </c>
      <c r="AL2179" s="32">
        <f>69/60</f>
        <v>1.1499999999999999</v>
      </c>
      <c r="AP2179" s="32">
        <f>69/60</f>
        <v>1.1499999999999999</v>
      </c>
      <c r="AQ2179" s="32" t="s">
        <v>589</v>
      </c>
      <c r="AU2179">
        <v>2178</v>
      </c>
    </row>
    <row r="2180" spans="1:47" s="115" customFormat="1" x14ac:dyDescent="0.2">
      <c r="A2180" s="158">
        <v>6486</v>
      </c>
      <c r="B2180" s="159">
        <v>4.4444444444444446E-2</v>
      </c>
      <c r="C2180" s="160"/>
      <c r="D2180" s="112"/>
      <c r="E2180" s="161" t="s">
        <v>3155</v>
      </c>
      <c r="F2180" s="108"/>
      <c r="G2180" s="108"/>
      <c r="H2180" s="113">
        <v>0</v>
      </c>
      <c r="I2180" s="113" t="s">
        <v>3589</v>
      </c>
      <c r="J2180" s="108"/>
      <c r="K2180" s="108"/>
      <c r="L2180" s="162"/>
      <c r="M2180" s="108"/>
      <c r="N2180" s="108"/>
      <c r="O2180" s="108"/>
      <c r="P2180" s="108"/>
      <c r="Q2180" s="108"/>
      <c r="R2180" s="108"/>
      <c r="S2180" s="162"/>
      <c r="T2180" s="108"/>
      <c r="U2180" s="108"/>
      <c r="V2180" s="108"/>
      <c r="W2180" s="108"/>
      <c r="X2180" s="108"/>
      <c r="Y2180" s="108"/>
      <c r="Z2180" s="108"/>
      <c r="AA2180" s="163"/>
      <c r="AB2180" s="163"/>
      <c r="AC2180" s="163"/>
      <c r="AD2180" s="164"/>
      <c r="AE2180" s="108"/>
      <c r="AF2180" s="108"/>
      <c r="AG2180" s="113">
        <v>0</v>
      </c>
      <c r="AH2180" s="113">
        <v>0</v>
      </c>
      <c r="AI2180" s="113">
        <v>0</v>
      </c>
      <c r="AJ2180" s="113"/>
      <c r="AK2180" s="113">
        <v>0</v>
      </c>
      <c r="AL2180" s="165">
        <f>0.4*0.85</f>
        <v>0.34</v>
      </c>
      <c r="AM2180" s="113"/>
      <c r="AN2180" s="113"/>
      <c r="AO2180" s="113"/>
      <c r="AP2180" s="113">
        <f>51/60</f>
        <v>0.85</v>
      </c>
      <c r="AQ2180" s="113" t="s">
        <v>1101</v>
      </c>
      <c r="AR2180" s="113"/>
      <c r="AU2180" s="115">
        <v>2079</v>
      </c>
    </row>
    <row r="2181" spans="1:47" x14ac:dyDescent="0.2">
      <c r="A2181" s="26">
        <v>6486</v>
      </c>
      <c r="B2181" s="27">
        <v>7.6388888888888895E-2</v>
      </c>
      <c r="C2181" s="28"/>
      <c r="D2181" s="29"/>
      <c r="E2181" s="30" t="s">
        <v>464</v>
      </c>
      <c r="H2181" s="32">
        <v>0</v>
      </c>
      <c r="I2181" s="32" t="s">
        <v>3590</v>
      </c>
      <c r="AG2181" s="32">
        <v>0</v>
      </c>
      <c r="AH2181" s="32">
        <v>0</v>
      </c>
      <c r="AL2181" s="32">
        <f>65/60</f>
        <v>1.0833333333333333</v>
      </c>
      <c r="AO2181" s="32" t="s">
        <v>1898</v>
      </c>
      <c r="AP2181" s="32">
        <f>65/60</f>
        <v>1.0833333333333333</v>
      </c>
      <c r="AQ2181" s="32" t="s">
        <v>1522</v>
      </c>
      <c r="AU2181">
        <v>2180</v>
      </c>
    </row>
    <row r="2182" spans="1:47" x14ac:dyDescent="0.2">
      <c r="A2182" s="26">
        <v>6488</v>
      </c>
      <c r="B2182" s="27">
        <v>0.47430555555555554</v>
      </c>
      <c r="C2182" s="28"/>
      <c r="D2182" s="29"/>
      <c r="E2182" s="30" t="s">
        <v>869</v>
      </c>
      <c r="H2182" s="32">
        <v>0</v>
      </c>
      <c r="I2182" s="32" t="s">
        <v>2344</v>
      </c>
      <c r="AG2182" s="32">
        <v>0</v>
      </c>
      <c r="AH2182" s="32">
        <v>0</v>
      </c>
      <c r="AI2182" s="32">
        <v>0</v>
      </c>
      <c r="AK2182" s="32">
        <v>0</v>
      </c>
      <c r="AL2182" s="32">
        <f>7/60</f>
        <v>0.11666666666666667</v>
      </c>
      <c r="AP2182" s="32">
        <f>7/60</f>
        <v>0.11666666666666667</v>
      </c>
      <c r="AQ2182" s="32" t="s">
        <v>589</v>
      </c>
      <c r="AU2182">
        <v>2181</v>
      </c>
    </row>
    <row r="2183" spans="1:47" x14ac:dyDescent="0.2">
      <c r="A2183" s="26">
        <v>6492</v>
      </c>
      <c r="B2183" s="27" t="s">
        <v>85</v>
      </c>
      <c r="C2183" s="28"/>
      <c r="D2183" s="29"/>
      <c r="E2183" s="30" t="s">
        <v>1285</v>
      </c>
      <c r="H2183" s="32">
        <v>1</v>
      </c>
      <c r="I2183" s="32" t="s">
        <v>3591</v>
      </c>
      <c r="AI2183" s="32">
        <v>8700</v>
      </c>
      <c r="AO2183" s="32" t="s">
        <v>472</v>
      </c>
      <c r="AQ2183" s="32" t="s">
        <v>589</v>
      </c>
      <c r="AU2183">
        <v>2182</v>
      </c>
    </row>
    <row r="2184" spans="1:47" x14ac:dyDescent="0.2">
      <c r="A2184" s="26">
        <v>6494</v>
      </c>
      <c r="B2184" s="27">
        <v>0.96180555555555547</v>
      </c>
      <c r="C2184" s="28"/>
      <c r="D2184" s="29"/>
      <c r="E2184" s="30" t="s">
        <v>464</v>
      </c>
      <c r="H2184" s="32">
        <v>0</v>
      </c>
      <c r="I2184" s="32" t="s">
        <v>3592</v>
      </c>
      <c r="AG2184" s="32">
        <v>0</v>
      </c>
      <c r="AH2184" s="32">
        <v>0</v>
      </c>
      <c r="AL2184" s="32">
        <v>0.75</v>
      </c>
      <c r="AO2184" s="32" t="s">
        <v>1898</v>
      </c>
      <c r="AP2184" s="32">
        <v>0.75</v>
      </c>
      <c r="AQ2184" s="32" t="s">
        <v>1522</v>
      </c>
      <c r="AU2184">
        <v>2183</v>
      </c>
    </row>
    <row r="2185" spans="1:47" x14ac:dyDescent="0.2">
      <c r="A2185" s="26">
        <v>6494</v>
      </c>
      <c r="B2185" s="27">
        <v>0.96527777777777779</v>
      </c>
      <c r="C2185" s="28"/>
      <c r="D2185" s="29"/>
      <c r="E2185" s="30" t="s">
        <v>1282</v>
      </c>
      <c r="H2185" s="32">
        <v>0</v>
      </c>
      <c r="I2185" s="32" t="s">
        <v>3593</v>
      </c>
      <c r="AG2185" s="32">
        <v>0</v>
      </c>
      <c r="AI2185" s="32">
        <v>0</v>
      </c>
      <c r="AK2185" s="32">
        <v>0</v>
      </c>
      <c r="AL2185" s="32">
        <f>10/60</f>
        <v>0.16666666666666666</v>
      </c>
      <c r="AP2185" s="32">
        <f>10/60</f>
        <v>0.16666666666666666</v>
      </c>
      <c r="AQ2185" s="32" t="s">
        <v>1101</v>
      </c>
      <c r="AU2185">
        <v>2184</v>
      </c>
    </row>
    <row r="2186" spans="1:47" x14ac:dyDescent="0.2">
      <c r="A2186" s="37">
        <v>6499</v>
      </c>
      <c r="B2186" s="38" t="s">
        <v>85</v>
      </c>
      <c r="C2186" s="39" t="s">
        <v>1234</v>
      </c>
      <c r="D2186" s="29"/>
      <c r="E2186" s="38" t="s">
        <v>3594</v>
      </c>
      <c r="F2186" s="32"/>
      <c r="G2186" s="47"/>
      <c r="H2186"/>
      <c r="I2186" s="32" t="s">
        <v>3595</v>
      </c>
      <c r="J2186" s="47"/>
      <c r="K2186" s="47"/>
      <c r="L2186" s="48"/>
      <c r="M2186" s="47"/>
      <c r="N2186" s="47"/>
      <c r="O2186" s="47"/>
      <c r="P2186" s="47"/>
      <c r="Q2186" s="47"/>
      <c r="R2186" s="47"/>
      <c r="S2186" s="48"/>
      <c r="T2186" s="47"/>
      <c r="U2186" s="47"/>
      <c r="V2186" s="47"/>
      <c r="W2186" s="47"/>
      <c r="X2186" s="47"/>
      <c r="Y2186" s="47"/>
      <c r="Z2186" s="47" t="s">
        <v>1809</v>
      </c>
      <c r="AA2186" s="49"/>
      <c r="AB2186" s="49"/>
      <c r="AC2186" s="49"/>
      <c r="AD2186" s="50"/>
      <c r="AE2186" s="47" t="s">
        <v>1653</v>
      </c>
      <c r="AF2186" s="47">
        <v>65</v>
      </c>
      <c r="AG2186"/>
      <c r="AH2186"/>
      <c r="AI2186"/>
      <c r="AJ2186"/>
      <c r="AK2186"/>
      <c r="AL2186"/>
      <c r="AM2186"/>
      <c r="AN2186"/>
      <c r="AO2186"/>
      <c r="AP2186"/>
      <c r="AQ2186" t="s">
        <v>3412</v>
      </c>
      <c r="AU2186">
        <v>2185</v>
      </c>
    </row>
    <row r="2187" spans="1:47" x14ac:dyDescent="0.2">
      <c r="A2187" s="13">
        <v>6499</v>
      </c>
      <c r="B2187" s="57" t="s">
        <v>85</v>
      </c>
      <c r="C2187" s="57" t="s">
        <v>332</v>
      </c>
      <c r="D2187" s="29"/>
      <c r="E2187" s="57" t="s">
        <v>609</v>
      </c>
      <c r="F2187" s="31" t="s">
        <v>76</v>
      </c>
      <c r="G2187" s="31" t="s">
        <v>49</v>
      </c>
      <c r="K2187" s="31">
        <v>1144</v>
      </c>
      <c r="S2187" s="33">
        <v>13</v>
      </c>
      <c r="AK2187" s="32">
        <v>52</v>
      </c>
      <c r="AQ2187" s="32" t="s">
        <v>3596</v>
      </c>
      <c r="AU2187">
        <v>2186</v>
      </c>
    </row>
    <row r="2188" spans="1:47" x14ac:dyDescent="0.2">
      <c r="A2188" s="13">
        <v>6499</v>
      </c>
      <c r="B2188" s="57" t="s">
        <v>85</v>
      </c>
      <c r="C2188" s="57" t="s">
        <v>332</v>
      </c>
      <c r="D2188" s="29"/>
      <c r="E2188" s="57" t="s">
        <v>3597</v>
      </c>
      <c r="F2188" s="31" t="s">
        <v>76</v>
      </c>
      <c r="G2188" s="31" t="s">
        <v>49</v>
      </c>
      <c r="K2188" s="31">
        <v>2464</v>
      </c>
      <c r="S2188" s="33">
        <v>8</v>
      </c>
      <c r="AK2188" s="32">
        <v>64</v>
      </c>
      <c r="AQ2188" s="32" t="s">
        <v>3596</v>
      </c>
      <c r="AU2188">
        <v>2187</v>
      </c>
    </row>
    <row r="2189" spans="1:47" x14ac:dyDescent="0.2">
      <c r="A2189" s="13">
        <v>6499</v>
      </c>
      <c r="B2189" s="57" t="s">
        <v>3598</v>
      </c>
      <c r="C2189" s="57" t="s">
        <v>1077</v>
      </c>
      <c r="D2189" s="29"/>
      <c r="E2189" s="57" t="s">
        <v>175</v>
      </c>
      <c r="F2189" s="31" t="s">
        <v>76</v>
      </c>
      <c r="G2189" s="31" t="s">
        <v>49</v>
      </c>
      <c r="K2189" s="31">
        <v>580.79999999999995</v>
      </c>
      <c r="AE2189" s="47" t="s">
        <v>1312</v>
      </c>
      <c r="AF2189" s="31">
        <v>50</v>
      </c>
      <c r="AK2189" s="33">
        <v>12</v>
      </c>
      <c r="AQ2189" s="32" t="s">
        <v>3599</v>
      </c>
      <c r="AU2189">
        <v>2188</v>
      </c>
    </row>
    <row r="2190" spans="1:47" x14ac:dyDescent="0.2">
      <c r="A2190" s="13">
        <v>6499</v>
      </c>
      <c r="B2190" s="57" t="s">
        <v>3598</v>
      </c>
      <c r="C2190" s="57" t="s">
        <v>1077</v>
      </c>
      <c r="D2190" s="29"/>
      <c r="E2190" s="57" t="s">
        <v>649</v>
      </c>
      <c r="F2190" s="31" t="s">
        <v>204</v>
      </c>
      <c r="G2190" s="31" t="s">
        <v>205</v>
      </c>
      <c r="I2190" s="31" t="s">
        <v>3600</v>
      </c>
      <c r="K2190" s="31">
        <v>580.79999999999995</v>
      </c>
      <c r="AE2190" s="47" t="s">
        <v>1312</v>
      </c>
      <c r="AF2190" s="31">
        <v>55</v>
      </c>
      <c r="AK2190" s="33">
        <v>12</v>
      </c>
      <c r="AQ2190" s="32" t="s">
        <v>3599</v>
      </c>
      <c r="AU2190">
        <v>2189</v>
      </c>
    </row>
    <row r="2191" spans="1:47" x14ac:dyDescent="0.2">
      <c r="A2191" s="13">
        <v>6499</v>
      </c>
      <c r="B2191" s="57" t="s">
        <v>3598</v>
      </c>
      <c r="C2191" s="57" t="s">
        <v>1077</v>
      </c>
      <c r="D2191" s="29"/>
      <c r="E2191" s="57" t="s">
        <v>2210</v>
      </c>
      <c r="F2191" s="31" t="s">
        <v>3601</v>
      </c>
      <c r="G2191" s="31" t="s">
        <v>481</v>
      </c>
      <c r="I2191" s="31" t="s">
        <v>3602</v>
      </c>
      <c r="K2191" s="31">
        <v>580.79999999999995</v>
      </c>
      <c r="AE2191" s="47" t="s">
        <v>1312</v>
      </c>
      <c r="AF2191" s="31">
        <v>75</v>
      </c>
      <c r="AK2191" s="33">
        <v>12</v>
      </c>
      <c r="AQ2191" s="32" t="s">
        <v>3599</v>
      </c>
      <c r="AU2191">
        <v>2190</v>
      </c>
    </row>
    <row r="2192" spans="1:47" x14ac:dyDescent="0.2">
      <c r="A2192" s="13">
        <v>6499</v>
      </c>
      <c r="B2192" s="57" t="s">
        <v>3598</v>
      </c>
      <c r="C2192" s="57" t="s">
        <v>1077</v>
      </c>
      <c r="D2192" s="29"/>
      <c r="E2192" s="57" t="s">
        <v>3603</v>
      </c>
      <c r="F2192" s="31" t="s">
        <v>76</v>
      </c>
      <c r="G2192" s="31" t="s">
        <v>49</v>
      </c>
      <c r="K2192" s="31">
        <v>677.6</v>
      </c>
      <c r="AE2192" s="47" t="s">
        <v>1312</v>
      </c>
      <c r="AF2192" s="31">
        <v>45</v>
      </c>
      <c r="AK2192" s="33">
        <v>14</v>
      </c>
      <c r="AQ2192" s="32" t="s">
        <v>3599</v>
      </c>
      <c r="AU2192">
        <v>2191</v>
      </c>
    </row>
    <row r="2193" spans="1:47" x14ac:dyDescent="0.2">
      <c r="A2193" s="13">
        <v>6499</v>
      </c>
      <c r="B2193" s="57" t="s">
        <v>3598</v>
      </c>
      <c r="C2193" s="57" t="s">
        <v>1077</v>
      </c>
      <c r="D2193" s="29"/>
      <c r="E2193" s="57" t="s">
        <v>3604</v>
      </c>
      <c r="F2193" s="31" t="s">
        <v>76</v>
      </c>
      <c r="G2193" s="31" t="s">
        <v>49</v>
      </c>
      <c r="I2193" s="31" t="s">
        <v>3602</v>
      </c>
      <c r="K2193" s="31">
        <v>3388</v>
      </c>
      <c r="AE2193" s="47" t="s">
        <v>1312</v>
      </c>
      <c r="AF2193" s="31">
        <v>70</v>
      </c>
      <c r="AK2193" s="33">
        <v>70</v>
      </c>
      <c r="AQ2193" s="32" t="s">
        <v>3599</v>
      </c>
      <c r="AU2193">
        <v>2192</v>
      </c>
    </row>
    <row r="2194" spans="1:47" x14ac:dyDescent="0.2">
      <c r="A2194" s="13">
        <v>6499</v>
      </c>
      <c r="B2194" s="57" t="s">
        <v>3598</v>
      </c>
      <c r="C2194" s="57" t="s">
        <v>1077</v>
      </c>
      <c r="D2194" s="29"/>
      <c r="E2194" s="57" t="s">
        <v>2207</v>
      </c>
      <c r="F2194" s="31" t="s">
        <v>76</v>
      </c>
      <c r="G2194" s="31" t="s">
        <v>49</v>
      </c>
      <c r="I2194" s="31" t="s">
        <v>3605</v>
      </c>
      <c r="K2194" s="31">
        <v>4791.6000000000004</v>
      </c>
      <c r="AE2194" s="47" t="s">
        <v>1312</v>
      </c>
      <c r="AF2194" s="31">
        <v>100</v>
      </c>
      <c r="AK2194" s="33">
        <v>99</v>
      </c>
      <c r="AQ2194" s="32" t="s">
        <v>3599</v>
      </c>
      <c r="AU2194">
        <v>2193</v>
      </c>
    </row>
    <row r="2195" spans="1:47" x14ac:dyDescent="0.2">
      <c r="A2195" s="13">
        <v>6499</v>
      </c>
      <c r="B2195" s="57" t="s">
        <v>45</v>
      </c>
      <c r="C2195" s="57" t="s">
        <v>1367</v>
      </c>
      <c r="D2195" s="29"/>
      <c r="E2195" s="57" t="s">
        <v>3606</v>
      </c>
      <c r="F2195" s="31" t="s">
        <v>76</v>
      </c>
      <c r="G2195" s="31" t="s">
        <v>49</v>
      </c>
      <c r="I2195" s="31" t="s">
        <v>3602</v>
      </c>
      <c r="K2195" s="31">
        <v>132</v>
      </c>
      <c r="AE2195" s="47" t="s">
        <v>342</v>
      </c>
      <c r="AF2195" s="31">
        <v>45</v>
      </c>
      <c r="AK2195" s="33">
        <v>6</v>
      </c>
      <c r="AQ2195" s="32" t="s">
        <v>3599</v>
      </c>
      <c r="AU2195">
        <v>2194</v>
      </c>
    </row>
    <row r="2196" spans="1:47" x14ac:dyDescent="0.2">
      <c r="A2196" s="13">
        <v>6499</v>
      </c>
      <c r="B2196" s="57" t="s">
        <v>45</v>
      </c>
      <c r="C2196" s="57" t="s">
        <v>1367</v>
      </c>
      <c r="D2196" s="29"/>
      <c r="E2196" s="57" t="s">
        <v>472</v>
      </c>
      <c r="F2196" s="31" t="s">
        <v>3601</v>
      </c>
      <c r="G2196" s="31" t="s">
        <v>481</v>
      </c>
      <c r="I2196" s="31" t="s">
        <v>3602</v>
      </c>
      <c r="K2196" s="31">
        <v>264</v>
      </c>
      <c r="AE2196" s="47" t="s">
        <v>342</v>
      </c>
      <c r="AF2196" s="31">
        <v>60</v>
      </c>
      <c r="AK2196" s="33">
        <v>6</v>
      </c>
      <c r="AQ2196" s="32" t="s">
        <v>3599</v>
      </c>
      <c r="AU2196">
        <v>2195</v>
      </c>
    </row>
    <row r="2197" spans="1:47" x14ac:dyDescent="0.2">
      <c r="A2197" s="13">
        <v>6499</v>
      </c>
      <c r="B2197" s="57" t="s">
        <v>45</v>
      </c>
      <c r="C2197" s="57" t="s">
        <v>1367</v>
      </c>
      <c r="D2197" s="29"/>
      <c r="E2197" s="57" t="s">
        <v>2210</v>
      </c>
      <c r="F2197" s="31" t="s">
        <v>3601</v>
      </c>
      <c r="G2197" s="31" t="s">
        <v>481</v>
      </c>
      <c r="I2197" s="31" t="s">
        <v>3602</v>
      </c>
      <c r="K2197" s="31">
        <v>528</v>
      </c>
      <c r="AE2197" s="47" t="s">
        <v>342</v>
      </c>
      <c r="AF2197" s="31">
        <v>60</v>
      </c>
      <c r="AK2197" s="33">
        <v>12</v>
      </c>
      <c r="AQ2197" s="32" t="s">
        <v>3599</v>
      </c>
      <c r="AU2197">
        <v>2196</v>
      </c>
    </row>
    <row r="2198" spans="1:47" x14ac:dyDescent="0.2">
      <c r="A2198" s="13">
        <v>6499</v>
      </c>
      <c r="B2198" s="57" t="s">
        <v>45</v>
      </c>
      <c r="C2198" s="57" t="s">
        <v>1367</v>
      </c>
      <c r="D2198" s="29"/>
      <c r="E2198" s="57" t="s">
        <v>1764</v>
      </c>
      <c r="F2198" s="31" t="s">
        <v>76</v>
      </c>
      <c r="G2198" s="31" t="s">
        <v>49</v>
      </c>
      <c r="I2198" s="31" t="s">
        <v>3607</v>
      </c>
      <c r="K2198" s="31">
        <v>660</v>
      </c>
      <c r="AE2198" s="47" t="s">
        <v>342</v>
      </c>
      <c r="AF2198" s="31">
        <v>70</v>
      </c>
      <c r="AK2198" s="33">
        <v>30</v>
      </c>
      <c r="AQ2198" s="32" t="s">
        <v>3599</v>
      </c>
      <c r="AU2198">
        <v>2197</v>
      </c>
    </row>
    <row r="2199" spans="1:47" x14ac:dyDescent="0.2">
      <c r="A2199" s="13">
        <v>6499</v>
      </c>
      <c r="B2199" s="57" t="s">
        <v>45</v>
      </c>
      <c r="C2199" s="57" t="s">
        <v>1367</v>
      </c>
      <c r="D2199" s="29"/>
      <c r="E2199" s="39" t="s">
        <v>3367</v>
      </c>
      <c r="F2199" s="31" t="s">
        <v>76</v>
      </c>
      <c r="G2199" s="31" t="s">
        <v>49</v>
      </c>
      <c r="I2199" s="31" t="s">
        <v>3608</v>
      </c>
      <c r="K2199" s="31">
        <v>660</v>
      </c>
      <c r="AE2199" s="47" t="s">
        <v>342</v>
      </c>
      <c r="AF2199" s="31">
        <v>45</v>
      </c>
      <c r="AK2199" s="33">
        <v>30</v>
      </c>
      <c r="AQ2199" s="32" t="s">
        <v>3599</v>
      </c>
      <c r="AU2199">
        <v>2198</v>
      </c>
    </row>
    <row r="2200" spans="1:47" x14ac:dyDescent="0.2">
      <c r="A2200" s="13">
        <v>6499</v>
      </c>
      <c r="B2200" s="57" t="s">
        <v>45</v>
      </c>
      <c r="C2200" s="57" t="s">
        <v>1367</v>
      </c>
      <c r="D2200" s="29"/>
      <c r="E2200" s="57" t="s">
        <v>2199</v>
      </c>
      <c r="F2200" s="31" t="s">
        <v>76</v>
      </c>
      <c r="G2200" s="31" t="s">
        <v>49</v>
      </c>
      <c r="I2200" s="31" t="s">
        <v>3609</v>
      </c>
      <c r="K2200" s="31">
        <v>924</v>
      </c>
      <c r="AE2200" s="47" t="s">
        <v>342</v>
      </c>
      <c r="AF2200" s="31">
        <v>40</v>
      </c>
      <c r="AK2200" s="33">
        <v>36</v>
      </c>
      <c r="AQ2200" s="32" t="s">
        <v>3599</v>
      </c>
      <c r="AU2200">
        <v>2199</v>
      </c>
    </row>
    <row r="2201" spans="1:47" x14ac:dyDescent="0.2">
      <c r="A2201" s="13">
        <v>6499</v>
      </c>
      <c r="B2201" s="57" t="s">
        <v>45</v>
      </c>
      <c r="C2201" s="57" t="s">
        <v>1367</v>
      </c>
      <c r="D2201" s="29"/>
      <c r="E2201" s="57" t="s">
        <v>3604</v>
      </c>
      <c r="F2201" s="31" t="s">
        <v>76</v>
      </c>
      <c r="G2201" s="31" t="s">
        <v>49</v>
      </c>
      <c r="I2201" s="31" t="s">
        <v>3609</v>
      </c>
      <c r="K2201" s="31">
        <v>924</v>
      </c>
      <c r="AE2201" s="47" t="s">
        <v>342</v>
      </c>
      <c r="AF2201" s="31">
        <v>55</v>
      </c>
      <c r="AK2201" s="33">
        <v>36</v>
      </c>
      <c r="AQ2201" s="32" t="s">
        <v>3599</v>
      </c>
      <c r="AU2201">
        <v>2200</v>
      </c>
    </row>
    <row r="2202" spans="1:47" x14ac:dyDescent="0.2">
      <c r="A2202" s="13">
        <v>6499</v>
      </c>
      <c r="B2202" s="57" t="s">
        <v>45</v>
      </c>
      <c r="C2202" s="38" t="s">
        <v>3610</v>
      </c>
      <c r="D2202" s="29"/>
      <c r="E2202" s="38" t="s">
        <v>1764</v>
      </c>
      <c r="F2202" s="31" t="s">
        <v>220</v>
      </c>
      <c r="G2202" s="47" t="s">
        <v>49</v>
      </c>
      <c r="I2202" s="31" t="s">
        <v>3611</v>
      </c>
      <c r="K2202" s="31">
        <f>30*10*2.2</f>
        <v>660</v>
      </c>
      <c r="L2202" s="33">
        <v>1</v>
      </c>
      <c r="S2202" s="33">
        <v>1</v>
      </c>
      <c r="T2202" s="31">
        <v>0</v>
      </c>
      <c r="U2202" s="31">
        <v>0</v>
      </c>
      <c r="V2202" s="31">
        <v>0</v>
      </c>
      <c r="W2202" s="47">
        <f>3300*39.37/12</f>
        <v>10826.749999999998</v>
      </c>
      <c r="Y2202" s="31" t="s">
        <v>51</v>
      </c>
      <c r="Z2202" s="47" t="s">
        <v>1846</v>
      </c>
      <c r="AA2202" s="49"/>
      <c r="AB2202" s="49"/>
      <c r="AC2202" s="49"/>
      <c r="AD2202" s="50">
        <v>2</v>
      </c>
      <c r="AE2202" s="47" t="s">
        <v>342</v>
      </c>
      <c r="AF2202" s="31">
        <v>70</v>
      </c>
      <c r="AK2202" s="33">
        <v>30</v>
      </c>
      <c r="AQ2202" t="s">
        <v>3612</v>
      </c>
      <c r="AU2202">
        <v>2201</v>
      </c>
    </row>
    <row r="2203" spans="1:47" x14ac:dyDescent="0.2">
      <c r="A2203" s="13">
        <v>6499</v>
      </c>
      <c r="B2203" s="57" t="s">
        <v>45</v>
      </c>
      <c r="C2203" s="38" t="s">
        <v>3610</v>
      </c>
      <c r="D2203" s="29"/>
      <c r="E2203" s="38" t="s">
        <v>405</v>
      </c>
      <c r="F2203" s="31" t="s">
        <v>220</v>
      </c>
      <c r="G2203" s="47" t="s">
        <v>49</v>
      </c>
      <c r="I2203" s="31" t="s">
        <v>3613</v>
      </c>
      <c r="K2203" s="31">
        <f>30*10*2.2</f>
        <v>660</v>
      </c>
      <c r="L2203" s="33">
        <v>1</v>
      </c>
      <c r="S2203" s="33">
        <v>1</v>
      </c>
      <c r="T2203" s="31">
        <v>0</v>
      </c>
      <c r="U2203" s="31">
        <v>0</v>
      </c>
      <c r="V2203" s="31">
        <v>0</v>
      </c>
      <c r="W2203" s="47">
        <f>2600*39.37/12</f>
        <v>8530.1666666666661</v>
      </c>
      <c r="Y2203" s="31" t="s">
        <v>51</v>
      </c>
      <c r="Z2203" s="47" t="s">
        <v>1846</v>
      </c>
      <c r="AA2203" s="49"/>
      <c r="AB2203" s="49"/>
      <c r="AC2203" s="49"/>
      <c r="AD2203" s="50">
        <v>2</v>
      </c>
      <c r="AE2203" s="47" t="s">
        <v>342</v>
      </c>
      <c r="AF2203" s="31">
        <v>40</v>
      </c>
      <c r="AK2203" s="33">
        <v>30</v>
      </c>
      <c r="AQ2203" t="s">
        <v>3612</v>
      </c>
      <c r="AU2203">
        <v>2202</v>
      </c>
    </row>
    <row r="2204" spans="1:47" x14ac:dyDescent="0.2">
      <c r="A2204" s="13">
        <v>6499</v>
      </c>
      <c r="B2204" s="57" t="s">
        <v>45</v>
      </c>
      <c r="C2204" s="38" t="s">
        <v>3610</v>
      </c>
      <c r="D2204" s="29"/>
      <c r="E2204" s="38" t="s">
        <v>1168</v>
      </c>
      <c r="F2204" s="31" t="s">
        <v>220</v>
      </c>
      <c r="G2204" s="47" t="s">
        <v>49</v>
      </c>
      <c r="I2204" s="31" t="s">
        <v>3614</v>
      </c>
      <c r="K2204" s="31">
        <f>30*10*2.2</f>
        <v>660</v>
      </c>
      <c r="L2204" s="33">
        <v>1</v>
      </c>
      <c r="S2204" s="33">
        <v>1</v>
      </c>
      <c r="T2204" s="31">
        <v>0</v>
      </c>
      <c r="U2204" s="31">
        <v>0</v>
      </c>
      <c r="V2204" s="31">
        <v>0</v>
      </c>
      <c r="W2204" s="47">
        <f>3100*39.37/12</f>
        <v>10170.583333333332</v>
      </c>
      <c r="Y2204" s="31" t="s">
        <v>51</v>
      </c>
      <c r="Z2204" s="47" t="s">
        <v>1846</v>
      </c>
      <c r="AA2204" s="49"/>
      <c r="AB2204" s="49"/>
      <c r="AC2204" s="49"/>
      <c r="AD2204" s="50">
        <v>1.75</v>
      </c>
      <c r="AE2204" s="47" t="s">
        <v>342</v>
      </c>
      <c r="AF2204" s="47">
        <v>40</v>
      </c>
      <c r="AK2204" s="33">
        <v>30</v>
      </c>
      <c r="AQ2204" t="s">
        <v>3612</v>
      </c>
      <c r="AU2204">
        <v>2203</v>
      </c>
    </row>
    <row r="2205" spans="1:47" x14ac:dyDescent="0.2">
      <c r="A2205" s="13">
        <v>6499</v>
      </c>
      <c r="B2205" s="57" t="s">
        <v>45</v>
      </c>
      <c r="C2205" s="38" t="s">
        <v>3610</v>
      </c>
      <c r="D2205" s="29"/>
      <c r="E2205" s="57" t="s">
        <v>3604</v>
      </c>
      <c r="F2205" s="31" t="s">
        <v>220</v>
      </c>
      <c r="G2205" s="47" t="s">
        <v>49</v>
      </c>
      <c r="I2205" s="31" t="s">
        <v>3615</v>
      </c>
      <c r="K2205" s="31">
        <f>6*50*2.2</f>
        <v>660</v>
      </c>
      <c r="L2205" s="33">
        <v>1</v>
      </c>
      <c r="S2205" s="33">
        <v>1</v>
      </c>
      <c r="T2205" s="31">
        <v>0</v>
      </c>
      <c r="U2205" s="31">
        <v>0</v>
      </c>
      <c r="V2205" s="31">
        <v>0</v>
      </c>
      <c r="W2205" s="47">
        <f>1600*39.37/12</f>
        <v>5249.333333333333</v>
      </c>
      <c r="Y2205" s="31" t="s">
        <v>51</v>
      </c>
      <c r="Z2205" s="47" t="s">
        <v>1846</v>
      </c>
      <c r="AA2205" s="49"/>
      <c r="AB2205" s="49"/>
      <c r="AC2205" s="49"/>
      <c r="AD2205" s="50">
        <v>1.75</v>
      </c>
      <c r="AE2205" s="47" t="s">
        <v>342</v>
      </c>
      <c r="AF2205" s="31">
        <v>55</v>
      </c>
      <c r="AK2205" s="33">
        <v>6</v>
      </c>
      <c r="AQ2205" t="s">
        <v>3612</v>
      </c>
      <c r="AU2205">
        <v>2204</v>
      </c>
    </row>
    <row r="2206" spans="1:47" x14ac:dyDescent="0.2">
      <c r="A2206" s="26">
        <v>6499</v>
      </c>
      <c r="B2206" s="27">
        <v>0.67291666666666661</v>
      </c>
      <c r="C2206" s="28"/>
      <c r="D2206" s="29"/>
      <c r="E2206" s="30" t="s">
        <v>3155</v>
      </c>
      <c r="H2206" s="32">
        <v>0</v>
      </c>
      <c r="I2206" s="32" t="s">
        <v>3156</v>
      </c>
      <c r="AG2206" s="32">
        <v>0</v>
      </c>
      <c r="AH2206" s="32">
        <v>0</v>
      </c>
      <c r="AI2206" s="32">
        <v>0</v>
      </c>
      <c r="AK2206" s="32">
        <v>0</v>
      </c>
      <c r="AP2206" s="32">
        <f>29/60</f>
        <v>0.48333333333333334</v>
      </c>
      <c r="AQ2206" s="32" t="s">
        <v>1101</v>
      </c>
      <c r="AU2206">
        <v>2205</v>
      </c>
    </row>
    <row r="2207" spans="1:47" x14ac:dyDescent="0.2">
      <c r="A2207" s="26">
        <v>6499</v>
      </c>
      <c r="B2207" s="27">
        <v>0.68402777777777779</v>
      </c>
      <c r="C2207" s="28"/>
      <c r="D2207" s="29"/>
      <c r="E2207" s="30" t="s">
        <v>869</v>
      </c>
      <c r="H2207" s="32">
        <v>0</v>
      </c>
      <c r="I2207" s="32" t="s">
        <v>2344</v>
      </c>
      <c r="AG2207" s="32">
        <v>0</v>
      </c>
      <c r="AH2207" s="32">
        <v>0</v>
      </c>
      <c r="AI2207" s="32">
        <v>0</v>
      </c>
      <c r="AK2207" s="32">
        <v>0</v>
      </c>
      <c r="AL2207" s="32">
        <v>0.5</v>
      </c>
      <c r="AP2207" s="32">
        <v>0.5</v>
      </c>
      <c r="AQ2207" s="32" t="s">
        <v>589</v>
      </c>
      <c r="AU2207">
        <v>2206</v>
      </c>
    </row>
    <row r="2208" spans="1:47" x14ac:dyDescent="0.2">
      <c r="A2208" s="26">
        <v>6499</v>
      </c>
      <c r="B2208" s="27">
        <v>0.86111111111111116</v>
      </c>
      <c r="C2208" s="28"/>
      <c r="D2208" s="29"/>
      <c r="E2208" s="30" t="s">
        <v>464</v>
      </c>
      <c r="H2208" s="32">
        <v>1</v>
      </c>
      <c r="I2208" s="32" t="s">
        <v>3616</v>
      </c>
      <c r="AG2208" s="32">
        <v>0</v>
      </c>
      <c r="AH2208" s="32">
        <v>4</v>
      </c>
      <c r="AI2208" s="32">
        <v>3500</v>
      </c>
      <c r="AK2208" s="32">
        <v>13</v>
      </c>
      <c r="AL2208" s="32">
        <f>7+13/60</f>
        <v>7.2166666666666668</v>
      </c>
      <c r="AO2208" s="32" t="s">
        <v>487</v>
      </c>
      <c r="AP2208" s="32">
        <f>7+13/60</f>
        <v>7.2166666666666668</v>
      </c>
      <c r="AQ2208" s="32" t="s">
        <v>3463</v>
      </c>
      <c r="AU2208">
        <v>2207</v>
      </c>
    </row>
    <row r="2209" spans="1:47" x14ac:dyDescent="0.2">
      <c r="A2209" s="26">
        <v>6499</v>
      </c>
      <c r="B2209" s="27">
        <v>0.90277777777777779</v>
      </c>
      <c r="C2209" s="28"/>
      <c r="D2209" s="29"/>
      <c r="E2209" s="30" t="s">
        <v>1124</v>
      </c>
      <c r="H2209" s="32">
        <v>1</v>
      </c>
      <c r="I2209" s="32"/>
      <c r="AG2209" s="32">
        <v>0</v>
      </c>
      <c r="AH2209" s="32">
        <v>0</v>
      </c>
      <c r="AK2209" s="32">
        <v>4</v>
      </c>
      <c r="AL2209" s="32">
        <v>5</v>
      </c>
      <c r="AO2209" s="46" t="s">
        <v>1126</v>
      </c>
      <c r="AP2209" s="32">
        <v>5</v>
      </c>
      <c r="AQ2209" s="32" t="s">
        <v>589</v>
      </c>
      <c r="AU2209">
        <v>2208</v>
      </c>
    </row>
    <row r="2210" spans="1:47" x14ac:dyDescent="0.2">
      <c r="A2210" s="26">
        <v>6499</v>
      </c>
      <c r="B2210" s="27" t="s">
        <v>45</v>
      </c>
      <c r="C2210" s="28"/>
      <c r="D2210" s="29"/>
      <c r="E2210" s="30" t="s">
        <v>1531</v>
      </c>
      <c r="H2210" s="32">
        <v>0</v>
      </c>
      <c r="I2210" s="32" t="s">
        <v>1532</v>
      </c>
      <c r="AG2210" s="32">
        <v>0</v>
      </c>
      <c r="AH2210" s="32">
        <v>0</v>
      </c>
      <c r="AI2210" s="32">
        <v>0</v>
      </c>
      <c r="AK2210" s="32">
        <v>0</v>
      </c>
      <c r="AM2210" s="32">
        <f>498*52</f>
        <v>25896</v>
      </c>
      <c r="AO2210" s="32" t="s">
        <v>1533</v>
      </c>
      <c r="AQ2210" s="32" t="s">
        <v>1101</v>
      </c>
      <c r="AU2210">
        <v>2209</v>
      </c>
    </row>
    <row r="2211" spans="1:47" x14ac:dyDescent="0.2">
      <c r="A2211" s="26">
        <v>6499</v>
      </c>
      <c r="B2211" s="27" t="s">
        <v>45</v>
      </c>
      <c r="C2211" s="28"/>
      <c r="D2211" s="29"/>
      <c r="E2211" s="150" t="s">
        <v>2286</v>
      </c>
      <c r="H2211" s="32">
        <v>0</v>
      </c>
      <c r="I2211" s="32" t="s">
        <v>1824</v>
      </c>
      <c r="AG2211" s="32">
        <v>0</v>
      </c>
      <c r="AH2211" s="32">
        <v>0</v>
      </c>
      <c r="AI2211" s="32">
        <v>0</v>
      </c>
      <c r="AK2211" s="32">
        <v>0</v>
      </c>
      <c r="AM2211" s="32">
        <v>7500</v>
      </c>
      <c r="AO2211" s="73" t="s">
        <v>75</v>
      </c>
      <c r="AQ2211" s="32" t="s">
        <v>589</v>
      </c>
      <c r="AU2211">
        <v>2210</v>
      </c>
    </row>
    <row r="2212" spans="1:47" x14ac:dyDescent="0.2">
      <c r="A2212" s="133">
        <v>6500</v>
      </c>
      <c r="B2212" s="39" t="s">
        <v>85</v>
      </c>
      <c r="C2212" s="39">
        <v>55</v>
      </c>
      <c r="D2212" s="29" t="b">
        <v>0</v>
      </c>
      <c r="E2212" s="39" t="s">
        <v>858</v>
      </c>
      <c r="F2212" s="47" t="s">
        <v>3617</v>
      </c>
      <c r="G2212" s="47" t="s">
        <v>481</v>
      </c>
      <c r="H2212"/>
      <c r="I2212" s="47" t="b">
        <v>0</v>
      </c>
      <c r="J2212" s="47" t="b">
        <v>1</v>
      </c>
      <c r="K2212" s="47">
        <v>1792</v>
      </c>
      <c r="L2212" s="48">
        <v>11</v>
      </c>
      <c r="M2212" s="47">
        <v>0</v>
      </c>
      <c r="N2212" s="47">
        <v>0</v>
      </c>
      <c r="O2212" s="47">
        <v>0</v>
      </c>
      <c r="P2212" s="47">
        <v>0</v>
      </c>
      <c r="Q2212" s="47">
        <v>0</v>
      </c>
      <c r="R2212" s="47">
        <v>0</v>
      </c>
      <c r="S2212" s="48">
        <v>8</v>
      </c>
      <c r="T2212" s="47">
        <v>0</v>
      </c>
      <c r="U2212" s="47">
        <v>0</v>
      </c>
      <c r="V2212" s="47">
        <v>0</v>
      </c>
      <c r="W2212" s="47"/>
      <c r="X2212" s="47">
        <v>351</v>
      </c>
      <c r="Y2212" s="47"/>
      <c r="Z2212" s="47" t="s">
        <v>3618</v>
      </c>
      <c r="AA2212" s="49"/>
      <c r="AB2212" s="49"/>
      <c r="AC2212" s="49"/>
      <c r="AD2212" s="50"/>
      <c r="AE2212" s="47" t="s">
        <v>1312</v>
      </c>
      <c r="AF2212" s="47">
        <v>105</v>
      </c>
      <c r="AG2212"/>
      <c r="AH2212"/>
      <c r="AI2212"/>
      <c r="AJ2212"/>
      <c r="AK2212"/>
      <c r="AL2212"/>
      <c r="AM2212"/>
      <c r="AN2212"/>
      <c r="AO2212"/>
      <c r="AP2212"/>
      <c r="AQ2212" t="s">
        <v>2526</v>
      </c>
      <c r="AU2212">
        <v>2211</v>
      </c>
    </row>
    <row r="2213" spans="1:47" x14ac:dyDescent="0.2">
      <c r="A2213" s="133">
        <v>6500</v>
      </c>
      <c r="B2213" s="39" t="s">
        <v>85</v>
      </c>
      <c r="C2213" s="39" t="s">
        <v>3619</v>
      </c>
      <c r="D2213" s="29"/>
      <c r="E2213" s="39" t="s">
        <v>631</v>
      </c>
      <c r="F2213" s="31" t="s">
        <v>3620</v>
      </c>
      <c r="G2213" s="47" t="s">
        <v>722</v>
      </c>
      <c r="H2213"/>
      <c r="I2213" s="47" t="s">
        <v>3621</v>
      </c>
      <c r="J2213" s="47"/>
      <c r="K2213" s="47">
        <f>60*2.2</f>
        <v>132</v>
      </c>
      <c r="L2213" s="48">
        <v>1</v>
      </c>
      <c r="M2213" s="47"/>
      <c r="N2213" s="47"/>
      <c r="O2213" s="47"/>
      <c r="P2213" s="47"/>
      <c r="Q2213" s="47"/>
      <c r="R2213" s="47"/>
      <c r="S2213" s="48">
        <v>1</v>
      </c>
      <c r="T2213" s="47">
        <v>0</v>
      </c>
      <c r="U2213" s="47">
        <v>0</v>
      </c>
      <c r="V2213" s="47">
        <v>0</v>
      </c>
      <c r="W2213" s="47"/>
      <c r="X2213" s="47"/>
      <c r="Y2213" s="47"/>
      <c r="Z2213" s="47" t="s">
        <v>1809</v>
      </c>
      <c r="AA2213" s="49"/>
      <c r="AB2213" s="49"/>
      <c r="AC2213" s="49"/>
      <c r="AD2213" s="50"/>
      <c r="AE2213" s="47" t="s">
        <v>1653</v>
      </c>
      <c r="AF2213" s="47">
        <v>120</v>
      </c>
      <c r="AG2213"/>
      <c r="AH2213"/>
      <c r="AI2213"/>
      <c r="AJ2213"/>
      <c r="AK2213" s="33">
        <v>2</v>
      </c>
      <c r="AL2213"/>
      <c r="AM2213"/>
      <c r="AN2213"/>
      <c r="AO2213"/>
      <c r="AP2213"/>
      <c r="AQ2213" t="s">
        <v>3622</v>
      </c>
      <c r="AU2213">
        <v>2212</v>
      </c>
    </row>
    <row r="2214" spans="1:47" x14ac:dyDescent="0.2">
      <c r="A2214" s="133">
        <v>6500</v>
      </c>
      <c r="B2214" s="39" t="s">
        <v>85</v>
      </c>
      <c r="C2214" s="39" t="s">
        <v>2689</v>
      </c>
      <c r="D2214" s="29"/>
      <c r="E2214" s="39" t="s">
        <v>3542</v>
      </c>
      <c r="F2214" s="31" t="s">
        <v>3620</v>
      </c>
      <c r="G2214" s="47" t="s">
        <v>722</v>
      </c>
      <c r="H2214"/>
      <c r="I2214" s="47" t="s">
        <v>3621</v>
      </c>
      <c r="J2214" s="47"/>
      <c r="K2214" s="47">
        <f>60*2.2</f>
        <v>132</v>
      </c>
      <c r="L2214" s="48">
        <v>1</v>
      </c>
      <c r="M2214" s="47"/>
      <c r="N2214" s="47"/>
      <c r="O2214" s="47"/>
      <c r="P2214" s="47"/>
      <c r="Q2214" s="47"/>
      <c r="R2214" s="47"/>
      <c r="S2214" s="48">
        <v>1</v>
      </c>
      <c r="T2214" s="47">
        <v>0</v>
      </c>
      <c r="U2214" s="47">
        <v>0</v>
      </c>
      <c r="V2214" s="47">
        <v>0</v>
      </c>
      <c r="W2214" s="47"/>
      <c r="X2214" s="47"/>
      <c r="Y2214" s="47"/>
      <c r="Z2214" s="47" t="s">
        <v>1809</v>
      </c>
      <c r="AA2214" s="49"/>
      <c r="AB2214" s="49"/>
      <c r="AC2214" s="49"/>
      <c r="AD2214" s="50"/>
      <c r="AE2214" s="47" t="s">
        <v>1810</v>
      </c>
      <c r="AF2214" s="47">
        <v>150</v>
      </c>
      <c r="AG2214"/>
      <c r="AH2214"/>
      <c r="AI2214"/>
      <c r="AJ2214"/>
      <c r="AK2214" s="33">
        <v>2</v>
      </c>
      <c r="AL2214"/>
      <c r="AM2214"/>
      <c r="AN2214"/>
      <c r="AO2214"/>
      <c r="AP2214"/>
      <c r="AQ2214" t="s">
        <v>3622</v>
      </c>
      <c r="AU2214">
        <v>2213</v>
      </c>
    </row>
    <row r="2215" spans="1:47" x14ac:dyDescent="0.2">
      <c r="A2215" s="13">
        <v>6500</v>
      </c>
      <c r="B2215" s="57" t="s">
        <v>85</v>
      </c>
      <c r="C2215" s="57" t="s">
        <v>332</v>
      </c>
      <c r="D2215" s="29"/>
      <c r="E2215" s="57" t="s">
        <v>3623</v>
      </c>
      <c r="F2215" s="31" t="s">
        <v>76</v>
      </c>
      <c r="G2215" s="31" t="s">
        <v>49</v>
      </c>
      <c r="K2215" s="31">
        <v>792</v>
      </c>
      <c r="S2215" s="33">
        <v>9</v>
      </c>
      <c r="AK2215" s="32">
        <v>36</v>
      </c>
      <c r="AQ2215" s="32" t="s">
        <v>3596</v>
      </c>
      <c r="AU2215">
        <v>2214</v>
      </c>
    </row>
    <row r="2216" spans="1:47" x14ac:dyDescent="0.2">
      <c r="A2216" s="13">
        <v>6500</v>
      </c>
      <c r="B2216" s="57" t="s">
        <v>85</v>
      </c>
      <c r="C2216" s="57" t="s">
        <v>332</v>
      </c>
      <c r="D2216" s="29"/>
      <c r="E2216" s="57" t="s">
        <v>3624</v>
      </c>
      <c r="F2216" s="31" t="s">
        <v>76</v>
      </c>
      <c r="G2216" s="31" t="s">
        <v>49</v>
      </c>
      <c r="K2216" s="31">
        <v>2332</v>
      </c>
      <c r="S2216" s="33">
        <v>8</v>
      </c>
      <c r="AK2216" s="32">
        <v>58</v>
      </c>
      <c r="AQ2216" s="32" t="s">
        <v>3596</v>
      </c>
      <c r="AU2216">
        <v>2215</v>
      </c>
    </row>
    <row r="2217" spans="1:47" x14ac:dyDescent="0.2">
      <c r="A2217" s="13">
        <v>6500</v>
      </c>
      <c r="B2217" s="57" t="s">
        <v>3598</v>
      </c>
      <c r="C2217" s="57" t="s">
        <v>1077</v>
      </c>
      <c r="D2217" s="29"/>
      <c r="E2217" s="57" t="s">
        <v>3625</v>
      </c>
      <c r="F2217" s="31" t="s">
        <v>3601</v>
      </c>
      <c r="G2217" s="31" t="s">
        <v>481</v>
      </c>
      <c r="K2217" s="31">
        <v>580.79999999999995</v>
      </c>
      <c r="AE2217" s="47" t="s">
        <v>1312</v>
      </c>
      <c r="AF2217" s="31">
        <v>55</v>
      </c>
      <c r="AK2217" s="33">
        <v>12</v>
      </c>
      <c r="AQ2217" s="32" t="s">
        <v>3599</v>
      </c>
      <c r="AU2217">
        <v>2216</v>
      </c>
    </row>
    <row r="2218" spans="1:47" x14ac:dyDescent="0.2">
      <c r="A2218" s="13">
        <v>6500</v>
      </c>
      <c r="B2218" s="57" t="s">
        <v>3598</v>
      </c>
      <c r="C2218" s="57" t="s">
        <v>1077</v>
      </c>
      <c r="D2218" s="29"/>
      <c r="E2218" s="57" t="s">
        <v>3603</v>
      </c>
      <c r="F2218" s="31" t="s">
        <v>76</v>
      </c>
      <c r="G2218" s="31" t="s">
        <v>49</v>
      </c>
      <c r="K2218" s="31">
        <v>774.4</v>
      </c>
      <c r="AE2218" s="47" t="s">
        <v>1312</v>
      </c>
      <c r="AF2218" s="31">
        <v>45</v>
      </c>
      <c r="AK2218" s="33">
        <v>16</v>
      </c>
      <c r="AQ2218" s="32" t="s">
        <v>3599</v>
      </c>
      <c r="AU2218">
        <v>2217</v>
      </c>
    </row>
    <row r="2219" spans="1:47" x14ac:dyDescent="0.2">
      <c r="A2219" s="13">
        <v>6500</v>
      </c>
      <c r="B2219" s="57" t="s">
        <v>3598</v>
      </c>
      <c r="C2219" s="57" t="s">
        <v>1077</v>
      </c>
      <c r="D2219" s="29"/>
      <c r="E2219" s="57" t="s">
        <v>3606</v>
      </c>
      <c r="F2219" s="31" t="s">
        <v>76</v>
      </c>
      <c r="G2219" s="31" t="s">
        <v>49</v>
      </c>
      <c r="I2219" s="31" t="s">
        <v>3602</v>
      </c>
      <c r="K2219" s="31">
        <v>1161.5999999999999</v>
      </c>
      <c r="AE2219" s="47" t="s">
        <v>1312</v>
      </c>
      <c r="AF2219" s="31">
        <v>65</v>
      </c>
      <c r="AK2219" s="33">
        <v>24</v>
      </c>
      <c r="AQ2219" s="32" t="s">
        <v>3599</v>
      </c>
      <c r="AU2219">
        <v>2218</v>
      </c>
    </row>
    <row r="2220" spans="1:47" x14ac:dyDescent="0.2">
      <c r="A2220" s="13">
        <v>6500</v>
      </c>
      <c r="B2220" s="57" t="s">
        <v>3598</v>
      </c>
      <c r="C2220" s="57" t="s">
        <v>1077</v>
      </c>
      <c r="D2220" s="29"/>
      <c r="E2220" s="57" t="s">
        <v>3604</v>
      </c>
      <c r="F2220" s="31" t="s">
        <v>76</v>
      </c>
      <c r="G2220" s="31" t="s">
        <v>49</v>
      </c>
      <c r="I2220" s="31" t="s">
        <v>3602</v>
      </c>
      <c r="K2220" s="31">
        <v>1839.2</v>
      </c>
      <c r="AE2220" s="47" t="s">
        <v>1312</v>
      </c>
      <c r="AF2220" s="31">
        <v>70</v>
      </c>
      <c r="AK2220" s="33">
        <v>38</v>
      </c>
      <c r="AQ2220" s="32" t="s">
        <v>3599</v>
      </c>
      <c r="AU2220">
        <v>2219</v>
      </c>
    </row>
    <row r="2221" spans="1:47" x14ac:dyDescent="0.2">
      <c r="A2221" s="13">
        <v>6500</v>
      </c>
      <c r="B2221" s="57" t="s">
        <v>3598</v>
      </c>
      <c r="C2221" s="57" t="s">
        <v>1077</v>
      </c>
      <c r="D2221" s="29"/>
      <c r="E2221" s="57" t="s">
        <v>3626</v>
      </c>
      <c r="F2221" s="31" t="s">
        <v>76</v>
      </c>
      <c r="G2221" s="31" t="s">
        <v>49</v>
      </c>
      <c r="K2221" s="31">
        <v>2032.8</v>
      </c>
      <c r="AE2221" s="47" t="s">
        <v>1312</v>
      </c>
      <c r="AF2221" s="31">
        <v>50</v>
      </c>
      <c r="AK2221" s="33">
        <v>42</v>
      </c>
      <c r="AQ2221" s="32" t="s">
        <v>3599</v>
      </c>
      <c r="AU2221">
        <v>2220</v>
      </c>
    </row>
    <row r="2222" spans="1:47" x14ac:dyDescent="0.2">
      <c r="A2222" s="13">
        <v>6500</v>
      </c>
      <c r="B2222" s="57" t="s">
        <v>3598</v>
      </c>
      <c r="C2222" s="57" t="s">
        <v>1077</v>
      </c>
      <c r="D2222" s="29"/>
      <c r="E2222" s="57" t="s">
        <v>2199</v>
      </c>
      <c r="F2222" s="31" t="s">
        <v>76</v>
      </c>
      <c r="G2222" s="31" t="s">
        <v>49</v>
      </c>
      <c r="I2222" s="31" t="s">
        <v>3605</v>
      </c>
      <c r="K2222" s="31">
        <v>5308.6</v>
      </c>
      <c r="AE2222" s="47" t="s">
        <v>1312</v>
      </c>
      <c r="AF2222" s="47">
        <v>60</v>
      </c>
      <c r="AK2222" s="33">
        <v>214</v>
      </c>
      <c r="AQ2222" s="32" t="s">
        <v>3599</v>
      </c>
      <c r="AU2222">
        <v>2221</v>
      </c>
    </row>
    <row r="2223" spans="1:47" x14ac:dyDescent="0.2">
      <c r="A2223" s="13">
        <v>6500</v>
      </c>
      <c r="B2223" s="57" t="s">
        <v>45</v>
      </c>
      <c r="C2223" s="57" t="s">
        <v>1367</v>
      </c>
      <c r="D2223" s="29"/>
      <c r="E2223" s="57" t="s">
        <v>2210</v>
      </c>
      <c r="F2223" s="31" t="s">
        <v>3601</v>
      </c>
      <c r="G2223" s="31" t="s">
        <v>481</v>
      </c>
      <c r="I2223" s="31" t="s">
        <v>3602</v>
      </c>
      <c r="K2223" s="31">
        <v>1056</v>
      </c>
      <c r="AE2223" s="47" t="s">
        <v>342</v>
      </c>
      <c r="AF2223" s="31">
        <v>60</v>
      </c>
      <c r="AK2223" s="33">
        <v>24</v>
      </c>
      <c r="AQ2223" s="32" t="s">
        <v>3599</v>
      </c>
      <c r="AU2223">
        <v>2222</v>
      </c>
    </row>
    <row r="2224" spans="1:47" x14ac:dyDescent="0.2">
      <c r="A2224" s="13">
        <v>6500</v>
      </c>
      <c r="B2224" s="57" t="s">
        <v>45</v>
      </c>
      <c r="C2224" s="38" t="s">
        <v>3610</v>
      </c>
      <c r="D2224" s="29"/>
      <c r="E2224" s="57" t="s">
        <v>1764</v>
      </c>
      <c r="F2224" s="31" t="s">
        <v>76</v>
      </c>
      <c r="G2224" s="31" t="s">
        <v>49</v>
      </c>
      <c r="I2224" s="31" t="s">
        <v>3627</v>
      </c>
      <c r="K2224" s="135">
        <f>2*30*10*2.2+6*50*2.2</f>
        <v>1980</v>
      </c>
      <c r="L2224" s="33">
        <v>3</v>
      </c>
      <c r="S2224" s="33">
        <v>3</v>
      </c>
      <c r="T2224" s="31">
        <v>0</v>
      </c>
      <c r="U2224" s="31">
        <v>0</v>
      </c>
      <c r="V2224" s="31">
        <v>0</v>
      </c>
      <c r="W2224" s="47">
        <f>((3000+3200+3400)/3)*39.37/12</f>
        <v>10498.666666666666</v>
      </c>
      <c r="Y2224" s="31" t="s">
        <v>51</v>
      </c>
      <c r="Z2224" s="47" t="s">
        <v>1846</v>
      </c>
      <c r="AA2224" s="49"/>
      <c r="AB2224" s="49"/>
      <c r="AC2224" s="49"/>
      <c r="AD2224" s="50">
        <f>2+25/60</f>
        <v>2.4166666666666665</v>
      </c>
      <c r="AE2224" s="47" t="s">
        <v>342</v>
      </c>
      <c r="AF2224" s="31">
        <v>70</v>
      </c>
      <c r="AK2224" s="135">
        <f>30+30+6</f>
        <v>66</v>
      </c>
      <c r="AQ2224" s="32" t="s">
        <v>3628</v>
      </c>
      <c r="AU2224">
        <v>2223</v>
      </c>
    </row>
    <row r="2225" spans="1:47" x14ac:dyDescent="0.2">
      <c r="A2225" s="13">
        <v>6500</v>
      </c>
      <c r="B2225" s="57" t="s">
        <v>45</v>
      </c>
      <c r="C2225" s="57" t="s">
        <v>1367</v>
      </c>
      <c r="D2225" s="29"/>
      <c r="E2225" s="57" t="s">
        <v>2199</v>
      </c>
      <c r="F2225" s="31" t="s">
        <v>76</v>
      </c>
      <c r="G2225" s="31" t="s">
        <v>49</v>
      </c>
      <c r="I2225" s="31" t="s">
        <v>3602</v>
      </c>
      <c r="K2225" s="31">
        <v>2662</v>
      </c>
      <c r="AE2225" s="47" t="s">
        <v>342</v>
      </c>
      <c r="AF2225" s="31">
        <v>40</v>
      </c>
      <c r="AK2225" s="33">
        <v>29</v>
      </c>
      <c r="AQ2225" s="32" t="s">
        <v>3599</v>
      </c>
      <c r="AU2225">
        <v>2224</v>
      </c>
    </row>
    <row r="2226" spans="1:47" x14ac:dyDescent="0.2">
      <c r="A2226" s="26">
        <v>6500</v>
      </c>
      <c r="B2226" s="27">
        <v>0.64930555555555558</v>
      </c>
      <c r="C2226" s="28"/>
      <c r="D2226" s="29"/>
      <c r="E2226" s="30" t="s">
        <v>869</v>
      </c>
      <c r="H2226" s="32">
        <v>0</v>
      </c>
      <c r="I2226" s="32" t="s">
        <v>2344</v>
      </c>
      <c r="AG2226" s="32">
        <v>0</v>
      </c>
      <c r="AH2226" s="32">
        <v>0</v>
      </c>
      <c r="AI2226" s="32">
        <v>0</v>
      </c>
      <c r="AK2226" s="32">
        <v>0</v>
      </c>
      <c r="AL2226" s="32">
        <v>0.75</v>
      </c>
      <c r="AP2226" s="32">
        <v>0.75</v>
      </c>
      <c r="AQ2226" s="32" t="s">
        <v>589</v>
      </c>
      <c r="AU2226">
        <v>2225</v>
      </c>
    </row>
    <row r="2227" spans="1:47" x14ac:dyDescent="0.2">
      <c r="A2227" s="26">
        <v>6500</v>
      </c>
      <c r="B2227" s="27">
        <v>0.79166666666666663</v>
      </c>
      <c r="C2227" s="28"/>
      <c r="D2227" s="29"/>
      <c r="E2227" s="30" t="s">
        <v>464</v>
      </c>
      <c r="H2227" s="32">
        <v>1</v>
      </c>
      <c r="I2227" s="32" t="s">
        <v>3629</v>
      </c>
      <c r="AG2227" s="32">
        <v>0</v>
      </c>
      <c r="AH2227" s="32">
        <v>3</v>
      </c>
      <c r="AK2227" s="32">
        <v>21</v>
      </c>
      <c r="AL2227" s="32">
        <f>4+28/60</f>
        <v>4.4666666666666668</v>
      </c>
      <c r="AO2227" s="32" t="s">
        <v>3630</v>
      </c>
      <c r="AP2227" s="32">
        <f>4+28/60</f>
        <v>4.4666666666666668</v>
      </c>
      <c r="AQ2227" s="32" t="s">
        <v>3463</v>
      </c>
      <c r="AU2227">
        <v>2226</v>
      </c>
    </row>
    <row r="2228" spans="1:47" x14ac:dyDescent="0.2">
      <c r="A2228" s="26">
        <v>6500</v>
      </c>
      <c r="B2228" s="27">
        <v>0.83680555555555547</v>
      </c>
      <c r="C2228" s="28"/>
      <c r="D2228" s="29"/>
      <c r="E2228" s="30" t="s">
        <v>1282</v>
      </c>
      <c r="H2228" s="32">
        <v>0</v>
      </c>
      <c r="I2228" s="32" t="s">
        <v>3631</v>
      </c>
      <c r="AG2228" s="32">
        <v>0</v>
      </c>
      <c r="AH2228" s="32">
        <v>0</v>
      </c>
      <c r="AI2228" s="32">
        <v>0</v>
      </c>
      <c r="AK2228" s="32">
        <v>0</v>
      </c>
      <c r="AL2228" s="32">
        <f>2+55/60</f>
        <v>2.9166666666666665</v>
      </c>
      <c r="AP2228" s="32">
        <f>2+55/60</f>
        <v>2.9166666666666665</v>
      </c>
      <c r="AQ2228" s="32" t="s">
        <v>1101</v>
      </c>
      <c r="AU2228">
        <v>2227</v>
      </c>
    </row>
    <row r="2229" spans="1:47" x14ac:dyDescent="0.2">
      <c r="A2229" s="26">
        <v>6500</v>
      </c>
      <c r="B2229" s="27" t="s">
        <v>85</v>
      </c>
      <c r="C2229" s="28"/>
      <c r="D2229" s="29"/>
      <c r="E2229" s="30" t="s">
        <v>858</v>
      </c>
      <c r="H2229" s="32">
        <v>1</v>
      </c>
      <c r="I2229" s="32" t="s">
        <v>3632</v>
      </c>
      <c r="AG2229" s="32">
        <v>0</v>
      </c>
      <c r="AH2229" s="32">
        <v>0</v>
      </c>
      <c r="AI2229" s="32">
        <v>53000</v>
      </c>
      <c r="AQ2229" s="32">
        <v>438</v>
      </c>
      <c r="AU2229">
        <v>2228</v>
      </c>
    </row>
    <row r="2230" spans="1:47" x14ac:dyDescent="0.2">
      <c r="A2230" s="26">
        <v>6500</v>
      </c>
      <c r="B2230" s="27" t="s">
        <v>85</v>
      </c>
      <c r="C2230" s="28"/>
      <c r="D2230" s="29"/>
      <c r="E2230" s="72" t="s">
        <v>872</v>
      </c>
      <c r="H2230" s="32">
        <v>1</v>
      </c>
      <c r="I2230" s="32" t="s">
        <v>3633</v>
      </c>
      <c r="AG2230" s="32">
        <v>5</v>
      </c>
      <c r="AH2230" s="32">
        <v>9</v>
      </c>
      <c r="AI2230" s="32">
        <v>17500</v>
      </c>
      <c r="AK2230" s="32">
        <v>3</v>
      </c>
      <c r="AO2230" s="73" t="s">
        <v>858</v>
      </c>
      <c r="AQ2230" s="32">
        <v>439</v>
      </c>
      <c r="AU2230">
        <v>2229</v>
      </c>
    </row>
    <row r="2231" spans="1:47" x14ac:dyDescent="0.2">
      <c r="A2231" s="26">
        <v>6500</v>
      </c>
      <c r="B2231" s="27" t="s">
        <v>45</v>
      </c>
      <c r="C2231" s="28"/>
      <c r="D2231" s="29"/>
      <c r="E2231" s="30" t="s">
        <v>1531</v>
      </c>
      <c r="H2231" s="32">
        <v>0</v>
      </c>
      <c r="I2231" s="32" t="s">
        <v>1532</v>
      </c>
      <c r="AG2231" s="32">
        <v>0</v>
      </c>
      <c r="AH2231" s="32">
        <v>0</v>
      </c>
      <c r="AI2231" s="32">
        <v>0</v>
      </c>
      <c r="AK2231" s="32">
        <v>0</v>
      </c>
      <c r="AM2231" s="32">
        <f>498*35</f>
        <v>17430</v>
      </c>
      <c r="AO2231" s="32" t="s">
        <v>1533</v>
      </c>
      <c r="AQ2231" s="32" t="s">
        <v>1101</v>
      </c>
      <c r="AU2231">
        <v>2230</v>
      </c>
    </row>
    <row r="2232" spans="1:47" x14ac:dyDescent="0.2">
      <c r="A2232" s="26">
        <v>6500</v>
      </c>
      <c r="B2232" s="27" t="s">
        <v>45</v>
      </c>
      <c r="C2232" s="28"/>
      <c r="D2232" s="29"/>
      <c r="E2232" s="150" t="s">
        <v>2286</v>
      </c>
      <c r="H2232" s="32">
        <v>0</v>
      </c>
      <c r="I2232" s="32" t="s">
        <v>1824</v>
      </c>
      <c r="AG2232" s="32">
        <v>0</v>
      </c>
      <c r="AH2232" s="32">
        <v>0</v>
      </c>
      <c r="AI2232" s="32">
        <v>0</v>
      </c>
      <c r="AK2232" s="32">
        <v>0</v>
      </c>
      <c r="AM2232" s="32">
        <v>7500</v>
      </c>
      <c r="AO2232" s="73" t="s">
        <v>75</v>
      </c>
      <c r="AQ2232" s="32" t="s">
        <v>589</v>
      </c>
      <c r="AU2232">
        <v>2231</v>
      </c>
    </row>
    <row r="2233" spans="1:47" x14ac:dyDescent="0.2">
      <c r="A2233" s="26">
        <v>6500</v>
      </c>
      <c r="B2233" s="27"/>
      <c r="C2233" s="28"/>
      <c r="D2233" s="29"/>
      <c r="E2233" s="102" t="s">
        <v>1421</v>
      </c>
      <c r="H2233" s="32">
        <v>1</v>
      </c>
      <c r="I2233" s="32" t="s">
        <v>1422</v>
      </c>
      <c r="AK2233" s="32">
        <v>8</v>
      </c>
      <c r="AO2233" s="73"/>
      <c r="AQ2233" s="32" t="s">
        <v>589</v>
      </c>
      <c r="AU2233">
        <v>2232</v>
      </c>
    </row>
    <row r="2234" spans="1:47" x14ac:dyDescent="0.2">
      <c r="A2234" s="13">
        <v>6501</v>
      </c>
      <c r="B2234" s="57" t="s">
        <v>45</v>
      </c>
      <c r="C2234" s="57" t="s">
        <v>332</v>
      </c>
      <c r="D2234" s="29"/>
      <c r="E2234" s="57" t="s">
        <v>3634</v>
      </c>
      <c r="F2234" s="31" t="s">
        <v>76</v>
      </c>
      <c r="G2234" s="31" t="s">
        <v>49</v>
      </c>
      <c r="K2234" s="31">
        <v>88</v>
      </c>
      <c r="S2234" s="33">
        <v>2</v>
      </c>
      <c r="Z2234" s="31" t="s">
        <v>2203</v>
      </c>
      <c r="AK2234" s="32">
        <v>4</v>
      </c>
      <c r="AQ2234" s="32" t="s">
        <v>3596</v>
      </c>
      <c r="AU2234">
        <v>2233</v>
      </c>
    </row>
    <row r="2235" spans="1:47" x14ac:dyDescent="0.2">
      <c r="A2235" s="13">
        <v>6501</v>
      </c>
      <c r="B2235" s="57" t="s">
        <v>45</v>
      </c>
      <c r="C2235" s="57" t="s">
        <v>332</v>
      </c>
      <c r="D2235" s="29"/>
      <c r="E2235" s="57" t="s">
        <v>3635</v>
      </c>
      <c r="F2235" s="31" t="s">
        <v>76</v>
      </c>
      <c r="G2235" s="31" t="s">
        <v>49</v>
      </c>
      <c r="K2235" s="31">
        <v>132</v>
      </c>
      <c r="S2235" s="33">
        <v>3</v>
      </c>
      <c r="Z2235" s="31" t="s">
        <v>2203</v>
      </c>
      <c r="AK2235" s="32">
        <v>6</v>
      </c>
      <c r="AQ2235" s="32" t="s">
        <v>3596</v>
      </c>
      <c r="AU2235">
        <v>2234</v>
      </c>
    </row>
    <row r="2236" spans="1:47" x14ac:dyDescent="0.2">
      <c r="A2236" s="13">
        <v>6501</v>
      </c>
      <c r="B2236" s="57" t="s">
        <v>45</v>
      </c>
      <c r="C2236" s="57" t="s">
        <v>332</v>
      </c>
      <c r="D2236" s="29"/>
      <c r="E2236" s="57" t="s">
        <v>3636</v>
      </c>
      <c r="F2236" s="31" t="s">
        <v>3637</v>
      </c>
      <c r="G2236" s="31" t="s">
        <v>69</v>
      </c>
      <c r="K2236" s="31">
        <v>352</v>
      </c>
      <c r="S2236" s="33">
        <v>2</v>
      </c>
      <c r="Z2236" s="31" t="s">
        <v>2203</v>
      </c>
      <c r="AK2236" s="32">
        <v>10</v>
      </c>
      <c r="AQ2236" s="32" t="s">
        <v>3596</v>
      </c>
      <c r="AU2236">
        <v>2235</v>
      </c>
    </row>
    <row r="2237" spans="1:47" x14ac:dyDescent="0.2">
      <c r="A2237" s="13">
        <v>6501</v>
      </c>
      <c r="B2237" s="57" t="s">
        <v>45</v>
      </c>
      <c r="C2237" s="57" t="s">
        <v>332</v>
      </c>
      <c r="D2237" s="29"/>
      <c r="E2237" s="57" t="s">
        <v>3638</v>
      </c>
      <c r="F2237" s="31" t="s">
        <v>76</v>
      </c>
      <c r="G2237" s="31" t="s">
        <v>49</v>
      </c>
      <c r="K2237" s="31">
        <v>506</v>
      </c>
      <c r="S2237" s="33">
        <v>2</v>
      </c>
      <c r="Z2237" s="31" t="s">
        <v>2203</v>
      </c>
      <c r="AK2237" s="32">
        <v>11</v>
      </c>
      <c r="AQ2237" s="32" t="s">
        <v>3596</v>
      </c>
      <c r="AU2237">
        <v>2236</v>
      </c>
    </row>
    <row r="2238" spans="1:47" x14ac:dyDescent="0.2">
      <c r="A2238" s="26">
        <v>6501</v>
      </c>
      <c r="B2238" s="27">
        <v>0.54791666666666672</v>
      </c>
      <c r="C2238" s="28"/>
      <c r="D2238" s="29"/>
      <c r="E2238" s="30" t="s">
        <v>3155</v>
      </c>
      <c r="H2238" s="32">
        <v>0</v>
      </c>
      <c r="I2238" s="32" t="s">
        <v>3639</v>
      </c>
      <c r="AG2238" s="32">
        <v>0</v>
      </c>
      <c r="AH2238" s="32">
        <v>0</v>
      </c>
      <c r="AI2238" s="32">
        <v>0</v>
      </c>
      <c r="AK2238" s="32">
        <v>0</v>
      </c>
      <c r="AP2238" s="32">
        <f>95/60</f>
        <v>1.5833333333333333</v>
      </c>
      <c r="AQ2238" s="32" t="s">
        <v>1101</v>
      </c>
      <c r="AU2238">
        <v>2237</v>
      </c>
    </row>
    <row r="2239" spans="1:47" x14ac:dyDescent="0.2">
      <c r="A2239" s="13">
        <v>6503</v>
      </c>
      <c r="B2239" s="57" t="s">
        <v>85</v>
      </c>
      <c r="C2239" s="57" t="s">
        <v>332</v>
      </c>
      <c r="D2239" s="29"/>
      <c r="E2239" s="57" t="s">
        <v>3623</v>
      </c>
      <c r="F2239" s="31" t="s">
        <v>76</v>
      </c>
      <c r="G2239" s="31" t="s">
        <v>49</v>
      </c>
      <c r="K2239" s="31">
        <v>1958</v>
      </c>
      <c r="S2239" s="33">
        <v>6</v>
      </c>
      <c r="AK2239" s="32">
        <v>45</v>
      </c>
      <c r="AQ2239" s="32" t="s">
        <v>3596</v>
      </c>
      <c r="AU2239">
        <v>2238</v>
      </c>
    </row>
    <row r="2240" spans="1:47" x14ac:dyDescent="0.2">
      <c r="A2240" s="26">
        <v>6503</v>
      </c>
      <c r="B2240" s="27">
        <v>0.14930555555555555</v>
      </c>
      <c r="C2240" s="28"/>
      <c r="D2240" s="29"/>
      <c r="E2240" s="30" t="s">
        <v>869</v>
      </c>
      <c r="H2240" s="32">
        <v>0</v>
      </c>
      <c r="I2240" s="32" t="s">
        <v>3640</v>
      </c>
      <c r="AG2240" s="32">
        <v>0</v>
      </c>
      <c r="AH2240" s="32">
        <v>0</v>
      </c>
      <c r="AI2240" s="32">
        <v>0</v>
      </c>
      <c r="AK2240" s="32">
        <v>0</v>
      </c>
      <c r="AL2240" s="32">
        <f>47/60</f>
        <v>0.78333333333333333</v>
      </c>
      <c r="AP2240" s="32">
        <f>47/60</f>
        <v>0.78333333333333333</v>
      </c>
      <c r="AQ2240" s="32" t="s">
        <v>589</v>
      </c>
      <c r="AU2240">
        <v>2239</v>
      </c>
    </row>
    <row r="2241" spans="1:47" x14ac:dyDescent="0.2">
      <c r="A2241" s="26">
        <v>6503</v>
      </c>
      <c r="B2241" s="27">
        <v>0.20416666666666669</v>
      </c>
      <c r="C2241" s="28"/>
      <c r="D2241" s="29"/>
      <c r="E2241" s="30" t="s">
        <v>3155</v>
      </c>
      <c r="H2241" s="32">
        <v>0</v>
      </c>
      <c r="I2241" s="32" t="s">
        <v>3156</v>
      </c>
      <c r="AG2241" s="32">
        <v>0</v>
      </c>
      <c r="AH2241" s="32">
        <v>0</v>
      </c>
      <c r="AI2241" s="32">
        <v>0</v>
      </c>
      <c r="AK2241" s="32">
        <v>0</v>
      </c>
      <c r="AP2241" s="32">
        <f>104/60</f>
        <v>1.7333333333333334</v>
      </c>
      <c r="AQ2241" s="32" t="s">
        <v>1101</v>
      </c>
      <c r="AU2241">
        <v>2240</v>
      </c>
    </row>
    <row r="2242" spans="1:47" x14ac:dyDescent="0.2">
      <c r="A2242" s="26">
        <v>6503</v>
      </c>
      <c r="B2242" s="27">
        <v>0.625</v>
      </c>
      <c r="C2242" s="28"/>
      <c r="D2242" s="29"/>
      <c r="E2242" s="30" t="s">
        <v>464</v>
      </c>
      <c r="H2242" s="32">
        <v>0</v>
      </c>
      <c r="I2242" s="32" t="s">
        <v>3590</v>
      </c>
      <c r="AG2242" s="32">
        <v>0</v>
      </c>
      <c r="AH2242" s="32">
        <v>0</v>
      </c>
      <c r="AL2242" s="32">
        <f>12/60</f>
        <v>0.2</v>
      </c>
      <c r="AO2242" s="32" t="s">
        <v>1898</v>
      </c>
      <c r="AP2242" s="32">
        <f>12/60</f>
        <v>0.2</v>
      </c>
      <c r="AQ2242" s="32" t="s">
        <v>1522</v>
      </c>
      <c r="AU2242">
        <v>2241</v>
      </c>
    </row>
    <row r="2243" spans="1:47" x14ac:dyDescent="0.2">
      <c r="A2243" s="26">
        <v>6503</v>
      </c>
      <c r="B2243" s="27">
        <v>0.78472222222222221</v>
      </c>
      <c r="C2243" s="28"/>
      <c r="D2243" s="29"/>
      <c r="E2243" s="30" t="s">
        <v>869</v>
      </c>
      <c r="H2243" s="32">
        <v>0</v>
      </c>
      <c r="I2243" s="32" t="s">
        <v>2344</v>
      </c>
      <c r="AG2243" s="32">
        <v>0</v>
      </c>
      <c r="AH2243" s="32">
        <v>0</v>
      </c>
      <c r="AI2243" s="32">
        <v>0</v>
      </c>
      <c r="AK2243" s="32">
        <v>0</v>
      </c>
      <c r="AL2243" s="32">
        <f>55/60</f>
        <v>0.91666666666666663</v>
      </c>
      <c r="AP2243" s="32">
        <f>55/60</f>
        <v>0.91666666666666663</v>
      </c>
      <c r="AQ2243" s="32" t="s">
        <v>589</v>
      </c>
      <c r="AU2243">
        <v>2242</v>
      </c>
    </row>
    <row r="2244" spans="1:47" x14ac:dyDescent="0.2">
      <c r="A2244" s="133">
        <v>6504</v>
      </c>
      <c r="B2244" s="39" t="s">
        <v>85</v>
      </c>
      <c r="C2244" s="39">
        <v>55</v>
      </c>
      <c r="D2244" s="29" t="b">
        <v>0</v>
      </c>
      <c r="E2244" s="39" t="s">
        <v>3641</v>
      </c>
      <c r="F2244" s="47" t="s">
        <v>3642</v>
      </c>
      <c r="G2244" s="47" t="s">
        <v>49</v>
      </c>
      <c r="H2244"/>
      <c r="I2244" s="47" t="b">
        <v>0</v>
      </c>
      <c r="J2244" s="47" t="b">
        <v>1</v>
      </c>
      <c r="K2244" s="47">
        <v>2464</v>
      </c>
      <c r="L2244" s="48">
        <v>11</v>
      </c>
      <c r="M2244" s="47">
        <v>0</v>
      </c>
      <c r="N2244" s="47">
        <v>0</v>
      </c>
      <c r="O2244" s="47">
        <v>0</v>
      </c>
      <c r="P2244" s="47">
        <v>0</v>
      </c>
      <c r="Q2244" s="47">
        <v>0</v>
      </c>
      <c r="R2244" s="47">
        <v>0</v>
      </c>
      <c r="S2244" s="48">
        <v>11</v>
      </c>
      <c r="T2244" s="47">
        <v>1</v>
      </c>
      <c r="U2244" s="47">
        <v>0</v>
      </c>
      <c r="V2244" s="47">
        <v>0</v>
      </c>
      <c r="W2244" s="47">
        <v>13500</v>
      </c>
      <c r="X2244" s="47">
        <v>352</v>
      </c>
      <c r="Y2244" s="47"/>
      <c r="Z2244" s="47" t="s">
        <v>3618</v>
      </c>
      <c r="AA2244" s="49"/>
      <c r="AB2244" s="49"/>
      <c r="AC2244" s="49"/>
      <c r="AD2244" s="50"/>
      <c r="AE2244" s="47" t="s">
        <v>1312</v>
      </c>
      <c r="AF2244" s="47">
        <v>100</v>
      </c>
      <c r="AG2244"/>
      <c r="AH2244"/>
      <c r="AI2244"/>
      <c r="AJ2244"/>
      <c r="AK2244"/>
      <c r="AL2244"/>
      <c r="AM2244"/>
      <c r="AN2244"/>
      <c r="AO2244"/>
      <c r="AP2244"/>
      <c r="AQ2244" t="s">
        <v>2526</v>
      </c>
      <c r="AU2244">
        <v>2243</v>
      </c>
    </row>
    <row r="2245" spans="1:47" x14ac:dyDescent="0.2">
      <c r="A2245" s="13">
        <v>6504</v>
      </c>
      <c r="B2245" s="57" t="s">
        <v>85</v>
      </c>
      <c r="C2245" s="57" t="s">
        <v>332</v>
      </c>
      <c r="D2245" s="29"/>
      <c r="E2245" s="57" t="s">
        <v>3643</v>
      </c>
      <c r="F2245" s="33" t="s">
        <v>3644</v>
      </c>
      <c r="G2245" s="31" t="s">
        <v>69</v>
      </c>
      <c r="K2245" s="31">
        <v>352</v>
      </c>
      <c r="S2245" s="33">
        <v>4</v>
      </c>
      <c r="AK2245" s="32">
        <v>16</v>
      </c>
      <c r="AQ2245" s="32" t="s">
        <v>3596</v>
      </c>
      <c r="AU2245">
        <v>2244</v>
      </c>
    </row>
    <row r="2246" spans="1:47" x14ac:dyDescent="0.2">
      <c r="A2246" s="13">
        <v>6504</v>
      </c>
      <c r="B2246" s="57" t="s">
        <v>3598</v>
      </c>
      <c r="C2246" s="57" t="s">
        <v>1077</v>
      </c>
      <c r="D2246" s="29"/>
      <c r="E2246" s="57" t="s">
        <v>3603</v>
      </c>
      <c r="F2246" s="31" t="s">
        <v>76</v>
      </c>
      <c r="G2246" s="31" t="s">
        <v>49</v>
      </c>
      <c r="I2246" s="31" t="s">
        <v>3645</v>
      </c>
      <c r="K2246" s="31">
        <v>338.8</v>
      </c>
      <c r="AE2246" s="47" t="s">
        <v>1312</v>
      </c>
      <c r="AF2246" s="31">
        <v>45</v>
      </c>
      <c r="AK2246" s="33">
        <v>7</v>
      </c>
      <c r="AQ2246" s="32" t="s">
        <v>3599</v>
      </c>
      <c r="AU2246">
        <v>2245</v>
      </c>
    </row>
    <row r="2247" spans="1:47" x14ac:dyDescent="0.2">
      <c r="A2247" s="13">
        <v>6504</v>
      </c>
      <c r="B2247" s="57" t="s">
        <v>3598</v>
      </c>
      <c r="C2247" s="57" t="s">
        <v>1077</v>
      </c>
      <c r="D2247" s="29"/>
      <c r="E2247" s="57" t="s">
        <v>3646</v>
      </c>
      <c r="F2247" s="31" t="s">
        <v>545</v>
      </c>
      <c r="G2247" s="31" t="s">
        <v>69</v>
      </c>
      <c r="I2247" s="31" t="s">
        <v>3647</v>
      </c>
      <c r="K2247" s="31">
        <v>338.8</v>
      </c>
      <c r="AE2247" s="47" t="s">
        <v>1312</v>
      </c>
      <c r="AF2247" s="31">
        <v>85</v>
      </c>
      <c r="AK2247" s="33">
        <v>7</v>
      </c>
      <c r="AQ2247" s="32" t="s">
        <v>3599</v>
      </c>
      <c r="AU2247">
        <v>2246</v>
      </c>
    </row>
    <row r="2248" spans="1:47" x14ac:dyDescent="0.2">
      <c r="A2248" s="13">
        <v>6504</v>
      </c>
      <c r="B2248" s="57" t="s">
        <v>3598</v>
      </c>
      <c r="C2248" s="57" t="s">
        <v>1077</v>
      </c>
      <c r="D2248" s="29"/>
      <c r="E2248" s="57" t="s">
        <v>2475</v>
      </c>
      <c r="F2248" s="31" t="s">
        <v>3601</v>
      </c>
      <c r="G2248" s="31" t="s">
        <v>481</v>
      </c>
      <c r="I2248" s="31" t="s">
        <v>3648</v>
      </c>
      <c r="K2248" s="31">
        <v>1984.4</v>
      </c>
      <c r="AE2248" s="47" t="s">
        <v>1312</v>
      </c>
      <c r="AF2248" s="31">
        <v>75</v>
      </c>
      <c r="AK2248" s="33">
        <v>41</v>
      </c>
      <c r="AQ2248" s="32" t="s">
        <v>3599</v>
      </c>
      <c r="AU2248">
        <v>2247</v>
      </c>
    </row>
    <row r="2249" spans="1:47" x14ac:dyDescent="0.2">
      <c r="A2249" s="13">
        <v>6504</v>
      </c>
      <c r="B2249" s="57" t="s">
        <v>3598</v>
      </c>
      <c r="C2249" s="57" t="s">
        <v>1077</v>
      </c>
      <c r="D2249" s="29"/>
      <c r="E2249" s="57" t="s">
        <v>472</v>
      </c>
      <c r="F2249" s="31" t="s">
        <v>3601</v>
      </c>
      <c r="G2249" s="31" t="s">
        <v>481</v>
      </c>
      <c r="I2249" s="31" t="s">
        <v>3605</v>
      </c>
      <c r="K2249" s="31">
        <v>3000.8</v>
      </c>
      <c r="AE2249" s="47" t="s">
        <v>1312</v>
      </c>
      <c r="AF2249" s="31">
        <v>75</v>
      </c>
      <c r="AK2249" s="33">
        <v>62</v>
      </c>
      <c r="AQ2249" s="32" t="s">
        <v>3599</v>
      </c>
      <c r="AU2249">
        <v>2248</v>
      </c>
    </row>
    <row r="2250" spans="1:47" x14ac:dyDescent="0.2">
      <c r="A2250" s="13">
        <v>6504</v>
      </c>
      <c r="B2250" s="57" t="s">
        <v>45</v>
      </c>
      <c r="C2250" s="38" t="s">
        <v>3610</v>
      </c>
      <c r="D2250" s="29"/>
      <c r="E2250" s="39" t="s">
        <v>3367</v>
      </c>
      <c r="F2250" s="31" t="s">
        <v>76</v>
      </c>
      <c r="G2250" s="31" t="s">
        <v>49</v>
      </c>
      <c r="I2250" s="31" t="s">
        <v>3649</v>
      </c>
      <c r="K2250" s="31">
        <f>30*10*2.2</f>
        <v>660</v>
      </c>
      <c r="L2250" s="33">
        <v>1</v>
      </c>
      <c r="S2250" s="33">
        <v>1</v>
      </c>
      <c r="T2250" s="31">
        <v>0</v>
      </c>
      <c r="U2250" s="31">
        <v>0</v>
      </c>
      <c r="V2250" s="31">
        <v>0</v>
      </c>
      <c r="W2250" s="47">
        <f>2600*39.37/12</f>
        <v>8530.1666666666661</v>
      </c>
      <c r="Y2250" s="31" t="s">
        <v>51</v>
      </c>
      <c r="Z2250" s="47" t="s">
        <v>1846</v>
      </c>
      <c r="AA2250" s="49"/>
      <c r="AB2250" s="49"/>
      <c r="AC2250" s="49"/>
      <c r="AD2250" s="50">
        <v>1.5</v>
      </c>
      <c r="AE2250" s="47" t="s">
        <v>342</v>
      </c>
      <c r="AF2250" s="31">
        <v>45</v>
      </c>
      <c r="AK2250" s="33">
        <v>30</v>
      </c>
      <c r="AQ2250" s="32" t="s">
        <v>3628</v>
      </c>
      <c r="AU2250">
        <v>2249</v>
      </c>
    </row>
    <row r="2251" spans="1:47" x14ac:dyDescent="0.2">
      <c r="A2251" s="13">
        <v>6504</v>
      </c>
      <c r="B2251" s="57" t="s">
        <v>45</v>
      </c>
      <c r="C2251" s="38" t="s">
        <v>3610</v>
      </c>
      <c r="D2251" s="29"/>
      <c r="E2251" s="57" t="s">
        <v>2210</v>
      </c>
      <c r="F2251" s="31" t="s">
        <v>3601</v>
      </c>
      <c r="G2251" s="31" t="s">
        <v>481</v>
      </c>
      <c r="I2251" s="31" t="s">
        <v>3650</v>
      </c>
      <c r="K2251" s="31">
        <f>6*50*2.2+30*10*2.2</f>
        <v>1320</v>
      </c>
      <c r="L2251" s="33">
        <v>2</v>
      </c>
      <c r="S2251" s="33">
        <v>2</v>
      </c>
      <c r="T2251" s="31">
        <v>0</v>
      </c>
      <c r="U2251" s="31">
        <v>0</v>
      </c>
      <c r="V2251" s="31">
        <v>0</v>
      </c>
      <c r="W2251" s="47">
        <f>((2400+2700)/2)*39.37/12</f>
        <v>8366.125</v>
      </c>
      <c r="Y2251" s="31" t="s">
        <v>51</v>
      </c>
      <c r="Z2251" s="47" t="s">
        <v>1846</v>
      </c>
      <c r="AD2251" s="35">
        <f>2+1/6</f>
        <v>2.1666666666666665</v>
      </c>
      <c r="AE2251" s="47" t="s">
        <v>342</v>
      </c>
      <c r="AF2251" s="31">
        <v>60</v>
      </c>
      <c r="AK2251" s="33">
        <f>6+30</f>
        <v>36</v>
      </c>
      <c r="AQ2251" s="32" t="s">
        <v>3628</v>
      </c>
      <c r="AU2251">
        <v>2250</v>
      </c>
    </row>
    <row r="2252" spans="1:47" x14ac:dyDescent="0.2">
      <c r="A2252" s="26">
        <v>6504</v>
      </c>
      <c r="B2252" s="27">
        <v>0.16319444444444445</v>
      </c>
      <c r="C2252" s="28"/>
      <c r="D2252" s="29"/>
      <c r="E2252" s="30" t="s">
        <v>464</v>
      </c>
      <c r="H2252" s="32">
        <v>1</v>
      </c>
      <c r="I2252" s="32" t="s">
        <v>3651</v>
      </c>
      <c r="AG2252" s="32">
        <v>0</v>
      </c>
      <c r="AH2252" s="32">
        <v>0</v>
      </c>
      <c r="AL2252" s="32">
        <f>55/60</f>
        <v>0.91666666666666663</v>
      </c>
      <c r="AO2252" s="32" t="s">
        <v>1898</v>
      </c>
      <c r="AP2252" s="32">
        <f>55/60</f>
        <v>0.91666666666666663</v>
      </c>
      <c r="AQ2252" s="32" t="s">
        <v>3652</v>
      </c>
      <c r="AU2252">
        <v>2251</v>
      </c>
    </row>
    <row r="2253" spans="1:47" x14ac:dyDescent="0.2">
      <c r="A2253" s="26">
        <v>6504</v>
      </c>
      <c r="B2253" s="27">
        <v>0.64930555555555558</v>
      </c>
      <c r="C2253" s="28"/>
      <c r="D2253" s="29"/>
      <c r="E2253" s="30" t="s">
        <v>1282</v>
      </c>
      <c r="H2253" s="32">
        <v>0</v>
      </c>
      <c r="I2253" s="32" t="s">
        <v>3653</v>
      </c>
      <c r="AG2253" s="32">
        <v>0</v>
      </c>
      <c r="AH2253" s="32">
        <v>0</v>
      </c>
      <c r="AI2253" s="32">
        <v>0</v>
      </c>
      <c r="AK2253" s="32">
        <v>0</v>
      </c>
      <c r="AL2253" s="32">
        <f>2+50/60</f>
        <v>2.8333333333333335</v>
      </c>
      <c r="AP2253" s="32">
        <f>2+50/60</f>
        <v>2.8333333333333335</v>
      </c>
      <c r="AQ2253" s="32" t="s">
        <v>1101</v>
      </c>
      <c r="AU2253">
        <v>2252</v>
      </c>
    </row>
    <row r="2254" spans="1:47" x14ac:dyDescent="0.2">
      <c r="A2254" s="26">
        <v>6504</v>
      </c>
      <c r="B2254" s="27">
        <v>0.70833333333333337</v>
      </c>
      <c r="C2254" s="28"/>
      <c r="D2254" s="29"/>
      <c r="E2254" s="30" t="s">
        <v>869</v>
      </c>
      <c r="H2254" s="32">
        <v>0</v>
      </c>
      <c r="I2254" s="32" t="s">
        <v>2344</v>
      </c>
      <c r="AG2254" s="32">
        <v>0</v>
      </c>
      <c r="AH2254" s="32">
        <v>0</v>
      </c>
      <c r="AI2254" s="32">
        <v>0</v>
      </c>
      <c r="AK2254" s="32">
        <v>0</v>
      </c>
      <c r="AL2254" s="32">
        <f>9/60</f>
        <v>0.15</v>
      </c>
      <c r="AP2254" s="32">
        <f>9/60</f>
        <v>0.15</v>
      </c>
      <c r="AQ2254" s="32" t="s">
        <v>589</v>
      </c>
      <c r="AU2254">
        <v>2253</v>
      </c>
    </row>
    <row r="2255" spans="1:47" x14ac:dyDescent="0.2">
      <c r="A2255" s="26">
        <v>6504</v>
      </c>
      <c r="B2255" s="27">
        <v>0.92708333333333337</v>
      </c>
      <c r="C2255" s="28"/>
      <c r="D2255" s="29"/>
      <c r="E2255" s="30" t="s">
        <v>464</v>
      </c>
      <c r="H2255" s="32">
        <v>1</v>
      </c>
      <c r="I2255" s="32" t="s">
        <v>3654</v>
      </c>
      <c r="AG2255" s="32">
        <v>0</v>
      </c>
      <c r="AH2255" s="32">
        <v>0</v>
      </c>
      <c r="AL2255" s="32">
        <v>2.25</v>
      </c>
      <c r="AO2255" s="32" t="s">
        <v>1898</v>
      </c>
      <c r="AP2255" s="32">
        <v>2.25</v>
      </c>
      <c r="AQ2255" s="32" t="s">
        <v>1522</v>
      </c>
      <c r="AU2255">
        <v>2254</v>
      </c>
    </row>
    <row r="2256" spans="1:47" x14ac:dyDescent="0.2">
      <c r="A2256" s="26">
        <v>6504</v>
      </c>
      <c r="B2256" s="27">
        <v>0.92708333333333337</v>
      </c>
      <c r="C2256" s="28"/>
      <c r="D2256" s="29"/>
      <c r="E2256" s="30" t="s">
        <v>1124</v>
      </c>
      <c r="H2256" s="32">
        <v>1</v>
      </c>
      <c r="I2256" s="32"/>
      <c r="AG2256" s="32">
        <v>0</v>
      </c>
      <c r="AH2256" s="32">
        <v>5</v>
      </c>
      <c r="AK2256" s="32">
        <v>7</v>
      </c>
      <c r="AL2256" s="32">
        <v>1.5</v>
      </c>
      <c r="AO2256" s="46" t="s">
        <v>1126</v>
      </c>
      <c r="AP2256" s="32">
        <v>1.5</v>
      </c>
      <c r="AQ2256" s="32" t="s">
        <v>589</v>
      </c>
      <c r="AU2256">
        <v>2255</v>
      </c>
    </row>
    <row r="2257" spans="1:47" x14ac:dyDescent="0.2">
      <c r="A2257" s="133">
        <v>6505</v>
      </c>
      <c r="B2257" s="39" t="s">
        <v>85</v>
      </c>
      <c r="C2257" s="39" t="s">
        <v>1234</v>
      </c>
      <c r="D2257" s="29"/>
      <c r="E2257" s="39" t="s">
        <v>3253</v>
      </c>
      <c r="F2257" s="31" t="s">
        <v>76</v>
      </c>
      <c r="G2257" s="31" t="s">
        <v>49</v>
      </c>
      <c r="H2257" s="32"/>
      <c r="I2257" s="32" t="s">
        <v>3655</v>
      </c>
      <c r="K2257" s="31">
        <f>260*2.2</f>
        <v>572</v>
      </c>
      <c r="L2257" s="33">
        <v>12</v>
      </c>
      <c r="S2257" s="33">
        <v>12</v>
      </c>
      <c r="Z2257" s="47" t="s">
        <v>1809</v>
      </c>
      <c r="AE2257" s="47" t="s">
        <v>1653</v>
      </c>
      <c r="AF2257" s="31">
        <v>75</v>
      </c>
      <c r="AO2257" s="46"/>
      <c r="AQ2257" t="s">
        <v>3412</v>
      </c>
      <c r="AU2257">
        <v>2256</v>
      </c>
    </row>
    <row r="2258" spans="1:47" x14ac:dyDescent="0.2">
      <c r="A2258" s="26">
        <v>6505</v>
      </c>
      <c r="B2258" s="27">
        <v>0.4916666666666667</v>
      </c>
      <c r="C2258" s="28"/>
      <c r="D2258" s="29"/>
      <c r="E2258" s="30" t="s">
        <v>3155</v>
      </c>
      <c r="H2258" s="32">
        <v>0</v>
      </c>
      <c r="I2258" s="32" t="s">
        <v>3156</v>
      </c>
      <c r="AG2258" s="32">
        <v>0</v>
      </c>
      <c r="AH2258" s="32">
        <v>0</v>
      </c>
      <c r="AI2258" s="32">
        <v>0</v>
      </c>
      <c r="AK2258" s="32">
        <v>0</v>
      </c>
      <c r="AP2258" s="32">
        <f>42/60</f>
        <v>0.7</v>
      </c>
      <c r="AQ2258" s="32" t="s">
        <v>1101</v>
      </c>
      <c r="AU2258">
        <v>2257</v>
      </c>
    </row>
    <row r="2259" spans="1:47" x14ac:dyDescent="0.2">
      <c r="A2259" s="26">
        <v>6505</v>
      </c>
      <c r="B2259" s="27" t="s">
        <v>85</v>
      </c>
      <c r="C2259" s="28"/>
      <c r="D2259" s="29"/>
      <c r="E2259" s="30" t="s">
        <v>1285</v>
      </c>
      <c r="H2259" s="32">
        <v>1</v>
      </c>
      <c r="I2259" s="32" t="s">
        <v>3656</v>
      </c>
      <c r="AI2259" s="32">
        <v>1270</v>
      </c>
      <c r="AO2259" s="32" t="s">
        <v>472</v>
      </c>
      <c r="AQ2259" s="32" t="s">
        <v>589</v>
      </c>
      <c r="AU2259">
        <v>2258</v>
      </c>
    </row>
    <row r="2260" spans="1:47" x14ac:dyDescent="0.2">
      <c r="A2260" s="13">
        <v>6507</v>
      </c>
      <c r="B2260" s="57" t="s">
        <v>3598</v>
      </c>
      <c r="C2260" s="57" t="s">
        <v>1077</v>
      </c>
      <c r="D2260" s="29"/>
      <c r="E2260" s="57" t="s">
        <v>175</v>
      </c>
      <c r="F2260" s="31" t="s">
        <v>76</v>
      </c>
      <c r="G2260" s="31" t="s">
        <v>49</v>
      </c>
      <c r="K2260" s="31">
        <v>580.79999999999995</v>
      </c>
      <c r="AE2260" s="47" t="s">
        <v>1312</v>
      </c>
      <c r="AF2260" s="31">
        <v>50</v>
      </c>
      <c r="AK2260" s="33">
        <v>12</v>
      </c>
      <c r="AQ2260" s="32" t="s">
        <v>3599</v>
      </c>
      <c r="AU2260">
        <v>2259</v>
      </c>
    </row>
    <row r="2261" spans="1:47" x14ac:dyDescent="0.2">
      <c r="A2261" s="13">
        <v>6507</v>
      </c>
      <c r="B2261" s="57" t="s">
        <v>3598</v>
      </c>
      <c r="C2261" s="57" t="s">
        <v>1077</v>
      </c>
      <c r="D2261" s="29"/>
      <c r="E2261" s="57" t="s">
        <v>3626</v>
      </c>
      <c r="F2261" s="31" t="s">
        <v>76</v>
      </c>
      <c r="G2261" s="31" t="s">
        <v>49</v>
      </c>
      <c r="K2261" s="31">
        <v>580.79999999999995</v>
      </c>
      <c r="AE2261" s="47" t="s">
        <v>1312</v>
      </c>
      <c r="AF2261" s="31">
        <v>50</v>
      </c>
      <c r="AK2261" s="33">
        <v>12</v>
      </c>
      <c r="AQ2261" s="32" t="s">
        <v>3599</v>
      </c>
      <c r="AU2261">
        <v>2260</v>
      </c>
    </row>
    <row r="2262" spans="1:47" x14ac:dyDescent="0.2">
      <c r="A2262" s="13">
        <v>6507</v>
      </c>
      <c r="B2262" s="57" t="s">
        <v>3598</v>
      </c>
      <c r="C2262" s="57" t="s">
        <v>1077</v>
      </c>
      <c r="D2262" s="29"/>
      <c r="E2262" s="57" t="s">
        <v>3604</v>
      </c>
      <c r="F2262" s="31" t="s">
        <v>76</v>
      </c>
      <c r="G2262" s="31" t="s">
        <v>49</v>
      </c>
      <c r="I2262" s="31" t="s">
        <v>3602</v>
      </c>
      <c r="K2262" s="31">
        <v>580.79999999999995</v>
      </c>
      <c r="AE2262" s="47" t="s">
        <v>1312</v>
      </c>
      <c r="AF2262" s="31">
        <v>70</v>
      </c>
      <c r="AK2262" s="33">
        <v>12</v>
      </c>
      <c r="AQ2262" s="32" t="s">
        <v>3599</v>
      </c>
      <c r="AU2262">
        <v>2261</v>
      </c>
    </row>
    <row r="2263" spans="1:47" x14ac:dyDescent="0.2">
      <c r="A2263" s="133">
        <v>6507</v>
      </c>
      <c r="B2263" s="39" t="s">
        <v>45</v>
      </c>
      <c r="C2263" s="39">
        <v>100</v>
      </c>
      <c r="D2263" s="29" t="b">
        <v>0</v>
      </c>
      <c r="E2263" s="39" t="s">
        <v>3657</v>
      </c>
      <c r="F2263" s="47" t="s">
        <v>3658</v>
      </c>
      <c r="G2263" s="47" t="s">
        <v>49</v>
      </c>
      <c r="H2263"/>
      <c r="I2263" s="47" t="b">
        <v>1</v>
      </c>
      <c r="J2263" s="47" t="b">
        <v>1</v>
      </c>
      <c r="K2263" s="47">
        <v>3335</v>
      </c>
      <c r="L2263" s="48">
        <v>14</v>
      </c>
      <c r="M2263" s="47">
        <v>0</v>
      </c>
      <c r="N2263" s="47">
        <v>0</v>
      </c>
      <c r="O2263" s="47">
        <v>0</v>
      </c>
      <c r="P2263" s="47">
        <v>0</v>
      </c>
      <c r="Q2263" s="47">
        <v>0</v>
      </c>
      <c r="R2263" s="47">
        <v>0</v>
      </c>
      <c r="S2263" s="48">
        <v>12</v>
      </c>
      <c r="T2263" s="47">
        <v>2</v>
      </c>
      <c r="U2263" s="47">
        <v>0</v>
      </c>
      <c r="V2263" s="47">
        <v>0</v>
      </c>
      <c r="W2263" s="47">
        <v>950</v>
      </c>
      <c r="X2263" s="47">
        <v>354</v>
      </c>
      <c r="Y2263" s="47"/>
      <c r="Z2263" s="47" t="s">
        <v>2524</v>
      </c>
      <c r="AA2263" s="49"/>
      <c r="AB2263" s="49"/>
      <c r="AC2263" s="49"/>
      <c r="AD2263" s="50"/>
      <c r="AE2263" s="47" t="s">
        <v>1312</v>
      </c>
      <c r="AF2263" s="47">
        <v>105</v>
      </c>
      <c r="AG2263"/>
      <c r="AH2263"/>
      <c r="AI2263"/>
      <c r="AJ2263"/>
      <c r="AK2263"/>
      <c r="AL2263"/>
      <c r="AM2263"/>
      <c r="AN2263"/>
      <c r="AO2263"/>
      <c r="AP2263"/>
      <c r="AQ2263" t="s">
        <v>2526</v>
      </c>
      <c r="AU2263">
        <v>2262</v>
      </c>
    </row>
    <row r="2264" spans="1:47" x14ac:dyDescent="0.2">
      <c r="A2264" s="133">
        <v>6507</v>
      </c>
      <c r="B2264" s="39" t="s">
        <v>45</v>
      </c>
      <c r="C2264" s="39">
        <v>100</v>
      </c>
      <c r="D2264" s="29" t="b">
        <v>0</v>
      </c>
      <c r="E2264" s="39" t="s">
        <v>3659</v>
      </c>
      <c r="F2264" s="47" t="s">
        <v>3660</v>
      </c>
      <c r="G2264" s="47" t="s">
        <v>49</v>
      </c>
      <c r="H2264"/>
      <c r="I2264" s="47" t="b">
        <v>0</v>
      </c>
      <c r="J2264" s="47" t="b">
        <v>0</v>
      </c>
      <c r="K2264" s="47">
        <v>280</v>
      </c>
      <c r="L2264" s="48">
        <v>14</v>
      </c>
      <c r="M2264" s="47">
        <v>0</v>
      </c>
      <c r="N2264" s="47">
        <v>0</v>
      </c>
      <c r="O2264" s="47">
        <v>0</v>
      </c>
      <c r="P2264" s="47">
        <v>0</v>
      </c>
      <c r="Q2264" s="47">
        <v>0</v>
      </c>
      <c r="R2264" s="47">
        <v>0</v>
      </c>
      <c r="S2264" s="48">
        <v>1</v>
      </c>
      <c r="T2264" s="47">
        <v>0</v>
      </c>
      <c r="U2264" s="47">
        <v>0</v>
      </c>
      <c r="V2264" s="47">
        <v>0</v>
      </c>
      <c r="W2264" s="47">
        <v>950</v>
      </c>
      <c r="X2264" s="47">
        <v>355</v>
      </c>
      <c r="Y2264" s="47"/>
      <c r="Z2264" s="47" t="s">
        <v>2524</v>
      </c>
      <c r="AA2264" s="49"/>
      <c r="AB2264" s="49"/>
      <c r="AC2264" s="49"/>
      <c r="AD2264" s="50"/>
      <c r="AE2264" s="47" t="s">
        <v>1312</v>
      </c>
      <c r="AF2264" s="47">
        <v>80</v>
      </c>
      <c r="AG2264"/>
      <c r="AH2264"/>
      <c r="AI2264"/>
      <c r="AJ2264"/>
      <c r="AK2264"/>
      <c r="AL2264"/>
      <c r="AM2264"/>
      <c r="AN2264"/>
      <c r="AO2264"/>
      <c r="AP2264"/>
      <c r="AQ2264" t="s">
        <v>2526</v>
      </c>
      <c r="AU2264">
        <v>2263</v>
      </c>
    </row>
    <row r="2265" spans="1:47" x14ac:dyDescent="0.2">
      <c r="A2265" s="133">
        <v>6507</v>
      </c>
      <c r="B2265" s="39" t="s">
        <v>45</v>
      </c>
      <c r="C2265" s="39">
        <v>100</v>
      </c>
      <c r="D2265" s="29" t="b">
        <v>0</v>
      </c>
      <c r="E2265" s="39" t="s">
        <v>3661</v>
      </c>
      <c r="F2265" s="47" t="s">
        <v>57</v>
      </c>
      <c r="G2265" s="47" t="s">
        <v>49</v>
      </c>
      <c r="H2265"/>
      <c r="I2265" s="47" t="b">
        <v>0</v>
      </c>
      <c r="J2265" s="47" t="b">
        <v>0</v>
      </c>
      <c r="K2265" s="47">
        <v>280</v>
      </c>
      <c r="L2265" s="48">
        <v>14</v>
      </c>
      <c r="M2265" s="47">
        <v>0</v>
      </c>
      <c r="N2265" s="47">
        <v>0</v>
      </c>
      <c r="O2265" s="47">
        <v>0</v>
      </c>
      <c r="P2265" s="47">
        <v>0</v>
      </c>
      <c r="Q2265" s="47">
        <v>0</v>
      </c>
      <c r="R2265" s="47">
        <v>0</v>
      </c>
      <c r="S2265" s="48">
        <v>1</v>
      </c>
      <c r="T2265" s="47">
        <v>0</v>
      </c>
      <c r="U2265" s="47">
        <v>0</v>
      </c>
      <c r="V2265" s="47">
        <v>0</v>
      </c>
      <c r="W2265" s="47">
        <v>950</v>
      </c>
      <c r="X2265" s="47">
        <v>356</v>
      </c>
      <c r="Y2265" s="47"/>
      <c r="Z2265" s="47" t="s">
        <v>2524</v>
      </c>
      <c r="AA2265" s="49"/>
      <c r="AB2265" s="49"/>
      <c r="AC2265" s="49"/>
      <c r="AD2265" s="50"/>
      <c r="AE2265" s="47" t="s">
        <v>1312</v>
      </c>
      <c r="AF2265" s="47"/>
      <c r="AG2265"/>
      <c r="AH2265"/>
      <c r="AI2265"/>
      <c r="AJ2265"/>
      <c r="AK2265"/>
      <c r="AL2265"/>
      <c r="AM2265"/>
      <c r="AN2265"/>
      <c r="AO2265"/>
      <c r="AP2265"/>
      <c r="AQ2265" t="s">
        <v>2526</v>
      </c>
      <c r="AU2265">
        <v>2264</v>
      </c>
    </row>
    <row r="2266" spans="1:47" x14ac:dyDescent="0.2">
      <c r="A2266" s="133">
        <v>6507</v>
      </c>
      <c r="B2266" s="39" t="s">
        <v>45</v>
      </c>
      <c r="C2266" s="39">
        <v>100</v>
      </c>
      <c r="D2266" s="29" t="b">
        <v>0</v>
      </c>
      <c r="E2266" s="39" t="s">
        <v>3662</v>
      </c>
      <c r="F2266" s="47" t="s">
        <v>3663</v>
      </c>
      <c r="G2266" s="47" t="s">
        <v>49</v>
      </c>
      <c r="H2266"/>
      <c r="I2266" s="47" t="b">
        <v>0</v>
      </c>
      <c r="J2266" s="47" t="b">
        <v>0</v>
      </c>
      <c r="K2266" s="47">
        <v>1400</v>
      </c>
      <c r="L2266" s="48">
        <v>14</v>
      </c>
      <c r="M2266" s="47">
        <v>0</v>
      </c>
      <c r="N2266" s="47">
        <v>0</v>
      </c>
      <c r="O2266" s="47">
        <v>0</v>
      </c>
      <c r="P2266" s="47">
        <v>0</v>
      </c>
      <c r="Q2266" s="47">
        <v>0</v>
      </c>
      <c r="R2266" s="47">
        <v>0</v>
      </c>
      <c r="S2266" s="48">
        <v>5</v>
      </c>
      <c r="T2266" s="47">
        <v>0</v>
      </c>
      <c r="U2266" s="47">
        <v>0</v>
      </c>
      <c r="V2266" s="47">
        <v>0</v>
      </c>
      <c r="W2266" s="47">
        <v>950</v>
      </c>
      <c r="X2266" s="47">
        <v>357</v>
      </c>
      <c r="Y2266" s="47"/>
      <c r="Z2266" s="47" t="s">
        <v>2524</v>
      </c>
      <c r="AA2266" s="49"/>
      <c r="AB2266" s="49"/>
      <c r="AC2266" s="49"/>
      <c r="AD2266" s="50"/>
      <c r="AE2266" s="47" t="s">
        <v>1312</v>
      </c>
      <c r="AF2266" s="47">
        <v>90</v>
      </c>
      <c r="AG2266"/>
      <c r="AH2266"/>
      <c r="AI2266"/>
      <c r="AJ2266"/>
      <c r="AK2266"/>
      <c r="AL2266"/>
      <c r="AM2266"/>
      <c r="AN2266"/>
      <c r="AO2266"/>
      <c r="AP2266"/>
      <c r="AQ2266" t="s">
        <v>2526</v>
      </c>
      <c r="AU2266">
        <v>2265</v>
      </c>
    </row>
    <row r="2267" spans="1:47" x14ac:dyDescent="0.2">
      <c r="A2267" s="133">
        <v>6507</v>
      </c>
      <c r="B2267" s="39" t="s">
        <v>45</v>
      </c>
      <c r="C2267" s="39">
        <v>100</v>
      </c>
      <c r="D2267" s="29" t="b">
        <v>0</v>
      </c>
      <c r="E2267" s="39" t="s">
        <v>2434</v>
      </c>
      <c r="F2267" s="47" t="s">
        <v>48</v>
      </c>
      <c r="G2267" s="47" t="s">
        <v>49</v>
      </c>
      <c r="H2267"/>
      <c r="I2267" s="47" t="b">
        <v>0</v>
      </c>
      <c r="J2267" s="47" t="b">
        <v>0</v>
      </c>
      <c r="K2267" s="47">
        <v>535</v>
      </c>
      <c r="L2267" s="48">
        <v>14</v>
      </c>
      <c r="M2267" s="47">
        <v>0</v>
      </c>
      <c r="N2267" s="47">
        <v>0</v>
      </c>
      <c r="O2267" s="47">
        <v>0</v>
      </c>
      <c r="P2267" s="47">
        <v>0</v>
      </c>
      <c r="Q2267" s="47">
        <v>0</v>
      </c>
      <c r="R2267" s="47">
        <v>0</v>
      </c>
      <c r="S2267" s="48">
        <v>2</v>
      </c>
      <c r="T2267" s="47">
        <v>0</v>
      </c>
      <c r="U2267" s="47">
        <v>0</v>
      </c>
      <c r="V2267" s="47">
        <v>0</v>
      </c>
      <c r="W2267" s="47">
        <v>950</v>
      </c>
      <c r="X2267" s="47">
        <v>358</v>
      </c>
      <c r="Y2267" s="47"/>
      <c r="Z2267" s="47" t="s">
        <v>2524</v>
      </c>
      <c r="AA2267" s="49"/>
      <c r="AB2267" s="49"/>
      <c r="AC2267" s="49"/>
      <c r="AD2267" s="50"/>
      <c r="AE2267" s="47" t="s">
        <v>1312</v>
      </c>
      <c r="AF2267" s="47">
        <v>80</v>
      </c>
      <c r="AG2267"/>
      <c r="AH2267"/>
      <c r="AI2267"/>
      <c r="AJ2267"/>
      <c r="AK2267"/>
      <c r="AL2267"/>
      <c r="AM2267"/>
      <c r="AN2267"/>
      <c r="AO2267"/>
      <c r="AP2267"/>
      <c r="AQ2267" t="s">
        <v>2526</v>
      </c>
      <c r="AU2267">
        <v>2266</v>
      </c>
    </row>
    <row r="2268" spans="1:47" x14ac:dyDescent="0.2">
      <c r="A2268" s="133">
        <v>6507</v>
      </c>
      <c r="B2268" s="39" t="s">
        <v>45</v>
      </c>
      <c r="C2268" s="39">
        <v>100</v>
      </c>
      <c r="D2268" s="29" t="b">
        <v>0</v>
      </c>
      <c r="E2268" s="39" t="s">
        <v>3664</v>
      </c>
      <c r="F2268" s="47" t="s">
        <v>3660</v>
      </c>
      <c r="G2268" s="47" t="s">
        <v>49</v>
      </c>
      <c r="H2268"/>
      <c r="I2268" s="47" t="b">
        <v>0</v>
      </c>
      <c r="J2268" s="47" t="b">
        <v>0</v>
      </c>
      <c r="K2268" s="47">
        <v>280</v>
      </c>
      <c r="L2268" s="48">
        <v>14</v>
      </c>
      <c r="M2268" s="47">
        <v>0</v>
      </c>
      <c r="N2268" s="47">
        <v>0</v>
      </c>
      <c r="O2268" s="47">
        <v>0</v>
      </c>
      <c r="P2268" s="47">
        <v>0</v>
      </c>
      <c r="Q2268" s="47">
        <v>0</v>
      </c>
      <c r="R2268" s="47">
        <v>0</v>
      </c>
      <c r="S2268" s="48">
        <v>1</v>
      </c>
      <c r="T2268" s="47">
        <v>0</v>
      </c>
      <c r="U2268" s="47">
        <v>0</v>
      </c>
      <c r="V2268" s="47">
        <v>0</v>
      </c>
      <c r="W2268" s="47">
        <v>950</v>
      </c>
      <c r="X2268" s="47">
        <v>359</v>
      </c>
      <c r="Y2268" s="47"/>
      <c r="Z2268" s="47" t="s">
        <v>2524</v>
      </c>
      <c r="AA2268" s="49"/>
      <c r="AB2268" s="49"/>
      <c r="AC2268" s="49"/>
      <c r="AD2268" s="50"/>
      <c r="AE2268" s="47" t="s">
        <v>1312</v>
      </c>
      <c r="AF2268" s="47">
        <v>90</v>
      </c>
      <c r="AG2268"/>
      <c r="AH2268"/>
      <c r="AI2268"/>
      <c r="AJ2268"/>
      <c r="AK2268"/>
      <c r="AL2268"/>
      <c r="AM2268"/>
      <c r="AN2268"/>
      <c r="AO2268"/>
      <c r="AP2268"/>
      <c r="AQ2268" t="s">
        <v>2526</v>
      </c>
      <c r="AU2268">
        <v>2267</v>
      </c>
    </row>
    <row r="2269" spans="1:47" x14ac:dyDescent="0.2">
      <c r="A2269" s="133">
        <v>6507</v>
      </c>
      <c r="B2269" s="39" t="s">
        <v>45</v>
      </c>
      <c r="C2269" s="39">
        <v>100</v>
      </c>
      <c r="D2269" s="29" t="b">
        <v>0</v>
      </c>
      <c r="E2269" s="39" t="s">
        <v>858</v>
      </c>
      <c r="F2269" s="47" t="s">
        <v>3663</v>
      </c>
      <c r="G2269" s="47" t="s">
        <v>49</v>
      </c>
      <c r="H2269"/>
      <c r="I2269" s="47" t="b">
        <v>0</v>
      </c>
      <c r="J2269" s="47" t="b">
        <v>0</v>
      </c>
      <c r="K2269" s="47">
        <v>560</v>
      </c>
      <c r="L2269" s="48">
        <v>14</v>
      </c>
      <c r="M2269" s="47">
        <v>0</v>
      </c>
      <c r="N2269" s="47">
        <v>0</v>
      </c>
      <c r="O2269" s="47">
        <v>0</v>
      </c>
      <c r="P2269" s="47">
        <v>0</v>
      </c>
      <c r="Q2269" s="47">
        <v>0</v>
      </c>
      <c r="R2269" s="47">
        <v>0</v>
      </c>
      <c r="S2269" s="48">
        <v>2</v>
      </c>
      <c r="T2269" s="47">
        <v>0</v>
      </c>
      <c r="U2269" s="47">
        <v>0</v>
      </c>
      <c r="V2269" s="47">
        <v>0</v>
      </c>
      <c r="W2269" s="47">
        <v>950</v>
      </c>
      <c r="X2269" s="47">
        <v>360</v>
      </c>
      <c r="Y2269" s="47"/>
      <c r="Z2269" s="47" t="s">
        <v>2524</v>
      </c>
      <c r="AA2269" s="49"/>
      <c r="AB2269" s="49"/>
      <c r="AC2269" s="49"/>
      <c r="AD2269" s="50"/>
      <c r="AE2269" s="47" t="s">
        <v>1312</v>
      </c>
      <c r="AF2269" s="47">
        <v>105</v>
      </c>
      <c r="AG2269"/>
      <c r="AH2269"/>
      <c r="AI2269"/>
      <c r="AJ2269"/>
      <c r="AK2269"/>
      <c r="AL2269"/>
      <c r="AM2269"/>
      <c r="AN2269"/>
      <c r="AO2269"/>
      <c r="AP2269"/>
      <c r="AQ2269" t="s">
        <v>2526</v>
      </c>
      <c r="AU2269">
        <v>2268</v>
      </c>
    </row>
    <row r="2270" spans="1:47" x14ac:dyDescent="0.2">
      <c r="A2270" s="133">
        <v>6507</v>
      </c>
      <c r="B2270" s="39" t="s">
        <v>45</v>
      </c>
      <c r="C2270" s="39">
        <v>216</v>
      </c>
      <c r="D2270" s="29" t="b">
        <v>0</v>
      </c>
      <c r="E2270" s="39" t="s">
        <v>858</v>
      </c>
      <c r="F2270" s="47" t="s">
        <v>3665</v>
      </c>
      <c r="G2270" s="47" t="s">
        <v>481</v>
      </c>
      <c r="H2270"/>
      <c r="I2270" s="47" t="b">
        <v>0</v>
      </c>
      <c r="J2270" s="47" t="b">
        <v>1</v>
      </c>
      <c r="K2270" s="47">
        <v>9408</v>
      </c>
      <c r="L2270" s="48">
        <v>9</v>
      </c>
      <c r="M2270" s="47">
        <v>0</v>
      </c>
      <c r="N2270" s="47">
        <v>0</v>
      </c>
      <c r="O2270" s="47">
        <v>0</v>
      </c>
      <c r="P2270" s="47">
        <v>0</v>
      </c>
      <c r="Q2270" s="47">
        <v>0</v>
      </c>
      <c r="R2270" s="47">
        <v>0</v>
      </c>
      <c r="S2270" s="48">
        <v>7</v>
      </c>
      <c r="T2270" s="47">
        <v>2</v>
      </c>
      <c r="U2270" s="47">
        <v>0</v>
      </c>
      <c r="V2270" s="47">
        <v>1</v>
      </c>
      <c r="W2270" s="47">
        <v>950</v>
      </c>
      <c r="X2270" s="47">
        <v>353</v>
      </c>
      <c r="Y2270" s="47"/>
      <c r="Z2270" s="47" t="s">
        <v>2466</v>
      </c>
      <c r="AA2270" s="49"/>
      <c r="AB2270" s="49"/>
      <c r="AC2270" s="49"/>
      <c r="AD2270" s="50"/>
      <c r="AE2270" s="47" t="s">
        <v>1312</v>
      </c>
      <c r="AF2270" s="47">
        <v>105</v>
      </c>
      <c r="AG2270"/>
      <c r="AH2270"/>
      <c r="AI2270"/>
      <c r="AJ2270"/>
      <c r="AK2270"/>
      <c r="AL2270"/>
      <c r="AM2270"/>
      <c r="AN2270"/>
      <c r="AO2270"/>
      <c r="AP2270"/>
      <c r="AQ2270" t="s">
        <v>2526</v>
      </c>
      <c r="AU2270">
        <v>2269</v>
      </c>
    </row>
    <row r="2271" spans="1:47" x14ac:dyDescent="0.2">
      <c r="A2271" s="13">
        <v>6507</v>
      </c>
      <c r="B2271" s="57" t="s">
        <v>45</v>
      </c>
      <c r="C2271" s="57" t="s">
        <v>1367</v>
      </c>
      <c r="D2271" s="29"/>
      <c r="E2271" s="57" t="s">
        <v>3666</v>
      </c>
      <c r="F2271" s="31" t="s">
        <v>76</v>
      </c>
      <c r="G2271" s="31" t="s">
        <v>49</v>
      </c>
      <c r="I2271" s="31" t="s">
        <v>3602</v>
      </c>
      <c r="K2271" s="31">
        <v>2516.8000000000002</v>
      </c>
      <c r="AE2271" s="47" t="s">
        <v>342</v>
      </c>
      <c r="AF2271" s="31">
        <v>45</v>
      </c>
      <c r="AK2271" s="33">
        <v>52</v>
      </c>
      <c r="AQ2271" s="32" t="s">
        <v>3599</v>
      </c>
      <c r="AU2271">
        <v>2270</v>
      </c>
    </row>
    <row r="2272" spans="1:47" x14ac:dyDescent="0.2">
      <c r="A2272" s="26">
        <v>6507</v>
      </c>
      <c r="B2272" s="27">
        <v>0.81944444444444453</v>
      </c>
      <c r="C2272" s="28"/>
      <c r="D2272" s="29"/>
      <c r="E2272" s="30" t="s">
        <v>464</v>
      </c>
      <c r="H2272" s="32">
        <v>0</v>
      </c>
      <c r="I2272" s="32" t="s">
        <v>3667</v>
      </c>
      <c r="AG2272" s="32">
        <v>0</v>
      </c>
      <c r="AH2272" s="32">
        <v>0</v>
      </c>
      <c r="AL2272" s="32">
        <f>2+13/60</f>
        <v>2.2166666666666668</v>
      </c>
      <c r="AO2272" s="32" t="s">
        <v>1898</v>
      </c>
      <c r="AP2272" s="32">
        <f>2+13/60</f>
        <v>2.2166666666666668</v>
      </c>
      <c r="AQ2272" s="32" t="s">
        <v>1522</v>
      </c>
      <c r="AU2272">
        <v>2271</v>
      </c>
    </row>
    <row r="2273" spans="1:47" x14ac:dyDescent="0.2">
      <c r="A2273" s="26">
        <v>6507</v>
      </c>
      <c r="B2273" s="27">
        <v>0.82638888888888884</v>
      </c>
      <c r="C2273" s="28"/>
      <c r="D2273" s="29"/>
      <c r="E2273" s="30" t="s">
        <v>1282</v>
      </c>
      <c r="H2273" s="32">
        <v>1</v>
      </c>
      <c r="I2273" s="32" t="s">
        <v>3668</v>
      </c>
      <c r="AG2273" s="32">
        <v>0</v>
      </c>
      <c r="AH2273" s="32">
        <v>1</v>
      </c>
      <c r="AL2273" s="32">
        <f>2+40/60</f>
        <v>2.6666666666666665</v>
      </c>
      <c r="AP2273" s="32">
        <f>2+40/60</f>
        <v>2.6666666666666665</v>
      </c>
      <c r="AQ2273" s="32" t="s">
        <v>1101</v>
      </c>
      <c r="AU2273">
        <v>2272</v>
      </c>
    </row>
    <row r="2274" spans="1:47" x14ac:dyDescent="0.2">
      <c r="A2274" s="26">
        <v>6507</v>
      </c>
      <c r="B2274" s="27">
        <v>0.83333333333333337</v>
      </c>
      <c r="C2274" s="28"/>
      <c r="D2274" s="29"/>
      <c r="E2274" s="30" t="s">
        <v>869</v>
      </c>
      <c r="H2274" s="32">
        <v>0</v>
      </c>
      <c r="I2274" s="32" t="s">
        <v>2344</v>
      </c>
      <c r="AG2274" s="32">
        <v>0</v>
      </c>
      <c r="AH2274" s="32">
        <v>0</v>
      </c>
      <c r="AI2274" s="32">
        <v>0</v>
      </c>
      <c r="AK2274" s="32">
        <v>0</v>
      </c>
      <c r="AL2274" s="32">
        <f>85/60</f>
        <v>1.4166666666666667</v>
      </c>
      <c r="AP2274" s="32">
        <f>85/60</f>
        <v>1.4166666666666667</v>
      </c>
      <c r="AQ2274" s="32" t="s">
        <v>589</v>
      </c>
      <c r="AU2274">
        <v>2273</v>
      </c>
    </row>
    <row r="2275" spans="1:47" x14ac:dyDescent="0.2">
      <c r="A2275" s="26">
        <v>6507</v>
      </c>
      <c r="B2275" s="27">
        <v>0.85069444444444453</v>
      </c>
      <c r="C2275" s="28"/>
      <c r="D2275" s="29"/>
      <c r="E2275" s="102" t="s">
        <v>1102</v>
      </c>
      <c r="H2275" s="32">
        <v>0</v>
      </c>
      <c r="I2275" s="32" t="s">
        <v>1103</v>
      </c>
      <c r="AG2275" s="32">
        <v>0</v>
      </c>
      <c r="AH2275" s="32">
        <v>0</v>
      </c>
      <c r="AI2275" s="32">
        <v>0</v>
      </c>
      <c r="AK2275" s="32">
        <v>0</v>
      </c>
      <c r="AL2275" s="32">
        <f>65/60</f>
        <v>1.0833333333333333</v>
      </c>
      <c r="AO2275" s="73" t="s">
        <v>1006</v>
      </c>
      <c r="AP2275" s="32">
        <f>65/60</f>
        <v>1.0833333333333333</v>
      </c>
      <c r="AQ2275" s="32" t="s">
        <v>589</v>
      </c>
      <c r="AU2275">
        <v>2274</v>
      </c>
    </row>
    <row r="2276" spans="1:47" x14ac:dyDescent="0.2">
      <c r="A2276" s="26">
        <v>6507</v>
      </c>
      <c r="B2276" s="27">
        <v>0.97916666666666663</v>
      </c>
      <c r="C2276" s="28"/>
      <c r="D2276" s="29"/>
      <c r="E2276" s="30" t="s">
        <v>869</v>
      </c>
      <c r="H2276" s="32">
        <v>0</v>
      </c>
      <c r="I2276" s="32" t="s">
        <v>2344</v>
      </c>
      <c r="AG2276" s="32">
        <v>0</v>
      </c>
      <c r="AH2276" s="32">
        <v>0</v>
      </c>
      <c r="AI2276" s="32">
        <v>0</v>
      </c>
      <c r="AK2276" s="32">
        <v>0</v>
      </c>
      <c r="AL2276" s="32">
        <f>33/60</f>
        <v>0.55000000000000004</v>
      </c>
      <c r="AP2276" s="32">
        <f>33/60</f>
        <v>0.55000000000000004</v>
      </c>
      <c r="AQ2276" s="32" t="s">
        <v>589</v>
      </c>
      <c r="AU2276">
        <v>2275</v>
      </c>
    </row>
    <row r="2277" spans="1:47" x14ac:dyDescent="0.2">
      <c r="A2277" s="26">
        <v>6507</v>
      </c>
      <c r="B2277" s="27" t="s">
        <v>85</v>
      </c>
      <c r="C2277" s="28"/>
      <c r="D2277" s="29"/>
      <c r="E2277" s="30" t="s">
        <v>858</v>
      </c>
      <c r="H2277" s="32">
        <v>1</v>
      </c>
      <c r="I2277" s="32" t="s">
        <v>3632</v>
      </c>
      <c r="AG2277" s="32">
        <v>6</v>
      </c>
      <c r="AH2277" s="32">
        <v>7</v>
      </c>
      <c r="AI2277" s="32">
        <v>101000</v>
      </c>
      <c r="AQ2277" s="32">
        <v>438</v>
      </c>
      <c r="AU2277">
        <v>2276</v>
      </c>
    </row>
    <row r="2278" spans="1:47" x14ac:dyDescent="0.2">
      <c r="A2278" s="26">
        <v>6507</v>
      </c>
      <c r="B2278" s="27" t="s">
        <v>45</v>
      </c>
      <c r="C2278" s="28"/>
      <c r="D2278" s="29"/>
      <c r="E2278" s="30" t="s">
        <v>1531</v>
      </c>
      <c r="H2278" s="32">
        <v>0</v>
      </c>
      <c r="I2278" s="32" t="s">
        <v>1532</v>
      </c>
      <c r="AG2278" s="32">
        <v>0</v>
      </c>
      <c r="AH2278" s="32">
        <v>0</v>
      </c>
      <c r="AI2278" s="32">
        <v>0</v>
      </c>
      <c r="AK2278" s="32">
        <v>0</v>
      </c>
      <c r="AM2278" s="32">
        <f>498*52</f>
        <v>25896</v>
      </c>
      <c r="AO2278" s="32" t="s">
        <v>1533</v>
      </c>
      <c r="AQ2278" s="32" t="s">
        <v>1101</v>
      </c>
      <c r="AU2278">
        <v>2277</v>
      </c>
    </row>
    <row r="2279" spans="1:47" x14ac:dyDescent="0.2">
      <c r="A2279" s="26">
        <v>6507</v>
      </c>
      <c r="B2279" s="27" t="s">
        <v>45</v>
      </c>
      <c r="C2279" s="28"/>
      <c r="D2279" s="29"/>
      <c r="E2279" s="150" t="s">
        <v>2286</v>
      </c>
      <c r="H2279" s="32">
        <v>0</v>
      </c>
      <c r="I2279" s="32" t="s">
        <v>1824</v>
      </c>
      <c r="AG2279" s="32">
        <v>0</v>
      </c>
      <c r="AH2279" s="32">
        <v>0</v>
      </c>
      <c r="AI2279" s="32">
        <v>0</v>
      </c>
      <c r="AK2279" s="32">
        <v>0</v>
      </c>
      <c r="AM2279" s="32">
        <v>9000</v>
      </c>
      <c r="AO2279" s="73" t="s">
        <v>75</v>
      </c>
      <c r="AQ2279" s="32" t="s">
        <v>589</v>
      </c>
      <c r="AU2279">
        <v>2278</v>
      </c>
    </row>
    <row r="2280" spans="1:47" x14ac:dyDescent="0.2">
      <c r="A2280" s="26">
        <v>6511</v>
      </c>
      <c r="B2280" s="27">
        <v>0.97638888888888886</v>
      </c>
      <c r="C2280" s="28"/>
      <c r="D2280" s="29"/>
      <c r="E2280" s="30" t="s">
        <v>110</v>
      </c>
      <c r="H2280" s="32">
        <v>0</v>
      </c>
      <c r="I2280" s="32" t="s">
        <v>3587</v>
      </c>
      <c r="AG2280" s="32">
        <v>0</v>
      </c>
      <c r="AH2280" s="32">
        <v>0</v>
      </c>
      <c r="AI2280" s="32">
        <v>0</v>
      </c>
      <c r="AK2280" s="32">
        <v>0</v>
      </c>
      <c r="AL2280" s="32">
        <f>24/60</f>
        <v>0.4</v>
      </c>
      <c r="AP2280" s="32">
        <f>24/60</f>
        <v>0.4</v>
      </c>
      <c r="AQ2280" s="32" t="s">
        <v>1101</v>
      </c>
      <c r="AU2280">
        <v>2279</v>
      </c>
    </row>
    <row r="2281" spans="1:47" x14ac:dyDescent="0.2">
      <c r="A2281" s="13">
        <v>6512</v>
      </c>
      <c r="B2281" s="57" t="s">
        <v>3598</v>
      </c>
      <c r="C2281" s="57" t="s">
        <v>1077</v>
      </c>
      <c r="D2281" s="29"/>
      <c r="E2281" s="57" t="s">
        <v>1764</v>
      </c>
      <c r="F2281" s="31" t="s">
        <v>76</v>
      </c>
      <c r="G2281" s="31" t="s">
        <v>49</v>
      </c>
      <c r="I2281" s="31" t="s">
        <v>3602</v>
      </c>
      <c r="K2281" s="31">
        <v>484</v>
      </c>
      <c r="AE2281" s="47" t="s">
        <v>1312</v>
      </c>
      <c r="AF2281" s="31">
        <v>85</v>
      </c>
      <c r="AK2281" s="33">
        <v>10</v>
      </c>
      <c r="AQ2281" s="32" t="s">
        <v>3599</v>
      </c>
      <c r="AU2281">
        <v>2280</v>
      </c>
    </row>
    <row r="2282" spans="1:47" x14ac:dyDescent="0.2">
      <c r="A2282" s="13">
        <v>6512</v>
      </c>
      <c r="B2282" s="57" t="s">
        <v>3598</v>
      </c>
      <c r="C2282" s="57" t="s">
        <v>1077</v>
      </c>
      <c r="D2282" s="29"/>
      <c r="E2282" s="57" t="s">
        <v>3666</v>
      </c>
      <c r="F2282" s="31" t="s">
        <v>76</v>
      </c>
      <c r="G2282" s="31" t="s">
        <v>49</v>
      </c>
      <c r="I2282" s="31" t="s">
        <v>3602</v>
      </c>
      <c r="K2282" s="31">
        <v>484</v>
      </c>
      <c r="AE2282" s="47" t="s">
        <v>1312</v>
      </c>
      <c r="AF2282" s="31">
        <v>60</v>
      </c>
      <c r="AK2282" s="33">
        <v>10</v>
      </c>
      <c r="AQ2282" s="32" t="s">
        <v>3599</v>
      </c>
      <c r="AU2282">
        <v>2281</v>
      </c>
    </row>
    <row r="2283" spans="1:47" x14ac:dyDescent="0.2">
      <c r="A2283" s="13">
        <v>6512</v>
      </c>
      <c r="B2283" s="57" t="s">
        <v>3598</v>
      </c>
      <c r="C2283" s="57" t="s">
        <v>1077</v>
      </c>
      <c r="D2283" s="29"/>
      <c r="E2283" s="57" t="s">
        <v>3669</v>
      </c>
      <c r="F2283" s="31" t="s">
        <v>348</v>
      </c>
      <c r="G2283" s="31" t="s">
        <v>49</v>
      </c>
      <c r="K2283" s="31">
        <v>580.79999999999995</v>
      </c>
      <c r="AE2283" s="47" t="s">
        <v>1312</v>
      </c>
      <c r="AF2283" s="31">
        <v>40</v>
      </c>
      <c r="AK2283" s="33">
        <v>12</v>
      </c>
      <c r="AQ2283" s="32" t="s">
        <v>3599</v>
      </c>
      <c r="AU2283">
        <v>2282</v>
      </c>
    </row>
    <row r="2284" spans="1:47" x14ac:dyDescent="0.2">
      <c r="A2284" s="13">
        <v>6512</v>
      </c>
      <c r="B2284" s="57" t="s">
        <v>3598</v>
      </c>
      <c r="C2284" s="57" t="s">
        <v>1077</v>
      </c>
      <c r="D2284" s="29"/>
      <c r="E2284" s="57" t="s">
        <v>3603</v>
      </c>
      <c r="F2284" s="31" t="s">
        <v>76</v>
      </c>
      <c r="G2284" s="31" t="s">
        <v>49</v>
      </c>
      <c r="K2284" s="31">
        <v>677.6</v>
      </c>
      <c r="AE2284" s="47" t="s">
        <v>1312</v>
      </c>
      <c r="AF2284" s="31">
        <v>45</v>
      </c>
      <c r="AK2284" s="33">
        <v>14</v>
      </c>
      <c r="AQ2284" s="32" t="s">
        <v>3599</v>
      </c>
      <c r="AU2284">
        <v>2283</v>
      </c>
    </row>
    <row r="2285" spans="1:47" x14ac:dyDescent="0.2">
      <c r="A2285" s="13">
        <v>6512</v>
      </c>
      <c r="B2285" s="57" t="s">
        <v>3598</v>
      </c>
      <c r="C2285" s="57" t="s">
        <v>1077</v>
      </c>
      <c r="D2285" s="29"/>
      <c r="E2285" s="57" t="s">
        <v>3604</v>
      </c>
      <c r="F2285" s="31" t="s">
        <v>76</v>
      </c>
      <c r="G2285" s="31" t="s">
        <v>49</v>
      </c>
      <c r="I2285" s="31" t="s">
        <v>3602</v>
      </c>
      <c r="K2285" s="31">
        <v>5214</v>
      </c>
      <c r="AE2285" s="47" t="s">
        <v>1312</v>
      </c>
      <c r="AF2285" s="31">
        <v>70</v>
      </c>
      <c r="AK2285" s="33">
        <v>120</v>
      </c>
      <c r="AQ2285" s="32" t="s">
        <v>3599</v>
      </c>
      <c r="AU2285">
        <v>2284</v>
      </c>
    </row>
    <row r="2286" spans="1:47" x14ac:dyDescent="0.2">
      <c r="A2286" s="133">
        <v>6512</v>
      </c>
      <c r="B2286" s="39" t="s">
        <v>45</v>
      </c>
      <c r="C2286" s="39">
        <v>100</v>
      </c>
      <c r="D2286" s="29" t="b">
        <v>0</v>
      </c>
      <c r="E2286" s="39" t="s">
        <v>3670</v>
      </c>
      <c r="F2286" s="47" t="s">
        <v>3671</v>
      </c>
      <c r="G2286" s="47" t="s">
        <v>49</v>
      </c>
      <c r="H2286"/>
      <c r="I2286" s="47" t="b">
        <v>1</v>
      </c>
      <c r="J2286" s="47" t="b">
        <v>1</v>
      </c>
      <c r="K2286" s="47">
        <v>915</v>
      </c>
      <c r="L2286" s="48">
        <v>9</v>
      </c>
      <c r="M2286" s="47">
        <v>6</v>
      </c>
      <c r="N2286" s="47">
        <v>0</v>
      </c>
      <c r="O2286" s="47">
        <v>0</v>
      </c>
      <c r="P2286" s="47">
        <v>0</v>
      </c>
      <c r="Q2286" s="47">
        <v>0</v>
      </c>
      <c r="R2286" s="47">
        <v>0</v>
      </c>
      <c r="S2286" s="48">
        <v>3</v>
      </c>
      <c r="T2286" s="47">
        <v>0</v>
      </c>
      <c r="U2286" s="47">
        <v>0</v>
      </c>
      <c r="V2286" s="47">
        <v>0</v>
      </c>
      <c r="W2286" s="47">
        <v>1150</v>
      </c>
      <c r="X2286" s="47">
        <v>361</v>
      </c>
      <c r="Y2286" s="47"/>
      <c r="Z2286" s="47" t="s">
        <v>2524</v>
      </c>
      <c r="AA2286" s="49"/>
      <c r="AB2286" s="49"/>
      <c r="AC2286" s="49"/>
      <c r="AD2286" s="50"/>
      <c r="AE2286" s="47" t="s">
        <v>1312</v>
      </c>
      <c r="AF2286" s="47">
        <v>105</v>
      </c>
      <c r="AG2286"/>
      <c r="AH2286"/>
      <c r="AI2286"/>
      <c r="AJ2286"/>
      <c r="AK2286"/>
      <c r="AL2286"/>
      <c r="AM2286"/>
      <c r="AN2286"/>
      <c r="AO2286"/>
      <c r="AP2286"/>
      <c r="AQ2286" t="s">
        <v>2526</v>
      </c>
      <c r="AU2286">
        <v>2285</v>
      </c>
    </row>
    <row r="2287" spans="1:47" x14ac:dyDescent="0.2">
      <c r="A2287" s="133">
        <v>6512</v>
      </c>
      <c r="B2287" s="39" t="s">
        <v>45</v>
      </c>
      <c r="C2287" s="39">
        <v>100</v>
      </c>
      <c r="D2287" s="29" t="b">
        <v>0</v>
      </c>
      <c r="E2287" s="39" t="s">
        <v>2434</v>
      </c>
      <c r="F2287" s="47" t="s">
        <v>57</v>
      </c>
      <c r="G2287" s="47" t="s">
        <v>49</v>
      </c>
      <c r="H2287"/>
      <c r="I2287" s="47" t="b">
        <v>0</v>
      </c>
      <c r="J2287" s="47" t="b">
        <v>0</v>
      </c>
      <c r="K2287" s="47">
        <v>305</v>
      </c>
      <c r="L2287" s="48">
        <v>9</v>
      </c>
      <c r="M2287" s="47">
        <v>6</v>
      </c>
      <c r="N2287" s="47">
        <v>0</v>
      </c>
      <c r="O2287" s="47">
        <v>0</v>
      </c>
      <c r="P2287" s="47">
        <v>0</v>
      </c>
      <c r="Q2287" s="47">
        <v>0</v>
      </c>
      <c r="R2287" s="47">
        <v>0</v>
      </c>
      <c r="S2287" s="48">
        <v>1</v>
      </c>
      <c r="T2287" s="47">
        <v>0</v>
      </c>
      <c r="U2287" s="47">
        <v>0</v>
      </c>
      <c r="V2287" s="47">
        <v>0</v>
      </c>
      <c r="W2287" s="47">
        <v>1150</v>
      </c>
      <c r="X2287" s="47">
        <v>362</v>
      </c>
      <c r="Y2287" s="47"/>
      <c r="Z2287" s="47" t="s">
        <v>2524</v>
      </c>
      <c r="AA2287" s="49"/>
      <c r="AB2287" s="49"/>
      <c r="AC2287" s="49"/>
      <c r="AD2287" s="50"/>
      <c r="AE2287" s="47" t="s">
        <v>1312</v>
      </c>
      <c r="AF2287" s="47">
        <v>80</v>
      </c>
      <c r="AG2287"/>
      <c r="AH2287"/>
      <c r="AI2287"/>
      <c r="AJ2287"/>
      <c r="AK2287"/>
      <c r="AL2287"/>
      <c r="AM2287"/>
      <c r="AN2287"/>
      <c r="AO2287"/>
      <c r="AP2287"/>
      <c r="AQ2287" t="s">
        <v>2526</v>
      </c>
      <c r="AU2287">
        <v>2286</v>
      </c>
    </row>
    <row r="2288" spans="1:47" x14ac:dyDescent="0.2">
      <c r="A2288" s="133">
        <v>6512</v>
      </c>
      <c r="B2288" s="39" t="s">
        <v>45</v>
      </c>
      <c r="C2288" s="39">
        <v>100</v>
      </c>
      <c r="D2288" s="29" t="b">
        <v>0</v>
      </c>
      <c r="E2288" s="39" t="s">
        <v>3672</v>
      </c>
      <c r="F2288" s="47" t="s">
        <v>3673</v>
      </c>
      <c r="G2288" s="47" t="s">
        <v>49</v>
      </c>
      <c r="H2288"/>
      <c r="I2288" s="47" t="b">
        <v>0</v>
      </c>
      <c r="J2288" s="47" t="b">
        <v>0</v>
      </c>
      <c r="K2288" s="47">
        <v>305</v>
      </c>
      <c r="L2288" s="48">
        <v>9</v>
      </c>
      <c r="M2288" s="47">
        <v>6</v>
      </c>
      <c r="N2288" s="47">
        <v>0</v>
      </c>
      <c r="O2288" s="47">
        <v>0</v>
      </c>
      <c r="P2288" s="47">
        <v>0</v>
      </c>
      <c r="Q2288" s="47">
        <v>0</v>
      </c>
      <c r="R2288" s="47">
        <v>0</v>
      </c>
      <c r="S2288" s="48">
        <v>1</v>
      </c>
      <c r="T2288" s="47">
        <v>0</v>
      </c>
      <c r="U2288" s="47">
        <v>0</v>
      </c>
      <c r="V2288" s="47">
        <v>0</v>
      </c>
      <c r="W2288" s="47">
        <v>1150</v>
      </c>
      <c r="X2288" s="47">
        <v>363</v>
      </c>
      <c r="Y2288" s="47"/>
      <c r="Z2288" s="47" t="s">
        <v>2524</v>
      </c>
      <c r="AA2288" s="49"/>
      <c r="AB2288" s="49"/>
      <c r="AC2288" s="49"/>
      <c r="AD2288" s="50"/>
      <c r="AE2288" s="47" t="s">
        <v>1312</v>
      </c>
      <c r="AF2288" s="47">
        <v>80</v>
      </c>
      <c r="AG2288"/>
      <c r="AH2288"/>
      <c r="AI2288"/>
      <c r="AJ2288"/>
      <c r="AK2288"/>
      <c r="AL2288"/>
      <c r="AM2288"/>
      <c r="AN2288"/>
      <c r="AO2288"/>
      <c r="AP2288"/>
      <c r="AQ2288" t="s">
        <v>2526</v>
      </c>
      <c r="AU2288">
        <v>2287</v>
      </c>
    </row>
    <row r="2289" spans="1:47" x14ac:dyDescent="0.2">
      <c r="A2289" s="133">
        <v>6512</v>
      </c>
      <c r="B2289" s="39" t="s">
        <v>45</v>
      </c>
      <c r="C2289" s="39">
        <v>100</v>
      </c>
      <c r="D2289" s="29" t="b">
        <v>0</v>
      </c>
      <c r="E2289" s="39" t="s">
        <v>858</v>
      </c>
      <c r="F2289" s="47" t="s">
        <v>3674</v>
      </c>
      <c r="G2289" s="47" t="s">
        <v>49</v>
      </c>
      <c r="H2289"/>
      <c r="I2289" s="47" t="b">
        <v>0</v>
      </c>
      <c r="J2289" s="47" t="b">
        <v>0</v>
      </c>
      <c r="K2289" s="47">
        <v>305</v>
      </c>
      <c r="L2289" s="48">
        <v>9</v>
      </c>
      <c r="M2289" s="47">
        <v>6</v>
      </c>
      <c r="N2289" s="47">
        <v>0</v>
      </c>
      <c r="O2289" s="47">
        <v>0</v>
      </c>
      <c r="P2289" s="47">
        <v>0</v>
      </c>
      <c r="Q2289" s="47">
        <v>0</v>
      </c>
      <c r="R2289" s="47">
        <v>0</v>
      </c>
      <c r="S2289" s="48">
        <v>1</v>
      </c>
      <c r="T2289" s="47">
        <v>0</v>
      </c>
      <c r="U2289" s="47">
        <v>0</v>
      </c>
      <c r="V2289" s="47">
        <v>0</v>
      </c>
      <c r="W2289" s="47">
        <v>1150</v>
      </c>
      <c r="X2289" s="47">
        <v>364</v>
      </c>
      <c r="Y2289" s="47"/>
      <c r="Z2289" s="47" t="s">
        <v>2524</v>
      </c>
      <c r="AA2289" s="49"/>
      <c r="AB2289" s="49"/>
      <c r="AC2289" s="49"/>
      <c r="AD2289" s="50"/>
      <c r="AE2289" s="47" t="s">
        <v>1312</v>
      </c>
      <c r="AF2289" s="47">
        <v>105</v>
      </c>
      <c r="AG2289"/>
      <c r="AH2289"/>
      <c r="AI2289"/>
      <c r="AJ2289"/>
      <c r="AK2289"/>
      <c r="AL2289"/>
      <c r="AM2289"/>
      <c r="AN2289"/>
      <c r="AO2289"/>
      <c r="AP2289"/>
      <c r="AQ2289" t="s">
        <v>2526</v>
      </c>
      <c r="AU2289">
        <v>2288</v>
      </c>
    </row>
    <row r="2290" spans="1:47" x14ac:dyDescent="0.2">
      <c r="A2290" s="13">
        <v>6512</v>
      </c>
      <c r="B2290" s="57" t="s">
        <v>45</v>
      </c>
      <c r="C2290" s="57" t="s">
        <v>332</v>
      </c>
      <c r="D2290" s="29"/>
      <c r="E2290" s="57" t="s">
        <v>3675</v>
      </c>
      <c r="F2290" s="31" t="s">
        <v>76</v>
      </c>
      <c r="G2290" s="47" t="s">
        <v>49</v>
      </c>
      <c r="K2290" s="31">
        <v>132</v>
      </c>
      <c r="S2290" s="33">
        <v>1</v>
      </c>
      <c r="Z2290" s="31" t="s">
        <v>2203</v>
      </c>
      <c r="AK2290" s="32">
        <v>6</v>
      </c>
      <c r="AQ2290" s="32" t="s">
        <v>3596</v>
      </c>
      <c r="AU2290">
        <v>2289</v>
      </c>
    </row>
    <row r="2291" spans="1:47" x14ac:dyDescent="0.2">
      <c r="A2291" s="13">
        <v>6512</v>
      </c>
      <c r="B2291" s="57" t="s">
        <v>45</v>
      </c>
      <c r="C2291" s="57" t="s">
        <v>1367</v>
      </c>
      <c r="D2291" s="29"/>
      <c r="E2291" s="57" t="s">
        <v>2199</v>
      </c>
      <c r="F2291" s="31" t="s">
        <v>76</v>
      </c>
      <c r="G2291" s="47" t="s">
        <v>49</v>
      </c>
      <c r="I2291" s="31" t="s">
        <v>3602</v>
      </c>
      <c r="K2291" s="31">
        <v>264</v>
      </c>
      <c r="AE2291" s="47" t="s">
        <v>342</v>
      </c>
      <c r="AF2291" s="31">
        <v>40</v>
      </c>
      <c r="AK2291" s="33">
        <v>6</v>
      </c>
      <c r="AQ2291" s="32" t="s">
        <v>3599</v>
      </c>
      <c r="AU2291">
        <v>2290</v>
      </c>
    </row>
    <row r="2292" spans="1:47" x14ac:dyDescent="0.2">
      <c r="A2292" s="13">
        <v>6512</v>
      </c>
      <c r="B2292" s="57" t="s">
        <v>45</v>
      </c>
      <c r="C2292" s="57" t="s">
        <v>332</v>
      </c>
      <c r="D2292" s="29"/>
      <c r="E2292" s="57" t="s">
        <v>3623</v>
      </c>
      <c r="F2292" s="31" t="s">
        <v>76</v>
      </c>
      <c r="G2292" s="47" t="s">
        <v>49</v>
      </c>
      <c r="K2292" s="31">
        <v>330</v>
      </c>
      <c r="S2292" s="33">
        <v>1</v>
      </c>
      <c r="T2292" s="47"/>
      <c r="U2292" s="47"/>
      <c r="V2292" s="47"/>
      <c r="W2292" s="47"/>
      <c r="Z2292" s="31" t="s">
        <v>2203</v>
      </c>
      <c r="AK2292" s="32">
        <v>3</v>
      </c>
      <c r="AQ2292" s="32" t="s">
        <v>3596</v>
      </c>
      <c r="AU2292">
        <v>2291</v>
      </c>
    </row>
    <row r="2293" spans="1:47" x14ac:dyDescent="0.2">
      <c r="A2293" s="13">
        <v>6512</v>
      </c>
      <c r="B2293" s="57" t="s">
        <v>45</v>
      </c>
      <c r="C2293" s="38" t="s">
        <v>3610</v>
      </c>
      <c r="D2293" s="29"/>
      <c r="E2293" s="57" t="s">
        <v>1764</v>
      </c>
      <c r="F2293" s="31" t="s">
        <v>76</v>
      </c>
      <c r="G2293" s="47" t="s">
        <v>49</v>
      </c>
      <c r="I2293" s="31" t="s">
        <v>3676</v>
      </c>
      <c r="K2293" s="31">
        <f>30*10*2.2</f>
        <v>660</v>
      </c>
      <c r="L2293" s="33">
        <v>1</v>
      </c>
      <c r="S2293" s="33">
        <v>1</v>
      </c>
      <c r="T2293" s="47">
        <v>0</v>
      </c>
      <c r="U2293" s="47">
        <v>0</v>
      </c>
      <c r="V2293" s="47">
        <v>0</v>
      </c>
      <c r="W2293" s="47">
        <f>3200*39.37/12</f>
        <v>10498.666666666666</v>
      </c>
      <c r="Y2293" s="31" t="s">
        <v>51</v>
      </c>
      <c r="Z2293" s="47" t="s">
        <v>1846</v>
      </c>
      <c r="AD2293" s="35">
        <v>2.67</v>
      </c>
      <c r="AE2293" s="47" t="s">
        <v>342</v>
      </c>
      <c r="AF2293" s="31">
        <v>70</v>
      </c>
      <c r="AK2293" s="33">
        <v>30</v>
      </c>
      <c r="AQ2293" s="18" t="s">
        <v>3677</v>
      </c>
      <c r="AU2293">
        <v>2292</v>
      </c>
    </row>
    <row r="2294" spans="1:47" x14ac:dyDescent="0.2">
      <c r="A2294" s="13">
        <v>6512</v>
      </c>
      <c r="B2294" s="57" t="s">
        <v>45</v>
      </c>
      <c r="C2294" s="38" t="s">
        <v>3610</v>
      </c>
      <c r="D2294" s="29"/>
      <c r="E2294" s="57" t="s">
        <v>3604</v>
      </c>
      <c r="F2294" s="31" t="s">
        <v>76</v>
      </c>
      <c r="G2294" s="47" t="s">
        <v>49</v>
      </c>
      <c r="I2294" s="31" t="s">
        <v>3678</v>
      </c>
      <c r="K2294" s="31">
        <f>30*10*2.2</f>
        <v>660</v>
      </c>
      <c r="L2294" s="33">
        <v>1</v>
      </c>
      <c r="S2294" s="33">
        <v>1</v>
      </c>
      <c r="T2294" s="47">
        <v>0</v>
      </c>
      <c r="U2294" s="47">
        <v>0</v>
      </c>
      <c r="V2294" s="47">
        <v>0</v>
      </c>
      <c r="W2294" s="47">
        <f>2200*39.37/12</f>
        <v>7217.833333333333</v>
      </c>
      <c r="Y2294" s="31" t="s">
        <v>51</v>
      </c>
      <c r="Z2294" s="47" t="s">
        <v>1846</v>
      </c>
      <c r="AD2294" s="35">
        <f>2+25/60</f>
        <v>2.4166666666666665</v>
      </c>
      <c r="AE2294" s="47" t="s">
        <v>342</v>
      </c>
      <c r="AF2294" s="31">
        <v>55</v>
      </c>
      <c r="AK2294" s="33">
        <v>30</v>
      </c>
      <c r="AQ2294" s="18" t="s">
        <v>3677</v>
      </c>
      <c r="AU2294">
        <v>2293</v>
      </c>
    </row>
    <row r="2295" spans="1:47" x14ac:dyDescent="0.2">
      <c r="A2295" s="13">
        <v>6512</v>
      </c>
      <c r="B2295" s="57" t="s">
        <v>45</v>
      </c>
      <c r="C2295" s="38" t="s">
        <v>3610</v>
      </c>
      <c r="D2295" s="29"/>
      <c r="E2295" s="57" t="s">
        <v>3679</v>
      </c>
      <c r="F2295" s="31" t="s">
        <v>76</v>
      </c>
      <c r="G2295" s="47" t="s">
        <v>49</v>
      </c>
      <c r="I2295" s="31" t="s">
        <v>3680</v>
      </c>
      <c r="K2295" s="19">
        <v>924</v>
      </c>
      <c r="L2295" s="33">
        <v>1</v>
      </c>
      <c r="S2295" s="33">
        <v>1</v>
      </c>
      <c r="T2295" s="47">
        <v>0</v>
      </c>
      <c r="U2295" s="47">
        <v>0</v>
      </c>
      <c r="V2295" s="47">
        <v>0</v>
      </c>
      <c r="W2295" s="47">
        <f>3000*39.37/12</f>
        <v>9842.4999999999982</v>
      </c>
      <c r="Y2295" s="31" t="s">
        <v>51</v>
      </c>
      <c r="Z2295" s="47" t="s">
        <v>1846</v>
      </c>
      <c r="AD2295" s="35">
        <v>3</v>
      </c>
      <c r="AE2295" s="47" t="s">
        <v>342</v>
      </c>
      <c r="AF2295" s="31">
        <v>90</v>
      </c>
      <c r="AK2295" s="33">
        <v>36</v>
      </c>
      <c r="AQ2295" s="18" t="s">
        <v>3677</v>
      </c>
      <c r="AU2295">
        <v>2294</v>
      </c>
    </row>
    <row r="2296" spans="1:47" x14ac:dyDescent="0.2">
      <c r="A2296" s="13">
        <v>6512</v>
      </c>
      <c r="B2296" s="57" t="s">
        <v>45</v>
      </c>
      <c r="C2296" s="38" t="s">
        <v>3610</v>
      </c>
      <c r="D2296" s="29"/>
      <c r="E2296" s="39" t="s">
        <v>3367</v>
      </c>
      <c r="F2296" s="31" t="s">
        <v>76</v>
      </c>
      <c r="G2296" s="47" t="s">
        <v>49</v>
      </c>
      <c r="I2296" s="31" t="s">
        <v>3681</v>
      </c>
      <c r="K2296" s="31">
        <f>2*6*50*2.2+30*10*2.2</f>
        <v>1980</v>
      </c>
      <c r="L2296" s="33">
        <v>3</v>
      </c>
      <c r="S2296" s="33">
        <v>3</v>
      </c>
      <c r="T2296" s="47">
        <v>0</v>
      </c>
      <c r="U2296" s="47">
        <v>0</v>
      </c>
      <c r="V2296" s="47">
        <v>0</v>
      </c>
      <c r="W2296" s="47">
        <f>((2500+2800+2300)/3)*39.37/12</f>
        <v>8311.4444444444434</v>
      </c>
      <c r="Y2296" s="31" t="s">
        <v>51</v>
      </c>
      <c r="Z2296" s="47" t="s">
        <v>1846</v>
      </c>
      <c r="AD2296" s="35">
        <v>2</v>
      </c>
      <c r="AE2296" s="47" t="s">
        <v>342</v>
      </c>
      <c r="AF2296" s="31">
        <v>45</v>
      </c>
      <c r="AK2296" s="33">
        <f>6+6+30</f>
        <v>42</v>
      </c>
      <c r="AQ2296" s="18" t="s">
        <v>3677</v>
      </c>
      <c r="AU2296">
        <v>2295</v>
      </c>
    </row>
    <row r="2297" spans="1:47" x14ac:dyDescent="0.2">
      <c r="A2297" s="13">
        <v>6512</v>
      </c>
      <c r="B2297" s="57" t="s">
        <v>45</v>
      </c>
      <c r="C2297" s="57" t="s">
        <v>1367</v>
      </c>
      <c r="D2297" s="29"/>
      <c r="E2297" s="39" t="s">
        <v>3367</v>
      </c>
      <c r="F2297" s="31" t="s">
        <v>76</v>
      </c>
      <c r="G2297" s="47" t="s">
        <v>49</v>
      </c>
      <c r="I2297" s="31" t="s">
        <v>3682</v>
      </c>
      <c r="K2297" s="31">
        <f>5775-3*660</f>
        <v>3795</v>
      </c>
      <c r="AE2297" s="47" t="s">
        <v>342</v>
      </c>
      <c r="AF2297" s="31">
        <v>45</v>
      </c>
      <c r="AK2297" s="33">
        <f>105-42</f>
        <v>63</v>
      </c>
      <c r="AQ2297" s="32" t="s">
        <v>3599</v>
      </c>
      <c r="AU2297">
        <v>2296</v>
      </c>
    </row>
    <row r="2298" spans="1:47" x14ac:dyDescent="0.2">
      <c r="A2298" s="26">
        <v>6512</v>
      </c>
      <c r="B2298" s="27">
        <v>0.42708333333333331</v>
      </c>
      <c r="C2298" s="28"/>
      <c r="D2298" s="29"/>
      <c r="E2298" s="30" t="s">
        <v>869</v>
      </c>
      <c r="H2298" s="32">
        <v>0</v>
      </c>
      <c r="I2298" s="32" t="s">
        <v>3683</v>
      </c>
      <c r="AG2298" s="32">
        <v>0</v>
      </c>
      <c r="AH2298" s="32">
        <v>0</v>
      </c>
      <c r="AI2298" s="32">
        <v>0</v>
      </c>
      <c r="AK2298" s="32">
        <v>0</v>
      </c>
      <c r="AL2298" s="32">
        <f>55/60</f>
        <v>0.91666666666666663</v>
      </c>
      <c r="AP2298" s="32">
        <f>55/60</f>
        <v>0.91666666666666663</v>
      </c>
      <c r="AQ2298" s="32" t="s">
        <v>589</v>
      </c>
      <c r="AU2298">
        <v>2297</v>
      </c>
    </row>
    <row r="2299" spans="1:47" x14ac:dyDescent="0.2">
      <c r="A2299" s="26">
        <v>6512</v>
      </c>
      <c r="B2299" s="27">
        <v>0.82291666666666663</v>
      </c>
      <c r="C2299" s="28"/>
      <c r="D2299" s="29"/>
      <c r="E2299" s="30" t="s">
        <v>1282</v>
      </c>
      <c r="H2299" s="32">
        <v>1</v>
      </c>
      <c r="I2299" s="32" t="s">
        <v>3684</v>
      </c>
      <c r="AG2299" s="32">
        <v>0</v>
      </c>
      <c r="AH2299" s="32">
        <v>0</v>
      </c>
      <c r="AP2299" s="32">
        <v>0.25</v>
      </c>
      <c r="AQ2299" s="32" t="s">
        <v>1101</v>
      </c>
      <c r="AU2299">
        <v>2298</v>
      </c>
    </row>
    <row r="2300" spans="1:47" x14ac:dyDescent="0.2">
      <c r="A2300" s="26">
        <v>6512</v>
      </c>
      <c r="B2300" s="27">
        <v>0.82430555555555562</v>
      </c>
      <c r="C2300" s="28"/>
      <c r="D2300" s="29"/>
      <c r="E2300" s="30" t="s">
        <v>464</v>
      </c>
      <c r="H2300" s="32">
        <v>1</v>
      </c>
      <c r="I2300" s="32" t="s">
        <v>3685</v>
      </c>
      <c r="AG2300" s="32">
        <v>0</v>
      </c>
      <c r="AH2300" s="32">
        <v>0</v>
      </c>
      <c r="AL2300" s="32">
        <f>3+28/60</f>
        <v>3.4666666666666668</v>
      </c>
      <c r="AO2300" s="32" t="s">
        <v>487</v>
      </c>
      <c r="AP2300" s="32">
        <f>3+28/60</f>
        <v>3.4666666666666668</v>
      </c>
      <c r="AQ2300" s="32" t="s">
        <v>3563</v>
      </c>
      <c r="AU2300">
        <v>2299</v>
      </c>
    </row>
    <row r="2301" spans="1:47" x14ac:dyDescent="0.2">
      <c r="A2301" s="26">
        <v>6512</v>
      </c>
      <c r="B2301" s="27">
        <v>0.85069444444444453</v>
      </c>
      <c r="C2301" s="28"/>
      <c r="D2301" s="29"/>
      <c r="E2301" s="30" t="s">
        <v>1282</v>
      </c>
      <c r="H2301" s="32">
        <v>1</v>
      </c>
      <c r="I2301" s="32" t="s">
        <v>3686</v>
      </c>
      <c r="AG2301" s="32">
        <v>0</v>
      </c>
      <c r="AH2301" s="32">
        <v>0</v>
      </c>
      <c r="AL2301" s="32">
        <f>5+25/60</f>
        <v>5.416666666666667</v>
      </c>
      <c r="AP2301" s="32">
        <f>5+25/60</f>
        <v>5.416666666666667</v>
      </c>
      <c r="AQ2301" s="32" t="s">
        <v>1101</v>
      </c>
      <c r="AU2301">
        <v>2300</v>
      </c>
    </row>
    <row r="2302" spans="1:47" x14ac:dyDescent="0.2">
      <c r="A2302" s="26">
        <v>6512</v>
      </c>
      <c r="B2302" s="27" t="s">
        <v>45</v>
      </c>
      <c r="C2302" s="28"/>
      <c r="D2302" s="29"/>
      <c r="E2302" s="30" t="s">
        <v>1531</v>
      </c>
      <c r="H2302" s="32">
        <v>1</v>
      </c>
      <c r="I2302" s="32" t="s">
        <v>3687</v>
      </c>
      <c r="AM2302" s="32">
        <f>498*140</f>
        <v>69720</v>
      </c>
      <c r="AO2302" s="32" t="s">
        <v>1533</v>
      </c>
      <c r="AQ2302" s="32" t="s">
        <v>1101</v>
      </c>
      <c r="AU2302">
        <v>2301</v>
      </c>
    </row>
    <row r="2303" spans="1:47" x14ac:dyDescent="0.2">
      <c r="A2303" s="26">
        <v>6512</v>
      </c>
      <c r="B2303" s="27" t="s">
        <v>45</v>
      </c>
      <c r="C2303" s="28"/>
      <c r="D2303" s="29"/>
      <c r="E2303" s="150" t="s">
        <v>2286</v>
      </c>
      <c r="H2303" s="32">
        <v>0</v>
      </c>
      <c r="I2303" s="32" t="s">
        <v>1824</v>
      </c>
      <c r="AG2303" s="32">
        <v>0</v>
      </c>
      <c r="AH2303" s="32">
        <v>0</v>
      </c>
      <c r="AI2303" s="32">
        <v>0</v>
      </c>
      <c r="AK2303" s="32">
        <v>0</v>
      </c>
      <c r="AM2303" s="32">
        <v>19000</v>
      </c>
      <c r="AO2303" s="73" t="s">
        <v>75</v>
      </c>
      <c r="AQ2303" s="32" t="s">
        <v>589</v>
      </c>
      <c r="AU2303">
        <v>2302</v>
      </c>
    </row>
    <row r="2304" spans="1:47" x14ac:dyDescent="0.2">
      <c r="A2304" s="26">
        <v>6512</v>
      </c>
      <c r="B2304" s="27"/>
      <c r="C2304" s="28"/>
      <c r="D2304" s="29"/>
      <c r="E2304" s="30" t="s">
        <v>75</v>
      </c>
      <c r="H2304" s="32">
        <v>1</v>
      </c>
      <c r="I2304" s="32" t="s">
        <v>3688</v>
      </c>
      <c r="AG2304" s="32">
        <v>0</v>
      </c>
      <c r="AH2304" s="32">
        <v>0</v>
      </c>
      <c r="AI2304" s="32">
        <v>50</v>
      </c>
      <c r="AL2304" s="32">
        <v>6</v>
      </c>
      <c r="AQ2304" s="32">
        <v>413</v>
      </c>
      <c r="AU2304">
        <v>2303</v>
      </c>
    </row>
    <row r="2305" spans="1:47" x14ac:dyDescent="0.2">
      <c r="A2305" s="26">
        <v>6512</v>
      </c>
      <c r="B2305" s="27"/>
      <c r="C2305" s="28"/>
      <c r="D2305" s="29"/>
      <c r="E2305" s="102" t="s">
        <v>1421</v>
      </c>
      <c r="H2305" s="32">
        <v>1</v>
      </c>
      <c r="I2305" s="32" t="s">
        <v>1422</v>
      </c>
      <c r="AK2305" s="32">
        <v>5</v>
      </c>
      <c r="AO2305" s="73"/>
      <c r="AQ2305" s="32" t="s">
        <v>589</v>
      </c>
      <c r="AU2305">
        <v>2304</v>
      </c>
    </row>
    <row r="2306" spans="1:47" x14ac:dyDescent="0.2">
      <c r="A2306" s="133">
        <v>6513</v>
      </c>
      <c r="B2306" s="39" t="s">
        <v>85</v>
      </c>
      <c r="C2306" s="39">
        <v>55</v>
      </c>
      <c r="D2306" s="29" t="b">
        <v>0</v>
      </c>
      <c r="E2306" s="39" t="s">
        <v>3689</v>
      </c>
      <c r="F2306" s="47" t="s">
        <v>3690</v>
      </c>
      <c r="G2306" s="47" t="s">
        <v>459</v>
      </c>
      <c r="H2306"/>
      <c r="I2306" s="47" t="b">
        <v>0</v>
      </c>
      <c r="J2306" s="47" t="b">
        <v>1</v>
      </c>
      <c r="K2306" s="47">
        <v>2712</v>
      </c>
      <c r="L2306" s="48">
        <v>12</v>
      </c>
      <c r="M2306" s="47">
        <v>0</v>
      </c>
      <c r="N2306" s="47">
        <v>0</v>
      </c>
      <c r="O2306" s="47">
        <v>0</v>
      </c>
      <c r="P2306" s="47">
        <v>0</v>
      </c>
      <c r="Q2306" s="47">
        <v>0</v>
      </c>
      <c r="R2306" s="47">
        <v>0</v>
      </c>
      <c r="S2306" s="48">
        <v>12</v>
      </c>
      <c r="T2306" s="47">
        <v>0</v>
      </c>
      <c r="U2306" s="47">
        <v>0</v>
      </c>
      <c r="V2306" s="47">
        <v>0</v>
      </c>
      <c r="W2306" s="47"/>
      <c r="X2306" s="47">
        <v>365</v>
      </c>
      <c r="Y2306" s="47"/>
      <c r="Z2306" s="47" t="s">
        <v>3618</v>
      </c>
      <c r="AA2306" s="49"/>
      <c r="AB2306" s="49"/>
      <c r="AC2306" s="49"/>
      <c r="AD2306" s="50"/>
      <c r="AE2306" s="47" t="s">
        <v>1312</v>
      </c>
      <c r="AF2306" s="47">
        <v>140</v>
      </c>
      <c r="AG2306"/>
      <c r="AH2306"/>
      <c r="AI2306"/>
      <c r="AJ2306"/>
      <c r="AK2306"/>
      <c r="AL2306"/>
      <c r="AM2306"/>
      <c r="AN2306"/>
      <c r="AO2306"/>
      <c r="AP2306"/>
      <c r="AQ2306" t="s">
        <v>2526</v>
      </c>
      <c r="AU2306">
        <v>2305</v>
      </c>
    </row>
    <row r="2307" spans="1:47" x14ac:dyDescent="0.2">
      <c r="A2307" s="13">
        <v>6513</v>
      </c>
      <c r="B2307" s="57" t="s">
        <v>85</v>
      </c>
      <c r="C2307" s="57" t="s">
        <v>1234</v>
      </c>
      <c r="D2307" s="29"/>
      <c r="E2307" s="57" t="s">
        <v>688</v>
      </c>
      <c r="F2307" s="31" t="s">
        <v>76</v>
      </c>
      <c r="G2307" s="31" t="s">
        <v>49</v>
      </c>
      <c r="K2307" s="31">
        <v>88</v>
      </c>
      <c r="Z2307" s="47" t="s">
        <v>1809</v>
      </c>
      <c r="AE2307" s="47" t="s">
        <v>1653</v>
      </c>
      <c r="AK2307" s="33">
        <v>4</v>
      </c>
      <c r="AQ2307" s="32" t="s">
        <v>3599</v>
      </c>
      <c r="AU2307">
        <v>2306</v>
      </c>
    </row>
    <row r="2308" spans="1:47" x14ac:dyDescent="0.2">
      <c r="A2308" s="13">
        <v>6513</v>
      </c>
      <c r="B2308" s="57" t="s">
        <v>85</v>
      </c>
      <c r="C2308" s="57" t="s">
        <v>1234</v>
      </c>
      <c r="D2308" s="29"/>
      <c r="E2308" s="57" t="s">
        <v>3691</v>
      </c>
      <c r="F2308" s="31" t="s">
        <v>204</v>
      </c>
      <c r="G2308" s="31" t="s">
        <v>205</v>
      </c>
      <c r="I2308" s="31" t="s">
        <v>3692</v>
      </c>
      <c r="K2308" s="31">
        <v>220</v>
      </c>
      <c r="Z2308" s="47" t="s">
        <v>1809</v>
      </c>
      <c r="AE2308" s="47" t="s">
        <v>1653</v>
      </c>
      <c r="AF2308" s="31">
        <v>95</v>
      </c>
      <c r="AK2308" s="33">
        <v>10</v>
      </c>
      <c r="AQ2308" s="32" t="s">
        <v>3599</v>
      </c>
      <c r="AU2308">
        <v>2307</v>
      </c>
    </row>
    <row r="2309" spans="1:47" x14ac:dyDescent="0.2">
      <c r="A2309" s="13">
        <v>6513</v>
      </c>
      <c r="B2309" s="57" t="s">
        <v>85</v>
      </c>
      <c r="C2309" s="57" t="s">
        <v>1234</v>
      </c>
      <c r="D2309" s="29"/>
      <c r="E2309" s="57" t="s">
        <v>782</v>
      </c>
      <c r="F2309" s="31" t="s">
        <v>204</v>
      </c>
      <c r="G2309" s="31" t="s">
        <v>205</v>
      </c>
      <c r="K2309" s="31">
        <v>572</v>
      </c>
      <c r="Z2309" s="47" t="s">
        <v>1809</v>
      </c>
      <c r="AE2309" s="47" t="s">
        <v>1653</v>
      </c>
      <c r="AF2309" s="47">
        <v>80</v>
      </c>
      <c r="AK2309" s="33">
        <v>22</v>
      </c>
      <c r="AQ2309" s="32" t="s">
        <v>3599</v>
      </c>
      <c r="AU2309">
        <v>2308</v>
      </c>
    </row>
    <row r="2310" spans="1:47" x14ac:dyDescent="0.2">
      <c r="A2310" s="13">
        <v>6513</v>
      </c>
      <c r="B2310" s="57" t="s">
        <v>3598</v>
      </c>
      <c r="C2310" s="57" t="s">
        <v>1077</v>
      </c>
      <c r="D2310" s="29"/>
      <c r="E2310" s="57" t="s">
        <v>788</v>
      </c>
      <c r="F2310" s="31" t="s">
        <v>76</v>
      </c>
      <c r="G2310" s="31" t="s">
        <v>49</v>
      </c>
      <c r="I2310" s="31" t="s">
        <v>3602</v>
      </c>
      <c r="K2310" s="31">
        <v>387.2</v>
      </c>
      <c r="AE2310" s="47" t="s">
        <v>1312</v>
      </c>
      <c r="AF2310" s="31">
        <v>65</v>
      </c>
      <c r="AK2310" s="33">
        <v>8</v>
      </c>
      <c r="AQ2310" s="32" t="s">
        <v>3599</v>
      </c>
      <c r="AU2310">
        <v>2309</v>
      </c>
    </row>
    <row r="2311" spans="1:47" x14ac:dyDescent="0.2">
      <c r="A2311" s="13">
        <v>6513</v>
      </c>
      <c r="B2311" s="57" t="s">
        <v>3598</v>
      </c>
      <c r="C2311" s="57" t="s">
        <v>1077</v>
      </c>
      <c r="D2311" s="29"/>
      <c r="E2311" s="57" t="s">
        <v>75</v>
      </c>
      <c r="F2311" s="31" t="s">
        <v>76</v>
      </c>
      <c r="G2311" s="31" t="s">
        <v>49</v>
      </c>
      <c r="I2311" s="31" t="s">
        <v>3602</v>
      </c>
      <c r="K2311" s="31">
        <v>484</v>
      </c>
      <c r="AE2311" s="47" t="s">
        <v>1312</v>
      </c>
      <c r="AF2311" s="31">
        <v>135</v>
      </c>
      <c r="AK2311" s="33">
        <v>10</v>
      </c>
      <c r="AQ2311" s="32" t="s">
        <v>3599</v>
      </c>
      <c r="AU2311">
        <v>2310</v>
      </c>
    </row>
    <row r="2312" spans="1:47" x14ac:dyDescent="0.2">
      <c r="A2312" s="13">
        <v>6513</v>
      </c>
      <c r="B2312" s="57" t="s">
        <v>3598</v>
      </c>
      <c r="C2312" s="57" t="s">
        <v>1077</v>
      </c>
      <c r="D2312" s="29"/>
      <c r="E2312" s="57" t="s">
        <v>3666</v>
      </c>
      <c r="F2312" s="31" t="s">
        <v>76</v>
      </c>
      <c r="G2312" s="31" t="s">
        <v>49</v>
      </c>
      <c r="I2312" s="31" t="s">
        <v>3602</v>
      </c>
      <c r="K2312" s="31">
        <v>580.79999999999995</v>
      </c>
      <c r="AE2312" s="47" t="s">
        <v>1312</v>
      </c>
      <c r="AF2312" s="31">
        <v>60</v>
      </c>
      <c r="AK2312" s="33">
        <v>12</v>
      </c>
      <c r="AQ2312" s="32" t="s">
        <v>3599</v>
      </c>
      <c r="AU2312">
        <v>2311</v>
      </c>
    </row>
    <row r="2313" spans="1:47" x14ac:dyDescent="0.2">
      <c r="A2313" s="13">
        <v>6513</v>
      </c>
      <c r="B2313" s="57" t="s">
        <v>3598</v>
      </c>
      <c r="C2313" s="57" t="s">
        <v>1077</v>
      </c>
      <c r="D2313" s="29"/>
      <c r="E2313" s="57" t="s">
        <v>3606</v>
      </c>
      <c r="F2313" s="31" t="s">
        <v>76</v>
      </c>
      <c r="G2313" s="31" t="s">
        <v>49</v>
      </c>
      <c r="I2313" s="31" t="s">
        <v>3602</v>
      </c>
      <c r="K2313" s="31">
        <v>1161.5999999999999</v>
      </c>
      <c r="AE2313" s="47" t="s">
        <v>1312</v>
      </c>
      <c r="AF2313" s="31">
        <v>65</v>
      </c>
      <c r="AK2313" s="33">
        <v>24</v>
      </c>
      <c r="AQ2313" s="32" t="s">
        <v>3599</v>
      </c>
      <c r="AU2313">
        <v>2312</v>
      </c>
    </row>
    <row r="2314" spans="1:47" x14ac:dyDescent="0.2">
      <c r="A2314" s="13">
        <v>6513</v>
      </c>
      <c r="B2314" s="57" t="s">
        <v>3598</v>
      </c>
      <c r="C2314" s="57" t="s">
        <v>1077</v>
      </c>
      <c r="D2314" s="29"/>
      <c r="E2314" s="57" t="s">
        <v>472</v>
      </c>
      <c r="F2314" s="31" t="s">
        <v>3601</v>
      </c>
      <c r="G2314" s="31" t="s">
        <v>481</v>
      </c>
      <c r="I2314" s="31" t="s">
        <v>3605</v>
      </c>
      <c r="K2314" s="31">
        <v>5033.6000000000004</v>
      </c>
      <c r="AE2314" s="47" t="s">
        <v>1312</v>
      </c>
      <c r="AF2314" s="31">
        <v>75</v>
      </c>
      <c r="AK2314" s="33">
        <v>104</v>
      </c>
      <c r="AQ2314" s="32" t="s">
        <v>3599</v>
      </c>
      <c r="AU2314">
        <v>2313</v>
      </c>
    </row>
    <row r="2315" spans="1:47" x14ac:dyDescent="0.2">
      <c r="A2315" s="13">
        <v>6513</v>
      </c>
      <c r="B2315" s="57" t="s">
        <v>3598</v>
      </c>
      <c r="C2315" s="57" t="s">
        <v>1077</v>
      </c>
      <c r="D2315" s="29"/>
      <c r="E2315" s="57" t="s">
        <v>3604</v>
      </c>
      <c r="F2315" s="31" t="s">
        <v>76</v>
      </c>
      <c r="G2315" s="31" t="s">
        <v>49</v>
      </c>
      <c r="I2315" s="31" t="s">
        <v>3602</v>
      </c>
      <c r="K2315" s="31">
        <v>8967.2000000000007</v>
      </c>
      <c r="AE2315" s="47" t="s">
        <v>1312</v>
      </c>
      <c r="AF2315" s="31">
        <v>70</v>
      </c>
      <c r="AK2315" s="33">
        <v>200</v>
      </c>
      <c r="AQ2315" s="32" t="s">
        <v>3599</v>
      </c>
      <c r="AU2315">
        <v>2314</v>
      </c>
    </row>
    <row r="2316" spans="1:47" x14ac:dyDescent="0.2">
      <c r="A2316" s="133">
        <v>6513</v>
      </c>
      <c r="B2316" s="39" t="s">
        <v>45</v>
      </c>
      <c r="C2316" s="39">
        <v>100</v>
      </c>
      <c r="D2316" s="29" t="b">
        <v>0</v>
      </c>
      <c r="E2316" s="39" t="s">
        <v>3693</v>
      </c>
      <c r="F2316" s="47" t="s">
        <v>3694</v>
      </c>
      <c r="G2316" s="47" t="s">
        <v>481</v>
      </c>
      <c r="H2316"/>
      <c r="I2316" s="47" t="b">
        <v>1</v>
      </c>
      <c r="J2316" s="47" t="b">
        <v>1</v>
      </c>
      <c r="K2316" s="47">
        <v>3075</v>
      </c>
      <c r="L2316" s="48">
        <v>12</v>
      </c>
      <c r="M2316" s="47">
        <v>0</v>
      </c>
      <c r="N2316" s="47">
        <v>0</v>
      </c>
      <c r="O2316" s="47">
        <v>0</v>
      </c>
      <c r="P2316" s="47">
        <v>0</v>
      </c>
      <c r="Q2316" s="47">
        <v>0</v>
      </c>
      <c r="R2316" s="47">
        <v>0</v>
      </c>
      <c r="S2316" s="48">
        <v>10</v>
      </c>
      <c r="T2316" s="47">
        <v>0</v>
      </c>
      <c r="U2316" s="47">
        <v>0</v>
      </c>
      <c r="V2316" s="47">
        <v>0</v>
      </c>
      <c r="W2316" s="47"/>
      <c r="X2316" s="47">
        <v>366</v>
      </c>
      <c r="Y2316" s="47"/>
      <c r="Z2316" s="47" t="s">
        <v>2524</v>
      </c>
      <c r="AA2316" s="49"/>
      <c r="AB2316" s="49"/>
      <c r="AC2316" s="49"/>
      <c r="AD2316" s="50"/>
      <c r="AE2316" s="47" t="s">
        <v>1312</v>
      </c>
      <c r="AF2316" s="47">
        <v>105</v>
      </c>
      <c r="AG2316"/>
      <c r="AH2316"/>
      <c r="AI2316"/>
      <c r="AJ2316"/>
      <c r="AK2316"/>
      <c r="AL2316"/>
      <c r="AM2316"/>
      <c r="AN2316"/>
      <c r="AO2316"/>
      <c r="AP2316"/>
      <c r="AQ2316" t="s">
        <v>2526</v>
      </c>
      <c r="AR2316" s="32" t="s">
        <v>3695</v>
      </c>
      <c r="AU2316">
        <v>2315</v>
      </c>
    </row>
    <row r="2317" spans="1:47" x14ac:dyDescent="0.2">
      <c r="A2317" s="133">
        <v>6513</v>
      </c>
      <c r="B2317" s="39" t="s">
        <v>45</v>
      </c>
      <c r="C2317" s="39">
        <v>100</v>
      </c>
      <c r="D2317" s="29" t="b">
        <v>0</v>
      </c>
      <c r="E2317" s="39" t="s">
        <v>3696</v>
      </c>
      <c r="F2317" s="47" t="s">
        <v>2882</v>
      </c>
      <c r="G2317" s="47" t="s">
        <v>481</v>
      </c>
      <c r="H2317"/>
      <c r="I2317" s="47" t="b">
        <v>0</v>
      </c>
      <c r="J2317" s="47" t="b">
        <v>0</v>
      </c>
      <c r="K2317" s="47">
        <v>2160</v>
      </c>
      <c r="L2317" s="48">
        <v>9</v>
      </c>
      <c r="M2317" s="47">
        <v>0</v>
      </c>
      <c r="N2317" s="47">
        <v>0</v>
      </c>
      <c r="O2317" s="47">
        <v>0</v>
      </c>
      <c r="P2317" s="47">
        <v>0</v>
      </c>
      <c r="Q2317" s="47">
        <v>0</v>
      </c>
      <c r="R2317" s="47">
        <v>0</v>
      </c>
      <c r="S2317" s="48">
        <v>7</v>
      </c>
      <c r="T2317" s="47">
        <v>0</v>
      </c>
      <c r="U2317" s="47">
        <v>0</v>
      </c>
      <c r="V2317" s="47">
        <v>0</v>
      </c>
      <c r="W2317" s="47"/>
      <c r="X2317" s="47">
        <v>367</v>
      </c>
      <c r="Y2317" s="47"/>
      <c r="Z2317" s="47" t="s">
        <v>2524</v>
      </c>
      <c r="AA2317" s="49"/>
      <c r="AB2317" s="49"/>
      <c r="AC2317" s="49"/>
      <c r="AD2317" s="50"/>
      <c r="AE2317" s="47" t="s">
        <v>1312</v>
      </c>
      <c r="AF2317" s="47">
        <v>100</v>
      </c>
      <c r="AG2317"/>
      <c r="AH2317"/>
      <c r="AI2317"/>
      <c r="AJ2317"/>
      <c r="AK2317"/>
      <c r="AL2317"/>
      <c r="AM2317"/>
      <c r="AN2317"/>
      <c r="AO2317"/>
      <c r="AP2317"/>
      <c r="AQ2317" t="s">
        <v>2526</v>
      </c>
      <c r="AU2317">
        <v>2316</v>
      </c>
    </row>
    <row r="2318" spans="1:47" x14ac:dyDescent="0.2">
      <c r="A2318" s="133">
        <v>6513</v>
      </c>
      <c r="B2318" s="39" t="s">
        <v>45</v>
      </c>
      <c r="C2318" s="39">
        <v>100</v>
      </c>
      <c r="D2318" s="29" t="b">
        <v>0</v>
      </c>
      <c r="E2318" s="39" t="s">
        <v>3696</v>
      </c>
      <c r="F2318" s="47" t="s">
        <v>3697</v>
      </c>
      <c r="G2318" s="47" t="s">
        <v>459</v>
      </c>
      <c r="H2318"/>
      <c r="I2318" s="47" t="b">
        <v>0</v>
      </c>
      <c r="J2318" s="47" t="b">
        <v>0</v>
      </c>
      <c r="K2318" s="47">
        <v>305</v>
      </c>
      <c r="L2318" s="48">
        <v>1</v>
      </c>
      <c r="M2318" s="47">
        <v>0</v>
      </c>
      <c r="N2318" s="47">
        <v>0</v>
      </c>
      <c r="O2318" s="47">
        <v>0</v>
      </c>
      <c r="P2318" s="47">
        <v>0</v>
      </c>
      <c r="Q2318" s="47">
        <v>0</v>
      </c>
      <c r="R2318" s="47">
        <v>0</v>
      </c>
      <c r="S2318" s="48">
        <v>1</v>
      </c>
      <c r="T2318" s="47">
        <v>0</v>
      </c>
      <c r="U2318" s="47">
        <v>0</v>
      </c>
      <c r="V2318" s="47">
        <v>0</v>
      </c>
      <c r="W2318" s="47"/>
      <c r="X2318" s="47">
        <v>368</v>
      </c>
      <c r="Y2318" s="47"/>
      <c r="Z2318" s="47" t="s">
        <v>2524</v>
      </c>
      <c r="AA2318" s="49"/>
      <c r="AB2318" s="49"/>
      <c r="AC2318" s="49"/>
      <c r="AD2318" s="50"/>
      <c r="AE2318" s="47" t="s">
        <v>1312</v>
      </c>
      <c r="AF2318" s="47">
        <v>100</v>
      </c>
      <c r="AG2318"/>
      <c r="AH2318"/>
      <c r="AI2318"/>
      <c r="AJ2318"/>
      <c r="AK2318"/>
      <c r="AL2318"/>
      <c r="AM2318"/>
      <c r="AN2318"/>
      <c r="AO2318"/>
      <c r="AP2318"/>
      <c r="AQ2318" t="s">
        <v>2526</v>
      </c>
      <c r="AU2318">
        <v>2317</v>
      </c>
    </row>
    <row r="2319" spans="1:47" x14ac:dyDescent="0.2">
      <c r="A2319" s="133">
        <v>6513</v>
      </c>
      <c r="B2319" s="39" t="s">
        <v>45</v>
      </c>
      <c r="C2319" s="39">
        <v>100</v>
      </c>
      <c r="D2319" s="29" t="b">
        <v>0</v>
      </c>
      <c r="E2319" s="39" t="s">
        <v>3698</v>
      </c>
      <c r="F2319" s="47" t="s">
        <v>3699</v>
      </c>
      <c r="G2319" s="47" t="s">
        <v>481</v>
      </c>
      <c r="H2319"/>
      <c r="I2319" s="47" t="b">
        <v>0</v>
      </c>
      <c r="J2319" s="47" t="b">
        <v>0</v>
      </c>
      <c r="K2319" s="47">
        <v>305</v>
      </c>
      <c r="L2319" s="48">
        <v>1</v>
      </c>
      <c r="M2319" s="47">
        <v>0</v>
      </c>
      <c r="N2319" s="47">
        <v>0</v>
      </c>
      <c r="O2319" s="47">
        <v>0</v>
      </c>
      <c r="P2319" s="47">
        <v>0</v>
      </c>
      <c r="Q2319" s="47">
        <v>0</v>
      </c>
      <c r="R2319" s="47">
        <v>0</v>
      </c>
      <c r="S2319" s="48">
        <v>1</v>
      </c>
      <c r="T2319" s="47">
        <v>0</v>
      </c>
      <c r="U2319" s="47">
        <v>0</v>
      </c>
      <c r="V2319" s="47">
        <v>0</v>
      </c>
      <c r="W2319" s="47"/>
      <c r="X2319" s="47">
        <v>369</v>
      </c>
      <c r="Y2319" s="47"/>
      <c r="Z2319" s="47" t="s">
        <v>2524</v>
      </c>
      <c r="AA2319" s="49"/>
      <c r="AB2319" s="49"/>
      <c r="AC2319" s="49"/>
      <c r="AD2319" s="50"/>
      <c r="AE2319" s="47" t="s">
        <v>1312</v>
      </c>
      <c r="AF2319" s="47"/>
      <c r="AG2319"/>
      <c r="AH2319"/>
      <c r="AI2319"/>
      <c r="AJ2319"/>
      <c r="AK2319"/>
      <c r="AL2319"/>
      <c r="AM2319"/>
      <c r="AN2319"/>
      <c r="AO2319"/>
      <c r="AP2319"/>
      <c r="AQ2319" t="s">
        <v>2526</v>
      </c>
      <c r="AU2319">
        <v>2318</v>
      </c>
    </row>
    <row r="2320" spans="1:47" x14ac:dyDescent="0.2">
      <c r="A2320" s="133">
        <v>6513</v>
      </c>
      <c r="B2320" s="39" t="s">
        <v>45</v>
      </c>
      <c r="C2320" s="39">
        <v>100</v>
      </c>
      <c r="D2320" s="29" t="b">
        <v>0</v>
      </c>
      <c r="E2320" s="39" t="s">
        <v>3700</v>
      </c>
      <c r="F2320" s="47" t="s">
        <v>57</v>
      </c>
      <c r="G2320" s="47" t="s">
        <v>49</v>
      </c>
      <c r="H2320"/>
      <c r="I2320" s="47" t="b">
        <v>0</v>
      </c>
      <c r="J2320" s="47" t="b">
        <v>0</v>
      </c>
      <c r="K2320" s="47">
        <v>305</v>
      </c>
      <c r="L2320" s="48">
        <v>1</v>
      </c>
      <c r="M2320" s="47">
        <v>0</v>
      </c>
      <c r="N2320" s="47">
        <v>0</v>
      </c>
      <c r="O2320" s="47">
        <v>0</v>
      </c>
      <c r="P2320" s="47">
        <v>0</v>
      </c>
      <c r="Q2320" s="47">
        <v>0</v>
      </c>
      <c r="R2320" s="47">
        <v>0</v>
      </c>
      <c r="S2320" s="48">
        <v>1</v>
      </c>
      <c r="T2320" s="47">
        <v>0</v>
      </c>
      <c r="U2320" s="47">
        <v>0</v>
      </c>
      <c r="V2320" s="47">
        <v>0</v>
      </c>
      <c r="W2320" s="47"/>
      <c r="X2320" s="47">
        <v>370</v>
      </c>
      <c r="Y2320" s="47"/>
      <c r="Z2320" s="47" t="s">
        <v>2524</v>
      </c>
      <c r="AA2320" s="49"/>
      <c r="AB2320" s="49"/>
      <c r="AC2320" s="49"/>
      <c r="AD2320" s="50"/>
      <c r="AE2320" s="47" t="s">
        <v>1312</v>
      </c>
      <c r="AF2320" s="47">
        <v>105</v>
      </c>
      <c r="AG2320"/>
      <c r="AH2320"/>
      <c r="AI2320"/>
      <c r="AJ2320"/>
      <c r="AK2320"/>
      <c r="AL2320"/>
      <c r="AM2320"/>
      <c r="AN2320"/>
      <c r="AO2320"/>
      <c r="AP2320"/>
      <c r="AQ2320" t="s">
        <v>2526</v>
      </c>
      <c r="AR2320" s="32" t="s">
        <v>3695</v>
      </c>
      <c r="AU2320">
        <v>2319</v>
      </c>
    </row>
    <row r="2321" spans="1:47" x14ac:dyDescent="0.2">
      <c r="A2321" s="37">
        <v>6513</v>
      </c>
      <c r="B2321" s="38" t="s">
        <v>45</v>
      </c>
      <c r="C2321" s="39" t="s">
        <v>1234</v>
      </c>
      <c r="D2321" s="29"/>
      <c r="E2321" s="38" t="s">
        <v>894</v>
      </c>
      <c r="F2321" s="32" t="s">
        <v>150</v>
      </c>
      <c r="G2321" s="47" t="s">
        <v>49</v>
      </c>
      <c r="H2321"/>
      <c r="I2321" s="32" t="s">
        <v>3701</v>
      </c>
      <c r="J2321" s="47"/>
      <c r="K2321" s="47">
        <f>40*2.2</f>
        <v>88</v>
      </c>
      <c r="L2321" s="48">
        <v>1</v>
      </c>
      <c r="M2321" s="47"/>
      <c r="N2321" s="47"/>
      <c r="O2321" s="47"/>
      <c r="P2321" s="47"/>
      <c r="Q2321" s="47"/>
      <c r="R2321" s="47"/>
      <c r="S2321" s="48">
        <v>1</v>
      </c>
      <c r="T2321" s="47">
        <v>0</v>
      </c>
      <c r="U2321" s="47">
        <v>0</v>
      </c>
      <c r="V2321" s="47">
        <v>0</v>
      </c>
      <c r="W2321" s="47"/>
      <c r="X2321" s="47"/>
      <c r="Y2321" s="47"/>
      <c r="Z2321" s="47" t="s">
        <v>1809</v>
      </c>
      <c r="AA2321" s="49"/>
      <c r="AB2321" s="49"/>
      <c r="AC2321" s="49"/>
      <c r="AD2321" s="50"/>
      <c r="AE2321" s="47" t="s">
        <v>1653</v>
      </c>
      <c r="AF2321" s="47">
        <v>90</v>
      </c>
      <c r="AG2321"/>
      <c r="AH2321"/>
      <c r="AI2321"/>
      <c r="AJ2321"/>
      <c r="AK2321"/>
      <c r="AL2321"/>
      <c r="AM2321"/>
      <c r="AN2321"/>
      <c r="AO2321"/>
      <c r="AP2321"/>
      <c r="AQ2321" t="s">
        <v>3412</v>
      </c>
      <c r="AU2321">
        <v>2320</v>
      </c>
    </row>
    <row r="2322" spans="1:47" x14ac:dyDescent="0.2">
      <c r="A2322" s="13">
        <v>6513</v>
      </c>
      <c r="B2322" s="57" t="s">
        <v>45</v>
      </c>
      <c r="C2322" s="57" t="s">
        <v>1367</v>
      </c>
      <c r="D2322" s="29"/>
      <c r="E2322" s="57" t="s">
        <v>3679</v>
      </c>
      <c r="F2322" s="31" t="s">
        <v>76</v>
      </c>
      <c r="G2322" s="47" t="s">
        <v>49</v>
      </c>
      <c r="I2322" s="31" t="s">
        <v>3602</v>
      </c>
      <c r="K2322" s="31">
        <v>264</v>
      </c>
      <c r="AE2322" s="47" t="s">
        <v>342</v>
      </c>
      <c r="AF2322" s="31">
        <v>90</v>
      </c>
      <c r="AK2322" s="33">
        <v>6</v>
      </c>
      <c r="AQ2322" s="32" t="s">
        <v>3599</v>
      </c>
      <c r="AU2322">
        <v>2321</v>
      </c>
    </row>
    <row r="2323" spans="1:47" x14ac:dyDescent="0.2">
      <c r="A2323" s="13">
        <v>6513</v>
      </c>
      <c r="B2323" s="57" t="s">
        <v>45</v>
      </c>
      <c r="C2323" s="57" t="s">
        <v>1367</v>
      </c>
      <c r="D2323" s="29"/>
      <c r="E2323" s="57" t="s">
        <v>3604</v>
      </c>
      <c r="F2323" s="31" t="s">
        <v>76</v>
      </c>
      <c r="G2323" s="47" t="s">
        <v>49</v>
      </c>
      <c r="I2323" s="31" t="s">
        <v>3602</v>
      </c>
      <c r="K2323" s="31">
        <v>528</v>
      </c>
      <c r="AE2323" s="47" t="s">
        <v>342</v>
      </c>
      <c r="AF2323" s="31">
        <v>55</v>
      </c>
      <c r="AK2323" s="33">
        <v>12</v>
      </c>
      <c r="AQ2323" s="32" t="s">
        <v>3599</v>
      </c>
      <c r="AU2323">
        <v>2322</v>
      </c>
    </row>
    <row r="2324" spans="1:47" x14ac:dyDescent="0.2">
      <c r="A2324" s="13">
        <v>6513</v>
      </c>
      <c r="B2324" s="57" t="s">
        <v>45</v>
      </c>
      <c r="C2324" s="57" t="s">
        <v>1367</v>
      </c>
      <c r="D2324" s="29"/>
      <c r="E2324" s="57" t="s">
        <v>1764</v>
      </c>
      <c r="F2324" s="31" t="s">
        <v>76</v>
      </c>
      <c r="G2324" s="47" t="s">
        <v>49</v>
      </c>
      <c r="I2324" s="19" t="s">
        <v>3702</v>
      </c>
      <c r="K2324" s="31">
        <f>968-660</f>
        <v>308</v>
      </c>
      <c r="AE2324" s="47" t="s">
        <v>342</v>
      </c>
      <c r="AF2324" s="31">
        <v>70</v>
      </c>
      <c r="AK2324" s="33">
        <f>12-6</f>
        <v>6</v>
      </c>
      <c r="AQ2324" s="32" t="s">
        <v>3599</v>
      </c>
      <c r="AU2324">
        <v>2323</v>
      </c>
    </row>
    <row r="2325" spans="1:47" x14ac:dyDescent="0.2">
      <c r="A2325" s="13">
        <v>6513</v>
      </c>
      <c r="B2325" s="57" t="s">
        <v>45</v>
      </c>
      <c r="C2325" s="38" t="s">
        <v>3610</v>
      </c>
      <c r="D2325" s="29"/>
      <c r="E2325" s="57" t="s">
        <v>1764</v>
      </c>
      <c r="F2325" s="31" t="s">
        <v>76</v>
      </c>
      <c r="G2325" s="19" t="s">
        <v>49</v>
      </c>
      <c r="I2325" s="19" t="s">
        <v>3703</v>
      </c>
      <c r="K2325" s="31">
        <f>6*50*2.2</f>
        <v>660</v>
      </c>
      <c r="L2325" s="33">
        <v>1</v>
      </c>
      <c r="S2325" s="33">
        <v>1</v>
      </c>
      <c r="T2325" s="31">
        <v>0</v>
      </c>
      <c r="U2325" s="31">
        <v>0</v>
      </c>
      <c r="V2325" s="31">
        <v>0</v>
      </c>
      <c r="W2325" s="47">
        <f>3000*39.37/12</f>
        <v>9842.4999999999982</v>
      </c>
      <c r="Y2325" s="31" t="s">
        <v>51</v>
      </c>
      <c r="Z2325" s="47" t="s">
        <v>1846</v>
      </c>
      <c r="AD2325" s="35">
        <v>2.5</v>
      </c>
      <c r="AE2325" s="47" t="s">
        <v>342</v>
      </c>
      <c r="AF2325" s="31">
        <v>70</v>
      </c>
      <c r="AK2325" s="33">
        <v>6</v>
      </c>
      <c r="AQ2325" s="18" t="s">
        <v>3677</v>
      </c>
      <c r="AU2325">
        <v>2324</v>
      </c>
    </row>
    <row r="2326" spans="1:47" x14ac:dyDescent="0.2">
      <c r="A2326" s="13">
        <v>6513</v>
      </c>
      <c r="B2326" s="57" t="s">
        <v>45</v>
      </c>
      <c r="C2326" s="57" t="s">
        <v>1367</v>
      </c>
      <c r="D2326" s="29"/>
      <c r="E2326" s="57" t="s">
        <v>2199</v>
      </c>
      <c r="F2326" s="31" t="s">
        <v>76</v>
      </c>
      <c r="G2326" s="19" t="s">
        <v>49</v>
      </c>
      <c r="I2326" s="31" t="s">
        <v>3602</v>
      </c>
      <c r="K2326" s="31">
        <v>3311</v>
      </c>
      <c r="AE2326" s="47" t="s">
        <v>342</v>
      </c>
      <c r="AF2326" s="31">
        <v>40</v>
      </c>
      <c r="AK2326" s="33">
        <v>35</v>
      </c>
      <c r="AQ2326" s="32" t="s">
        <v>3599</v>
      </c>
      <c r="AU2326">
        <v>2325</v>
      </c>
    </row>
    <row r="2327" spans="1:47" x14ac:dyDescent="0.2">
      <c r="A2327" s="26">
        <v>6513</v>
      </c>
      <c r="B2327" s="27">
        <v>0.45833333333333331</v>
      </c>
      <c r="C2327" s="28"/>
      <c r="D2327" s="29"/>
      <c r="E2327" s="30" t="s">
        <v>869</v>
      </c>
      <c r="H2327" s="32">
        <v>0</v>
      </c>
      <c r="I2327" s="32" t="s">
        <v>2344</v>
      </c>
      <c r="AG2327" s="32">
        <v>0</v>
      </c>
      <c r="AH2327" s="32">
        <v>0</v>
      </c>
      <c r="AI2327" s="32">
        <v>0</v>
      </c>
      <c r="AK2327" s="32">
        <v>0</v>
      </c>
      <c r="AL2327" s="32">
        <f>47/60</f>
        <v>0.78333333333333333</v>
      </c>
      <c r="AP2327" s="32">
        <f>47/60</f>
        <v>0.78333333333333333</v>
      </c>
      <c r="AQ2327" s="32" t="s">
        <v>589</v>
      </c>
      <c r="AU2327">
        <v>2326</v>
      </c>
    </row>
    <row r="2328" spans="1:47" x14ac:dyDescent="0.2">
      <c r="A2328" s="26">
        <v>6513</v>
      </c>
      <c r="B2328" s="27">
        <v>0.5</v>
      </c>
      <c r="C2328" s="28"/>
      <c r="D2328" s="29"/>
      <c r="E2328" s="30" t="s">
        <v>3689</v>
      </c>
      <c r="H2328" s="32">
        <v>1</v>
      </c>
      <c r="I2328" s="32" t="s">
        <v>3704</v>
      </c>
      <c r="AG2328" s="32">
        <v>1</v>
      </c>
      <c r="AH2328" s="32">
        <v>4</v>
      </c>
      <c r="AI2328" s="32">
        <v>120000</v>
      </c>
      <c r="AK2328" s="32">
        <v>9</v>
      </c>
      <c r="AQ2328" s="32">
        <v>456</v>
      </c>
      <c r="AU2328">
        <v>2327</v>
      </c>
    </row>
    <row r="2329" spans="1:47" x14ac:dyDescent="0.2">
      <c r="A2329" s="26">
        <v>6513</v>
      </c>
      <c r="B2329" s="27">
        <v>0.50208333333333333</v>
      </c>
      <c r="C2329" s="28"/>
      <c r="D2329" s="29"/>
      <c r="E2329" s="30" t="s">
        <v>869</v>
      </c>
      <c r="H2329" s="32">
        <v>0</v>
      </c>
      <c r="I2329" s="32" t="s">
        <v>3705</v>
      </c>
      <c r="AG2329" s="32">
        <v>0</v>
      </c>
      <c r="AH2329" s="32">
        <v>0</v>
      </c>
      <c r="AI2329" s="32">
        <v>0</v>
      </c>
      <c r="AK2329" s="32">
        <v>0</v>
      </c>
      <c r="AL2329" s="32">
        <f>59/60</f>
        <v>0.98333333333333328</v>
      </c>
      <c r="AP2329" s="32">
        <f>59/60</f>
        <v>0.98333333333333328</v>
      </c>
      <c r="AQ2329" s="32" t="s">
        <v>589</v>
      </c>
      <c r="AU2329">
        <v>2328</v>
      </c>
    </row>
    <row r="2330" spans="1:47" x14ac:dyDescent="0.2">
      <c r="A2330" s="26">
        <v>6513</v>
      </c>
      <c r="B2330" s="27">
        <v>0.63888888888888895</v>
      </c>
      <c r="C2330" s="28"/>
      <c r="D2330" s="29"/>
      <c r="E2330" s="30" t="s">
        <v>464</v>
      </c>
      <c r="H2330" s="32">
        <v>0</v>
      </c>
      <c r="I2330" s="32" t="s">
        <v>3706</v>
      </c>
      <c r="AG2330" s="32">
        <v>0</v>
      </c>
      <c r="AH2330" s="32">
        <v>0</v>
      </c>
      <c r="AL2330" s="32">
        <v>1</v>
      </c>
      <c r="AO2330" s="32" t="s">
        <v>1898</v>
      </c>
      <c r="AP2330" s="32">
        <v>1</v>
      </c>
      <c r="AQ2330" s="32" t="s">
        <v>1522</v>
      </c>
      <c r="AU2330">
        <v>2329</v>
      </c>
    </row>
    <row r="2331" spans="1:47" x14ac:dyDescent="0.2">
      <c r="A2331" s="26">
        <v>6513</v>
      </c>
      <c r="B2331" s="27">
        <v>0.81944444444444453</v>
      </c>
      <c r="C2331" s="28"/>
      <c r="D2331" s="29"/>
      <c r="E2331" s="30" t="s">
        <v>464</v>
      </c>
      <c r="H2331" s="32">
        <v>1</v>
      </c>
      <c r="I2331" s="32" t="s">
        <v>3707</v>
      </c>
      <c r="AG2331" s="32">
        <v>0</v>
      </c>
      <c r="AH2331" s="32">
        <v>0</v>
      </c>
      <c r="AK2331" s="32">
        <v>11</v>
      </c>
      <c r="AL2331" s="32">
        <v>0.66700000000000004</v>
      </c>
      <c r="AO2331" s="32" t="s">
        <v>3708</v>
      </c>
      <c r="AP2331" s="32">
        <v>0.66700000000000004</v>
      </c>
      <c r="AQ2331" s="32" t="s">
        <v>3709</v>
      </c>
      <c r="AU2331">
        <v>2330</v>
      </c>
    </row>
    <row r="2332" spans="1:47" x14ac:dyDescent="0.2">
      <c r="A2332" s="26">
        <v>6513</v>
      </c>
      <c r="B2332" s="27" t="s">
        <v>85</v>
      </c>
      <c r="C2332" s="28"/>
      <c r="D2332" s="29"/>
      <c r="E2332" s="30" t="s">
        <v>586</v>
      </c>
      <c r="H2332" s="32">
        <v>1</v>
      </c>
      <c r="I2332" s="32" t="s">
        <v>3710</v>
      </c>
      <c r="AI2332" s="32">
        <v>1003</v>
      </c>
      <c r="AO2332" s="46" t="s">
        <v>588</v>
      </c>
      <c r="AQ2332" s="32" t="s">
        <v>589</v>
      </c>
      <c r="AU2332">
        <v>2331</v>
      </c>
    </row>
    <row r="2333" spans="1:47" x14ac:dyDescent="0.2">
      <c r="A2333" s="26">
        <v>6513</v>
      </c>
      <c r="B2333" s="27" t="s">
        <v>85</v>
      </c>
      <c r="C2333" s="28"/>
      <c r="D2333" s="29"/>
      <c r="E2333" s="30" t="s">
        <v>1285</v>
      </c>
      <c r="H2333" s="32">
        <v>1</v>
      </c>
      <c r="I2333" s="32" t="s">
        <v>3711</v>
      </c>
      <c r="AI2333" s="32">
        <v>3150</v>
      </c>
      <c r="AO2333" s="32" t="s">
        <v>472</v>
      </c>
      <c r="AQ2333" s="32" t="s">
        <v>589</v>
      </c>
      <c r="AU2333">
        <v>2332</v>
      </c>
    </row>
    <row r="2334" spans="1:47" x14ac:dyDescent="0.2">
      <c r="A2334" s="26">
        <v>6513</v>
      </c>
      <c r="B2334" s="27" t="s">
        <v>45</v>
      </c>
      <c r="C2334" s="28"/>
      <c r="D2334" s="29"/>
      <c r="E2334" s="30" t="s">
        <v>1531</v>
      </c>
      <c r="H2334" s="32">
        <v>0</v>
      </c>
      <c r="I2334" s="32" t="s">
        <v>1532</v>
      </c>
      <c r="AG2334" s="32">
        <v>0</v>
      </c>
      <c r="AH2334" s="32">
        <v>0</v>
      </c>
      <c r="AI2334" s="32">
        <v>0</v>
      </c>
      <c r="AK2334" s="32">
        <v>0</v>
      </c>
      <c r="AM2334" s="32">
        <f>498*70</f>
        <v>34860</v>
      </c>
      <c r="AO2334" s="32" t="s">
        <v>1533</v>
      </c>
      <c r="AQ2334" s="32" t="s">
        <v>1101</v>
      </c>
      <c r="AU2334">
        <v>2333</v>
      </c>
    </row>
    <row r="2335" spans="1:47" x14ac:dyDescent="0.2">
      <c r="A2335" s="26">
        <v>6513</v>
      </c>
      <c r="B2335" s="27" t="s">
        <v>45</v>
      </c>
      <c r="C2335" s="28"/>
      <c r="D2335" s="29"/>
      <c r="E2335" s="150" t="s">
        <v>2286</v>
      </c>
      <c r="H2335" s="32">
        <v>0</v>
      </c>
      <c r="I2335" s="32" t="s">
        <v>1824</v>
      </c>
      <c r="AG2335" s="32">
        <v>0</v>
      </c>
      <c r="AH2335" s="32">
        <v>0</v>
      </c>
      <c r="AI2335" s="32">
        <v>0</v>
      </c>
      <c r="AK2335" s="32">
        <v>0</v>
      </c>
      <c r="AM2335" s="32">
        <v>11000</v>
      </c>
      <c r="AO2335" s="73" t="s">
        <v>75</v>
      </c>
      <c r="AQ2335" s="32" t="s">
        <v>589</v>
      </c>
      <c r="AU2335">
        <v>2334</v>
      </c>
    </row>
    <row r="2336" spans="1:47" x14ac:dyDescent="0.2">
      <c r="A2336" s="26">
        <v>6513</v>
      </c>
      <c r="B2336" s="27"/>
      <c r="C2336" s="28"/>
      <c r="D2336" s="29"/>
      <c r="E2336" s="102" t="s">
        <v>2207</v>
      </c>
      <c r="H2336" s="32">
        <v>1</v>
      </c>
      <c r="I2336" s="32" t="s">
        <v>3712</v>
      </c>
      <c r="AI2336" s="32">
        <v>47646</v>
      </c>
      <c r="AO2336" s="73"/>
      <c r="AU2336">
        <v>2335</v>
      </c>
    </row>
    <row r="2337" spans="1:47" x14ac:dyDescent="0.2">
      <c r="A2337" s="37">
        <v>6514</v>
      </c>
      <c r="B2337" s="38" t="s">
        <v>85</v>
      </c>
      <c r="C2337" s="39" t="s">
        <v>1234</v>
      </c>
      <c r="D2337" s="29"/>
      <c r="E2337" s="38" t="s">
        <v>3691</v>
      </c>
      <c r="F2337" s="32" t="s">
        <v>529</v>
      </c>
      <c r="G2337" s="47" t="s">
        <v>205</v>
      </c>
      <c r="H2337"/>
      <c r="I2337" s="32" t="s">
        <v>3713</v>
      </c>
      <c r="J2337" s="47"/>
      <c r="K2337" s="47">
        <f>220*2.2</f>
        <v>484.00000000000006</v>
      </c>
      <c r="L2337" s="48"/>
      <c r="M2337" s="47"/>
      <c r="N2337" s="47"/>
      <c r="O2337" s="47"/>
      <c r="P2337" s="47"/>
      <c r="Q2337" s="47"/>
      <c r="R2337" s="47"/>
      <c r="S2337" s="48">
        <v>9</v>
      </c>
      <c r="T2337" s="47"/>
      <c r="U2337" s="47"/>
      <c r="V2337" s="47"/>
      <c r="W2337" s="47"/>
      <c r="X2337" s="47"/>
      <c r="Y2337" s="47"/>
      <c r="Z2337" s="47" t="s">
        <v>1809</v>
      </c>
      <c r="AA2337" s="49"/>
      <c r="AB2337" s="49"/>
      <c r="AC2337" s="49"/>
      <c r="AD2337" s="50"/>
      <c r="AE2337" s="47" t="s">
        <v>1653</v>
      </c>
      <c r="AF2337" s="47">
        <v>95</v>
      </c>
      <c r="AG2337"/>
      <c r="AH2337"/>
      <c r="AI2337"/>
      <c r="AJ2337"/>
      <c r="AK2337"/>
      <c r="AL2337"/>
      <c r="AM2337"/>
      <c r="AN2337"/>
      <c r="AO2337"/>
      <c r="AP2337"/>
      <c r="AQ2337" t="s">
        <v>3412</v>
      </c>
      <c r="AU2337">
        <v>2336</v>
      </c>
    </row>
    <row r="2338" spans="1:47" x14ac:dyDescent="0.2">
      <c r="A2338" s="37">
        <v>6514</v>
      </c>
      <c r="B2338" s="38" t="s">
        <v>85</v>
      </c>
      <c r="C2338" s="39" t="s">
        <v>1234</v>
      </c>
      <c r="D2338" s="29"/>
      <c r="E2338" s="38" t="s">
        <v>3714</v>
      </c>
      <c r="F2338" s="32" t="s">
        <v>3715</v>
      </c>
      <c r="G2338" s="47" t="s">
        <v>69</v>
      </c>
      <c r="H2338"/>
      <c r="I2338" s="32" t="s">
        <v>3716</v>
      </c>
      <c r="J2338" s="47"/>
      <c r="K2338" s="47">
        <f>220*2.2</f>
        <v>484.00000000000006</v>
      </c>
      <c r="L2338" s="48"/>
      <c r="M2338" s="47"/>
      <c r="N2338" s="47"/>
      <c r="O2338" s="47"/>
      <c r="P2338" s="47"/>
      <c r="Q2338" s="47"/>
      <c r="R2338" s="47"/>
      <c r="S2338" s="48">
        <v>10</v>
      </c>
      <c r="T2338" s="47">
        <v>0</v>
      </c>
      <c r="U2338" s="47">
        <v>0</v>
      </c>
      <c r="V2338" s="47">
        <v>1</v>
      </c>
      <c r="W2338" s="47"/>
      <c r="X2338" s="47"/>
      <c r="Y2338" s="47"/>
      <c r="Z2338" s="47" t="s">
        <v>1809</v>
      </c>
      <c r="AA2338" s="49"/>
      <c r="AB2338" s="49"/>
      <c r="AC2338" s="49"/>
      <c r="AD2338" s="50"/>
      <c r="AE2338" s="47" t="s">
        <v>1653</v>
      </c>
      <c r="AF2338" s="47">
        <v>70</v>
      </c>
      <c r="AG2338"/>
      <c r="AH2338"/>
      <c r="AI2338"/>
      <c r="AJ2338"/>
      <c r="AK2338"/>
      <c r="AL2338"/>
      <c r="AM2338"/>
      <c r="AN2338"/>
      <c r="AO2338"/>
      <c r="AP2338"/>
      <c r="AQ2338" t="s">
        <v>3717</v>
      </c>
      <c r="AU2338">
        <v>2337</v>
      </c>
    </row>
    <row r="2339" spans="1:47" x14ac:dyDescent="0.2">
      <c r="A2339" s="37">
        <v>6514</v>
      </c>
      <c r="B2339" s="38" t="s">
        <v>85</v>
      </c>
      <c r="C2339" s="39" t="s">
        <v>1234</v>
      </c>
      <c r="D2339" s="29"/>
      <c r="E2339" s="38" t="s">
        <v>3718</v>
      </c>
      <c r="F2339" s="32" t="s">
        <v>3719</v>
      </c>
      <c r="G2339" s="47" t="s">
        <v>73</v>
      </c>
      <c r="H2339"/>
      <c r="I2339" s="32" t="s">
        <v>3720</v>
      </c>
      <c r="J2339" s="47"/>
      <c r="K2339" s="47">
        <f>200*2.2</f>
        <v>440.00000000000006</v>
      </c>
      <c r="L2339" s="48"/>
      <c r="M2339" s="47"/>
      <c r="N2339" s="47"/>
      <c r="O2339" s="47"/>
      <c r="P2339" s="47"/>
      <c r="Q2339" s="47"/>
      <c r="R2339" s="47"/>
      <c r="S2339" s="48">
        <v>8</v>
      </c>
      <c r="T2339" s="47">
        <v>1</v>
      </c>
      <c r="U2339" s="47">
        <v>0</v>
      </c>
      <c r="V2339" s="47">
        <v>0</v>
      </c>
      <c r="W2339" s="47"/>
      <c r="X2339" s="47"/>
      <c r="Y2339" s="47"/>
      <c r="Z2339" s="47" t="s">
        <v>1809</v>
      </c>
      <c r="AA2339" s="49"/>
      <c r="AB2339" s="49"/>
      <c r="AC2339" s="49"/>
      <c r="AD2339" s="50"/>
      <c r="AE2339" s="47" t="s">
        <v>1653</v>
      </c>
      <c r="AF2339" s="47"/>
      <c r="AG2339"/>
      <c r="AH2339"/>
      <c r="AI2339"/>
      <c r="AJ2339"/>
      <c r="AK2339"/>
      <c r="AL2339"/>
      <c r="AM2339"/>
      <c r="AN2339"/>
      <c r="AO2339"/>
      <c r="AP2339"/>
      <c r="AQ2339" t="s">
        <v>3717</v>
      </c>
      <c r="AU2339">
        <v>2338</v>
      </c>
    </row>
    <row r="2340" spans="1:47" x14ac:dyDescent="0.2">
      <c r="A2340" s="13">
        <v>6514</v>
      </c>
      <c r="B2340" s="57" t="s">
        <v>85</v>
      </c>
      <c r="C2340" s="57" t="s">
        <v>332</v>
      </c>
      <c r="D2340" s="29"/>
      <c r="E2340" s="57" t="s">
        <v>3624</v>
      </c>
      <c r="F2340" s="31" t="s">
        <v>76</v>
      </c>
      <c r="G2340" s="31" t="s">
        <v>49</v>
      </c>
      <c r="K2340" s="31">
        <v>132</v>
      </c>
      <c r="S2340" s="33">
        <v>8</v>
      </c>
      <c r="AK2340" s="32">
        <v>6</v>
      </c>
      <c r="AQ2340" s="32" t="s">
        <v>3596</v>
      </c>
      <c r="AU2340">
        <v>2339</v>
      </c>
    </row>
    <row r="2341" spans="1:47" x14ac:dyDescent="0.2">
      <c r="A2341" s="13">
        <v>6514</v>
      </c>
      <c r="B2341" s="57" t="s">
        <v>85</v>
      </c>
      <c r="C2341" s="57" t="s">
        <v>332</v>
      </c>
      <c r="D2341" s="29"/>
      <c r="E2341" s="57" t="s">
        <v>609</v>
      </c>
      <c r="F2341" s="31" t="s">
        <v>76</v>
      </c>
      <c r="G2341" s="31" t="s">
        <v>49</v>
      </c>
      <c r="K2341" s="31">
        <v>176</v>
      </c>
      <c r="S2341" s="33">
        <v>15</v>
      </c>
      <c r="AK2341" s="32">
        <v>8</v>
      </c>
      <c r="AQ2341" s="32" t="s">
        <v>3596</v>
      </c>
      <c r="AU2341">
        <v>2340</v>
      </c>
    </row>
    <row r="2342" spans="1:47" x14ac:dyDescent="0.2">
      <c r="A2342" s="26">
        <v>6514</v>
      </c>
      <c r="B2342" s="27">
        <v>0.97916666666666663</v>
      </c>
      <c r="C2342" s="28"/>
      <c r="D2342" s="29"/>
      <c r="E2342" s="30" t="s">
        <v>2087</v>
      </c>
      <c r="H2342" s="32">
        <v>0</v>
      </c>
      <c r="I2342" s="32"/>
      <c r="AG2342" s="32">
        <v>0</v>
      </c>
      <c r="AH2342" s="32">
        <v>0</v>
      </c>
      <c r="AI2342" s="32">
        <v>0</v>
      </c>
      <c r="AK2342" s="32">
        <v>0</v>
      </c>
      <c r="AL2342" s="32">
        <v>0</v>
      </c>
      <c r="AP2342" s="32">
        <v>0.33300000000000002</v>
      </c>
      <c r="AQ2342" s="32" t="s">
        <v>1101</v>
      </c>
      <c r="AU2342">
        <v>2341</v>
      </c>
    </row>
    <row r="2343" spans="1:47" x14ac:dyDescent="0.2">
      <c r="A2343" s="133">
        <v>6515</v>
      </c>
      <c r="B2343" s="39" t="s">
        <v>85</v>
      </c>
      <c r="C2343" s="39">
        <v>55</v>
      </c>
      <c r="D2343" s="29" t="b">
        <v>0</v>
      </c>
      <c r="E2343" s="39" t="s">
        <v>3721</v>
      </c>
      <c r="F2343" s="47" t="s">
        <v>1675</v>
      </c>
      <c r="G2343" s="47" t="s">
        <v>274</v>
      </c>
      <c r="H2343"/>
      <c r="I2343" s="47" t="b">
        <v>0</v>
      </c>
      <c r="J2343" s="47" t="b">
        <v>1</v>
      </c>
      <c r="K2343" s="47">
        <v>1362</v>
      </c>
      <c r="L2343" s="48">
        <v>12</v>
      </c>
      <c r="M2343" s="47">
        <v>0</v>
      </c>
      <c r="N2343" s="47">
        <v>0</v>
      </c>
      <c r="O2343" s="47">
        <v>6</v>
      </c>
      <c r="P2343" s="47">
        <v>0</v>
      </c>
      <c r="Q2343" s="47">
        <v>0</v>
      </c>
      <c r="R2343" s="47">
        <v>0</v>
      </c>
      <c r="S2343" s="48">
        <v>6</v>
      </c>
      <c r="T2343" s="47">
        <v>0</v>
      </c>
      <c r="U2343" s="47">
        <v>0</v>
      </c>
      <c r="V2343" s="47">
        <v>0</v>
      </c>
      <c r="W2343" s="47"/>
      <c r="X2343" s="47">
        <v>371</v>
      </c>
      <c r="Y2343" s="47"/>
      <c r="Z2343" s="47" t="s">
        <v>3618</v>
      </c>
      <c r="AA2343" s="49"/>
      <c r="AB2343" s="49"/>
      <c r="AC2343" s="49"/>
      <c r="AD2343" s="50"/>
      <c r="AE2343" s="47" t="s">
        <v>1312</v>
      </c>
      <c r="AF2343" s="47">
        <v>160</v>
      </c>
      <c r="AG2343"/>
      <c r="AH2343"/>
      <c r="AI2343"/>
      <c r="AJ2343"/>
      <c r="AK2343"/>
      <c r="AL2343"/>
      <c r="AM2343"/>
      <c r="AN2343"/>
      <c r="AO2343"/>
      <c r="AP2343"/>
      <c r="AQ2343" t="s">
        <v>2526</v>
      </c>
      <c r="AU2343">
        <v>2342</v>
      </c>
    </row>
    <row r="2344" spans="1:47" x14ac:dyDescent="0.2">
      <c r="A2344" s="13">
        <v>6515</v>
      </c>
      <c r="B2344" s="57" t="s">
        <v>85</v>
      </c>
      <c r="C2344" s="57" t="s">
        <v>3722</v>
      </c>
      <c r="D2344" s="29"/>
      <c r="E2344" s="57" t="s">
        <v>907</v>
      </c>
      <c r="F2344" s="31" t="s">
        <v>3620</v>
      </c>
      <c r="G2344" s="31" t="s">
        <v>722</v>
      </c>
      <c r="I2344" s="31" t="s">
        <v>3723</v>
      </c>
      <c r="K2344" s="31">
        <v>5711.2</v>
      </c>
      <c r="S2344" s="33">
        <v>17</v>
      </c>
      <c r="Z2344" s="31" t="s">
        <v>3724</v>
      </c>
      <c r="AE2344" s="47" t="s">
        <v>1312</v>
      </c>
      <c r="AF2344" s="31">
        <v>155</v>
      </c>
      <c r="AK2344" s="32">
        <v>175</v>
      </c>
      <c r="AQ2344" s="32" t="s">
        <v>3725</v>
      </c>
      <c r="AU2344">
        <v>2343</v>
      </c>
    </row>
    <row r="2345" spans="1:47" x14ac:dyDescent="0.2">
      <c r="A2345" s="13">
        <v>6515</v>
      </c>
      <c r="B2345" s="57" t="s">
        <v>85</v>
      </c>
      <c r="C2345" s="57" t="s">
        <v>1234</v>
      </c>
      <c r="D2345" s="29"/>
      <c r="E2345" s="57" t="s">
        <v>3726</v>
      </c>
      <c r="F2345" s="31" t="s">
        <v>3727</v>
      </c>
      <c r="G2345" s="31" t="s">
        <v>69</v>
      </c>
      <c r="I2345" s="31" t="s">
        <v>3728</v>
      </c>
      <c r="K2345" s="63"/>
      <c r="Z2345" s="47" t="s">
        <v>1809</v>
      </c>
      <c r="AE2345" s="47" t="s">
        <v>1653</v>
      </c>
      <c r="AQ2345" s="32" t="s">
        <v>3729</v>
      </c>
      <c r="AU2345">
        <v>2344</v>
      </c>
    </row>
    <row r="2346" spans="1:47" x14ac:dyDescent="0.2">
      <c r="A2346" s="13">
        <v>6515</v>
      </c>
      <c r="B2346" s="57" t="s">
        <v>85</v>
      </c>
      <c r="C2346" s="166" t="s">
        <v>3730</v>
      </c>
      <c r="D2346" s="29"/>
      <c r="E2346" s="57" t="s">
        <v>3253</v>
      </c>
      <c r="F2346" s="31" t="s">
        <v>107</v>
      </c>
      <c r="I2346" s="19" t="s">
        <v>3731</v>
      </c>
      <c r="K2346" s="19">
        <f>48*2.2</f>
        <v>105.60000000000001</v>
      </c>
      <c r="S2346" s="33">
        <v>1</v>
      </c>
      <c r="T2346" s="31">
        <v>1</v>
      </c>
      <c r="Y2346" s="19" t="s">
        <v>120</v>
      </c>
      <c r="Z2346" s="47" t="s">
        <v>1809</v>
      </c>
      <c r="AE2346" s="47" t="s">
        <v>1653</v>
      </c>
      <c r="AF2346" s="31">
        <v>75</v>
      </c>
      <c r="AQ2346" s="18" t="s">
        <v>3732</v>
      </c>
      <c r="AU2346">
        <v>2345</v>
      </c>
    </row>
    <row r="2347" spans="1:47" x14ac:dyDescent="0.2">
      <c r="A2347" s="13">
        <v>6515</v>
      </c>
      <c r="B2347" s="57" t="s">
        <v>45</v>
      </c>
      <c r="C2347" s="38" t="s">
        <v>3610</v>
      </c>
      <c r="D2347" s="29"/>
      <c r="E2347" s="57" t="s">
        <v>1764</v>
      </c>
      <c r="F2347" s="31" t="s">
        <v>76</v>
      </c>
      <c r="G2347" s="31" t="s">
        <v>49</v>
      </c>
      <c r="I2347" s="31" t="s">
        <v>3733</v>
      </c>
      <c r="K2347" s="31">
        <f>30*10*2.2</f>
        <v>660</v>
      </c>
      <c r="L2347" s="33">
        <v>2</v>
      </c>
      <c r="N2347" s="31">
        <v>1</v>
      </c>
      <c r="S2347" s="33">
        <v>1</v>
      </c>
      <c r="T2347" s="47">
        <v>0</v>
      </c>
      <c r="U2347" s="47">
        <v>0</v>
      </c>
      <c r="V2347" s="47">
        <v>0</v>
      </c>
      <c r="W2347" s="47">
        <f>3200*39.37/12</f>
        <v>10498.666666666666</v>
      </c>
      <c r="Y2347" s="31" t="s">
        <v>51</v>
      </c>
      <c r="Z2347" s="47" t="s">
        <v>1846</v>
      </c>
      <c r="AD2347" s="35">
        <v>2.33</v>
      </c>
      <c r="AE2347" s="47" t="s">
        <v>342</v>
      </c>
      <c r="AF2347" s="31">
        <v>70</v>
      </c>
      <c r="AK2347" s="32">
        <v>30</v>
      </c>
      <c r="AQ2347" s="32" t="s">
        <v>3734</v>
      </c>
      <c r="AU2347">
        <v>2346</v>
      </c>
    </row>
    <row r="2348" spans="1:47" x14ac:dyDescent="0.2">
      <c r="A2348" s="13">
        <v>6515</v>
      </c>
      <c r="B2348" s="57" t="s">
        <v>45</v>
      </c>
      <c r="C2348" s="38" t="s">
        <v>3610</v>
      </c>
      <c r="D2348" s="29"/>
      <c r="E2348" s="39" t="s">
        <v>3367</v>
      </c>
      <c r="F2348" s="31" t="s">
        <v>76</v>
      </c>
      <c r="G2348" s="31" t="s">
        <v>49</v>
      </c>
      <c r="I2348" s="31" t="s">
        <v>3735</v>
      </c>
      <c r="K2348" s="31">
        <f>6*50*2.2</f>
        <v>660</v>
      </c>
      <c r="L2348" s="33">
        <v>1</v>
      </c>
      <c r="S2348" s="33">
        <v>1</v>
      </c>
      <c r="T2348" s="47">
        <v>0</v>
      </c>
      <c r="U2348" s="47">
        <v>0</v>
      </c>
      <c r="V2348" s="47">
        <v>0</v>
      </c>
      <c r="W2348" s="47">
        <f>2300*39.37/12</f>
        <v>7545.916666666667</v>
      </c>
      <c r="Y2348" s="31" t="s">
        <v>51</v>
      </c>
      <c r="Z2348" s="47" t="s">
        <v>1846</v>
      </c>
      <c r="AD2348" s="35">
        <v>1.67</v>
      </c>
      <c r="AE2348" s="47" t="s">
        <v>342</v>
      </c>
      <c r="AF2348" s="31">
        <v>45</v>
      </c>
      <c r="AK2348" s="32">
        <v>6</v>
      </c>
      <c r="AQ2348" s="32" t="s">
        <v>3734</v>
      </c>
      <c r="AU2348">
        <v>2347</v>
      </c>
    </row>
    <row r="2349" spans="1:47" x14ac:dyDescent="0.2">
      <c r="A2349" s="13">
        <v>6515</v>
      </c>
      <c r="B2349" s="57" t="s">
        <v>45</v>
      </c>
      <c r="C2349" s="57" t="s">
        <v>1367</v>
      </c>
      <c r="D2349" s="29"/>
      <c r="E2349" s="39" t="s">
        <v>3367</v>
      </c>
      <c r="F2349" s="31" t="s">
        <v>76</v>
      </c>
      <c r="G2349" s="31" t="s">
        <v>49</v>
      </c>
      <c r="I2349" s="31" t="s">
        <v>3736</v>
      </c>
      <c r="K2349" s="31">
        <f>1826-660</f>
        <v>1166</v>
      </c>
      <c r="AE2349" s="47" t="s">
        <v>342</v>
      </c>
      <c r="AF2349" s="31">
        <v>45</v>
      </c>
      <c r="AK2349" s="32">
        <f>56-6</f>
        <v>50</v>
      </c>
      <c r="AQ2349" s="32" t="s">
        <v>3729</v>
      </c>
      <c r="AU2349">
        <v>2348</v>
      </c>
    </row>
    <row r="2350" spans="1:47" x14ac:dyDescent="0.2">
      <c r="A2350" s="26">
        <v>6515</v>
      </c>
      <c r="B2350" s="27">
        <v>0.61111111111111105</v>
      </c>
      <c r="C2350" s="28"/>
      <c r="D2350" s="29"/>
      <c r="E2350" s="30" t="s">
        <v>869</v>
      </c>
      <c r="H2350" s="32">
        <v>0</v>
      </c>
      <c r="I2350" s="32" t="s">
        <v>2344</v>
      </c>
      <c r="AG2350" s="32">
        <v>0</v>
      </c>
      <c r="AH2350" s="32">
        <v>0</v>
      </c>
      <c r="AI2350" s="32">
        <v>0</v>
      </c>
      <c r="AK2350" s="32">
        <v>0</v>
      </c>
      <c r="AL2350" s="32">
        <f>139/60</f>
        <v>2.3166666666666669</v>
      </c>
      <c r="AP2350" s="32">
        <f>139/60</f>
        <v>2.3166666666666669</v>
      </c>
      <c r="AQ2350" s="32" t="s">
        <v>589</v>
      </c>
      <c r="AU2350">
        <v>2349</v>
      </c>
    </row>
    <row r="2351" spans="1:47" x14ac:dyDescent="0.2">
      <c r="A2351" s="26">
        <v>6515</v>
      </c>
      <c r="B2351" s="27">
        <v>0.62847222222222221</v>
      </c>
      <c r="C2351" s="28"/>
      <c r="D2351" s="29"/>
      <c r="E2351" s="30" t="s">
        <v>3737</v>
      </c>
      <c r="H2351" s="32">
        <v>1</v>
      </c>
      <c r="I2351" s="32" t="s">
        <v>3738</v>
      </c>
      <c r="AG2351" s="32">
        <v>0</v>
      </c>
      <c r="AH2351" s="32">
        <v>0</v>
      </c>
      <c r="AI2351" s="32">
        <v>100</v>
      </c>
      <c r="AK2351" s="32">
        <v>3</v>
      </c>
      <c r="AL2351" s="32">
        <v>0.67</v>
      </c>
      <c r="AP2351" s="32">
        <v>0.67</v>
      </c>
      <c r="AQ2351" s="32">
        <v>456</v>
      </c>
      <c r="AU2351">
        <v>2350</v>
      </c>
    </row>
    <row r="2352" spans="1:47" x14ac:dyDescent="0.2">
      <c r="A2352" s="26">
        <v>6515</v>
      </c>
      <c r="B2352" s="27" t="s">
        <v>45</v>
      </c>
      <c r="C2352" s="28"/>
      <c r="D2352" s="29"/>
      <c r="E2352" s="150" t="s">
        <v>2286</v>
      </c>
      <c r="H2352" s="32">
        <v>0</v>
      </c>
      <c r="I2352" s="32" t="s">
        <v>1824</v>
      </c>
      <c r="AG2352" s="32">
        <v>0</v>
      </c>
      <c r="AH2352" s="32">
        <v>0</v>
      </c>
      <c r="AI2352" s="32">
        <v>0</v>
      </c>
      <c r="AK2352" s="32">
        <v>0</v>
      </c>
      <c r="AM2352" s="32">
        <v>4500</v>
      </c>
      <c r="AO2352" s="73" t="s">
        <v>75</v>
      </c>
      <c r="AQ2352" s="32" t="s">
        <v>589</v>
      </c>
      <c r="AU2352">
        <v>2351</v>
      </c>
    </row>
    <row r="2353" spans="1:47" x14ac:dyDescent="0.2">
      <c r="A2353" s="26">
        <v>6517</v>
      </c>
      <c r="B2353" s="27">
        <v>0.84375</v>
      </c>
      <c r="C2353" s="28"/>
      <c r="D2353" s="29"/>
      <c r="E2353" s="30" t="s">
        <v>1282</v>
      </c>
      <c r="H2353" s="32">
        <v>0</v>
      </c>
      <c r="I2353" s="32" t="s">
        <v>2244</v>
      </c>
      <c r="AG2353" s="32">
        <v>0</v>
      </c>
      <c r="AH2353" s="32">
        <v>0</v>
      </c>
      <c r="AI2353" s="32">
        <v>0</v>
      </c>
      <c r="AK2353" s="32">
        <v>0</v>
      </c>
      <c r="AL2353" s="32">
        <f>20/60</f>
        <v>0.33333333333333331</v>
      </c>
      <c r="AP2353" s="32">
        <f>20/60</f>
        <v>0.33333333333333331</v>
      </c>
      <c r="AQ2353" s="32" t="s">
        <v>1101</v>
      </c>
      <c r="AU2353">
        <v>2352</v>
      </c>
    </row>
    <row r="2354" spans="1:47" x14ac:dyDescent="0.2">
      <c r="A2354" s="37">
        <v>6522</v>
      </c>
      <c r="B2354" s="38" t="s">
        <v>85</v>
      </c>
      <c r="C2354" s="39" t="s">
        <v>1234</v>
      </c>
      <c r="D2354" s="29"/>
      <c r="E2354" s="38" t="s">
        <v>3739</v>
      </c>
      <c r="F2354" s="32" t="s">
        <v>107</v>
      </c>
      <c r="G2354" s="47"/>
      <c r="H2354"/>
      <c r="I2354" s="32" t="s">
        <v>3621</v>
      </c>
      <c r="J2354" s="47"/>
      <c r="K2354" s="47">
        <f>50*2.2</f>
        <v>110.00000000000001</v>
      </c>
      <c r="L2354" s="48"/>
      <c r="M2354" s="47"/>
      <c r="N2354" s="47"/>
      <c r="O2354" s="47"/>
      <c r="P2354" s="47"/>
      <c r="Q2354" s="47"/>
      <c r="R2354" s="47"/>
      <c r="S2354" s="48">
        <v>1</v>
      </c>
      <c r="T2354" s="47"/>
      <c r="U2354" s="47"/>
      <c r="V2354" s="47"/>
      <c r="W2354" s="47"/>
      <c r="X2354" s="47"/>
      <c r="Y2354" s="47"/>
      <c r="Z2354" s="47" t="s">
        <v>1809</v>
      </c>
      <c r="AA2354" s="49"/>
      <c r="AB2354" s="49"/>
      <c r="AC2354" s="49"/>
      <c r="AD2354" s="50"/>
      <c r="AE2354" s="47" t="s">
        <v>1653</v>
      </c>
      <c r="AF2354" s="47"/>
      <c r="AG2354"/>
      <c r="AH2354"/>
      <c r="AI2354"/>
      <c r="AJ2354"/>
      <c r="AK2354"/>
      <c r="AL2354"/>
      <c r="AM2354"/>
      <c r="AN2354"/>
      <c r="AO2354"/>
      <c r="AP2354"/>
      <c r="AQ2354" t="s">
        <v>3717</v>
      </c>
      <c r="AU2354">
        <v>2353</v>
      </c>
    </row>
    <row r="2355" spans="1:47" x14ac:dyDescent="0.2">
      <c r="A2355" s="37">
        <v>6522</v>
      </c>
      <c r="B2355" s="38" t="s">
        <v>85</v>
      </c>
      <c r="C2355" s="39" t="s">
        <v>1234</v>
      </c>
      <c r="D2355" s="29"/>
      <c r="E2355" s="38" t="s">
        <v>3740</v>
      </c>
      <c r="F2355" s="32" t="s">
        <v>3741</v>
      </c>
      <c r="G2355" s="47" t="s">
        <v>49</v>
      </c>
      <c r="H2355"/>
      <c r="I2355" s="32" t="s">
        <v>3621</v>
      </c>
      <c r="J2355" s="47"/>
      <c r="K2355" s="47">
        <f>40*2.2</f>
        <v>88</v>
      </c>
      <c r="L2355" s="48"/>
      <c r="M2355" s="47"/>
      <c r="N2355" s="47"/>
      <c r="O2355" s="47"/>
      <c r="P2355" s="47"/>
      <c r="Q2355" s="47"/>
      <c r="R2355" s="47"/>
      <c r="S2355" s="48">
        <v>1</v>
      </c>
      <c r="T2355" s="47"/>
      <c r="U2355" s="47"/>
      <c r="V2355" s="47"/>
      <c r="W2355" s="47"/>
      <c r="X2355" s="47"/>
      <c r="Y2355" s="47"/>
      <c r="Z2355" s="47" t="s">
        <v>1809</v>
      </c>
      <c r="AA2355" s="49"/>
      <c r="AB2355" s="49"/>
      <c r="AC2355" s="49"/>
      <c r="AD2355" s="50"/>
      <c r="AE2355" s="47" t="s">
        <v>1653</v>
      </c>
      <c r="AF2355" s="47">
        <v>65</v>
      </c>
      <c r="AG2355"/>
      <c r="AH2355"/>
      <c r="AI2355"/>
      <c r="AJ2355"/>
      <c r="AK2355"/>
      <c r="AL2355"/>
      <c r="AM2355"/>
      <c r="AN2355"/>
      <c r="AO2355"/>
      <c r="AP2355"/>
      <c r="AQ2355" t="s">
        <v>3717</v>
      </c>
      <c r="AU2355">
        <v>2354</v>
      </c>
    </row>
    <row r="2356" spans="1:47" x14ac:dyDescent="0.2">
      <c r="A2356" s="37">
        <v>6522</v>
      </c>
      <c r="B2356" s="38" t="s">
        <v>85</v>
      </c>
      <c r="C2356" s="39" t="s">
        <v>1234</v>
      </c>
      <c r="D2356" s="29"/>
      <c r="E2356" s="38" t="s">
        <v>3742</v>
      </c>
      <c r="F2356" s="32" t="s">
        <v>3743</v>
      </c>
      <c r="G2356" s="47" t="s">
        <v>69</v>
      </c>
      <c r="H2356"/>
      <c r="I2356" s="32" t="s">
        <v>3744</v>
      </c>
      <c r="J2356" s="47"/>
      <c r="K2356" s="47"/>
      <c r="L2356" s="48"/>
      <c r="M2356" s="47"/>
      <c r="N2356" s="47"/>
      <c r="O2356" s="47"/>
      <c r="P2356" s="47"/>
      <c r="Q2356" s="47"/>
      <c r="R2356" s="47"/>
      <c r="S2356" s="48">
        <v>7</v>
      </c>
      <c r="T2356" s="47"/>
      <c r="U2356" s="47"/>
      <c r="V2356" s="47"/>
      <c r="W2356" s="47"/>
      <c r="X2356" s="47"/>
      <c r="Y2356" s="47"/>
      <c r="Z2356" s="47" t="s">
        <v>1809</v>
      </c>
      <c r="AA2356" s="49"/>
      <c r="AB2356" s="49"/>
      <c r="AC2356" s="49"/>
      <c r="AD2356" s="50"/>
      <c r="AE2356" s="47" t="s">
        <v>1653</v>
      </c>
      <c r="AF2356" s="47">
        <v>65</v>
      </c>
      <c r="AG2356"/>
      <c r="AH2356"/>
      <c r="AI2356"/>
      <c r="AJ2356"/>
      <c r="AK2356"/>
      <c r="AL2356"/>
      <c r="AM2356"/>
      <c r="AN2356"/>
      <c r="AO2356"/>
      <c r="AP2356"/>
      <c r="AQ2356" t="s">
        <v>3717</v>
      </c>
      <c r="AU2356">
        <v>2355</v>
      </c>
    </row>
    <row r="2357" spans="1:47" x14ac:dyDescent="0.2">
      <c r="A2357" s="13">
        <v>6522</v>
      </c>
      <c r="B2357" s="57" t="s">
        <v>85</v>
      </c>
      <c r="C2357" s="57" t="s">
        <v>1234</v>
      </c>
      <c r="D2357" s="29"/>
      <c r="E2357" s="57" t="s">
        <v>3726</v>
      </c>
      <c r="F2357" s="31" t="s">
        <v>3727</v>
      </c>
      <c r="G2357" s="31" t="s">
        <v>69</v>
      </c>
      <c r="I2357" s="31" t="s">
        <v>3728</v>
      </c>
      <c r="K2357" s="63"/>
      <c r="Z2357" s="47" t="s">
        <v>1809</v>
      </c>
      <c r="AE2357" s="47" t="s">
        <v>1653</v>
      </c>
      <c r="AQ2357" s="32" t="s">
        <v>3729</v>
      </c>
      <c r="AU2357">
        <v>2356</v>
      </c>
    </row>
    <row r="2358" spans="1:47" x14ac:dyDescent="0.2">
      <c r="A2358" s="13">
        <v>6522</v>
      </c>
      <c r="B2358" s="57" t="s">
        <v>85</v>
      </c>
      <c r="C2358" s="57" t="s">
        <v>332</v>
      </c>
      <c r="D2358" s="29"/>
      <c r="E2358" s="57" t="s">
        <v>609</v>
      </c>
      <c r="F2358" s="31" t="s">
        <v>76</v>
      </c>
      <c r="G2358" s="31" t="s">
        <v>49</v>
      </c>
      <c r="K2358" s="31">
        <v>176</v>
      </c>
      <c r="S2358" s="33">
        <v>2</v>
      </c>
      <c r="AK2358" s="32">
        <v>8</v>
      </c>
      <c r="AQ2358" s="32" t="s">
        <v>3745</v>
      </c>
      <c r="AU2358">
        <v>2357</v>
      </c>
    </row>
    <row r="2359" spans="1:47" x14ac:dyDescent="0.2">
      <c r="A2359" s="37">
        <v>6525</v>
      </c>
      <c r="B2359" s="38" t="s">
        <v>85</v>
      </c>
      <c r="C2359" s="39" t="s">
        <v>1234</v>
      </c>
      <c r="D2359" s="29"/>
      <c r="E2359" s="38" t="s">
        <v>3746</v>
      </c>
      <c r="F2359" s="32" t="s">
        <v>2343</v>
      </c>
      <c r="G2359" s="47" t="s">
        <v>69</v>
      </c>
      <c r="H2359"/>
      <c r="I2359" s="32" t="s">
        <v>3747</v>
      </c>
      <c r="J2359" s="47"/>
      <c r="K2359" s="47">
        <f>60*2.2</f>
        <v>132</v>
      </c>
      <c r="L2359" s="48"/>
      <c r="M2359" s="47"/>
      <c r="N2359" s="47"/>
      <c r="O2359" s="47"/>
      <c r="P2359" s="47"/>
      <c r="Q2359" s="47"/>
      <c r="R2359" s="47"/>
      <c r="S2359" s="48">
        <v>2</v>
      </c>
      <c r="T2359" s="47"/>
      <c r="U2359" s="47"/>
      <c r="V2359" s="47"/>
      <c r="W2359" s="47"/>
      <c r="X2359" s="47"/>
      <c r="Y2359" s="47"/>
      <c r="Z2359" s="47" t="s">
        <v>1809</v>
      </c>
      <c r="AA2359" s="49"/>
      <c r="AB2359" s="49"/>
      <c r="AC2359" s="49"/>
      <c r="AD2359" s="50"/>
      <c r="AE2359" s="47" t="s">
        <v>1653</v>
      </c>
      <c r="AF2359" s="47">
        <v>70</v>
      </c>
      <c r="AG2359"/>
      <c r="AH2359"/>
      <c r="AI2359"/>
      <c r="AJ2359"/>
      <c r="AK2359"/>
      <c r="AL2359"/>
      <c r="AM2359"/>
      <c r="AN2359"/>
      <c r="AO2359"/>
      <c r="AP2359"/>
      <c r="AQ2359" t="s">
        <v>3717</v>
      </c>
      <c r="AU2359">
        <v>2358</v>
      </c>
    </row>
    <row r="2360" spans="1:47" x14ac:dyDescent="0.2">
      <c r="A2360" s="13">
        <v>6525</v>
      </c>
      <c r="B2360" s="57" t="s">
        <v>85</v>
      </c>
      <c r="C2360" s="57" t="s">
        <v>1234</v>
      </c>
      <c r="D2360" s="29"/>
      <c r="E2360" s="57" t="s">
        <v>3726</v>
      </c>
      <c r="F2360" s="31" t="s">
        <v>3727</v>
      </c>
      <c r="G2360" s="31" t="s">
        <v>69</v>
      </c>
      <c r="I2360" s="31" t="s">
        <v>3728</v>
      </c>
      <c r="K2360" s="63"/>
      <c r="Z2360" s="47" t="s">
        <v>1809</v>
      </c>
      <c r="AE2360" s="47" t="s">
        <v>1653</v>
      </c>
      <c r="AQ2360" s="32" t="s">
        <v>3729</v>
      </c>
      <c r="AU2360">
        <v>2359</v>
      </c>
    </row>
    <row r="2361" spans="1:47" x14ac:dyDescent="0.2">
      <c r="A2361" s="26">
        <v>6525</v>
      </c>
      <c r="B2361" s="27"/>
      <c r="C2361" s="28"/>
      <c r="D2361" s="29"/>
      <c r="E2361" s="30" t="s">
        <v>867</v>
      </c>
      <c r="H2361" s="32">
        <v>1</v>
      </c>
      <c r="I2361" s="32" t="s">
        <v>874</v>
      </c>
      <c r="AK2361" s="32">
        <v>1</v>
      </c>
      <c r="AM2361" s="32">
        <v>2000</v>
      </c>
      <c r="AO2361" s="46" t="s">
        <v>875</v>
      </c>
      <c r="AP2361" s="46"/>
      <c r="AQ2361" s="32">
        <v>452</v>
      </c>
      <c r="AU2361">
        <v>2360</v>
      </c>
    </row>
    <row r="2362" spans="1:47" x14ac:dyDescent="0.2">
      <c r="A2362" s="37">
        <v>6526</v>
      </c>
      <c r="B2362" s="38" t="s">
        <v>85</v>
      </c>
      <c r="C2362" s="39" t="s">
        <v>142</v>
      </c>
      <c r="D2362" s="29"/>
      <c r="E2362" s="38" t="s">
        <v>3748</v>
      </c>
      <c r="F2362" s="31" t="s">
        <v>3749</v>
      </c>
      <c r="G2362" s="31" t="s">
        <v>73</v>
      </c>
      <c r="H2362" s="32"/>
      <c r="I2362" s="32" t="s">
        <v>3750</v>
      </c>
      <c r="K2362" s="31">
        <f>110*20*2.2</f>
        <v>4840</v>
      </c>
      <c r="S2362" s="33">
        <v>13</v>
      </c>
      <c r="T2362" s="31">
        <v>0</v>
      </c>
      <c r="U2362" s="31">
        <v>0</v>
      </c>
      <c r="V2362" s="31">
        <v>0</v>
      </c>
      <c r="Y2362" s="31" t="s">
        <v>51</v>
      </c>
      <c r="Z2362" s="31" t="s">
        <v>3724</v>
      </c>
      <c r="AA2362" s="34">
        <v>0.39583333333333331</v>
      </c>
      <c r="AB2362" s="34">
        <v>0.55208333333333337</v>
      </c>
      <c r="AC2362" s="49">
        <f>AVERAGE(AA2362:AB2362)</f>
        <v>0.47395833333333337</v>
      </c>
      <c r="AD2362" s="50">
        <f>(AB2362-AA2362)*24</f>
        <v>3.7500000000000013</v>
      </c>
      <c r="AE2362" s="47" t="s">
        <v>2470</v>
      </c>
      <c r="AK2362" s="32">
        <v>110</v>
      </c>
      <c r="AO2362" s="46"/>
      <c r="AP2362" s="46"/>
      <c r="AQ2362" s="32" t="s">
        <v>3751</v>
      </c>
      <c r="AU2362">
        <v>2361</v>
      </c>
    </row>
    <row r="2363" spans="1:47" x14ac:dyDescent="0.2">
      <c r="A2363" s="37">
        <v>6526</v>
      </c>
      <c r="B2363" s="38" t="s">
        <v>85</v>
      </c>
      <c r="C2363" s="39" t="s">
        <v>1234</v>
      </c>
      <c r="D2363" s="29"/>
      <c r="E2363" s="38" t="s">
        <v>3752</v>
      </c>
      <c r="F2363" s="32" t="s">
        <v>2343</v>
      </c>
      <c r="G2363" s="47" t="s">
        <v>69</v>
      </c>
      <c r="H2363"/>
      <c r="I2363" s="32" t="s">
        <v>3753</v>
      </c>
      <c r="J2363" s="47"/>
      <c r="K2363" s="47">
        <f>60*2.2</f>
        <v>132</v>
      </c>
      <c r="L2363" s="48"/>
      <c r="M2363" s="47"/>
      <c r="N2363" s="47"/>
      <c r="O2363" s="47"/>
      <c r="P2363" s="47"/>
      <c r="Q2363" s="47"/>
      <c r="R2363" s="47"/>
      <c r="S2363" s="48">
        <v>1</v>
      </c>
      <c r="T2363" s="47"/>
      <c r="U2363" s="47"/>
      <c r="V2363" s="47"/>
      <c r="W2363" s="47"/>
      <c r="X2363" s="47"/>
      <c r="Y2363" s="47"/>
      <c r="Z2363" s="47" t="s">
        <v>1809</v>
      </c>
      <c r="AA2363" s="49"/>
      <c r="AB2363" s="49"/>
      <c r="AC2363" s="49"/>
      <c r="AD2363" s="50"/>
      <c r="AE2363" s="47" t="s">
        <v>1653</v>
      </c>
      <c r="AF2363" s="47">
        <v>65</v>
      </c>
      <c r="AG2363"/>
      <c r="AH2363"/>
      <c r="AI2363"/>
      <c r="AJ2363"/>
      <c r="AK2363"/>
      <c r="AL2363"/>
      <c r="AM2363"/>
      <c r="AN2363"/>
      <c r="AO2363"/>
      <c r="AP2363"/>
      <c r="AQ2363" t="s">
        <v>3717</v>
      </c>
      <c r="AU2363">
        <v>2362</v>
      </c>
    </row>
    <row r="2364" spans="1:47" x14ac:dyDescent="0.2">
      <c r="A2364" s="37">
        <v>6526</v>
      </c>
      <c r="B2364" s="38" t="s">
        <v>85</v>
      </c>
      <c r="C2364" s="39" t="s">
        <v>1234</v>
      </c>
      <c r="D2364" s="29"/>
      <c r="E2364" s="38" t="s">
        <v>3754</v>
      </c>
      <c r="F2364" s="32" t="s">
        <v>3743</v>
      </c>
      <c r="G2364" s="47" t="s">
        <v>69</v>
      </c>
      <c r="H2364"/>
      <c r="I2364" s="32" t="s">
        <v>3755</v>
      </c>
      <c r="J2364" s="47"/>
      <c r="K2364" s="47"/>
      <c r="L2364" s="48"/>
      <c r="M2364" s="47"/>
      <c r="N2364" s="47"/>
      <c r="O2364" s="47"/>
      <c r="P2364" s="47"/>
      <c r="Q2364" s="47"/>
      <c r="R2364" s="47"/>
      <c r="S2364" s="48">
        <v>29</v>
      </c>
      <c r="T2364" s="47"/>
      <c r="U2364" s="47"/>
      <c r="V2364" s="47"/>
      <c r="W2364" s="47"/>
      <c r="X2364" s="47"/>
      <c r="Y2364" s="47"/>
      <c r="Z2364" s="47" t="s">
        <v>1809</v>
      </c>
      <c r="AA2364" s="49"/>
      <c r="AB2364" s="49"/>
      <c r="AC2364" s="49"/>
      <c r="AD2364" s="50"/>
      <c r="AE2364" s="47" t="s">
        <v>1653</v>
      </c>
      <c r="AF2364" s="47">
        <v>65</v>
      </c>
      <c r="AG2364"/>
      <c r="AH2364"/>
      <c r="AI2364"/>
      <c r="AJ2364"/>
      <c r="AK2364"/>
      <c r="AL2364"/>
      <c r="AM2364"/>
      <c r="AN2364"/>
      <c r="AO2364"/>
      <c r="AP2364"/>
      <c r="AQ2364" t="s">
        <v>3717</v>
      </c>
      <c r="AU2364">
        <v>2363</v>
      </c>
    </row>
    <row r="2365" spans="1:47" x14ac:dyDescent="0.2">
      <c r="A2365" s="13">
        <v>6526</v>
      </c>
      <c r="B2365" s="57" t="s">
        <v>85</v>
      </c>
      <c r="C2365" s="57" t="s">
        <v>1234</v>
      </c>
      <c r="D2365" s="29"/>
      <c r="E2365" s="57" t="s">
        <v>3726</v>
      </c>
      <c r="F2365" s="31" t="s">
        <v>3727</v>
      </c>
      <c r="G2365" s="31" t="s">
        <v>69</v>
      </c>
      <c r="I2365" s="31" t="s">
        <v>3728</v>
      </c>
      <c r="K2365" s="63"/>
      <c r="Z2365" s="47" t="s">
        <v>1809</v>
      </c>
      <c r="AE2365" s="47" t="s">
        <v>1653</v>
      </c>
      <c r="AQ2365" s="32" t="s">
        <v>3729</v>
      </c>
      <c r="AU2365">
        <v>2364</v>
      </c>
    </row>
    <row r="2366" spans="1:47" x14ac:dyDescent="0.2">
      <c r="A2366" s="26">
        <v>6526</v>
      </c>
      <c r="B2366" s="27" t="s">
        <v>45</v>
      </c>
      <c r="C2366" s="28"/>
      <c r="D2366" s="29"/>
      <c r="E2366" s="30" t="s">
        <v>1531</v>
      </c>
      <c r="H2366" s="32">
        <v>0</v>
      </c>
      <c r="I2366" s="32" t="s">
        <v>1706</v>
      </c>
      <c r="AG2366" s="32">
        <v>0</v>
      </c>
      <c r="AH2366" s="32">
        <v>0</v>
      </c>
      <c r="AI2366" s="32">
        <v>0</v>
      </c>
      <c r="AK2366" s="32">
        <v>0</v>
      </c>
      <c r="AM2366" s="32">
        <f>498*46</f>
        <v>22908</v>
      </c>
      <c r="AO2366" s="32" t="s">
        <v>1533</v>
      </c>
      <c r="AQ2366" s="32" t="s">
        <v>1101</v>
      </c>
      <c r="AU2366">
        <v>2365</v>
      </c>
    </row>
    <row r="2367" spans="1:47" x14ac:dyDescent="0.2">
      <c r="A2367" s="26">
        <v>6526</v>
      </c>
      <c r="B2367" s="27" t="s">
        <v>45</v>
      </c>
      <c r="C2367" s="28"/>
      <c r="D2367" s="29"/>
      <c r="E2367" s="150" t="s">
        <v>2286</v>
      </c>
      <c r="H2367" s="32">
        <v>0</v>
      </c>
      <c r="I2367" s="32" t="s">
        <v>1824</v>
      </c>
      <c r="AG2367" s="32">
        <v>0</v>
      </c>
      <c r="AH2367" s="32">
        <v>0</v>
      </c>
      <c r="AI2367" s="32">
        <v>0</v>
      </c>
      <c r="AK2367" s="32">
        <v>0</v>
      </c>
      <c r="AM2367" s="32">
        <v>8000</v>
      </c>
      <c r="AO2367" s="73" t="s">
        <v>75</v>
      </c>
      <c r="AQ2367" s="32" t="s">
        <v>589</v>
      </c>
      <c r="AU2367">
        <v>2366</v>
      </c>
    </row>
    <row r="2368" spans="1:47" x14ac:dyDescent="0.2">
      <c r="A2368" s="37">
        <v>6527</v>
      </c>
      <c r="B2368" s="38" t="s">
        <v>85</v>
      </c>
      <c r="C2368" s="39" t="s">
        <v>2689</v>
      </c>
      <c r="D2368" s="29"/>
      <c r="E2368" s="38" t="s">
        <v>3752</v>
      </c>
      <c r="F2368" s="32" t="s">
        <v>2343</v>
      </c>
      <c r="G2368" s="47" t="s">
        <v>69</v>
      </c>
      <c r="H2368"/>
      <c r="I2368" s="32" t="s">
        <v>3756</v>
      </c>
      <c r="J2368" s="47"/>
      <c r="K2368" s="47">
        <f>480*2.2</f>
        <v>1056</v>
      </c>
      <c r="L2368" s="48"/>
      <c r="M2368" s="47"/>
      <c r="N2368" s="47"/>
      <c r="O2368" s="47"/>
      <c r="P2368" s="47"/>
      <c r="Q2368" s="47"/>
      <c r="R2368" s="47"/>
      <c r="S2368" s="48">
        <v>4</v>
      </c>
      <c r="T2368" s="47"/>
      <c r="U2368" s="47"/>
      <c r="V2368" s="47"/>
      <c r="W2368" s="47"/>
      <c r="X2368" s="47"/>
      <c r="Y2368" s="47"/>
      <c r="Z2368" s="47" t="s">
        <v>1809</v>
      </c>
      <c r="AA2368" s="49"/>
      <c r="AB2368" s="49"/>
      <c r="AC2368" s="49"/>
      <c r="AD2368" s="50"/>
      <c r="AE2368" s="47" t="s">
        <v>1810</v>
      </c>
      <c r="AF2368" s="47">
        <v>65</v>
      </c>
      <c r="AG2368"/>
      <c r="AH2368"/>
      <c r="AI2368"/>
      <c r="AJ2368"/>
      <c r="AK2368"/>
      <c r="AL2368"/>
      <c r="AM2368"/>
      <c r="AN2368"/>
      <c r="AO2368"/>
      <c r="AP2368"/>
      <c r="AQ2368" t="s">
        <v>3717</v>
      </c>
      <c r="AU2368">
        <v>2367</v>
      </c>
    </row>
    <row r="2369" spans="1:47" x14ac:dyDescent="0.2">
      <c r="A2369" s="37">
        <v>6527</v>
      </c>
      <c r="B2369" s="38" t="s">
        <v>85</v>
      </c>
      <c r="C2369" s="39" t="s">
        <v>2689</v>
      </c>
      <c r="D2369" s="29"/>
      <c r="E2369" s="38" t="s">
        <v>3757</v>
      </c>
      <c r="F2369" s="32" t="s">
        <v>3758</v>
      </c>
      <c r="G2369" s="47" t="s">
        <v>69</v>
      </c>
      <c r="H2369"/>
      <c r="I2369" s="32" t="s">
        <v>3621</v>
      </c>
      <c r="J2369" s="47"/>
      <c r="K2369" s="47">
        <f>120*2.2</f>
        <v>264</v>
      </c>
      <c r="L2369" s="48"/>
      <c r="M2369" s="47"/>
      <c r="N2369" s="47"/>
      <c r="O2369" s="47"/>
      <c r="P2369" s="47"/>
      <c r="Q2369" s="47"/>
      <c r="R2369" s="47"/>
      <c r="S2369" s="48">
        <v>1</v>
      </c>
      <c r="T2369" s="47"/>
      <c r="U2369" s="47"/>
      <c r="V2369" s="47"/>
      <c r="W2369" s="47"/>
      <c r="X2369" s="47"/>
      <c r="Y2369" s="47"/>
      <c r="Z2369" s="47" t="s">
        <v>1809</v>
      </c>
      <c r="AA2369" s="49"/>
      <c r="AB2369" s="49"/>
      <c r="AC2369" s="49"/>
      <c r="AD2369" s="50"/>
      <c r="AE2369" s="47" t="s">
        <v>1810</v>
      </c>
      <c r="AF2369" s="47">
        <v>125</v>
      </c>
      <c r="AG2369"/>
      <c r="AH2369"/>
      <c r="AI2369"/>
      <c r="AJ2369"/>
      <c r="AK2369"/>
      <c r="AL2369"/>
      <c r="AM2369"/>
      <c r="AN2369"/>
      <c r="AO2369"/>
      <c r="AP2369"/>
      <c r="AQ2369" t="s">
        <v>3717</v>
      </c>
      <c r="AU2369">
        <v>2368</v>
      </c>
    </row>
    <row r="2370" spans="1:47" x14ac:dyDescent="0.2">
      <c r="A2370" s="37">
        <v>6527</v>
      </c>
      <c r="B2370" s="38" t="s">
        <v>85</v>
      </c>
      <c r="C2370" s="39" t="s">
        <v>2689</v>
      </c>
      <c r="D2370" s="29"/>
      <c r="E2370" s="38" t="s">
        <v>999</v>
      </c>
      <c r="F2370" s="32" t="s">
        <v>107</v>
      </c>
      <c r="G2370" s="47"/>
      <c r="H2370"/>
      <c r="I2370" s="32" t="s">
        <v>3759</v>
      </c>
      <c r="J2370" s="47"/>
      <c r="K2370" s="47">
        <f>40*2.2</f>
        <v>88</v>
      </c>
      <c r="L2370" s="48"/>
      <c r="M2370" s="47"/>
      <c r="N2370" s="47"/>
      <c r="O2370" s="47"/>
      <c r="P2370" s="47"/>
      <c r="Q2370" s="47"/>
      <c r="R2370" s="47"/>
      <c r="S2370" s="48">
        <v>1</v>
      </c>
      <c r="T2370" s="47"/>
      <c r="U2370" s="47"/>
      <c r="V2370" s="47"/>
      <c r="W2370" s="47"/>
      <c r="X2370" s="47"/>
      <c r="Y2370" s="47"/>
      <c r="Z2370" s="47" t="s">
        <v>1809</v>
      </c>
      <c r="AA2370" s="49"/>
      <c r="AB2370" s="49"/>
      <c r="AC2370" s="49"/>
      <c r="AD2370" s="50"/>
      <c r="AE2370" s="47" t="s">
        <v>1810</v>
      </c>
      <c r="AF2370" s="47">
        <v>65</v>
      </c>
      <c r="AG2370"/>
      <c r="AH2370"/>
      <c r="AI2370"/>
      <c r="AJ2370"/>
      <c r="AK2370"/>
      <c r="AL2370"/>
      <c r="AM2370"/>
      <c r="AN2370"/>
      <c r="AO2370"/>
      <c r="AP2370"/>
      <c r="AQ2370" t="s">
        <v>3717</v>
      </c>
      <c r="AU2370">
        <v>2369</v>
      </c>
    </row>
    <row r="2371" spans="1:47" x14ac:dyDescent="0.2">
      <c r="A2371" s="13">
        <v>6527</v>
      </c>
      <c r="B2371" s="57" t="s">
        <v>85</v>
      </c>
      <c r="C2371" s="57" t="s">
        <v>1234</v>
      </c>
      <c r="D2371" s="29"/>
      <c r="E2371" s="57" t="s">
        <v>3726</v>
      </c>
      <c r="F2371" s="31" t="s">
        <v>3727</v>
      </c>
      <c r="G2371" s="31" t="s">
        <v>69</v>
      </c>
      <c r="I2371" s="31" t="s">
        <v>3760</v>
      </c>
      <c r="K2371" s="63"/>
      <c r="Z2371" s="47" t="s">
        <v>1809</v>
      </c>
      <c r="AE2371" s="47" t="s">
        <v>1653</v>
      </c>
      <c r="AQ2371" s="32" t="s">
        <v>3729</v>
      </c>
      <c r="AU2371">
        <v>2370</v>
      </c>
    </row>
    <row r="2372" spans="1:47" x14ac:dyDescent="0.2">
      <c r="A2372" s="37">
        <v>6528</v>
      </c>
      <c r="B2372" s="38" t="s">
        <v>85</v>
      </c>
      <c r="C2372" s="39" t="s">
        <v>2689</v>
      </c>
      <c r="D2372" s="29"/>
      <c r="E2372" s="38" t="s">
        <v>3752</v>
      </c>
      <c r="F2372" s="32" t="s">
        <v>2343</v>
      </c>
      <c r="G2372" s="47" t="s">
        <v>69</v>
      </c>
      <c r="H2372"/>
      <c r="I2372" s="32" t="s">
        <v>3761</v>
      </c>
      <c r="J2372" s="47"/>
      <c r="K2372" s="47">
        <f>240*2.2</f>
        <v>528</v>
      </c>
      <c r="L2372" s="48"/>
      <c r="M2372" s="47"/>
      <c r="N2372" s="47"/>
      <c r="O2372" s="47"/>
      <c r="P2372" s="47"/>
      <c r="Q2372" s="47"/>
      <c r="R2372" s="47"/>
      <c r="S2372" s="48">
        <v>2</v>
      </c>
      <c r="T2372" s="47"/>
      <c r="U2372" s="47"/>
      <c r="V2372" s="47"/>
      <c r="W2372" s="47"/>
      <c r="X2372" s="47"/>
      <c r="Y2372" s="47"/>
      <c r="Z2372" s="47" t="s">
        <v>1809</v>
      </c>
      <c r="AA2372" s="49"/>
      <c r="AB2372" s="49"/>
      <c r="AC2372" s="49"/>
      <c r="AD2372" s="50"/>
      <c r="AE2372" s="47" t="s">
        <v>1810</v>
      </c>
      <c r="AF2372" s="47">
        <v>65</v>
      </c>
      <c r="AG2372"/>
      <c r="AH2372"/>
      <c r="AI2372"/>
      <c r="AJ2372"/>
      <c r="AK2372"/>
      <c r="AL2372"/>
      <c r="AM2372"/>
      <c r="AN2372"/>
      <c r="AO2372"/>
      <c r="AP2372"/>
      <c r="AQ2372" t="s">
        <v>3717</v>
      </c>
      <c r="AU2372">
        <v>2371</v>
      </c>
    </row>
    <row r="2373" spans="1:47" x14ac:dyDescent="0.2">
      <c r="A2373" s="37">
        <v>6528</v>
      </c>
      <c r="B2373" s="38" t="s">
        <v>85</v>
      </c>
      <c r="C2373" s="39" t="s">
        <v>3762</v>
      </c>
      <c r="D2373" s="29"/>
      <c r="E2373" s="38" t="s">
        <v>894</v>
      </c>
      <c r="F2373" s="32" t="s">
        <v>76</v>
      </c>
      <c r="G2373" s="47" t="s">
        <v>49</v>
      </c>
      <c r="H2373"/>
      <c r="I2373" s="32" t="s">
        <v>3621</v>
      </c>
      <c r="J2373" s="47"/>
      <c r="K2373" s="47">
        <f>40*2.2</f>
        <v>88</v>
      </c>
      <c r="L2373" s="48"/>
      <c r="M2373" s="47"/>
      <c r="N2373" s="47"/>
      <c r="O2373" s="47"/>
      <c r="P2373" s="47"/>
      <c r="Q2373" s="47"/>
      <c r="R2373" s="47"/>
      <c r="S2373" s="48">
        <v>1</v>
      </c>
      <c r="T2373" s="47"/>
      <c r="U2373" s="47"/>
      <c r="V2373" s="47"/>
      <c r="W2373" s="47"/>
      <c r="X2373" s="47"/>
      <c r="Y2373" s="47"/>
      <c r="Z2373" s="47" t="s">
        <v>1809</v>
      </c>
      <c r="AA2373" s="49"/>
      <c r="AB2373" s="49"/>
      <c r="AC2373" s="49"/>
      <c r="AD2373" s="50"/>
      <c r="AE2373" s="47" t="s">
        <v>1653</v>
      </c>
      <c r="AF2373" s="47">
        <v>90</v>
      </c>
      <c r="AG2373"/>
      <c r="AH2373"/>
      <c r="AI2373"/>
      <c r="AJ2373"/>
      <c r="AK2373"/>
      <c r="AL2373"/>
      <c r="AM2373"/>
      <c r="AN2373"/>
      <c r="AO2373"/>
      <c r="AP2373"/>
      <c r="AQ2373" t="s">
        <v>3717</v>
      </c>
      <c r="AU2373">
        <v>2372</v>
      </c>
    </row>
    <row r="2374" spans="1:47" x14ac:dyDescent="0.2">
      <c r="A2374" s="37">
        <v>6528</v>
      </c>
      <c r="B2374" s="38" t="s">
        <v>85</v>
      </c>
      <c r="C2374" s="39" t="s">
        <v>3762</v>
      </c>
      <c r="D2374" s="29"/>
      <c r="E2374" s="38" t="s">
        <v>169</v>
      </c>
      <c r="F2374" s="32" t="s">
        <v>3763</v>
      </c>
      <c r="G2374" s="47" t="s">
        <v>69</v>
      </c>
      <c r="H2374"/>
      <c r="I2374" s="32" t="s">
        <v>3621</v>
      </c>
      <c r="J2374" s="47"/>
      <c r="K2374" s="47">
        <f>40*2.2</f>
        <v>88</v>
      </c>
      <c r="L2374" s="48"/>
      <c r="M2374" s="47"/>
      <c r="N2374" s="47"/>
      <c r="O2374" s="47"/>
      <c r="P2374" s="47"/>
      <c r="Q2374" s="47"/>
      <c r="R2374" s="47"/>
      <c r="S2374" s="48"/>
      <c r="T2374" s="47"/>
      <c r="U2374" s="47"/>
      <c r="V2374" s="47"/>
      <c r="W2374" s="47"/>
      <c r="X2374" s="47"/>
      <c r="Y2374" s="47"/>
      <c r="Z2374" s="47" t="s">
        <v>1809</v>
      </c>
      <c r="AA2374" s="49"/>
      <c r="AB2374" s="49"/>
      <c r="AC2374" s="49"/>
      <c r="AD2374" s="50"/>
      <c r="AE2374" s="47" t="s">
        <v>1653</v>
      </c>
      <c r="AF2374" s="47"/>
      <c r="AG2374"/>
      <c r="AH2374"/>
      <c r="AI2374"/>
      <c r="AJ2374"/>
      <c r="AK2374"/>
      <c r="AL2374"/>
      <c r="AM2374"/>
      <c r="AN2374"/>
      <c r="AO2374"/>
      <c r="AP2374"/>
      <c r="AQ2374" t="s">
        <v>3717</v>
      </c>
      <c r="AU2374">
        <v>2373</v>
      </c>
    </row>
    <row r="2375" spans="1:47" x14ac:dyDescent="0.2">
      <c r="A2375" s="13">
        <v>6528</v>
      </c>
      <c r="B2375" s="57" t="s">
        <v>85</v>
      </c>
      <c r="C2375" s="57" t="s">
        <v>1234</v>
      </c>
      <c r="D2375" s="29"/>
      <c r="E2375" s="57" t="s">
        <v>3726</v>
      </c>
      <c r="F2375" s="31" t="s">
        <v>3727</v>
      </c>
      <c r="G2375" s="31" t="s">
        <v>69</v>
      </c>
      <c r="I2375" s="31" t="s">
        <v>3760</v>
      </c>
      <c r="K2375" s="63"/>
      <c r="Z2375" s="47" t="s">
        <v>1809</v>
      </c>
      <c r="AE2375" s="47" t="s">
        <v>1653</v>
      </c>
      <c r="AQ2375" s="32" t="s">
        <v>3729</v>
      </c>
      <c r="AU2375">
        <v>2374</v>
      </c>
    </row>
    <row r="2376" spans="1:47" x14ac:dyDescent="0.2">
      <c r="A2376" s="13">
        <v>6528</v>
      </c>
      <c r="B2376" s="57" t="s">
        <v>85</v>
      </c>
      <c r="C2376" s="57" t="s">
        <v>1077</v>
      </c>
      <c r="D2376" s="29"/>
      <c r="E2376" s="57" t="s">
        <v>3604</v>
      </c>
      <c r="F2376" s="31" t="s">
        <v>3764</v>
      </c>
      <c r="G2376" s="31" t="s">
        <v>481</v>
      </c>
      <c r="I2376" s="31" t="s">
        <v>3602</v>
      </c>
      <c r="K2376" s="31">
        <v>1887.6</v>
      </c>
      <c r="Z2376" s="31" t="s">
        <v>3724</v>
      </c>
      <c r="AK2376" s="32">
        <v>39</v>
      </c>
      <c r="AQ2376" s="32" t="s">
        <v>3729</v>
      </c>
      <c r="AU2376">
        <v>2375</v>
      </c>
    </row>
    <row r="2377" spans="1:47" x14ac:dyDescent="0.2">
      <c r="A2377" s="13">
        <v>6528</v>
      </c>
      <c r="B2377" s="57" t="s">
        <v>85</v>
      </c>
      <c r="C2377" s="57" t="s">
        <v>1077</v>
      </c>
      <c r="D2377" s="29"/>
      <c r="E2377" s="57" t="s">
        <v>2210</v>
      </c>
      <c r="F2377" s="31" t="s">
        <v>3764</v>
      </c>
      <c r="G2377" s="31" t="s">
        <v>481</v>
      </c>
      <c r="I2377" s="31" t="s">
        <v>3602</v>
      </c>
      <c r="K2377" s="31">
        <v>2323.1999999999998</v>
      </c>
      <c r="Z2377" s="31" t="s">
        <v>3724</v>
      </c>
      <c r="AK2377" s="32">
        <v>48</v>
      </c>
      <c r="AQ2377" s="32" t="s">
        <v>3729</v>
      </c>
      <c r="AU2377">
        <v>2376</v>
      </c>
    </row>
    <row r="2378" spans="1:47" x14ac:dyDescent="0.2">
      <c r="A2378" s="26">
        <v>6528</v>
      </c>
      <c r="B2378" s="27">
        <v>0.64583333333333337</v>
      </c>
      <c r="C2378" s="28"/>
      <c r="D2378" s="29"/>
      <c r="E2378" s="30" t="s">
        <v>1124</v>
      </c>
      <c r="H2378" s="32">
        <v>1</v>
      </c>
      <c r="I2378" s="32"/>
      <c r="AG2378" s="32">
        <v>0</v>
      </c>
      <c r="AH2378" s="32">
        <v>1</v>
      </c>
      <c r="AK2378" s="32">
        <v>4</v>
      </c>
      <c r="AL2378" s="32">
        <v>0.33300000000000002</v>
      </c>
      <c r="AO2378" s="46" t="s">
        <v>1126</v>
      </c>
      <c r="AP2378" s="32">
        <v>0.33300000000000002</v>
      </c>
      <c r="AQ2378" s="32" t="s">
        <v>589</v>
      </c>
      <c r="AU2378">
        <v>2377</v>
      </c>
    </row>
    <row r="2379" spans="1:47" x14ac:dyDescent="0.2">
      <c r="A2379" s="37">
        <v>6533</v>
      </c>
      <c r="B2379" s="38" t="s">
        <v>85</v>
      </c>
      <c r="C2379" s="39" t="s">
        <v>3762</v>
      </c>
      <c r="D2379" s="29"/>
      <c r="E2379" s="38" t="s">
        <v>3765</v>
      </c>
      <c r="F2379" s="31" t="s">
        <v>2761</v>
      </c>
      <c r="G2379" s="47" t="s">
        <v>69</v>
      </c>
      <c r="H2379"/>
      <c r="I2379" s="32" t="s">
        <v>3766</v>
      </c>
      <c r="J2379" s="47"/>
      <c r="K2379" s="47">
        <f>240*2.2</f>
        <v>528</v>
      </c>
      <c r="L2379" s="48"/>
      <c r="M2379" s="47"/>
      <c r="N2379" s="47"/>
      <c r="O2379" s="47"/>
      <c r="P2379" s="47"/>
      <c r="Q2379" s="47"/>
      <c r="R2379" s="47"/>
      <c r="S2379" s="48">
        <v>2</v>
      </c>
      <c r="T2379" s="47"/>
      <c r="U2379" s="47"/>
      <c r="V2379" s="47"/>
      <c r="W2379" s="47"/>
      <c r="X2379" s="47"/>
      <c r="Y2379" s="47"/>
      <c r="Z2379" s="47" t="s">
        <v>1809</v>
      </c>
      <c r="AA2379" s="49"/>
      <c r="AB2379" s="49"/>
      <c r="AC2379" s="49"/>
      <c r="AD2379" s="50"/>
      <c r="AE2379" s="47" t="s">
        <v>1653</v>
      </c>
      <c r="AF2379" s="47">
        <v>70</v>
      </c>
      <c r="AG2379"/>
      <c r="AH2379"/>
      <c r="AI2379"/>
      <c r="AJ2379"/>
      <c r="AK2379" s="32">
        <v>40</v>
      </c>
      <c r="AL2379"/>
      <c r="AM2379"/>
      <c r="AN2379"/>
      <c r="AO2379"/>
      <c r="AP2379"/>
      <c r="AQ2379" t="s">
        <v>3767</v>
      </c>
      <c r="AU2379">
        <v>2378</v>
      </c>
    </row>
    <row r="2380" spans="1:47" x14ac:dyDescent="0.2">
      <c r="A2380" s="37">
        <v>6536</v>
      </c>
      <c r="B2380" s="38" t="s">
        <v>85</v>
      </c>
      <c r="C2380" s="39" t="s">
        <v>3762</v>
      </c>
      <c r="D2380" s="29"/>
      <c r="E2380" s="38" t="s">
        <v>528</v>
      </c>
      <c r="F2380" s="32" t="s">
        <v>204</v>
      </c>
      <c r="G2380" s="47" t="s">
        <v>205</v>
      </c>
      <c r="H2380"/>
      <c r="I2380" s="32" t="s">
        <v>3761</v>
      </c>
      <c r="J2380" s="47"/>
      <c r="K2380" s="47">
        <f>80*2.2</f>
        <v>176</v>
      </c>
      <c r="L2380" s="48"/>
      <c r="M2380" s="47"/>
      <c r="N2380" s="47"/>
      <c r="O2380" s="47"/>
      <c r="P2380" s="47"/>
      <c r="Q2380" s="47"/>
      <c r="R2380" s="47"/>
      <c r="S2380" s="48">
        <v>2</v>
      </c>
      <c r="T2380" s="47"/>
      <c r="U2380" s="47"/>
      <c r="V2380" s="47"/>
      <c r="W2380" s="47"/>
      <c r="X2380" s="47"/>
      <c r="Y2380" s="47"/>
      <c r="Z2380" s="47" t="s">
        <v>1809</v>
      </c>
      <c r="AA2380" s="49"/>
      <c r="AB2380" s="49"/>
      <c r="AC2380" s="49"/>
      <c r="AD2380" s="50"/>
      <c r="AE2380" s="47" t="s">
        <v>1653</v>
      </c>
      <c r="AF2380" s="47">
        <v>75</v>
      </c>
      <c r="AG2380"/>
      <c r="AH2380"/>
      <c r="AI2380"/>
      <c r="AJ2380"/>
      <c r="AK2380"/>
      <c r="AL2380"/>
      <c r="AM2380"/>
      <c r="AN2380"/>
      <c r="AO2380"/>
      <c r="AP2380"/>
      <c r="AQ2380" t="s">
        <v>3717</v>
      </c>
      <c r="AU2380">
        <v>2379</v>
      </c>
    </row>
    <row r="2381" spans="1:47" x14ac:dyDescent="0.2">
      <c r="A2381" s="37">
        <v>6536</v>
      </c>
      <c r="B2381" s="38" t="s">
        <v>85</v>
      </c>
      <c r="C2381" s="39" t="s">
        <v>3762</v>
      </c>
      <c r="D2381" s="29"/>
      <c r="E2381" s="38" t="s">
        <v>3714</v>
      </c>
      <c r="F2381" s="32" t="s">
        <v>2343</v>
      </c>
      <c r="G2381" s="47" t="s">
        <v>69</v>
      </c>
      <c r="H2381"/>
      <c r="I2381" s="32" t="s">
        <v>3768</v>
      </c>
      <c r="J2381" s="47"/>
      <c r="K2381" s="47">
        <f>120*2.2</f>
        <v>264</v>
      </c>
      <c r="L2381" s="48"/>
      <c r="M2381" s="47"/>
      <c r="N2381" s="47"/>
      <c r="O2381" s="47"/>
      <c r="P2381" s="47"/>
      <c r="Q2381" s="47"/>
      <c r="R2381" s="47"/>
      <c r="S2381" s="48">
        <v>3</v>
      </c>
      <c r="T2381" s="47"/>
      <c r="U2381" s="47"/>
      <c r="V2381" s="47"/>
      <c r="W2381" s="47"/>
      <c r="X2381" s="47"/>
      <c r="Y2381" s="47"/>
      <c r="Z2381" s="47" t="s">
        <v>1809</v>
      </c>
      <c r="AA2381" s="49"/>
      <c r="AB2381" s="49"/>
      <c r="AC2381" s="49"/>
      <c r="AD2381" s="50"/>
      <c r="AE2381" s="47" t="s">
        <v>1653</v>
      </c>
      <c r="AF2381" s="47">
        <v>70</v>
      </c>
      <c r="AG2381"/>
      <c r="AH2381"/>
      <c r="AI2381"/>
      <c r="AJ2381"/>
      <c r="AK2381"/>
      <c r="AL2381"/>
      <c r="AM2381"/>
      <c r="AN2381"/>
      <c r="AO2381"/>
      <c r="AP2381"/>
      <c r="AQ2381" t="s">
        <v>3717</v>
      </c>
      <c r="AU2381">
        <v>2380</v>
      </c>
    </row>
    <row r="2382" spans="1:47" x14ac:dyDescent="0.2">
      <c r="A2382" s="37">
        <v>6536</v>
      </c>
      <c r="B2382" s="38" t="s">
        <v>85</v>
      </c>
      <c r="C2382" s="39" t="s">
        <v>1234</v>
      </c>
      <c r="D2382" s="29"/>
      <c r="E2382" s="38" t="s">
        <v>3769</v>
      </c>
      <c r="F2382" s="32" t="s">
        <v>3743</v>
      </c>
      <c r="G2382" s="47" t="s">
        <v>69</v>
      </c>
      <c r="H2382"/>
      <c r="I2382" s="32" t="s">
        <v>3770</v>
      </c>
      <c r="J2382" s="47"/>
      <c r="K2382" s="47"/>
      <c r="L2382" s="48"/>
      <c r="M2382" s="47"/>
      <c r="N2382" s="47"/>
      <c r="O2382" s="47"/>
      <c r="P2382" s="47"/>
      <c r="Q2382" s="47"/>
      <c r="R2382" s="47"/>
      <c r="S2382" s="48">
        <v>17</v>
      </c>
      <c r="T2382" s="47"/>
      <c r="U2382" s="47"/>
      <c r="V2382" s="47"/>
      <c r="W2382" s="47"/>
      <c r="X2382" s="47"/>
      <c r="Y2382" s="47"/>
      <c r="Z2382" s="47" t="s">
        <v>1809</v>
      </c>
      <c r="AA2382" s="49"/>
      <c r="AB2382" s="49"/>
      <c r="AC2382" s="49"/>
      <c r="AD2382" s="50"/>
      <c r="AE2382" s="47" t="s">
        <v>1653</v>
      </c>
      <c r="AF2382" s="47">
        <v>70</v>
      </c>
      <c r="AG2382"/>
      <c r="AH2382"/>
      <c r="AI2382"/>
      <c r="AJ2382"/>
      <c r="AK2382"/>
      <c r="AL2382"/>
      <c r="AM2382"/>
      <c r="AN2382"/>
      <c r="AO2382"/>
      <c r="AP2382"/>
      <c r="AQ2382" t="s">
        <v>3717</v>
      </c>
      <c r="AU2382">
        <v>2381</v>
      </c>
    </row>
    <row r="2383" spans="1:47" x14ac:dyDescent="0.2">
      <c r="A2383" s="13">
        <v>6536</v>
      </c>
      <c r="B2383" s="57" t="s">
        <v>45</v>
      </c>
      <c r="C2383" s="57" t="s">
        <v>1367</v>
      </c>
      <c r="D2383" s="29"/>
      <c r="E2383" s="57" t="s">
        <v>3666</v>
      </c>
      <c r="F2383" s="31" t="s">
        <v>76</v>
      </c>
      <c r="G2383" s="31" t="s">
        <v>49</v>
      </c>
      <c r="I2383" s="31" t="s">
        <v>3602</v>
      </c>
      <c r="K2383" s="31">
        <v>440</v>
      </c>
      <c r="AE2383" s="47" t="s">
        <v>342</v>
      </c>
      <c r="AF2383" s="31">
        <v>45</v>
      </c>
      <c r="AK2383" s="32">
        <v>8</v>
      </c>
      <c r="AQ2383" s="32" t="s">
        <v>3771</v>
      </c>
      <c r="AU2383">
        <v>2382</v>
      </c>
    </row>
    <row r="2384" spans="1:47" x14ac:dyDescent="0.2">
      <c r="A2384" s="13">
        <v>6536</v>
      </c>
      <c r="B2384" s="57" t="s">
        <v>45</v>
      </c>
      <c r="C2384" s="57" t="s">
        <v>1367</v>
      </c>
      <c r="D2384" s="29"/>
      <c r="E2384" s="57" t="s">
        <v>405</v>
      </c>
      <c r="F2384" s="31" t="s">
        <v>76</v>
      </c>
      <c r="G2384" s="31" t="s">
        <v>49</v>
      </c>
      <c r="I2384" s="31" t="s">
        <v>3772</v>
      </c>
      <c r="K2384" s="31">
        <v>1232</v>
      </c>
      <c r="AE2384" s="47" t="s">
        <v>342</v>
      </c>
      <c r="AF2384" s="31">
        <v>40</v>
      </c>
      <c r="AK2384" s="32">
        <f>11-6</f>
        <v>5</v>
      </c>
      <c r="AQ2384" s="32" t="s">
        <v>3771</v>
      </c>
      <c r="AU2384">
        <v>2383</v>
      </c>
    </row>
    <row r="2385" spans="1:47" x14ac:dyDescent="0.2">
      <c r="A2385" s="13">
        <v>6536</v>
      </c>
      <c r="B2385" s="57" t="s">
        <v>45</v>
      </c>
      <c r="C2385" s="38" t="s">
        <v>3610</v>
      </c>
      <c r="D2385" s="29"/>
      <c r="E2385" s="57" t="s">
        <v>3773</v>
      </c>
      <c r="F2385" s="31" t="s">
        <v>76</v>
      </c>
      <c r="G2385" s="31" t="s">
        <v>49</v>
      </c>
      <c r="I2385" s="31" t="s">
        <v>3774</v>
      </c>
      <c r="K2385" s="31">
        <f>6*50*2.2</f>
        <v>660</v>
      </c>
      <c r="L2385" s="33">
        <v>2</v>
      </c>
      <c r="N2385" s="31">
        <v>1</v>
      </c>
      <c r="S2385" s="33">
        <v>1</v>
      </c>
      <c r="T2385" s="31">
        <v>0</v>
      </c>
      <c r="U2385" s="31">
        <v>0</v>
      </c>
      <c r="V2385" s="31">
        <v>1</v>
      </c>
      <c r="W2385" s="47">
        <f>3000*39.37/12</f>
        <v>9842.4999999999982</v>
      </c>
      <c r="Y2385" s="31" t="s">
        <v>51</v>
      </c>
      <c r="Z2385" s="47" t="s">
        <v>1846</v>
      </c>
      <c r="AD2385" s="35">
        <v>1.75</v>
      </c>
      <c r="AE2385" s="47" t="s">
        <v>342</v>
      </c>
      <c r="AF2385" s="31">
        <v>40</v>
      </c>
      <c r="AK2385" s="32">
        <v>6</v>
      </c>
      <c r="AQ2385" s="32" t="s">
        <v>3775</v>
      </c>
      <c r="AU2385">
        <v>2384</v>
      </c>
    </row>
    <row r="2386" spans="1:47" x14ac:dyDescent="0.2">
      <c r="A2386" s="26">
        <v>6536</v>
      </c>
      <c r="B2386" s="27">
        <v>0.76388888888888884</v>
      </c>
      <c r="C2386" s="28"/>
      <c r="D2386" s="29"/>
      <c r="E2386" s="30" t="s">
        <v>464</v>
      </c>
      <c r="H2386" s="32">
        <v>0</v>
      </c>
      <c r="I2386" s="32" t="s">
        <v>3776</v>
      </c>
      <c r="AG2386" s="32">
        <v>0</v>
      </c>
      <c r="AH2386" s="32">
        <v>0</v>
      </c>
      <c r="AL2386" s="32">
        <v>4.3330000000000002</v>
      </c>
      <c r="AO2386" s="32" t="s">
        <v>1898</v>
      </c>
      <c r="AP2386" s="32">
        <v>4.3330000000000002</v>
      </c>
      <c r="AQ2386" s="32" t="s">
        <v>1522</v>
      </c>
      <c r="AU2386">
        <v>2385</v>
      </c>
    </row>
    <row r="2387" spans="1:47" x14ac:dyDescent="0.2">
      <c r="A2387" s="26">
        <v>6536</v>
      </c>
      <c r="B2387" s="27">
        <v>0.85416666666666663</v>
      </c>
      <c r="C2387" s="28"/>
      <c r="D2387" s="29"/>
      <c r="E2387" s="30" t="s">
        <v>1124</v>
      </c>
      <c r="H2387" s="32">
        <v>1</v>
      </c>
      <c r="I2387" s="32" t="s">
        <v>1534</v>
      </c>
      <c r="AG2387" s="32">
        <v>0</v>
      </c>
      <c r="AH2387" s="32">
        <v>2</v>
      </c>
      <c r="AK2387" s="32">
        <v>5</v>
      </c>
      <c r="AL2387" s="32">
        <v>0.5</v>
      </c>
      <c r="AO2387" s="46" t="s">
        <v>1126</v>
      </c>
      <c r="AP2387" s="32">
        <v>0.5</v>
      </c>
      <c r="AQ2387" s="32" t="s">
        <v>589</v>
      </c>
      <c r="AU2387">
        <v>2386</v>
      </c>
    </row>
    <row r="2388" spans="1:47" x14ac:dyDescent="0.2">
      <c r="A2388" s="26">
        <v>6536</v>
      </c>
      <c r="B2388" s="27">
        <v>0.86805555555555547</v>
      </c>
      <c r="C2388" s="28"/>
      <c r="D2388" s="29"/>
      <c r="E2388" s="30" t="s">
        <v>1282</v>
      </c>
      <c r="H2388" s="32">
        <v>0</v>
      </c>
      <c r="I2388" s="32" t="s">
        <v>2244</v>
      </c>
      <c r="AG2388" s="32">
        <v>0</v>
      </c>
      <c r="AH2388" s="32">
        <v>0</v>
      </c>
      <c r="AI2388" s="32">
        <v>0</v>
      </c>
      <c r="AK2388" s="32">
        <v>0</v>
      </c>
      <c r="AL2388" s="32">
        <f>1+20/60</f>
        <v>1.3333333333333333</v>
      </c>
      <c r="AP2388" s="32">
        <f>1+20/60</f>
        <v>1.3333333333333333</v>
      </c>
      <c r="AQ2388" s="32" t="s">
        <v>1101</v>
      </c>
      <c r="AU2388">
        <v>2387</v>
      </c>
    </row>
    <row r="2389" spans="1:47" x14ac:dyDescent="0.2">
      <c r="A2389" s="13">
        <v>6540</v>
      </c>
      <c r="B2389" s="57" t="s">
        <v>85</v>
      </c>
      <c r="C2389" s="57" t="s">
        <v>1077</v>
      </c>
      <c r="D2389" s="29"/>
      <c r="E2389" s="57" t="s">
        <v>3777</v>
      </c>
      <c r="F2389" s="31" t="s">
        <v>2761</v>
      </c>
      <c r="G2389" s="31" t="s">
        <v>69</v>
      </c>
      <c r="K2389" s="31">
        <v>110</v>
      </c>
      <c r="Z2389" s="31" t="s">
        <v>3724</v>
      </c>
      <c r="AK2389" s="32">
        <v>10</v>
      </c>
      <c r="AQ2389" s="32" t="s">
        <v>3771</v>
      </c>
      <c r="AU2389">
        <v>2388</v>
      </c>
    </row>
    <row r="2390" spans="1:47" x14ac:dyDescent="0.2">
      <c r="A2390" s="37">
        <v>6540</v>
      </c>
      <c r="B2390" s="38" t="s">
        <v>85</v>
      </c>
      <c r="C2390" s="57" t="s">
        <v>142</v>
      </c>
      <c r="D2390" s="29"/>
      <c r="E2390" s="38" t="s">
        <v>3778</v>
      </c>
      <c r="F2390" s="31" t="s">
        <v>3779</v>
      </c>
      <c r="G2390" s="31" t="s">
        <v>49</v>
      </c>
      <c r="H2390" s="32"/>
      <c r="I2390" s="47" t="b">
        <v>1</v>
      </c>
      <c r="J2390" s="47" t="b">
        <v>1</v>
      </c>
      <c r="K2390" s="31">
        <f>(160+640)*2.2</f>
        <v>1760.0000000000002</v>
      </c>
      <c r="L2390" s="33">
        <v>9</v>
      </c>
      <c r="M2390" s="31">
        <v>4</v>
      </c>
      <c r="S2390" s="33">
        <v>5</v>
      </c>
      <c r="T2390" s="31">
        <v>0</v>
      </c>
      <c r="U2390" s="31">
        <v>0</v>
      </c>
      <c r="V2390" s="31">
        <v>0</v>
      </c>
      <c r="Y2390" s="31" t="s">
        <v>51</v>
      </c>
      <c r="Z2390" s="31" t="s">
        <v>3724</v>
      </c>
      <c r="AE2390" s="47" t="s">
        <v>2470</v>
      </c>
      <c r="AK2390" s="53">
        <v>40</v>
      </c>
      <c r="AQ2390" s="32" t="s">
        <v>3780</v>
      </c>
      <c r="AR2390" s="32" t="s">
        <v>3781</v>
      </c>
      <c r="AU2390">
        <v>2389</v>
      </c>
    </row>
    <row r="2391" spans="1:47" x14ac:dyDescent="0.2">
      <c r="A2391" s="37">
        <v>6540</v>
      </c>
      <c r="B2391" s="38" t="s">
        <v>85</v>
      </c>
      <c r="C2391" s="57" t="s">
        <v>142</v>
      </c>
      <c r="D2391" s="29"/>
      <c r="E2391" s="38" t="s">
        <v>3782</v>
      </c>
      <c r="F2391" s="31" t="s">
        <v>3183</v>
      </c>
      <c r="G2391" s="31" t="s">
        <v>49</v>
      </c>
      <c r="H2391" s="32"/>
      <c r="I2391" s="47" t="b">
        <v>0</v>
      </c>
      <c r="J2391" s="47" t="b">
        <v>0</v>
      </c>
      <c r="K2391" s="31">
        <f>640*2.2</f>
        <v>1408</v>
      </c>
      <c r="S2391" s="33">
        <v>4</v>
      </c>
      <c r="Z2391" s="31" t="s">
        <v>3724</v>
      </c>
      <c r="AE2391" s="47" t="s">
        <v>2470</v>
      </c>
      <c r="AF2391" s="31">
        <v>55</v>
      </c>
      <c r="AK2391" s="53">
        <v>32</v>
      </c>
      <c r="AQ2391" s="32" t="s">
        <v>3780</v>
      </c>
      <c r="AR2391" s="32" t="s">
        <v>3781</v>
      </c>
      <c r="AU2391">
        <v>2390</v>
      </c>
    </row>
    <row r="2392" spans="1:47" x14ac:dyDescent="0.2">
      <c r="A2392" s="13">
        <v>6540</v>
      </c>
      <c r="B2392" s="57" t="s">
        <v>85</v>
      </c>
      <c r="C2392" s="57" t="s">
        <v>142</v>
      </c>
      <c r="D2392" s="29"/>
      <c r="E2392" s="57" t="s">
        <v>3783</v>
      </c>
      <c r="F2392" s="31" t="s">
        <v>3637</v>
      </c>
      <c r="G2392" s="31" t="s">
        <v>69</v>
      </c>
      <c r="I2392" s="47" t="b">
        <v>0</v>
      </c>
      <c r="J2392" s="47" t="b">
        <v>0</v>
      </c>
      <c r="K2392" s="31">
        <f>8*20*2.2</f>
        <v>352</v>
      </c>
      <c r="S2392" s="33">
        <v>1</v>
      </c>
      <c r="Z2392" s="31" t="s">
        <v>3724</v>
      </c>
      <c r="AE2392" s="47" t="s">
        <v>2470</v>
      </c>
      <c r="AF2392" s="31">
        <v>45</v>
      </c>
      <c r="AK2392" s="32">
        <v>8</v>
      </c>
      <c r="AQ2392" s="32" t="s">
        <v>3780</v>
      </c>
      <c r="AR2392" s="32" t="s">
        <v>3781</v>
      </c>
      <c r="AU2392">
        <v>2391</v>
      </c>
    </row>
    <row r="2393" spans="1:47" x14ac:dyDescent="0.2">
      <c r="A2393" s="26">
        <v>6544</v>
      </c>
      <c r="B2393" s="27" t="s">
        <v>45</v>
      </c>
      <c r="C2393" s="28"/>
      <c r="D2393" s="29"/>
      <c r="E2393" s="30" t="s">
        <v>1531</v>
      </c>
      <c r="H2393" s="32">
        <v>0</v>
      </c>
      <c r="I2393" s="32" t="s">
        <v>1532</v>
      </c>
      <c r="AG2393" s="32">
        <v>0</v>
      </c>
      <c r="AH2393" s="32">
        <v>0</v>
      </c>
      <c r="AI2393" s="32">
        <v>0</v>
      </c>
      <c r="AK2393" s="32">
        <v>0</v>
      </c>
      <c r="AM2393" s="32">
        <f>498*23</f>
        <v>11454</v>
      </c>
      <c r="AO2393" s="32" t="s">
        <v>1533</v>
      </c>
      <c r="AQ2393" s="32" t="s">
        <v>1101</v>
      </c>
      <c r="AU2393">
        <v>2392</v>
      </c>
    </row>
    <row r="2394" spans="1:47" x14ac:dyDescent="0.2">
      <c r="A2394" s="26">
        <v>6544</v>
      </c>
      <c r="B2394" s="27" t="s">
        <v>45</v>
      </c>
      <c r="C2394" s="28"/>
      <c r="D2394" s="29"/>
      <c r="E2394" s="150" t="s">
        <v>2286</v>
      </c>
      <c r="H2394" s="32">
        <v>0</v>
      </c>
      <c r="I2394" s="32" t="s">
        <v>1824</v>
      </c>
      <c r="AG2394" s="32">
        <v>0</v>
      </c>
      <c r="AH2394" s="32">
        <v>0</v>
      </c>
      <c r="AI2394" s="32">
        <v>0</v>
      </c>
      <c r="AK2394" s="32">
        <v>0</v>
      </c>
      <c r="AM2394" s="32">
        <v>2500</v>
      </c>
      <c r="AO2394" s="73" t="s">
        <v>75</v>
      </c>
      <c r="AQ2394" s="32" t="s">
        <v>589</v>
      </c>
      <c r="AU2394">
        <v>2393</v>
      </c>
    </row>
    <row r="2395" spans="1:47" x14ac:dyDescent="0.2">
      <c r="A2395" s="13">
        <v>6545</v>
      </c>
      <c r="B2395" s="57" t="s">
        <v>85</v>
      </c>
      <c r="C2395" s="57" t="s">
        <v>1234</v>
      </c>
      <c r="D2395" s="29"/>
      <c r="E2395" s="57" t="s">
        <v>3726</v>
      </c>
      <c r="F2395" s="31" t="s">
        <v>3727</v>
      </c>
      <c r="G2395" s="31" t="s">
        <v>69</v>
      </c>
      <c r="I2395" s="31" t="s">
        <v>3784</v>
      </c>
      <c r="K2395" s="63"/>
      <c r="Z2395" s="47" t="s">
        <v>1809</v>
      </c>
      <c r="AE2395" s="47" t="s">
        <v>1653</v>
      </c>
      <c r="AQ2395" s="32" t="s">
        <v>3785</v>
      </c>
      <c r="AU2395">
        <v>2394</v>
      </c>
    </row>
    <row r="2396" spans="1:47" x14ac:dyDescent="0.2">
      <c r="A2396" s="44">
        <v>6545</v>
      </c>
      <c r="B2396" s="42"/>
      <c r="C2396" s="43" t="s">
        <v>86</v>
      </c>
      <c r="D2396" s="29"/>
      <c r="E2396" s="121" t="s">
        <v>3786</v>
      </c>
      <c r="H2396" s="32"/>
      <c r="I2396" s="32" t="s">
        <v>3787</v>
      </c>
      <c r="K2396" s="31">
        <f>613*2.2</f>
        <v>1348.6000000000001</v>
      </c>
      <c r="AO2396" s="73"/>
      <c r="AU2396">
        <v>2395</v>
      </c>
    </row>
    <row r="2397" spans="1:47" x14ac:dyDescent="0.2">
      <c r="A2397" s="26">
        <v>6545</v>
      </c>
      <c r="B2397" s="27">
        <v>0.75694444444444453</v>
      </c>
      <c r="C2397" s="28"/>
      <c r="D2397" s="29"/>
      <c r="E2397" s="30" t="s">
        <v>869</v>
      </c>
      <c r="H2397" s="32">
        <v>0</v>
      </c>
      <c r="I2397" s="32" t="s">
        <v>2344</v>
      </c>
      <c r="AG2397" s="32">
        <v>0</v>
      </c>
      <c r="AH2397" s="32">
        <v>0</v>
      </c>
      <c r="AI2397" s="32">
        <v>0</v>
      </c>
      <c r="AK2397" s="32">
        <v>0</v>
      </c>
      <c r="AL2397" s="32">
        <v>0.66700000000000004</v>
      </c>
      <c r="AP2397" s="32">
        <v>0.66700000000000004</v>
      </c>
      <c r="AQ2397" s="32" t="s">
        <v>589</v>
      </c>
      <c r="AU2397">
        <v>2396</v>
      </c>
    </row>
    <row r="2398" spans="1:47" x14ac:dyDescent="0.2">
      <c r="A2398" s="13">
        <v>6548</v>
      </c>
      <c r="B2398" s="57" t="s">
        <v>45</v>
      </c>
      <c r="C2398" s="57" t="s">
        <v>105</v>
      </c>
      <c r="D2398" s="29"/>
      <c r="E2398" s="57" t="s">
        <v>3788</v>
      </c>
      <c r="F2398" s="31" t="s">
        <v>204</v>
      </c>
      <c r="G2398" s="31" t="s">
        <v>205</v>
      </c>
      <c r="K2398" s="31">
        <v>193.6</v>
      </c>
      <c r="AK2398" s="32">
        <v>8</v>
      </c>
      <c r="AQ2398" s="32" t="s">
        <v>3785</v>
      </c>
      <c r="AU2398">
        <v>2397</v>
      </c>
    </row>
    <row r="2399" spans="1:47" x14ac:dyDescent="0.2">
      <c r="A2399" s="13">
        <v>6548</v>
      </c>
      <c r="B2399" s="57" t="s">
        <v>45</v>
      </c>
      <c r="C2399" s="57" t="s">
        <v>332</v>
      </c>
      <c r="D2399" s="29"/>
      <c r="E2399" s="57" t="s">
        <v>3789</v>
      </c>
      <c r="F2399" s="31" t="s">
        <v>76</v>
      </c>
      <c r="G2399" s="31" t="s">
        <v>49</v>
      </c>
      <c r="K2399" s="31">
        <v>220</v>
      </c>
      <c r="AK2399" s="32">
        <v>2</v>
      </c>
      <c r="AQ2399" s="32" t="s">
        <v>3790</v>
      </c>
      <c r="AU2399">
        <v>2398</v>
      </c>
    </row>
    <row r="2400" spans="1:47" x14ac:dyDescent="0.2">
      <c r="A2400" s="13">
        <v>6548</v>
      </c>
      <c r="B2400" s="57" t="s">
        <v>45</v>
      </c>
      <c r="C2400" s="57" t="s">
        <v>332</v>
      </c>
      <c r="D2400" s="29"/>
      <c r="E2400" s="57" t="s">
        <v>3791</v>
      </c>
      <c r="F2400" s="31" t="s">
        <v>76</v>
      </c>
      <c r="G2400" s="31" t="s">
        <v>49</v>
      </c>
      <c r="K2400" s="31">
        <v>220</v>
      </c>
      <c r="AK2400" s="32">
        <v>10</v>
      </c>
      <c r="AQ2400" s="32" t="s">
        <v>3790</v>
      </c>
      <c r="AU2400">
        <v>2399</v>
      </c>
    </row>
    <row r="2401" spans="1:47" x14ac:dyDescent="0.2">
      <c r="A2401" s="13">
        <v>6548</v>
      </c>
      <c r="B2401" s="57" t="s">
        <v>45</v>
      </c>
      <c r="C2401" s="57" t="s">
        <v>1367</v>
      </c>
      <c r="D2401" s="29"/>
      <c r="E2401" s="57" t="s">
        <v>3606</v>
      </c>
      <c r="F2401" s="31" t="s">
        <v>76</v>
      </c>
      <c r="G2401" s="31" t="s">
        <v>49</v>
      </c>
      <c r="I2401" s="31" t="s">
        <v>3602</v>
      </c>
      <c r="K2401" s="31">
        <v>495</v>
      </c>
      <c r="AE2401" s="47" t="s">
        <v>342</v>
      </c>
      <c r="AF2401" s="31">
        <v>45</v>
      </c>
      <c r="AK2401" s="32">
        <v>6</v>
      </c>
      <c r="AQ2401" s="32" t="s">
        <v>3785</v>
      </c>
      <c r="AU2401">
        <v>2400</v>
      </c>
    </row>
    <row r="2402" spans="1:47" x14ac:dyDescent="0.2">
      <c r="A2402" s="13">
        <v>6548</v>
      </c>
      <c r="B2402" s="57" t="s">
        <v>45</v>
      </c>
      <c r="C2402" s="57" t="s">
        <v>105</v>
      </c>
      <c r="D2402" s="29"/>
      <c r="E2402" s="57" t="s">
        <v>1347</v>
      </c>
      <c r="F2402" s="31" t="s">
        <v>76</v>
      </c>
      <c r="G2402" s="31" t="s">
        <v>49</v>
      </c>
      <c r="K2402" s="31">
        <v>752.4</v>
      </c>
      <c r="AK2402" s="32">
        <v>26</v>
      </c>
      <c r="AQ2402" s="32" t="s">
        <v>3785</v>
      </c>
      <c r="AU2402">
        <v>2401</v>
      </c>
    </row>
    <row r="2403" spans="1:47" x14ac:dyDescent="0.2">
      <c r="A2403" s="13">
        <v>6548</v>
      </c>
      <c r="B2403" s="57" t="s">
        <v>45</v>
      </c>
      <c r="C2403" s="57" t="s">
        <v>332</v>
      </c>
      <c r="D2403" s="29"/>
      <c r="E2403" s="57" t="s">
        <v>3792</v>
      </c>
      <c r="F2403" s="31" t="s">
        <v>76</v>
      </c>
      <c r="G2403" s="31" t="s">
        <v>49</v>
      </c>
      <c r="K2403" s="31">
        <v>880</v>
      </c>
      <c r="AK2403" s="32">
        <v>24</v>
      </c>
      <c r="AQ2403" s="32" t="s">
        <v>3790</v>
      </c>
      <c r="AU2403">
        <v>2402</v>
      </c>
    </row>
    <row r="2404" spans="1:47" x14ac:dyDescent="0.2">
      <c r="A2404" s="13">
        <v>6548</v>
      </c>
      <c r="B2404" s="57" t="s">
        <v>45</v>
      </c>
      <c r="C2404" s="57" t="s">
        <v>332</v>
      </c>
      <c r="D2404" s="29"/>
      <c r="E2404" s="57" t="s">
        <v>3597</v>
      </c>
      <c r="F2404" s="31" t="s">
        <v>76</v>
      </c>
      <c r="G2404" s="31" t="s">
        <v>49</v>
      </c>
      <c r="K2404" s="31">
        <v>1320</v>
      </c>
      <c r="AK2404" s="32">
        <v>36</v>
      </c>
      <c r="AQ2404" s="32" t="s">
        <v>3790</v>
      </c>
      <c r="AU2404">
        <v>2403</v>
      </c>
    </row>
    <row r="2405" spans="1:47" x14ac:dyDescent="0.2">
      <c r="A2405" s="13">
        <v>6548</v>
      </c>
      <c r="B2405" s="57" t="s">
        <v>45</v>
      </c>
      <c r="C2405" s="57" t="s">
        <v>332</v>
      </c>
      <c r="D2405" s="29"/>
      <c r="E2405" s="57" t="s">
        <v>3793</v>
      </c>
      <c r="F2405" s="31" t="s">
        <v>76</v>
      </c>
      <c r="G2405" s="31" t="s">
        <v>49</v>
      </c>
      <c r="K2405" s="31">
        <v>1386</v>
      </c>
      <c r="AK2405" s="32">
        <v>32</v>
      </c>
      <c r="AQ2405" s="32" t="s">
        <v>3790</v>
      </c>
      <c r="AU2405">
        <v>2404</v>
      </c>
    </row>
    <row r="2406" spans="1:47" x14ac:dyDescent="0.2">
      <c r="A2406" s="13">
        <v>6548</v>
      </c>
      <c r="B2406" s="57" t="s">
        <v>45</v>
      </c>
      <c r="C2406" s="38" t="s">
        <v>3610</v>
      </c>
      <c r="D2406" s="29"/>
      <c r="E2406" s="57" t="s">
        <v>1764</v>
      </c>
      <c r="F2406" s="31" t="s">
        <v>76</v>
      </c>
      <c r="G2406" s="31" t="s">
        <v>49</v>
      </c>
      <c r="I2406" s="31" t="s">
        <v>3794</v>
      </c>
      <c r="K2406" s="31">
        <f>(30*10+6*50)*2.2</f>
        <v>1320</v>
      </c>
      <c r="L2406" s="33">
        <v>3</v>
      </c>
      <c r="N2406" s="31">
        <v>1</v>
      </c>
      <c r="S2406" s="33">
        <v>2</v>
      </c>
      <c r="T2406" s="31">
        <v>0</v>
      </c>
      <c r="U2406" s="31">
        <v>0</v>
      </c>
      <c r="V2406" s="31">
        <v>0</v>
      </c>
      <c r="W2406" s="47">
        <f>((2800+2400)/2)*39.37/12</f>
        <v>8530.1666666666661</v>
      </c>
      <c r="Y2406" s="31" t="s">
        <v>51</v>
      </c>
      <c r="Z2406" s="47" t="s">
        <v>1846</v>
      </c>
      <c r="AD2406" s="35">
        <v>2.33</v>
      </c>
      <c r="AE2406" s="47" t="s">
        <v>342</v>
      </c>
      <c r="AF2406" s="31">
        <v>70</v>
      </c>
      <c r="AK2406" s="32">
        <f>30+6</f>
        <v>36</v>
      </c>
      <c r="AQ2406" s="32" t="s">
        <v>3795</v>
      </c>
      <c r="AU2406">
        <v>2405</v>
      </c>
    </row>
    <row r="2407" spans="1:47" x14ac:dyDescent="0.2">
      <c r="A2407" s="26">
        <v>6548</v>
      </c>
      <c r="B2407" s="27">
        <v>0.77083333333333337</v>
      </c>
      <c r="C2407" s="125"/>
      <c r="D2407" s="29"/>
      <c r="E2407" s="30" t="s">
        <v>464</v>
      </c>
      <c r="H2407" s="32">
        <v>0</v>
      </c>
      <c r="I2407" s="32" t="s">
        <v>3590</v>
      </c>
      <c r="AG2407" s="32">
        <v>0</v>
      </c>
      <c r="AH2407" s="32">
        <v>0</v>
      </c>
      <c r="AL2407" s="32">
        <v>1</v>
      </c>
      <c r="AO2407" s="32" t="s">
        <v>1898</v>
      </c>
      <c r="AP2407" s="32">
        <v>1</v>
      </c>
      <c r="AQ2407" s="32" t="s">
        <v>1522</v>
      </c>
      <c r="AU2407">
        <v>2406</v>
      </c>
    </row>
    <row r="2408" spans="1:47" x14ac:dyDescent="0.2">
      <c r="A2408" s="26">
        <v>6548</v>
      </c>
      <c r="B2408" s="27">
        <v>0.9375</v>
      </c>
      <c r="C2408" s="28"/>
      <c r="D2408" s="29"/>
      <c r="E2408" s="30" t="s">
        <v>2087</v>
      </c>
      <c r="H2408" s="32">
        <v>0</v>
      </c>
      <c r="I2408" s="32"/>
      <c r="AG2408" s="32">
        <v>0</v>
      </c>
      <c r="AH2408" s="32">
        <v>0</v>
      </c>
      <c r="AI2408" s="32">
        <v>0</v>
      </c>
      <c r="AK2408" s="32">
        <v>0</v>
      </c>
      <c r="AL2408" s="32">
        <v>0</v>
      </c>
      <c r="AP2408" s="32">
        <v>0.25</v>
      </c>
      <c r="AQ2408" s="32" t="s">
        <v>1101</v>
      </c>
      <c r="AU2408">
        <v>2407</v>
      </c>
    </row>
    <row r="2409" spans="1:47" x14ac:dyDescent="0.2">
      <c r="A2409" s="26">
        <v>6548</v>
      </c>
      <c r="B2409" s="27" t="s">
        <v>45</v>
      </c>
      <c r="C2409" s="28"/>
      <c r="D2409" s="29"/>
      <c r="E2409" s="150" t="s">
        <v>2286</v>
      </c>
      <c r="H2409" s="32">
        <v>0</v>
      </c>
      <c r="I2409" s="32" t="s">
        <v>1824</v>
      </c>
      <c r="AG2409" s="32">
        <v>0</v>
      </c>
      <c r="AH2409" s="32">
        <v>0</v>
      </c>
      <c r="AI2409" s="32">
        <v>0</v>
      </c>
      <c r="AK2409" s="32">
        <v>0</v>
      </c>
      <c r="AM2409" s="32">
        <v>7500</v>
      </c>
      <c r="AO2409" s="73" t="s">
        <v>75</v>
      </c>
      <c r="AQ2409" s="32" t="s">
        <v>589</v>
      </c>
      <c r="AU2409">
        <v>2408</v>
      </c>
    </row>
    <row r="2410" spans="1:47" x14ac:dyDescent="0.2">
      <c r="A2410" s="133">
        <v>6549</v>
      </c>
      <c r="B2410" s="39" t="s">
        <v>85</v>
      </c>
      <c r="C2410" s="39">
        <v>55</v>
      </c>
      <c r="D2410" s="29" t="b">
        <v>0</v>
      </c>
      <c r="E2410" s="39" t="s">
        <v>3796</v>
      </c>
      <c r="F2410" s="47" t="s">
        <v>3797</v>
      </c>
      <c r="G2410" s="47" t="s">
        <v>49</v>
      </c>
      <c r="H2410"/>
      <c r="I2410" s="47" t="b">
        <v>1</v>
      </c>
      <c r="J2410" s="47" t="b">
        <v>1</v>
      </c>
      <c r="K2410" s="47">
        <v>2440</v>
      </c>
      <c r="L2410" s="48">
        <v>12</v>
      </c>
      <c r="M2410" s="47">
        <v>0</v>
      </c>
      <c r="N2410" s="47">
        <v>1</v>
      </c>
      <c r="O2410" s="47">
        <v>0</v>
      </c>
      <c r="P2410" s="47">
        <v>11</v>
      </c>
      <c r="Q2410" s="47">
        <v>0</v>
      </c>
      <c r="R2410" s="47">
        <v>0</v>
      </c>
      <c r="S2410" s="48">
        <v>11</v>
      </c>
      <c r="T2410" s="47">
        <v>0</v>
      </c>
      <c r="U2410" s="47">
        <v>0</v>
      </c>
      <c r="V2410" s="47">
        <v>0</v>
      </c>
      <c r="W2410" s="47">
        <v>12818</v>
      </c>
      <c r="X2410" s="47">
        <v>372</v>
      </c>
      <c r="Y2410" s="47"/>
      <c r="Z2410" s="47" t="s">
        <v>3618</v>
      </c>
      <c r="AA2410" s="49"/>
      <c r="AB2410" s="49"/>
      <c r="AC2410" s="49"/>
      <c r="AD2410" s="50"/>
      <c r="AE2410" s="47" t="s">
        <v>3798</v>
      </c>
      <c r="AF2410" s="47">
        <v>120</v>
      </c>
      <c r="AG2410"/>
      <c r="AH2410"/>
      <c r="AI2410"/>
      <c r="AJ2410"/>
      <c r="AK2410"/>
      <c r="AL2410"/>
      <c r="AM2410"/>
      <c r="AN2410"/>
      <c r="AO2410"/>
      <c r="AP2410"/>
      <c r="AQ2410" t="s">
        <v>2526</v>
      </c>
      <c r="AU2410">
        <v>2409</v>
      </c>
    </row>
    <row r="2411" spans="1:47" x14ac:dyDescent="0.2">
      <c r="A2411" s="133">
        <v>6549</v>
      </c>
      <c r="B2411" s="39" t="s">
        <v>85</v>
      </c>
      <c r="C2411" s="39">
        <v>55</v>
      </c>
      <c r="D2411" s="29" t="b">
        <v>0</v>
      </c>
      <c r="E2411" s="39" t="s">
        <v>3799</v>
      </c>
      <c r="F2411" s="47" t="s">
        <v>3800</v>
      </c>
      <c r="G2411" s="47" t="s">
        <v>481</v>
      </c>
      <c r="H2411"/>
      <c r="I2411" s="47" t="b">
        <v>0</v>
      </c>
      <c r="J2411" s="47" t="b">
        <v>0</v>
      </c>
      <c r="K2411" s="47">
        <v>1096</v>
      </c>
      <c r="L2411" s="48">
        <v>12</v>
      </c>
      <c r="M2411" s="47">
        <v>0</v>
      </c>
      <c r="N2411" s="47">
        <v>1</v>
      </c>
      <c r="O2411" s="47">
        <v>0</v>
      </c>
      <c r="P2411" s="47">
        <v>11</v>
      </c>
      <c r="Q2411" s="47">
        <v>0</v>
      </c>
      <c r="R2411" s="47">
        <v>0</v>
      </c>
      <c r="S2411" s="48">
        <v>5</v>
      </c>
      <c r="T2411" s="47">
        <v>0</v>
      </c>
      <c r="U2411" s="47">
        <v>0</v>
      </c>
      <c r="V2411" s="47">
        <v>0</v>
      </c>
      <c r="W2411" s="47">
        <v>12000</v>
      </c>
      <c r="X2411" s="47">
        <v>373</v>
      </c>
      <c r="Y2411" s="47"/>
      <c r="Z2411" s="47" t="s">
        <v>3618</v>
      </c>
      <c r="AA2411" s="49"/>
      <c r="AB2411" s="49"/>
      <c r="AC2411" s="49">
        <v>0.60069444444444442</v>
      </c>
      <c r="AD2411" s="50"/>
      <c r="AE2411" s="47" t="s">
        <v>3798</v>
      </c>
      <c r="AF2411" s="47">
        <v>105</v>
      </c>
      <c r="AG2411"/>
      <c r="AH2411"/>
      <c r="AI2411"/>
      <c r="AJ2411"/>
      <c r="AK2411"/>
      <c r="AL2411"/>
      <c r="AM2411"/>
      <c r="AN2411"/>
      <c r="AO2411"/>
      <c r="AP2411"/>
      <c r="AQ2411" t="s">
        <v>2526</v>
      </c>
      <c r="AU2411">
        <v>2410</v>
      </c>
    </row>
    <row r="2412" spans="1:47" x14ac:dyDescent="0.2">
      <c r="A2412" s="133">
        <v>6549</v>
      </c>
      <c r="B2412" s="39" t="s">
        <v>85</v>
      </c>
      <c r="C2412" s="39">
        <v>55</v>
      </c>
      <c r="D2412" s="29" t="b">
        <v>0</v>
      </c>
      <c r="E2412" s="39" t="s">
        <v>869</v>
      </c>
      <c r="F2412" s="47" t="s">
        <v>3801</v>
      </c>
      <c r="G2412" s="47" t="s">
        <v>49</v>
      </c>
      <c r="H2412"/>
      <c r="I2412" s="47" t="b">
        <v>0</v>
      </c>
      <c r="J2412" s="47" t="b">
        <v>0</v>
      </c>
      <c r="K2412" s="47">
        <v>1344</v>
      </c>
      <c r="L2412" s="48">
        <v>12</v>
      </c>
      <c r="M2412" s="47">
        <v>0</v>
      </c>
      <c r="N2412" s="47">
        <v>1</v>
      </c>
      <c r="O2412" s="47">
        <v>0</v>
      </c>
      <c r="P2412" s="47">
        <v>11</v>
      </c>
      <c r="Q2412" s="47">
        <v>0</v>
      </c>
      <c r="R2412" s="47">
        <v>0</v>
      </c>
      <c r="S2412" s="48">
        <v>6</v>
      </c>
      <c r="T2412" s="47">
        <v>0</v>
      </c>
      <c r="U2412" s="47">
        <v>0</v>
      </c>
      <c r="V2412" s="47">
        <v>0</v>
      </c>
      <c r="W2412" s="47">
        <v>13500</v>
      </c>
      <c r="X2412" s="47">
        <v>374</v>
      </c>
      <c r="Y2412" s="47"/>
      <c r="Z2412" s="47" t="s">
        <v>3618</v>
      </c>
      <c r="AA2412" s="49"/>
      <c r="AB2412" s="49"/>
      <c r="AC2412" s="49"/>
      <c r="AD2412" s="50"/>
      <c r="AE2412" s="47" t="s">
        <v>3798</v>
      </c>
      <c r="AF2412" s="47">
        <v>120</v>
      </c>
      <c r="AG2412"/>
      <c r="AH2412"/>
      <c r="AI2412"/>
      <c r="AJ2412"/>
      <c r="AK2412"/>
      <c r="AL2412"/>
      <c r="AM2412"/>
      <c r="AN2412"/>
      <c r="AO2412"/>
      <c r="AP2412"/>
      <c r="AQ2412" t="s">
        <v>2526</v>
      </c>
      <c r="AU2412">
        <v>2411</v>
      </c>
    </row>
    <row r="2413" spans="1:47" x14ac:dyDescent="0.2">
      <c r="A2413" s="37">
        <v>6549</v>
      </c>
      <c r="B2413" s="38" t="s">
        <v>85</v>
      </c>
      <c r="C2413" s="39" t="s">
        <v>1234</v>
      </c>
      <c r="D2413" s="29"/>
      <c r="E2413" s="38" t="s">
        <v>3802</v>
      </c>
      <c r="F2413" s="32" t="s">
        <v>2343</v>
      </c>
      <c r="G2413" s="47" t="s">
        <v>69</v>
      </c>
      <c r="H2413"/>
      <c r="I2413" s="18" t="s">
        <v>3803</v>
      </c>
      <c r="J2413" s="47"/>
      <c r="K2413" s="47"/>
      <c r="L2413" s="48"/>
      <c r="M2413" s="47"/>
      <c r="N2413" s="47"/>
      <c r="O2413" s="47"/>
      <c r="P2413" s="47"/>
      <c r="Q2413" s="47"/>
      <c r="R2413" s="47"/>
      <c r="S2413" s="48"/>
      <c r="T2413" s="47"/>
      <c r="U2413" s="47"/>
      <c r="V2413" s="47"/>
      <c r="W2413" s="47"/>
      <c r="X2413" s="47"/>
      <c r="Y2413" s="47"/>
      <c r="Z2413" s="47" t="s">
        <v>1809</v>
      </c>
      <c r="AA2413" s="49"/>
      <c r="AB2413" s="49"/>
      <c r="AC2413" s="49"/>
      <c r="AD2413" s="50"/>
      <c r="AE2413" s="47" t="s">
        <v>1653</v>
      </c>
      <c r="AF2413" s="47">
        <v>70</v>
      </c>
      <c r="AG2413"/>
      <c r="AH2413"/>
      <c r="AI2413"/>
      <c r="AJ2413"/>
      <c r="AK2413"/>
      <c r="AL2413"/>
      <c r="AM2413"/>
      <c r="AN2413"/>
      <c r="AO2413"/>
      <c r="AP2413"/>
      <c r="AQ2413" t="s">
        <v>3717</v>
      </c>
      <c r="AU2413">
        <v>2412</v>
      </c>
    </row>
    <row r="2414" spans="1:47" x14ac:dyDescent="0.2">
      <c r="A2414" s="37">
        <v>6549</v>
      </c>
      <c r="B2414" s="38" t="s">
        <v>85</v>
      </c>
      <c r="C2414" s="15" t="s">
        <v>3730</v>
      </c>
      <c r="D2414" s="29"/>
      <c r="E2414" s="103" t="s">
        <v>3804</v>
      </c>
      <c r="F2414" s="167" t="s">
        <v>2343</v>
      </c>
      <c r="G2414" s="17" t="s">
        <v>69</v>
      </c>
      <c r="H2414"/>
      <c r="I2414" s="18" t="s">
        <v>3805</v>
      </c>
      <c r="J2414" s="47"/>
      <c r="K2414" s="47">
        <f>72*2.2</f>
        <v>158.4</v>
      </c>
      <c r="L2414" s="48"/>
      <c r="M2414" s="47"/>
      <c r="N2414" s="47"/>
      <c r="O2414" s="47"/>
      <c r="P2414" s="47"/>
      <c r="Q2414" s="47"/>
      <c r="R2414" s="47"/>
      <c r="S2414" s="48">
        <v>1</v>
      </c>
      <c r="T2414" s="47">
        <v>0</v>
      </c>
      <c r="U2414" s="47"/>
      <c r="V2414" s="47"/>
      <c r="W2414" s="47"/>
      <c r="X2414" s="47"/>
      <c r="Y2414" s="47"/>
      <c r="Z2414" s="47" t="s">
        <v>1809</v>
      </c>
      <c r="AA2414" s="49"/>
      <c r="AB2414" s="49"/>
      <c r="AC2414" s="49"/>
      <c r="AD2414" s="50"/>
      <c r="AE2414" s="47" t="s">
        <v>1653</v>
      </c>
      <c r="AF2414" s="47">
        <v>70</v>
      </c>
      <c r="AG2414"/>
      <c r="AH2414"/>
      <c r="AI2414"/>
      <c r="AJ2414"/>
      <c r="AK2414"/>
      <c r="AL2414"/>
      <c r="AM2414"/>
      <c r="AN2414"/>
      <c r="AO2414"/>
      <c r="AP2414"/>
      <c r="AQ2414" s="18" t="s">
        <v>3732</v>
      </c>
      <c r="AU2414">
        <v>2413</v>
      </c>
    </row>
    <row r="2415" spans="1:47" x14ac:dyDescent="0.2">
      <c r="A2415" s="13">
        <v>6549</v>
      </c>
      <c r="B2415" s="57" t="s">
        <v>85</v>
      </c>
      <c r="C2415" s="57" t="s">
        <v>1234</v>
      </c>
      <c r="D2415" s="29"/>
      <c r="E2415" s="57" t="s">
        <v>3726</v>
      </c>
      <c r="F2415" s="31" t="s">
        <v>3727</v>
      </c>
      <c r="G2415" s="31" t="s">
        <v>69</v>
      </c>
      <c r="I2415" s="31" t="s">
        <v>3784</v>
      </c>
      <c r="K2415" s="63"/>
      <c r="Z2415" s="47" t="s">
        <v>1809</v>
      </c>
      <c r="AE2415" s="47" t="s">
        <v>1653</v>
      </c>
      <c r="AQ2415" s="32" t="s">
        <v>3785</v>
      </c>
      <c r="AU2415">
        <v>2414</v>
      </c>
    </row>
    <row r="2416" spans="1:47" x14ac:dyDescent="0.2">
      <c r="A2416" s="37">
        <v>6549</v>
      </c>
      <c r="B2416" s="38" t="s">
        <v>85</v>
      </c>
      <c r="C2416" s="39" t="s">
        <v>3806</v>
      </c>
      <c r="D2416" s="29"/>
      <c r="E2416" s="38" t="s">
        <v>3807</v>
      </c>
      <c r="F2416" s="32" t="s">
        <v>409</v>
      </c>
      <c r="G2416" s="47" t="s">
        <v>49</v>
      </c>
      <c r="H2416"/>
      <c r="I2416" s="32" t="s">
        <v>3808</v>
      </c>
      <c r="J2416" s="47"/>
      <c r="K2416" s="47">
        <f>1800*2.2</f>
        <v>3960.0000000000005</v>
      </c>
      <c r="L2416" s="48">
        <v>17</v>
      </c>
      <c r="M2416" s="47"/>
      <c r="N2416" s="47"/>
      <c r="O2416" s="47"/>
      <c r="P2416" s="47"/>
      <c r="Q2416" s="47"/>
      <c r="R2416" s="47"/>
      <c r="S2416" s="48">
        <v>12</v>
      </c>
      <c r="T2416" s="47">
        <v>0</v>
      </c>
      <c r="U2416" s="47">
        <v>0</v>
      </c>
      <c r="V2416" s="47">
        <v>0</v>
      </c>
      <c r="W2416" s="47"/>
      <c r="X2416" s="47"/>
      <c r="Y2416" s="47" t="s">
        <v>51</v>
      </c>
      <c r="Z2416" s="31" t="s">
        <v>3724</v>
      </c>
      <c r="AA2416" s="49"/>
      <c r="AB2416" s="49"/>
      <c r="AC2416" s="49"/>
      <c r="AD2416" s="50"/>
      <c r="AE2416" s="47"/>
      <c r="AF2416" s="47"/>
      <c r="AG2416"/>
      <c r="AH2416"/>
      <c r="AI2416"/>
      <c r="AJ2416"/>
      <c r="AK2416">
        <f>82+16</f>
        <v>98</v>
      </c>
      <c r="AL2416"/>
      <c r="AM2416"/>
      <c r="AN2416"/>
      <c r="AO2416"/>
      <c r="AP2416"/>
      <c r="AQ2416" s="32" t="s">
        <v>3809</v>
      </c>
      <c r="AU2416">
        <v>2415</v>
      </c>
    </row>
    <row r="2417" spans="1:47" x14ac:dyDescent="0.2">
      <c r="A2417" s="13">
        <v>6549</v>
      </c>
      <c r="B2417" s="57" t="s">
        <v>85</v>
      </c>
      <c r="C2417" s="57" t="s">
        <v>1077</v>
      </c>
      <c r="D2417" s="29"/>
      <c r="E2417" s="57" t="s">
        <v>466</v>
      </c>
      <c r="F2417" s="31" t="s">
        <v>3601</v>
      </c>
      <c r="G2417" s="31" t="s">
        <v>481</v>
      </c>
      <c r="I2417" s="31" t="s">
        <v>3602</v>
      </c>
      <c r="K2417" s="31">
        <v>290.39999999999998</v>
      </c>
      <c r="Z2417" s="31" t="s">
        <v>3724</v>
      </c>
      <c r="AK2417" s="32">
        <v>6</v>
      </c>
      <c r="AQ2417" s="32" t="s">
        <v>3785</v>
      </c>
      <c r="AU2417">
        <v>2416</v>
      </c>
    </row>
    <row r="2418" spans="1:47" x14ac:dyDescent="0.2">
      <c r="A2418" s="13">
        <v>6549</v>
      </c>
      <c r="B2418" s="57" t="s">
        <v>85</v>
      </c>
      <c r="C2418" s="57" t="s">
        <v>1077</v>
      </c>
      <c r="D2418" s="29"/>
      <c r="E2418" s="57" t="s">
        <v>472</v>
      </c>
      <c r="F2418" s="31" t="s">
        <v>3601</v>
      </c>
      <c r="G2418" s="31" t="s">
        <v>481</v>
      </c>
      <c r="I2418" s="31" t="s">
        <v>3602</v>
      </c>
      <c r="K2418" s="31">
        <v>290.39999999999998</v>
      </c>
      <c r="Z2418" s="31" t="s">
        <v>3724</v>
      </c>
      <c r="AK2418" s="32">
        <v>6</v>
      </c>
      <c r="AQ2418" s="32" t="s">
        <v>3785</v>
      </c>
      <c r="AU2418">
        <v>2417</v>
      </c>
    </row>
    <row r="2419" spans="1:47" x14ac:dyDescent="0.2">
      <c r="A2419" s="13">
        <v>6549</v>
      </c>
      <c r="B2419" s="57" t="s">
        <v>85</v>
      </c>
      <c r="C2419" s="57" t="s">
        <v>1077</v>
      </c>
      <c r="D2419" s="29"/>
      <c r="E2419" s="57" t="s">
        <v>405</v>
      </c>
      <c r="F2419" s="31" t="s">
        <v>76</v>
      </c>
      <c r="G2419" s="31" t="s">
        <v>49</v>
      </c>
      <c r="I2419" s="31" t="s">
        <v>3602</v>
      </c>
      <c r="K2419" s="31">
        <v>2904</v>
      </c>
      <c r="Z2419" s="31" t="s">
        <v>3724</v>
      </c>
      <c r="AK2419" s="32">
        <v>60</v>
      </c>
      <c r="AQ2419" s="32" t="s">
        <v>3785</v>
      </c>
      <c r="AU2419">
        <v>2418</v>
      </c>
    </row>
    <row r="2420" spans="1:47" x14ac:dyDescent="0.2">
      <c r="A2420" s="13">
        <v>6549</v>
      </c>
      <c r="B2420" s="57" t="s">
        <v>85</v>
      </c>
      <c r="C2420" s="57" t="s">
        <v>1077</v>
      </c>
      <c r="D2420" s="29"/>
      <c r="E2420" s="57" t="s">
        <v>2210</v>
      </c>
      <c r="F2420" s="31" t="s">
        <v>3601</v>
      </c>
      <c r="G2420" s="31" t="s">
        <v>481</v>
      </c>
      <c r="I2420" s="31" t="s">
        <v>3602</v>
      </c>
      <c r="K2420" s="31">
        <v>3242.8</v>
      </c>
      <c r="Z2420" s="31" t="s">
        <v>3724</v>
      </c>
      <c r="AK2420" s="32">
        <v>67</v>
      </c>
      <c r="AQ2420" s="32" t="s">
        <v>3785</v>
      </c>
      <c r="AU2420">
        <v>2419</v>
      </c>
    </row>
    <row r="2421" spans="1:47" x14ac:dyDescent="0.2">
      <c r="A2421" s="37">
        <v>6549</v>
      </c>
      <c r="B2421" s="38" t="s">
        <v>45</v>
      </c>
      <c r="C2421" s="39" t="s">
        <v>1234</v>
      </c>
      <c r="D2421" s="29"/>
      <c r="E2421" s="38" t="s">
        <v>3208</v>
      </c>
      <c r="F2421" s="32"/>
      <c r="G2421" s="47"/>
      <c r="H2421"/>
      <c r="I2421" s="32"/>
      <c r="J2421" s="47"/>
      <c r="K2421" s="47"/>
      <c r="L2421" s="48"/>
      <c r="M2421" s="47"/>
      <c r="N2421" s="47"/>
      <c r="O2421" s="47"/>
      <c r="P2421" s="47"/>
      <c r="Q2421" s="47"/>
      <c r="R2421" s="47"/>
      <c r="S2421" s="48"/>
      <c r="T2421" s="47"/>
      <c r="U2421" s="47"/>
      <c r="V2421" s="47"/>
      <c r="W2421" s="47"/>
      <c r="X2421" s="47"/>
      <c r="Y2421" s="47"/>
      <c r="Z2421" s="47" t="s">
        <v>1809</v>
      </c>
      <c r="AA2421" s="49"/>
      <c r="AB2421" s="49"/>
      <c r="AC2421" s="49"/>
      <c r="AD2421" s="50"/>
      <c r="AE2421" s="47" t="s">
        <v>1653</v>
      </c>
      <c r="AF2421" s="47">
        <v>110</v>
      </c>
      <c r="AG2421"/>
      <c r="AH2421"/>
      <c r="AI2421"/>
      <c r="AJ2421"/>
      <c r="AK2421"/>
      <c r="AL2421"/>
      <c r="AM2421"/>
      <c r="AN2421"/>
      <c r="AO2421"/>
      <c r="AP2421"/>
      <c r="AQ2421" t="s">
        <v>3717</v>
      </c>
      <c r="AU2421">
        <v>2420</v>
      </c>
    </row>
    <row r="2422" spans="1:47" x14ac:dyDescent="0.2">
      <c r="A2422" s="13">
        <v>6549</v>
      </c>
      <c r="B2422" s="57" t="s">
        <v>45</v>
      </c>
      <c r="C2422" s="57" t="s">
        <v>332</v>
      </c>
      <c r="D2422" s="29"/>
      <c r="E2422" s="57" t="s">
        <v>3793</v>
      </c>
      <c r="F2422" s="31" t="s">
        <v>76</v>
      </c>
      <c r="G2422" s="31" t="s">
        <v>49</v>
      </c>
      <c r="K2422" s="31">
        <v>88</v>
      </c>
      <c r="AK2422" s="32">
        <v>4</v>
      </c>
      <c r="AQ2422" s="32" t="s">
        <v>3790</v>
      </c>
      <c r="AU2422">
        <v>2421</v>
      </c>
    </row>
    <row r="2423" spans="1:47" x14ac:dyDescent="0.2">
      <c r="A2423" s="13">
        <v>6549</v>
      </c>
      <c r="B2423" s="57" t="s">
        <v>45</v>
      </c>
      <c r="C2423" s="57" t="s">
        <v>105</v>
      </c>
      <c r="D2423" s="29"/>
      <c r="E2423" s="57" t="s">
        <v>3810</v>
      </c>
      <c r="F2423" s="31" t="s">
        <v>83</v>
      </c>
      <c r="G2423" s="31" t="s">
        <v>69</v>
      </c>
      <c r="K2423" s="31">
        <v>242</v>
      </c>
      <c r="AK2423" s="32">
        <v>10</v>
      </c>
      <c r="AQ2423" s="32" t="s">
        <v>3785</v>
      </c>
      <c r="AU2423">
        <v>2422</v>
      </c>
    </row>
    <row r="2424" spans="1:47" x14ac:dyDescent="0.2">
      <c r="A2424" s="13">
        <v>6549</v>
      </c>
      <c r="B2424" s="57" t="s">
        <v>45</v>
      </c>
      <c r="C2424" s="57" t="s">
        <v>3811</v>
      </c>
      <c r="D2424" s="29"/>
      <c r="E2424" s="57" t="s">
        <v>3812</v>
      </c>
      <c r="F2424" s="31" t="s">
        <v>3601</v>
      </c>
      <c r="G2424" s="31" t="s">
        <v>481</v>
      </c>
      <c r="I2424" s="31" t="s">
        <v>3813</v>
      </c>
      <c r="K2424" s="31">
        <v>338.8</v>
      </c>
      <c r="Z2424" s="31" t="s">
        <v>3814</v>
      </c>
      <c r="AK2424" s="32">
        <v>7</v>
      </c>
      <c r="AQ2424" s="32" t="s">
        <v>3785</v>
      </c>
      <c r="AU2424">
        <v>2423</v>
      </c>
    </row>
    <row r="2425" spans="1:47" x14ac:dyDescent="0.2">
      <c r="A2425" s="13">
        <v>6549</v>
      </c>
      <c r="B2425" s="57" t="s">
        <v>45</v>
      </c>
      <c r="C2425" s="57" t="s">
        <v>332</v>
      </c>
      <c r="D2425" s="29"/>
      <c r="E2425" s="57" t="s">
        <v>3815</v>
      </c>
      <c r="F2425" s="31" t="s">
        <v>76</v>
      </c>
      <c r="G2425" s="31" t="s">
        <v>49</v>
      </c>
      <c r="K2425" s="31">
        <v>440</v>
      </c>
      <c r="AK2425" s="32">
        <v>12</v>
      </c>
      <c r="AQ2425" s="32" t="s">
        <v>3790</v>
      </c>
      <c r="AU2425">
        <v>2424</v>
      </c>
    </row>
    <row r="2426" spans="1:47" x14ac:dyDescent="0.2">
      <c r="A2426" s="13">
        <v>6549</v>
      </c>
      <c r="B2426" s="57" t="s">
        <v>45</v>
      </c>
      <c r="C2426" s="57" t="s">
        <v>332</v>
      </c>
      <c r="D2426" s="29"/>
      <c r="E2426" s="57" t="s">
        <v>3791</v>
      </c>
      <c r="F2426" s="31" t="s">
        <v>76</v>
      </c>
      <c r="G2426" s="31" t="s">
        <v>49</v>
      </c>
      <c r="K2426" s="31">
        <v>440</v>
      </c>
      <c r="AK2426" s="32">
        <v>12</v>
      </c>
      <c r="AQ2426" s="32" t="s">
        <v>3790</v>
      </c>
      <c r="AU2426">
        <v>2425</v>
      </c>
    </row>
    <row r="2427" spans="1:47" x14ac:dyDescent="0.2">
      <c r="A2427" s="13">
        <v>6549</v>
      </c>
      <c r="B2427" s="57" t="s">
        <v>45</v>
      </c>
      <c r="C2427" s="57" t="s">
        <v>332</v>
      </c>
      <c r="D2427" s="29"/>
      <c r="E2427" s="57" t="s">
        <v>3816</v>
      </c>
      <c r="F2427" s="31" t="s">
        <v>2882</v>
      </c>
      <c r="G2427" s="31" t="s">
        <v>481</v>
      </c>
      <c r="K2427" s="31">
        <v>440</v>
      </c>
      <c r="AK2427" s="32">
        <v>12</v>
      </c>
      <c r="AQ2427" s="32" t="s">
        <v>3790</v>
      </c>
      <c r="AU2427">
        <v>2426</v>
      </c>
    </row>
    <row r="2428" spans="1:47" x14ac:dyDescent="0.2">
      <c r="A2428" s="13">
        <v>6549</v>
      </c>
      <c r="B2428" s="57" t="s">
        <v>45</v>
      </c>
      <c r="C2428" s="57" t="s">
        <v>332</v>
      </c>
      <c r="D2428" s="29"/>
      <c r="E2428" s="57" t="s">
        <v>3817</v>
      </c>
      <c r="F2428" s="31" t="s">
        <v>204</v>
      </c>
      <c r="G2428" s="31" t="s">
        <v>205</v>
      </c>
      <c r="K2428" s="31">
        <v>440</v>
      </c>
      <c r="AK2428" s="32">
        <v>12</v>
      </c>
      <c r="AQ2428" s="32" t="s">
        <v>3790</v>
      </c>
      <c r="AU2428">
        <v>2427</v>
      </c>
    </row>
    <row r="2429" spans="1:47" x14ac:dyDescent="0.2">
      <c r="A2429" s="13">
        <v>6549</v>
      </c>
      <c r="B2429" s="57" t="s">
        <v>45</v>
      </c>
      <c r="C2429" s="38" t="s">
        <v>3610</v>
      </c>
      <c r="D2429" s="29"/>
      <c r="E2429" s="57" t="s">
        <v>1764</v>
      </c>
      <c r="F2429" s="31" t="s">
        <v>76</v>
      </c>
      <c r="G2429" s="31" t="s">
        <v>49</v>
      </c>
      <c r="I2429" s="31" t="s">
        <v>3818</v>
      </c>
      <c r="K2429" s="31">
        <f>30*10*2.2</f>
        <v>660</v>
      </c>
      <c r="L2429" s="33">
        <v>2</v>
      </c>
      <c r="N2429" s="31">
        <v>1</v>
      </c>
      <c r="S2429" s="33">
        <v>1</v>
      </c>
      <c r="T2429" s="31">
        <v>0</v>
      </c>
      <c r="U2429" s="31">
        <v>0</v>
      </c>
      <c r="V2429" s="31">
        <v>0</v>
      </c>
      <c r="W2429" s="47">
        <f>2800*39.37/12</f>
        <v>9186.3333333333339</v>
      </c>
      <c r="Y2429" s="31" t="s">
        <v>51</v>
      </c>
      <c r="Z2429" s="47" t="s">
        <v>1846</v>
      </c>
      <c r="AD2429" s="35">
        <v>2.25</v>
      </c>
      <c r="AE2429" s="47" t="s">
        <v>342</v>
      </c>
      <c r="AF2429" s="31">
        <v>70</v>
      </c>
      <c r="AK2429" s="32">
        <v>30</v>
      </c>
      <c r="AQ2429" s="32" t="s">
        <v>3819</v>
      </c>
      <c r="AU2429">
        <v>2428</v>
      </c>
    </row>
    <row r="2430" spans="1:47" x14ac:dyDescent="0.2">
      <c r="A2430" s="13">
        <v>6549</v>
      </c>
      <c r="B2430" s="57" t="s">
        <v>45</v>
      </c>
      <c r="C2430" s="57" t="s">
        <v>332</v>
      </c>
      <c r="D2430" s="29"/>
      <c r="E2430" s="57" t="s">
        <v>3792</v>
      </c>
      <c r="F2430" s="31" t="s">
        <v>76</v>
      </c>
      <c r="G2430" s="31" t="s">
        <v>49</v>
      </c>
      <c r="K2430" s="31">
        <v>880</v>
      </c>
      <c r="AK2430" s="32">
        <v>24</v>
      </c>
      <c r="AQ2430" s="32" t="s">
        <v>3790</v>
      </c>
      <c r="AU2430">
        <v>2429</v>
      </c>
    </row>
    <row r="2431" spans="1:47" x14ac:dyDescent="0.2">
      <c r="A2431" s="13">
        <v>6549</v>
      </c>
      <c r="B2431" s="57" t="s">
        <v>45</v>
      </c>
      <c r="C2431" s="57" t="s">
        <v>105</v>
      </c>
      <c r="D2431" s="29"/>
      <c r="E2431" s="57" t="s">
        <v>788</v>
      </c>
      <c r="F2431" s="31" t="s">
        <v>76</v>
      </c>
      <c r="G2431" s="31" t="s">
        <v>49</v>
      </c>
      <c r="I2431" s="31" t="s">
        <v>3602</v>
      </c>
      <c r="K2431" s="31">
        <v>1064.8</v>
      </c>
      <c r="AK2431" s="32">
        <v>36</v>
      </c>
      <c r="AQ2431" s="32" t="s">
        <v>3785</v>
      </c>
      <c r="AU2431">
        <v>2430</v>
      </c>
    </row>
    <row r="2432" spans="1:47" x14ac:dyDescent="0.2">
      <c r="A2432" s="13">
        <v>6549</v>
      </c>
      <c r="B2432" s="57" t="s">
        <v>45</v>
      </c>
      <c r="C2432" s="57" t="s">
        <v>332</v>
      </c>
      <c r="D2432" s="29"/>
      <c r="E2432" s="57" t="s">
        <v>3820</v>
      </c>
      <c r="F2432" s="31" t="s">
        <v>76</v>
      </c>
      <c r="G2432" s="31" t="s">
        <v>49</v>
      </c>
      <c r="K2432" s="31">
        <v>1210</v>
      </c>
      <c r="AK2432" s="32">
        <v>36</v>
      </c>
      <c r="AQ2432" s="32" t="s">
        <v>3790</v>
      </c>
      <c r="AU2432">
        <v>2431</v>
      </c>
    </row>
    <row r="2433" spans="1:47" x14ac:dyDescent="0.2">
      <c r="A2433" s="13">
        <v>6549</v>
      </c>
      <c r="B2433" s="57" t="s">
        <v>45</v>
      </c>
      <c r="C2433" s="57" t="s">
        <v>332</v>
      </c>
      <c r="D2433" s="29"/>
      <c r="E2433" s="57" t="s">
        <v>3597</v>
      </c>
      <c r="F2433" s="31" t="s">
        <v>76</v>
      </c>
      <c r="G2433" s="31" t="s">
        <v>49</v>
      </c>
      <c r="K2433" s="31">
        <v>1320</v>
      </c>
      <c r="AK2433" s="32">
        <v>36</v>
      </c>
      <c r="AQ2433" s="32" t="s">
        <v>3790</v>
      </c>
      <c r="AU2433">
        <v>2432</v>
      </c>
    </row>
    <row r="2434" spans="1:47" x14ac:dyDescent="0.2">
      <c r="A2434" s="13">
        <v>6549</v>
      </c>
      <c r="B2434" s="57" t="s">
        <v>45</v>
      </c>
      <c r="C2434" s="57" t="s">
        <v>1367</v>
      </c>
      <c r="D2434" s="29"/>
      <c r="E2434" s="57" t="s">
        <v>3679</v>
      </c>
      <c r="F2434" s="31" t="s">
        <v>76</v>
      </c>
      <c r="G2434" s="31" t="s">
        <v>49</v>
      </c>
      <c r="I2434" s="31" t="s">
        <v>3602</v>
      </c>
      <c r="K2434" s="31">
        <v>1650</v>
      </c>
      <c r="AE2434" s="47" t="s">
        <v>342</v>
      </c>
      <c r="AF2434" s="31">
        <v>90</v>
      </c>
      <c r="AK2434" s="32">
        <v>15</v>
      </c>
      <c r="AQ2434" s="32" t="s">
        <v>3785</v>
      </c>
      <c r="AU2434">
        <v>2433</v>
      </c>
    </row>
    <row r="2435" spans="1:47" x14ac:dyDescent="0.2">
      <c r="A2435" s="26">
        <v>6549</v>
      </c>
      <c r="B2435" s="27">
        <v>2.0833333333333332E-2</v>
      </c>
      <c r="C2435" s="28"/>
      <c r="D2435" s="29"/>
      <c r="E2435" s="30" t="s">
        <v>464</v>
      </c>
      <c r="H2435" s="32">
        <v>1</v>
      </c>
      <c r="I2435" s="32" t="s">
        <v>3821</v>
      </c>
      <c r="AG2435" s="32">
        <v>0</v>
      </c>
      <c r="AH2435" s="32">
        <v>0</v>
      </c>
      <c r="AK2435" s="32">
        <v>3</v>
      </c>
      <c r="AL2435" s="32">
        <f>5/6</f>
        <v>0.83333333333333337</v>
      </c>
      <c r="AO2435" s="32" t="s">
        <v>3085</v>
      </c>
      <c r="AP2435" s="32">
        <f>5/6</f>
        <v>0.83333333333333337</v>
      </c>
      <c r="AQ2435" s="32" t="s">
        <v>1522</v>
      </c>
      <c r="AU2435">
        <v>2434</v>
      </c>
    </row>
    <row r="2436" spans="1:47" x14ac:dyDescent="0.2">
      <c r="A2436" s="26">
        <v>6549</v>
      </c>
      <c r="B2436" s="27">
        <v>2.0833333333333332E-2</v>
      </c>
      <c r="C2436" s="28"/>
      <c r="D2436" s="29"/>
      <c r="E2436" s="30" t="s">
        <v>1282</v>
      </c>
      <c r="H2436" s="32">
        <v>1</v>
      </c>
      <c r="I2436" s="32" t="s">
        <v>3822</v>
      </c>
      <c r="AP2436" s="32">
        <f>20/60</f>
        <v>0.33333333333333331</v>
      </c>
      <c r="AQ2436" s="32" t="s">
        <v>1101</v>
      </c>
      <c r="AU2436">
        <v>2435</v>
      </c>
    </row>
    <row r="2437" spans="1:47" x14ac:dyDescent="0.2">
      <c r="A2437" s="26">
        <v>6549</v>
      </c>
      <c r="B2437" s="27">
        <v>0.58680555555555558</v>
      </c>
      <c r="C2437" s="28"/>
      <c r="D2437" s="29"/>
      <c r="E2437" s="30" t="s">
        <v>869</v>
      </c>
      <c r="H2437" s="32">
        <v>1</v>
      </c>
      <c r="I2437" s="32" t="s">
        <v>3823</v>
      </c>
      <c r="AG2437" s="32">
        <v>0</v>
      </c>
      <c r="AH2437" s="32">
        <v>2</v>
      </c>
      <c r="AI2437" s="32">
        <v>13743</v>
      </c>
      <c r="AK2437" s="32">
        <v>9</v>
      </c>
      <c r="AP2437" s="32">
        <f>38/60</f>
        <v>0.6333333333333333</v>
      </c>
      <c r="AQ2437" s="32" t="s">
        <v>871</v>
      </c>
      <c r="AU2437">
        <v>2436</v>
      </c>
    </row>
    <row r="2438" spans="1:47" x14ac:dyDescent="0.2">
      <c r="A2438" s="26">
        <v>6549</v>
      </c>
      <c r="B2438" s="27">
        <v>0.60069444444444442</v>
      </c>
      <c r="C2438" s="28"/>
      <c r="D2438" s="29"/>
      <c r="E2438" s="30" t="s">
        <v>858</v>
      </c>
      <c r="H2438" s="32">
        <v>1</v>
      </c>
      <c r="I2438" s="32" t="s">
        <v>3824</v>
      </c>
      <c r="AG2438" s="32">
        <v>6</v>
      </c>
      <c r="AH2438" s="32">
        <v>9</v>
      </c>
      <c r="AI2438" s="32">
        <v>153000</v>
      </c>
      <c r="AK2438" s="32">
        <v>11</v>
      </c>
      <c r="AQ2438" s="32" t="s">
        <v>3825</v>
      </c>
      <c r="AU2438">
        <v>2437</v>
      </c>
    </row>
    <row r="2439" spans="1:47" x14ac:dyDescent="0.2">
      <c r="A2439" s="26">
        <v>6549</v>
      </c>
      <c r="B2439" s="27">
        <v>0.80555555555555547</v>
      </c>
      <c r="C2439" s="28"/>
      <c r="D2439" s="29"/>
      <c r="E2439" s="30" t="s">
        <v>464</v>
      </c>
      <c r="F2439" s="144"/>
      <c r="H2439" s="32">
        <v>0</v>
      </c>
      <c r="I2439" s="32" t="s">
        <v>3826</v>
      </c>
      <c r="AG2439" s="32">
        <v>0</v>
      </c>
      <c r="AH2439" s="32">
        <v>0</v>
      </c>
      <c r="AL2439" s="32">
        <v>0.66700000000000004</v>
      </c>
      <c r="AO2439" s="32" t="s">
        <v>3085</v>
      </c>
      <c r="AP2439" s="32">
        <v>0.66700000000000004</v>
      </c>
      <c r="AQ2439" s="32" t="s">
        <v>3563</v>
      </c>
      <c r="AU2439">
        <v>2438</v>
      </c>
    </row>
    <row r="2440" spans="1:47" x14ac:dyDescent="0.2">
      <c r="A2440" s="26">
        <v>6549</v>
      </c>
      <c r="B2440" s="27">
        <v>0.80902777777777779</v>
      </c>
      <c r="C2440" s="28"/>
      <c r="D2440" s="29"/>
      <c r="E2440" s="30" t="s">
        <v>1282</v>
      </c>
      <c r="H2440" s="32">
        <v>1</v>
      </c>
      <c r="I2440" s="32" t="s">
        <v>3827</v>
      </c>
      <c r="AG2440" s="32">
        <v>0</v>
      </c>
      <c r="AH2440" s="32">
        <v>0</v>
      </c>
      <c r="AL2440" s="32">
        <f>3.75+1+25/60</f>
        <v>5.166666666666667</v>
      </c>
      <c r="AP2440" s="32">
        <f>3+55/60</f>
        <v>3.9166666666666665</v>
      </c>
      <c r="AQ2440" s="32" t="s">
        <v>1101</v>
      </c>
      <c r="AU2440">
        <v>2439</v>
      </c>
    </row>
    <row r="2441" spans="1:47" x14ac:dyDescent="0.2">
      <c r="A2441" s="26">
        <v>6549</v>
      </c>
      <c r="B2441" s="27" t="s">
        <v>85</v>
      </c>
      <c r="C2441" s="28"/>
      <c r="D2441" s="29"/>
      <c r="E2441" s="30" t="s">
        <v>586</v>
      </c>
      <c r="H2441" s="32">
        <v>1</v>
      </c>
      <c r="I2441" s="32" t="s">
        <v>3050</v>
      </c>
      <c r="AI2441" s="32">
        <v>30</v>
      </c>
      <c r="AO2441" s="46" t="s">
        <v>588</v>
      </c>
      <c r="AQ2441" s="32" t="s">
        <v>589</v>
      </c>
      <c r="AU2441">
        <v>2440</v>
      </c>
    </row>
    <row r="2442" spans="1:47" x14ac:dyDescent="0.2">
      <c r="A2442" s="26">
        <v>6549</v>
      </c>
      <c r="B2442" s="27" t="s">
        <v>45</v>
      </c>
      <c r="C2442" s="28"/>
      <c r="D2442" s="29"/>
      <c r="E2442" s="150" t="s">
        <v>2286</v>
      </c>
      <c r="H2442" s="32">
        <v>0</v>
      </c>
      <c r="I2442" s="32" t="s">
        <v>1824</v>
      </c>
      <c r="AG2442" s="32">
        <v>0</v>
      </c>
      <c r="AH2442" s="32">
        <v>0</v>
      </c>
      <c r="AI2442" s="32">
        <v>0</v>
      </c>
      <c r="AK2442" s="32">
        <v>0</v>
      </c>
      <c r="AM2442" s="32">
        <v>7500</v>
      </c>
      <c r="AO2442" s="73" t="s">
        <v>75</v>
      </c>
      <c r="AQ2442" s="32" t="s">
        <v>589</v>
      </c>
      <c r="AU2442">
        <v>2441</v>
      </c>
    </row>
    <row r="2443" spans="1:47" x14ac:dyDescent="0.2">
      <c r="A2443" s="26">
        <v>6549</v>
      </c>
      <c r="B2443" s="27"/>
      <c r="C2443" s="28"/>
      <c r="D2443" s="29"/>
      <c r="E2443" s="102" t="s">
        <v>1421</v>
      </c>
      <c r="H2443" s="32">
        <v>1</v>
      </c>
      <c r="I2443" s="32" t="s">
        <v>3828</v>
      </c>
      <c r="AK2443" s="32">
        <v>20</v>
      </c>
      <c r="AO2443" s="73"/>
      <c r="AQ2443" s="32" t="s">
        <v>589</v>
      </c>
      <c r="AU2443">
        <v>2442</v>
      </c>
    </row>
    <row r="2444" spans="1:47" x14ac:dyDescent="0.2">
      <c r="A2444" s="133">
        <v>6550</v>
      </c>
      <c r="B2444" s="39" t="s">
        <v>85</v>
      </c>
      <c r="C2444" s="39">
        <v>55</v>
      </c>
      <c r="D2444" s="29" t="b">
        <v>0</v>
      </c>
      <c r="E2444" s="39" t="s">
        <v>858</v>
      </c>
      <c r="F2444" s="47" t="s">
        <v>3665</v>
      </c>
      <c r="G2444" s="47" t="s">
        <v>481</v>
      </c>
      <c r="H2444"/>
      <c r="I2444" s="47" t="b">
        <v>0</v>
      </c>
      <c r="J2444" s="47" t="b">
        <v>1</v>
      </c>
      <c r="K2444" s="47">
        <v>2406</v>
      </c>
      <c r="L2444" s="48">
        <v>12</v>
      </c>
      <c r="M2444" s="47">
        <v>0</v>
      </c>
      <c r="N2444" s="47">
        <v>1</v>
      </c>
      <c r="O2444" s="47">
        <v>0</v>
      </c>
      <c r="P2444" s="47">
        <v>0</v>
      </c>
      <c r="Q2444" s="47">
        <v>0</v>
      </c>
      <c r="R2444" s="47">
        <v>0</v>
      </c>
      <c r="S2444" s="48">
        <v>11</v>
      </c>
      <c r="T2444" s="47">
        <v>0</v>
      </c>
      <c r="U2444" s="47">
        <v>0</v>
      </c>
      <c r="V2444" s="47">
        <v>0</v>
      </c>
      <c r="W2444" s="47">
        <v>13000</v>
      </c>
      <c r="X2444" s="47">
        <v>375</v>
      </c>
      <c r="Y2444" s="47"/>
      <c r="Z2444" s="47" t="s">
        <v>3618</v>
      </c>
      <c r="AA2444" s="49"/>
      <c r="AB2444" s="49"/>
      <c r="AC2444" s="49"/>
      <c r="AD2444" s="50"/>
      <c r="AE2444" s="47" t="s">
        <v>3798</v>
      </c>
      <c r="AF2444" s="47">
        <v>105</v>
      </c>
      <c r="AG2444"/>
      <c r="AH2444"/>
      <c r="AI2444"/>
      <c r="AJ2444"/>
      <c r="AK2444"/>
      <c r="AL2444"/>
      <c r="AM2444"/>
      <c r="AN2444"/>
      <c r="AO2444"/>
      <c r="AP2444"/>
      <c r="AQ2444" t="s">
        <v>2526</v>
      </c>
      <c r="AU2444">
        <v>2443</v>
      </c>
    </row>
    <row r="2445" spans="1:47" x14ac:dyDescent="0.2">
      <c r="A2445" s="151">
        <v>6550</v>
      </c>
      <c r="B2445" s="61" t="s">
        <v>85</v>
      </c>
      <c r="C2445" s="61">
        <v>55</v>
      </c>
      <c r="D2445" s="62"/>
      <c r="E2445" s="61" t="s">
        <v>3829</v>
      </c>
      <c r="F2445" s="66" t="s">
        <v>1969</v>
      </c>
      <c r="G2445" s="66" t="s">
        <v>205</v>
      </c>
      <c r="H2445" s="67"/>
      <c r="I2445" s="66" t="s">
        <v>3830</v>
      </c>
      <c r="J2445" s="47"/>
      <c r="K2445" s="47">
        <v>0</v>
      </c>
      <c r="L2445" s="48">
        <v>1</v>
      </c>
      <c r="M2445" s="47"/>
      <c r="N2445" s="47"/>
      <c r="O2445" s="47"/>
      <c r="P2445" s="47"/>
      <c r="Q2445" s="47"/>
      <c r="R2445" s="47"/>
      <c r="S2445" s="48">
        <v>0</v>
      </c>
      <c r="T2445" s="47"/>
      <c r="U2445" s="47"/>
      <c r="V2445" s="47"/>
      <c r="W2445" s="47"/>
      <c r="X2445" s="47"/>
      <c r="Y2445" s="47"/>
      <c r="Z2445" s="47" t="s">
        <v>3618</v>
      </c>
      <c r="AA2445" s="49"/>
      <c r="AB2445" s="49"/>
      <c r="AC2445" s="49"/>
      <c r="AD2445" s="50"/>
      <c r="AE2445" s="47" t="s">
        <v>3798</v>
      </c>
      <c r="AF2445" s="47"/>
      <c r="AG2445"/>
      <c r="AH2445"/>
      <c r="AI2445"/>
      <c r="AJ2445"/>
      <c r="AK2445"/>
      <c r="AL2445"/>
      <c r="AM2445"/>
      <c r="AN2445"/>
      <c r="AO2445"/>
      <c r="AP2445"/>
      <c r="AQ2445" t="s">
        <v>2526</v>
      </c>
      <c r="AU2445">
        <v>2444</v>
      </c>
    </row>
    <row r="2446" spans="1:47" x14ac:dyDescent="0.2">
      <c r="A2446" s="37">
        <v>6550</v>
      </c>
      <c r="B2446" s="38" t="s">
        <v>85</v>
      </c>
      <c r="C2446" s="39" t="s">
        <v>3831</v>
      </c>
      <c r="D2446" s="29"/>
      <c r="E2446" s="38" t="s">
        <v>2345</v>
      </c>
      <c r="F2446" s="32" t="s">
        <v>2343</v>
      </c>
      <c r="G2446" s="47" t="s">
        <v>69</v>
      </c>
      <c r="H2446"/>
      <c r="I2446" s="32"/>
      <c r="J2446" s="47"/>
      <c r="K2446" s="47">
        <f>640*2.2</f>
        <v>1408</v>
      </c>
      <c r="L2446" s="48"/>
      <c r="M2446" s="47"/>
      <c r="N2446" s="47"/>
      <c r="O2446" s="47"/>
      <c r="P2446" s="47"/>
      <c r="Q2446" s="47"/>
      <c r="R2446" s="47"/>
      <c r="S2446" s="48">
        <v>21</v>
      </c>
      <c r="T2446" s="47"/>
      <c r="U2446" s="47"/>
      <c r="V2446" s="47"/>
      <c r="W2446" s="47"/>
      <c r="X2446" s="47"/>
      <c r="Y2446" s="47"/>
      <c r="Z2446" s="31" t="s">
        <v>1809</v>
      </c>
      <c r="AE2446" s="47" t="s">
        <v>1810</v>
      </c>
      <c r="AF2446" s="47">
        <v>80</v>
      </c>
      <c r="AG2446"/>
      <c r="AH2446"/>
      <c r="AI2446"/>
      <c r="AJ2446"/>
      <c r="AK2446"/>
      <c r="AL2446"/>
      <c r="AM2446"/>
      <c r="AN2446"/>
      <c r="AO2446"/>
      <c r="AP2446"/>
      <c r="AQ2446" t="s">
        <v>3717</v>
      </c>
      <c r="AU2446">
        <v>2445</v>
      </c>
    </row>
    <row r="2447" spans="1:47" x14ac:dyDescent="0.2">
      <c r="A2447" s="37">
        <v>6550</v>
      </c>
      <c r="B2447" s="38" t="s">
        <v>85</v>
      </c>
      <c r="C2447" s="39" t="s">
        <v>1234</v>
      </c>
      <c r="D2447" s="29"/>
      <c r="E2447" s="38" t="s">
        <v>3714</v>
      </c>
      <c r="F2447" s="32" t="s">
        <v>2343</v>
      </c>
      <c r="G2447" s="31" t="s">
        <v>69</v>
      </c>
      <c r="I2447" s="31" t="s">
        <v>3832</v>
      </c>
      <c r="K2447" s="31">
        <f>90*2.2</f>
        <v>198.00000000000003</v>
      </c>
      <c r="S2447" s="33">
        <v>6</v>
      </c>
      <c r="Z2447" s="47" t="s">
        <v>1809</v>
      </c>
      <c r="AE2447" s="47" t="s">
        <v>1653</v>
      </c>
      <c r="AF2447" s="31">
        <v>70</v>
      </c>
      <c r="AQ2447" t="s">
        <v>3717</v>
      </c>
      <c r="AU2447">
        <v>2446</v>
      </c>
    </row>
    <row r="2448" spans="1:47" x14ac:dyDescent="0.2">
      <c r="A2448" s="13">
        <v>6550</v>
      </c>
      <c r="B2448" s="57" t="s">
        <v>85</v>
      </c>
      <c r="C2448" s="57" t="s">
        <v>1234</v>
      </c>
      <c r="D2448" s="29"/>
      <c r="E2448" s="57" t="s">
        <v>3726</v>
      </c>
      <c r="F2448" s="31" t="s">
        <v>3727</v>
      </c>
      <c r="G2448" s="31" t="s">
        <v>69</v>
      </c>
      <c r="I2448" s="31" t="s">
        <v>3833</v>
      </c>
      <c r="K2448" s="63"/>
      <c r="Z2448" s="47" t="s">
        <v>1809</v>
      </c>
      <c r="AE2448" s="47" t="s">
        <v>1653</v>
      </c>
      <c r="AQ2448" s="32" t="s">
        <v>3785</v>
      </c>
      <c r="AU2448">
        <v>2447</v>
      </c>
    </row>
    <row r="2449" spans="1:47" x14ac:dyDescent="0.2">
      <c r="A2449" s="13">
        <v>6550</v>
      </c>
      <c r="B2449" s="57" t="s">
        <v>85</v>
      </c>
      <c r="C2449" s="57" t="s">
        <v>1077</v>
      </c>
      <c r="D2449" s="29"/>
      <c r="E2449" s="57" t="s">
        <v>2210</v>
      </c>
      <c r="F2449" s="31" t="s">
        <v>3601</v>
      </c>
      <c r="G2449" s="31" t="s">
        <v>481</v>
      </c>
      <c r="I2449" s="31" t="s">
        <v>3602</v>
      </c>
      <c r="K2449" s="31">
        <v>7066.4</v>
      </c>
      <c r="Z2449" s="31" t="s">
        <v>3724</v>
      </c>
      <c r="AK2449" s="32">
        <v>146</v>
      </c>
      <c r="AQ2449" s="32" t="s">
        <v>3785</v>
      </c>
      <c r="AU2449">
        <v>2448</v>
      </c>
    </row>
    <row r="2450" spans="1:47" x14ac:dyDescent="0.2">
      <c r="A2450" s="37">
        <v>6550</v>
      </c>
      <c r="B2450" s="38"/>
      <c r="C2450" s="43" t="s">
        <v>86</v>
      </c>
      <c r="D2450" s="29"/>
      <c r="E2450" s="121" t="s">
        <v>869</v>
      </c>
      <c r="H2450" s="32"/>
      <c r="I2450" s="32" t="s">
        <v>3787</v>
      </c>
      <c r="J2450" s="47"/>
      <c r="K2450" s="47">
        <f>600*2.2</f>
        <v>1320</v>
      </c>
      <c r="L2450" s="48"/>
      <c r="M2450" s="47"/>
      <c r="N2450" s="47"/>
      <c r="O2450" s="47"/>
      <c r="P2450" s="47"/>
      <c r="Q2450" s="47"/>
      <c r="R2450" s="47"/>
      <c r="S2450" s="48"/>
      <c r="T2450" s="47"/>
      <c r="U2450" s="47"/>
      <c r="V2450" s="47"/>
      <c r="W2450" s="47"/>
      <c r="X2450" s="47"/>
      <c r="Y2450" s="47"/>
      <c r="Z2450" s="47"/>
      <c r="AA2450" s="49"/>
      <c r="AB2450" s="49"/>
      <c r="AC2450" s="49"/>
      <c r="AD2450" s="50"/>
      <c r="AE2450" s="47"/>
      <c r="AF2450" s="47"/>
      <c r="AG2450"/>
      <c r="AH2450"/>
      <c r="AI2450"/>
      <c r="AJ2450"/>
      <c r="AK2450"/>
      <c r="AL2450"/>
      <c r="AM2450"/>
      <c r="AN2450"/>
      <c r="AO2450"/>
      <c r="AP2450"/>
      <c r="AQ2450"/>
      <c r="AU2450">
        <v>2449</v>
      </c>
    </row>
    <row r="2451" spans="1:47" x14ac:dyDescent="0.2">
      <c r="A2451" s="26">
        <v>6550</v>
      </c>
      <c r="B2451" s="27">
        <v>6.25E-2</v>
      </c>
      <c r="C2451" s="28"/>
      <c r="D2451" s="29"/>
      <c r="E2451" s="30" t="s">
        <v>464</v>
      </c>
      <c r="H2451" s="32">
        <v>0</v>
      </c>
      <c r="I2451" s="32" t="s">
        <v>3834</v>
      </c>
      <c r="AG2451" s="32">
        <v>0</v>
      </c>
      <c r="AH2451" s="32">
        <v>0</v>
      </c>
      <c r="AL2451" s="32">
        <f>100/60</f>
        <v>1.6666666666666667</v>
      </c>
      <c r="AO2451" s="32" t="s">
        <v>1898</v>
      </c>
      <c r="AP2451" s="32">
        <f>100/60</f>
        <v>1.6666666666666667</v>
      </c>
      <c r="AQ2451" s="32" t="s">
        <v>1522</v>
      </c>
      <c r="AU2451">
        <v>2450</v>
      </c>
    </row>
    <row r="2452" spans="1:47" x14ac:dyDescent="0.2">
      <c r="A2452" s="26">
        <v>6550</v>
      </c>
      <c r="B2452" s="27">
        <v>0.55208333333333337</v>
      </c>
      <c r="C2452" s="28"/>
      <c r="D2452" s="29"/>
      <c r="E2452" s="30" t="s">
        <v>464</v>
      </c>
      <c r="H2452" s="32">
        <v>1</v>
      </c>
      <c r="I2452" s="32" t="s">
        <v>3835</v>
      </c>
      <c r="AG2452" s="32">
        <v>0</v>
      </c>
      <c r="AH2452" s="32">
        <v>0</v>
      </c>
      <c r="AK2452" s="32">
        <v>38</v>
      </c>
      <c r="AL2452" s="32">
        <v>30</v>
      </c>
      <c r="AO2452" s="32" t="s">
        <v>487</v>
      </c>
      <c r="AP2452" s="32">
        <v>0.66700000000000004</v>
      </c>
      <c r="AQ2452" s="32" t="s">
        <v>3463</v>
      </c>
      <c r="AU2452">
        <v>2451</v>
      </c>
    </row>
    <row r="2453" spans="1:47" x14ac:dyDescent="0.2">
      <c r="A2453" s="26">
        <v>6550</v>
      </c>
      <c r="B2453" s="27">
        <v>0.59375</v>
      </c>
      <c r="C2453" s="28"/>
      <c r="D2453" s="29"/>
      <c r="E2453" s="30" t="s">
        <v>869</v>
      </c>
      <c r="H2453" s="32">
        <v>0</v>
      </c>
      <c r="I2453" s="32" t="s">
        <v>2344</v>
      </c>
      <c r="AG2453" s="32">
        <v>0</v>
      </c>
      <c r="AH2453" s="32">
        <v>0</v>
      </c>
      <c r="AI2453" s="32">
        <v>0</v>
      </c>
      <c r="AK2453" s="32">
        <v>0</v>
      </c>
      <c r="AL2453" s="32">
        <f>35/60</f>
        <v>0.58333333333333337</v>
      </c>
      <c r="AP2453" s="32">
        <f>35/60</f>
        <v>0.58333333333333337</v>
      </c>
      <c r="AQ2453" s="32" t="s">
        <v>589</v>
      </c>
      <c r="AU2453">
        <v>2452</v>
      </c>
    </row>
    <row r="2454" spans="1:47" x14ac:dyDescent="0.2">
      <c r="A2454" s="26">
        <v>6550</v>
      </c>
      <c r="B2454" s="27">
        <v>0.83888888888888891</v>
      </c>
      <c r="C2454" s="28"/>
      <c r="D2454" s="29"/>
      <c r="E2454" s="30" t="s">
        <v>464</v>
      </c>
      <c r="H2454" s="32">
        <v>0</v>
      </c>
      <c r="I2454" s="32" t="s">
        <v>3590</v>
      </c>
      <c r="AG2454" s="32">
        <v>0</v>
      </c>
      <c r="AH2454" s="32">
        <v>0</v>
      </c>
      <c r="AL2454" s="32">
        <f>77/60</f>
        <v>1.2833333333333334</v>
      </c>
      <c r="AO2454" s="32" t="s">
        <v>1898</v>
      </c>
      <c r="AP2454" s="32">
        <f>77/60</f>
        <v>1.2833333333333334</v>
      </c>
      <c r="AQ2454" s="32" t="s">
        <v>1522</v>
      </c>
      <c r="AU2454">
        <v>2453</v>
      </c>
    </row>
    <row r="2455" spans="1:47" x14ac:dyDescent="0.2">
      <c r="A2455" s="26">
        <v>6550</v>
      </c>
      <c r="B2455" s="27" t="s">
        <v>85</v>
      </c>
      <c r="C2455" s="28"/>
      <c r="D2455" s="29"/>
      <c r="E2455" s="30" t="s">
        <v>858</v>
      </c>
      <c r="H2455" s="32">
        <v>1</v>
      </c>
      <c r="I2455" s="32" t="s">
        <v>3836</v>
      </c>
      <c r="AG2455" s="32">
        <v>1</v>
      </c>
      <c r="AH2455" s="32">
        <v>4</v>
      </c>
      <c r="AI2455" s="32">
        <v>25000</v>
      </c>
      <c r="AQ2455" s="32">
        <v>438</v>
      </c>
      <c r="AU2455">
        <v>2454</v>
      </c>
    </row>
    <row r="2456" spans="1:47" x14ac:dyDescent="0.2">
      <c r="A2456" s="26">
        <v>6550</v>
      </c>
      <c r="B2456" s="27"/>
      <c r="C2456" s="28"/>
      <c r="D2456" s="29"/>
      <c r="E2456" s="30" t="s">
        <v>3837</v>
      </c>
      <c r="H2456" s="32">
        <v>1</v>
      </c>
      <c r="I2456" s="32" t="s">
        <v>3838</v>
      </c>
      <c r="AG2456" s="32">
        <v>0</v>
      </c>
      <c r="AH2456" s="32">
        <v>0</v>
      </c>
      <c r="AK2456" s="32">
        <v>18</v>
      </c>
      <c r="AQ2456" s="32">
        <v>395</v>
      </c>
      <c r="AU2456">
        <v>2455</v>
      </c>
    </row>
    <row r="2457" spans="1:47" x14ac:dyDescent="0.2">
      <c r="A2457" s="13">
        <v>6551</v>
      </c>
      <c r="B2457" s="57" t="s">
        <v>85</v>
      </c>
      <c r="C2457" s="57" t="s">
        <v>1234</v>
      </c>
      <c r="D2457" s="29"/>
      <c r="E2457" s="57" t="s">
        <v>3726</v>
      </c>
      <c r="F2457" s="31" t="s">
        <v>3727</v>
      </c>
      <c r="G2457" s="31" t="s">
        <v>69</v>
      </c>
      <c r="I2457" s="31" t="s">
        <v>3784</v>
      </c>
      <c r="K2457" s="63"/>
      <c r="Z2457" s="47" t="s">
        <v>1809</v>
      </c>
      <c r="AE2457" s="47" t="s">
        <v>1653</v>
      </c>
      <c r="AQ2457" s="32" t="s">
        <v>3785</v>
      </c>
      <c r="AU2457">
        <v>2456</v>
      </c>
    </row>
    <row r="2458" spans="1:47" x14ac:dyDescent="0.2">
      <c r="A2458" s="37">
        <v>6553</v>
      </c>
      <c r="B2458" s="38" t="s">
        <v>85</v>
      </c>
      <c r="C2458" s="39" t="s">
        <v>1234</v>
      </c>
      <c r="D2458" s="29"/>
      <c r="E2458" s="38" t="s">
        <v>3691</v>
      </c>
      <c r="F2458" s="32" t="s">
        <v>529</v>
      </c>
      <c r="G2458" s="47" t="s">
        <v>205</v>
      </c>
      <c r="H2458"/>
      <c r="I2458" s="32" t="s">
        <v>3839</v>
      </c>
      <c r="J2458" s="47"/>
      <c r="K2458" s="47"/>
      <c r="L2458" s="48"/>
      <c r="M2458" s="47"/>
      <c r="N2458" s="47"/>
      <c r="O2458" s="47"/>
      <c r="P2458" s="47"/>
      <c r="Q2458" s="47"/>
      <c r="R2458" s="47"/>
      <c r="S2458" s="48"/>
      <c r="T2458" s="47"/>
      <c r="U2458" s="47"/>
      <c r="V2458" s="47"/>
      <c r="W2458" s="47"/>
      <c r="X2458" s="47"/>
      <c r="Y2458" s="47"/>
      <c r="Z2458" s="47" t="s">
        <v>1809</v>
      </c>
      <c r="AA2458" s="49"/>
      <c r="AB2458" s="49"/>
      <c r="AC2458" s="49"/>
      <c r="AD2458" s="50"/>
      <c r="AE2458" s="47" t="s">
        <v>1653</v>
      </c>
      <c r="AF2458" s="47">
        <v>95</v>
      </c>
      <c r="AG2458"/>
      <c r="AH2458"/>
      <c r="AI2458"/>
      <c r="AJ2458"/>
      <c r="AK2458"/>
      <c r="AL2458"/>
      <c r="AM2458"/>
      <c r="AN2458"/>
      <c r="AO2458"/>
      <c r="AP2458"/>
      <c r="AQ2458" t="s">
        <v>3840</v>
      </c>
      <c r="AU2458">
        <v>2457</v>
      </c>
    </row>
    <row r="2459" spans="1:47" x14ac:dyDescent="0.2">
      <c r="A2459" s="13">
        <v>6553</v>
      </c>
      <c r="B2459" s="57" t="s">
        <v>85</v>
      </c>
      <c r="C2459" s="57" t="s">
        <v>1234</v>
      </c>
      <c r="D2459" s="29"/>
      <c r="E2459" s="57" t="s">
        <v>3726</v>
      </c>
      <c r="F2459" s="31" t="s">
        <v>3727</v>
      </c>
      <c r="G2459" s="31" t="s">
        <v>69</v>
      </c>
      <c r="I2459" s="31" t="s">
        <v>3841</v>
      </c>
      <c r="K2459" s="63"/>
      <c r="Z2459" s="47" t="s">
        <v>1809</v>
      </c>
      <c r="AE2459" s="47" t="s">
        <v>1653</v>
      </c>
      <c r="AQ2459" s="32" t="s">
        <v>3785</v>
      </c>
      <c r="AU2459">
        <v>2458</v>
      </c>
    </row>
    <row r="2460" spans="1:47" x14ac:dyDescent="0.2">
      <c r="A2460" s="37">
        <v>6554</v>
      </c>
      <c r="B2460" s="38" t="s">
        <v>85</v>
      </c>
      <c r="C2460" s="39" t="s">
        <v>3762</v>
      </c>
      <c r="D2460" s="29"/>
      <c r="E2460" s="38" t="s">
        <v>3249</v>
      </c>
      <c r="F2460" s="32" t="s">
        <v>3842</v>
      </c>
      <c r="G2460" s="47" t="s">
        <v>73</v>
      </c>
      <c r="H2460"/>
      <c r="I2460" s="32" t="s">
        <v>3843</v>
      </c>
      <c r="J2460" s="47"/>
      <c r="K2460" s="47">
        <f>410*2.2</f>
        <v>902.00000000000011</v>
      </c>
      <c r="L2460" s="48"/>
      <c r="M2460" s="47"/>
      <c r="N2460" s="47"/>
      <c r="O2460" s="47"/>
      <c r="P2460" s="47"/>
      <c r="Q2460" s="47"/>
      <c r="R2460" s="47"/>
      <c r="S2460" s="48">
        <v>5</v>
      </c>
      <c r="T2460" s="47"/>
      <c r="U2460" s="47"/>
      <c r="V2460" s="47"/>
      <c r="W2460" s="47"/>
      <c r="X2460" s="47"/>
      <c r="Y2460" s="47"/>
      <c r="Z2460" s="47" t="s">
        <v>1809</v>
      </c>
      <c r="AA2460" s="49"/>
      <c r="AB2460" s="49"/>
      <c r="AC2460" s="49"/>
      <c r="AD2460" s="50"/>
      <c r="AE2460" s="47" t="s">
        <v>1653</v>
      </c>
      <c r="AF2460" s="31">
        <v>80</v>
      </c>
      <c r="AG2460"/>
      <c r="AH2460"/>
      <c r="AI2460"/>
      <c r="AJ2460"/>
      <c r="AK2460"/>
      <c r="AL2460"/>
      <c r="AM2460"/>
      <c r="AN2460"/>
      <c r="AO2460"/>
      <c r="AP2460"/>
      <c r="AQ2460" t="s">
        <v>3840</v>
      </c>
      <c r="AU2460">
        <v>2459</v>
      </c>
    </row>
    <row r="2461" spans="1:47" x14ac:dyDescent="0.2">
      <c r="A2461" s="13">
        <v>6554</v>
      </c>
      <c r="B2461" s="57" t="s">
        <v>85</v>
      </c>
      <c r="C2461" s="57" t="s">
        <v>1234</v>
      </c>
      <c r="D2461" s="29"/>
      <c r="E2461" s="57" t="s">
        <v>3726</v>
      </c>
      <c r="F2461" s="31" t="s">
        <v>3727</v>
      </c>
      <c r="G2461" s="31" t="s">
        <v>69</v>
      </c>
      <c r="I2461" s="31" t="s">
        <v>3844</v>
      </c>
      <c r="K2461" s="63"/>
      <c r="Z2461" s="47" t="s">
        <v>1809</v>
      </c>
      <c r="AE2461" s="47" t="s">
        <v>1653</v>
      </c>
      <c r="AQ2461" s="32" t="s">
        <v>3785</v>
      </c>
      <c r="AU2461">
        <v>2460</v>
      </c>
    </row>
    <row r="2462" spans="1:47" x14ac:dyDescent="0.2">
      <c r="A2462" s="13">
        <v>6554</v>
      </c>
      <c r="B2462" s="57" t="s">
        <v>85</v>
      </c>
      <c r="C2462" s="57" t="s">
        <v>3845</v>
      </c>
      <c r="D2462" s="29" t="s">
        <v>296</v>
      </c>
      <c r="E2462" s="57" t="s">
        <v>3846</v>
      </c>
      <c r="I2462" s="31" t="s">
        <v>3847</v>
      </c>
      <c r="K2462" s="63"/>
      <c r="L2462" s="33">
        <v>10</v>
      </c>
      <c r="M2462" s="31">
        <v>10</v>
      </c>
      <c r="Z2462" s="31" t="s">
        <v>3724</v>
      </c>
      <c r="AQ2462" s="32" t="s">
        <v>3848</v>
      </c>
      <c r="AU2462">
        <v>2461</v>
      </c>
    </row>
    <row r="2463" spans="1:47" x14ac:dyDescent="0.2">
      <c r="A2463" s="37">
        <v>6554</v>
      </c>
      <c r="B2463" s="38" t="s">
        <v>85</v>
      </c>
      <c r="C2463" s="39" t="s">
        <v>3849</v>
      </c>
      <c r="D2463" s="29"/>
      <c r="E2463" s="38" t="s">
        <v>3850</v>
      </c>
      <c r="F2463" s="31" t="s">
        <v>76</v>
      </c>
      <c r="G2463" s="47" t="s">
        <v>49</v>
      </c>
      <c r="H2463"/>
      <c r="I2463" s="32" t="s">
        <v>3851</v>
      </c>
      <c r="J2463" s="47"/>
      <c r="K2463" s="47">
        <f>2080*2.2</f>
        <v>4576</v>
      </c>
      <c r="L2463" s="48">
        <v>17</v>
      </c>
      <c r="M2463" s="47">
        <v>4</v>
      </c>
      <c r="N2463" s="47"/>
      <c r="O2463" s="47"/>
      <c r="P2463" s="47"/>
      <c r="Q2463" s="47"/>
      <c r="R2463" s="47"/>
      <c r="S2463" s="48">
        <v>13</v>
      </c>
      <c r="T2463" s="47">
        <v>0</v>
      </c>
      <c r="U2463" s="47">
        <v>0</v>
      </c>
      <c r="V2463" s="47">
        <v>0</v>
      </c>
      <c r="W2463" s="47"/>
      <c r="X2463" s="47"/>
      <c r="Y2463" s="47" t="s">
        <v>120</v>
      </c>
      <c r="Z2463" s="31" t="s">
        <v>3724</v>
      </c>
      <c r="AA2463" s="49"/>
      <c r="AB2463" s="49"/>
      <c r="AC2463" s="49"/>
      <c r="AD2463" s="50"/>
      <c r="AE2463" s="47"/>
      <c r="AF2463" s="47"/>
      <c r="AG2463"/>
      <c r="AH2463"/>
      <c r="AI2463"/>
      <c r="AJ2463"/>
      <c r="AK2463">
        <v>120</v>
      </c>
      <c r="AL2463"/>
      <c r="AM2463"/>
      <c r="AN2463"/>
      <c r="AO2463"/>
      <c r="AP2463"/>
      <c r="AQ2463" s="32" t="s">
        <v>3852</v>
      </c>
      <c r="AU2463">
        <v>2462</v>
      </c>
    </row>
    <row r="2464" spans="1:47" x14ac:dyDescent="0.2">
      <c r="A2464" s="37">
        <v>6554</v>
      </c>
      <c r="B2464" s="38" t="s">
        <v>45</v>
      </c>
      <c r="C2464" s="39" t="s">
        <v>142</v>
      </c>
      <c r="D2464" s="29"/>
      <c r="E2464" s="57" t="s">
        <v>3853</v>
      </c>
      <c r="F2464" s="32" t="s">
        <v>246</v>
      </c>
      <c r="G2464" s="47" t="s">
        <v>49</v>
      </c>
      <c r="H2464"/>
      <c r="I2464" s="32" t="s">
        <v>3854</v>
      </c>
      <c r="J2464" s="47"/>
      <c r="K2464" s="47">
        <f>2420*2.2</f>
        <v>5324</v>
      </c>
      <c r="L2464" s="48"/>
      <c r="M2464" s="47"/>
      <c r="N2464" s="47"/>
      <c r="O2464" s="47"/>
      <c r="P2464" s="47"/>
      <c r="Q2464" s="47"/>
      <c r="R2464" s="47"/>
      <c r="S2464" s="48">
        <v>10</v>
      </c>
      <c r="T2464" s="47">
        <v>0</v>
      </c>
      <c r="U2464" s="47">
        <v>0</v>
      </c>
      <c r="V2464" s="47">
        <v>0</v>
      </c>
      <c r="W2464" s="47"/>
      <c r="X2464" s="47"/>
      <c r="Y2464" s="47" t="s">
        <v>51</v>
      </c>
      <c r="Z2464" s="47" t="s">
        <v>3855</v>
      </c>
      <c r="AA2464" s="49"/>
      <c r="AB2464" s="49"/>
      <c r="AC2464" s="49"/>
      <c r="AD2464" s="50"/>
      <c r="AE2464" s="47" t="s">
        <v>2470</v>
      </c>
      <c r="AF2464" s="47"/>
      <c r="AG2464"/>
      <c r="AH2464"/>
      <c r="AI2464"/>
      <c r="AJ2464"/>
      <c r="AK2464">
        <v>56</v>
      </c>
      <c r="AL2464"/>
      <c r="AM2464"/>
      <c r="AN2464"/>
      <c r="AO2464"/>
      <c r="AP2464"/>
      <c r="AQ2464" s="32" t="s">
        <v>3852</v>
      </c>
      <c r="AU2464">
        <v>2463</v>
      </c>
    </row>
    <row r="2465" spans="1:47" x14ac:dyDescent="0.2">
      <c r="A2465" s="26">
        <v>6554</v>
      </c>
      <c r="B2465" s="27">
        <v>0.4861111111111111</v>
      </c>
      <c r="C2465" s="28"/>
      <c r="D2465" s="29"/>
      <c r="E2465" s="30" t="s">
        <v>869</v>
      </c>
      <c r="H2465" s="32">
        <v>0</v>
      </c>
      <c r="I2465" s="32" t="s">
        <v>2344</v>
      </c>
      <c r="AG2465" s="32">
        <v>0</v>
      </c>
      <c r="AH2465" s="32">
        <v>0</v>
      </c>
      <c r="AI2465" s="32">
        <v>0</v>
      </c>
      <c r="AK2465" s="32">
        <v>0</v>
      </c>
      <c r="AL2465" s="32">
        <f>5/60</f>
        <v>8.3333333333333329E-2</v>
      </c>
      <c r="AP2465" s="32">
        <f>5/60</f>
        <v>8.3333333333333329E-2</v>
      </c>
      <c r="AQ2465" s="32" t="s">
        <v>589</v>
      </c>
      <c r="AU2465">
        <v>2464</v>
      </c>
    </row>
    <row r="2466" spans="1:47" x14ac:dyDescent="0.2">
      <c r="A2466" s="133">
        <v>6555</v>
      </c>
      <c r="B2466" s="39" t="s">
        <v>85</v>
      </c>
      <c r="C2466" s="39">
        <v>55</v>
      </c>
      <c r="D2466" s="29" t="b">
        <v>0</v>
      </c>
      <c r="E2466" s="39" t="s">
        <v>3856</v>
      </c>
      <c r="F2466" s="47" t="s">
        <v>3663</v>
      </c>
      <c r="G2466" s="47" t="s">
        <v>49</v>
      </c>
      <c r="H2466"/>
      <c r="I2466" s="47" t="b">
        <v>0</v>
      </c>
      <c r="J2466" s="47" t="b">
        <v>1</v>
      </c>
      <c r="K2466" s="47">
        <v>1594</v>
      </c>
      <c r="L2466" s="48">
        <v>12</v>
      </c>
      <c r="M2466" s="47">
        <v>0</v>
      </c>
      <c r="N2466" s="47">
        <v>1</v>
      </c>
      <c r="O2466" s="47">
        <v>4</v>
      </c>
      <c r="P2466" s="47">
        <v>0</v>
      </c>
      <c r="Q2466" s="47">
        <v>0</v>
      </c>
      <c r="R2466" s="47">
        <v>0</v>
      </c>
      <c r="S2466" s="48">
        <v>7</v>
      </c>
      <c r="T2466" s="47">
        <v>0</v>
      </c>
      <c r="U2466" s="47">
        <v>5</v>
      </c>
      <c r="V2466" s="47">
        <v>2</v>
      </c>
      <c r="W2466" s="47">
        <v>13500</v>
      </c>
      <c r="X2466" s="47">
        <v>376</v>
      </c>
      <c r="Y2466" s="47"/>
      <c r="Z2466" s="47" t="s">
        <v>3618</v>
      </c>
      <c r="AA2466" s="49"/>
      <c r="AB2466" s="49"/>
      <c r="AC2466" s="49"/>
      <c r="AD2466" s="50"/>
      <c r="AE2466" s="47" t="s">
        <v>3798</v>
      </c>
      <c r="AF2466" s="47">
        <v>140</v>
      </c>
      <c r="AG2466"/>
      <c r="AH2466"/>
      <c r="AI2466"/>
      <c r="AJ2466"/>
      <c r="AK2466"/>
      <c r="AL2466"/>
      <c r="AM2466"/>
      <c r="AN2466"/>
      <c r="AO2466"/>
      <c r="AP2466"/>
      <c r="AQ2466" t="s">
        <v>2526</v>
      </c>
      <c r="AU2466">
        <v>2465</v>
      </c>
    </row>
    <row r="2467" spans="1:47" x14ac:dyDescent="0.2">
      <c r="A2467" s="37">
        <v>6555</v>
      </c>
      <c r="B2467" s="38" t="s">
        <v>85</v>
      </c>
      <c r="C2467" s="39" t="s">
        <v>1234</v>
      </c>
      <c r="D2467" s="29"/>
      <c r="E2467" s="38" t="s">
        <v>3857</v>
      </c>
      <c r="F2467" s="32" t="s">
        <v>1785</v>
      </c>
      <c r="G2467" s="47"/>
      <c r="H2467"/>
      <c r="I2467" s="31" t="s">
        <v>3858</v>
      </c>
      <c r="J2467" s="47"/>
      <c r="K2467" s="47">
        <f>360*2.2</f>
        <v>792.00000000000011</v>
      </c>
      <c r="L2467" s="48"/>
      <c r="M2467" s="47"/>
      <c r="N2467" s="47"/>
      <c r="O2467" s="47"/>
      <c r="P2467" s="47"/>
      <c r="Q2467" s="47"/>
      <c r="R2467" s="47"/>
      <c r="S2467" s="48">
        <v>7</v>
      </c>
      <c r="T2467" s="47"/>
      <c r="U2467" s="47"/>
      <c r="V2467" s="47"/>
      <c r="W2467" s="47"/>
      <c r="X2467" s="47"/>
      <c r="Y2467" s="47"/>
      <c r="Z2467" s="47" t="s">
        <v>1809</v>
      </c>
      <c r="AA2467" s="49"/>
      <c r="AB2467" s="49"/>
      <c r="AC2467" s="49"/>
      <c r="AD2467" s="50"/>
      <c r="AE2467" s="47" t="s">
        <v>1653</v>
      </c>
      <c r="AF2467" s="47">
        <v>95</v>
      </c>
      <c r="AG2467"/>
      <c r="AH2467"/>
      <c r="AI2467"/>
      <c r="AJ2467"/>
      <c r="AK2467"/>
      <c r="AL2467"/>
      <c r="AM2467"/>
      <c r="AN2467"/>
      <c r="AO2467"/>
      <c r="AP2467"/>
      <c r="AQ2467" t="s">
        <v>3840</v>
      </c>
      <c r="AU2467">
        <v>2466</v>
      </c>
    </row>
    <row r="2468" spans="1:47" x14ac:dyDescent="0.2">
      <c r="A2468" s="13">
        <v>6555</v>
      </c>
      <c r="B2468" s="57" t="s">
        <v>85</v>
      </c>
      <c r="C2468" s="57" t="s">
        <v>1234</v>
      </c>
      <c r="D2468" s="29"/>
      <c r="E2468" s="57" t="s">
        <v>3726</v>
      </c>
      <c r="F2468" s="31" t="s">
        <v>3727</v>
      </c>
      <c r="G2468" s="31" t="s">
        <v>69</v>
      </c>
      <c r="I2468" s="31" t="s">
        <v>3859</v>
      </c>
      <c r="K2468" s="63"/>
      <c r="Z2468" s="47" t="s">
        <v>1809</v>
      </c>
      <c r="AE2468" s="47" t="s">
        <v>1653</v>
      </c>
      <c r="AQ2468" s="32" t="s">
        <v>3785</v>
      </c>
      <c r="AU2468">
        <v>2467</v>
      </c>
    </row>
    <row r="2469" spans="1:47" x14ac:dyDescent="0.2">
      <c r="A2469" s="13">
        <v>6555</v>
      </c>
      <c r="B2469" s="57" t="s">
        <v>85</v>
      </c>
      <c r="C2469" s="57" t="s">
        <v>142</v>
      </c>
      <c r="D2469" s="29"/>
      <c r="E2469" s="57" t="s">
        <v>3860</v>
      </c>
      <c r="F2469" s="31" t="s">
        <v>409</v>
      </c>
      <c r="G2469" s="31" t="s">
        <v>49</v>
      </c>
      <c r="I2469" s="31" t="s">
        <v>3861</v>
      </c>
      <c r="K2469" s="31">
        <f>(94*10+52*20)*2.2</f>
        <v>4356</v>
      </c>
      <c r="L2469" s="33">
        <v>21</v>
      </c>
      <c r="M2469" s="31">
        <v>9</v>
      </c>
      <c r="S2469" s="33">
        <v>12</v>
      </c>
      <c r="T2469" s="31">
        <v>0</v>
      </c>
      <c r="U2469" s="31">
        <v>8</v>
      </c>
      <c r="V2469" s="31">
        <v>0</v>
      </c>
      <c r="Y2469" s="31" t="s">
        <v>51</v>
      </c>
      <c r="Z2469" s="31" t="s">
        <v>3724</v>
      </c>
      <c r="AE2469" s="47" t="s">
        <v>2470</v>
      </c>
      <c r="AF2469" s="31">
        <v>135</v>
      </c>
      <c r="AK2469" s="32">
        <f>94+52</f>
        <v>146</v>
      </c>
      <c r="AQ2469" s="32" t="s">
        <v>3862</v>
      </c>
      <c r="AU2469">
        <v>2468</v>
      </c>
    </row>
    <row r="2470" spans="1:47" x14ac:dyDescent="0.2">
      <c r="A2470" s="13">
        <v>6555</v>
      </c>
      <c r="B2470" s="57" t="s">
        <v>85</v>
      </c>
      <c r="C2470" s="57" t="s">
        <v>1077</v>
      </c>
      <c r="D2470" s="29"/>
      <c r="E2470" s="57" t="s">
        <v>3863</v>
      </c>
      <c r="F2470" s="31" t="s">
        <v>3864</v>
      </c>
      <c r="G2470" s="31" t="s">
        <v>69</v>
      </c>
      <c r="K2470" s="31">
        <v>2697.2</v>
      </c>
      <c r="Z2470" s="31" t="s">
        <v>3724</v>
      </c>
      <c r="AK2470" s="32">
        <v>58</v>
      </c>
      <c r="AQ2470" s="32" t="s">
        <v>3785</v>
      </c>
      <c r="AU2470">
        <v>2469</v>
      </c>
    </row>
    <row r="2471" spans="1:47" x14ac:dyDescent="0.2">
      <c r="A2471" s="26">
        <v>6555</v>
      </c>
      <c r="B2471" s="27">
        <v>0.57638888888888895</v>
      </c>
      <c r="C2471" s="28"/>
      <c r="D2471" s="29"/>
      <c r="E2471" s="30" t="s">
        <v>869</v>
      </c>
      <c r="H2471" s="32">
        <v>0</v>
      </c>
      <c r="I2471" s="32" t="s">
        <v>3865</v>
      </c>
      <c r="AG2471" s="32">
        <v>0</v>
      </c>
      <c r="AH2471" s="32">
        <v>0</v>
      </c>
      <c r="AI2471" s="32">
        <v>0</v>
      </c>
      <c r="AK2471" s="32">
        <v>0</v>
      </c>
      <c r="AL2471" s="32">
        <f>55/60</f>
        <v>0.91666666666666663</v>
      </c>
      <c r="AP2471" s="32">
        <f>55/60</f>
        <v>0.91666666666666663</v>
      </c>
      <c r="AQ2471" s="32" t="s">
        <v>589</v>
      </c>
      <c r="AU2471">
        <v>2470</v>
      </c>
    </row>
    <row r="2472" spans="1:47" x14ac:dyDescent="0.2">
      <c r="A2472" s="26">
        <v>6555</v>
      </c>
      <c r="B2472" s="27" t="s">
        <v>45</v>
      </c>
      <c r="C2472" s="28"/>
      <c r="D2472" s="29"/>
      <c r="E2472" s="150" t="s">
        <v>2286</v>
      </c>
      <c r="H2472" s="32">
        <v>0</v>
      </c>
      <c r="I2472" s="32" t="s">
        <v>1824</v>
      </c>
      <c r="AG2472" s="32">
        <v>0</v>
      </c>
      <c r="AH2472" s="32">
        <v>0</v>
      </c>
      <c r="AI2472" s="32">
        <v>0</v>
      </c>
      <c r="AK2472" s="32">
        <v>0</v>
      </c>
      <c r="AM2472" s="32">
        <v>2500</v>
      </c>
      <c r="AO2472" s="73" t="s">
        <v>75</v>
      </c>
      <c r="AQ2472" s="32" t="s">
        <v>589</v>
      </c>
      <c r="AU2472">
        <v>2471</v>
      </c>
    </row>
    <row r="2473" spans="1:47" x14ac:dyDescent="0.2">
      <c r="A2473" s="13">
        <v>6556</v>
      </c>
      <c r="B2473" s="57" t="s">
        <v>45</v>
      </c>
      <c r="C2473" s="57" t="s">
        <v>142</v>
      </c>
      <c r="D2473" s="29"/>
      <c r="E2473" s="57" t="s">
        <v>3866</v>
      </c>
      <c r="F2473" s="31" t="s">
        <v>3867</v>
      </c>
      <c r="G2473" s="31" t="s">
        <v>49</v>
      </c>
      <c r="I2473" s="31" t="s">
        <v>3868</v>
      </c>
      <c r="K2473" s="19">
        <f>1450*2.2</f>
        <v>3190.0000000000005</v>
      </c>
      <c r="L2473" s="33">
        <v>8</v>
      </c>
      <c r="O2473" s="31">
        <v>1</v>
      </c>
      <c r="S2473" s="33">
        <v>7</v>
      </c>
      <c r="T2473" s="31">
        <v>0</v>
      </c>
      <c r="U2473" s="31">
        <v>0</v>
      </c>
      <c r="V2473" s="31">
        <v>1</v>
      </c>
      <c r="Y2473" s="31" t="s">
        <v>51</v>
      </c>
      <c r="Z2473" s="47" t="s">
        <v>3855</v>
      </c>
      <c r="AE2473" s="47" t="s">
        <v>2470</v>
      </c>
      <c r="AK2473" s="32">
        <f>5+12+7+21</f>
        <v>45</v>
      </c>
      <c r="AQ2473" s="32" t="s">
        <v>3852</v>
      </c>
      <c r="AU2473">
        <v>2472</v>
      </c>
    </row>
    <row r="2474" spans="1:47" x14ac:dyDescent="0.2">
      <c r="A2474" s="37">
        <v>6557</v>
      </c>
      <c r="B2474" s="38" t="s">
        <v>85</v>
      </c>
      <c r="C2474" s="39" t="s">
        <v>1234</v>
      </c>
      <c r="D2474" s="29"/>
      <c r="E2474" s="38" t="s">
        <v>3249</v>
      </c>
      <c r="F2474" s="32" t="s">
        <v>3842</v>
      </c>
      <c r="G2474" s="47"/>
      <c r="H2474"/>
      <c r="I2474" s="31" t="s">
        <v>3869</v>
      </c>
      <c r="J2474" s="47"/>
      <c r="K2474" s="47">
        <f>360*2.2</f>
        <v>792.00000000000011</v>
      </c>
      <c r="L2474" s="48"/>
      <c r="M2474" s="47"/>
      <c r="N2474" s="47"/>
      <c r="O2474" s="47"/>
      <c r="P2474" s="47"/>
      <c r="Q2474" s="47"/>
      <c r="R2474" s="47"/>
      <c r="S2474" s="48">
        <v>5</v>
      </c>
      <c r="T2474" s="47"/>
      <c r="U2474" s="47"/>
      <c r="V2474" s="47"/>
      <c r="W2474" s="47"/>
      <c r="X2474" s="47"/>
      <c r="Y2474" s="47"/>
      <c r="Z2474" s="47" t="s">
        <v>1809</v>
      </c>
      <c r="AA2474" s="49"/>
      <c r="AB2474" s="49"/>
      <c r="AC2474" s="49"/>
      <c r="AD2474" s="50"/>
      <c r="AE2474" s="47" t="s">
        <v>1653</v>
      </c>
      <c r="AF2474" s="31">
        <v>80</v>
      </c>
      <c r="AG2474"/>
      <c r="AH2474"/>
      <c r="AI2474"/>
      <c r="AJ2474"/>
      <c r="AK2474"/>
      <c r="AL2474"/>
      <c r="AM2474"/>
      <c r="AN2474"/>
      <c r="AO2474"/>
      <c r="AP2474"/>
      <c r="AQ2474" t="s">
        <v>3840</v>
      </c>
      <c r="AU2474">
        <v>2473</v>
      </c>
    </row>
    <row r="2475" spans="1:47" x14ac:dyDescent="0.2">
      <c r="A2475" s="13">
        <v>6557</v>
      </c>
      <c r="B2475" s="57" t="s">
        <v>85</v>
      </c>
      <c r="C2475" s="57" t="s">
        <v>1077</v>
      </c>
      <c r="D2475" s="29"/>
      <c r="E2475" s="57" t="s">
        <v>3870</v>
      </c>
      <c r="F2475" s="31" t="s">
        <v>3864</v>
      </c>
      <c r="K2475" s="31">
        <v>1188</v>
      </c>
      <c r="Z2475" s="31" t="s">
        <v>3724</v>
      </c>
      <c r="AK2475" s="32">
        <v>44</v>
      </c>
      <c r="AQ2475" s="32" t="s">
        <v>3785</v>
      </c>
      <c r="AU2475">
        <v>2474</v>
      </c>
    </row>
    <row r="2476" spans="1:47" x14ac:dyDescent="0.2">
      <c r="A2476" s="13">
        <v>6559</v>
      </c>
      <c r="B2476" s="57" t="s">
        <v>85</v>
      </c>
      <c r="C2476" s="57" t="s">
        <v>1077</v>
      </c>
      <c r="D2476" s="29"/>
      <c r="E2476" s="57" t="s">
        <v>3871</v>
      </c>
      <c r="F2476" s="31" t="s">
        <v>688</v>
      </c>
      <c r="K2476" s="31">
        <v>220</v>
      </c>
      <c r="Z2476" s="31" t="s">
        <v>3724</v>
      </c>
      <c r="AK2476" s="32">
        <v>20</v>
      </c>
      <c r="AQ2476" s="32" t="s">
        <v>3785</v>
      </c>
      <c r="AU2476">
        <v>2475</v>
      </c>
    </row>
    <row r="2477" spans="1:47" x14ac:dyDescent="0.2">
      <c r="A2477" s="13">
        <v>6559</v>
      </c>
      <c r="B2477" s="57" t="s">
        <v>45</v>
      </c>
      <c r="C2477" s="57" t="s">
        <v>142</v>
      </c>
      <c r="D2477" s="29"/>
      <c r="E2477" s="57" t="s">
        <v>3872</v>
      </c>
      <c r="F2477" s="31" t="s">
        <v>246</v>
      </c>
      <c r="G2477" s="31" t="s">
        <v>49</v>
      </c>
      <c r="I2477" s="47" t="b">
        <v>1</v>
      </c>
      <c r="J2477" s="47" t="b">
        <v>1</v>
      </c>
      <c r="K2477" s="31">
        <f>1390*2.2</f>
        <v>3058.0000000000005</v>
      </c>
      <c r="S2477" s="33">
        <v>6</v>
      </c>
      <c r="T2477" s="31">
        <v>0</v>
      </c>
      <c r="U2477" s="31">
        <v>0</v>
      </c>
      <c r="V2477" s="31">
        <v>0</v>
      </c>
      <c r="Y2477" s="31" t="s">
        <v>51</v>
      </c>
      <c r="Z2477" s="47" t="s">
        <v>3855</v>
      </c>
      <c r="AE2477" s="47" t="s">
        <v>2470</v>
      </c>
      <c r="AK2477" s="32">
        <f>17+16+3</f>
        <v>36</v>
      </c>
      <c r="AQ2477" s="32" t="s">
        <v>3873</v>
      </c>
      <c r="AR2477" s="32" t="s">
        <v>3874</v>
      </c>
      <c r="AU2477">
        <v>2476</v>
      </c>
    </row>
    <row r="2478" spans="1:47" x14ac:dyDescent="0.2">
      <c r="A2478" s="13">
        <v>6559</v>
      </c>
      <c r="B2478" s="57" t="s">
        <v>45</v>
      </c>
      <c r="C2478" s="57" t="s">
        <v>142</v>
      </c>
      <c r="D2478" s="29"/>
      <c r="E2478" s="57" t="s">
        <v>2747</v>
      </c>
      <c r="F2478" s="31" t="s">
        <v>76</v>
      </c>
      <c r="G2478" s="31" t="s">
        <v>49</v>
      </c>
      <c r="I2478" s="47" t="b">
        <v>0</v>
      </c>
      <c r="J2478" s="47" t="b">
        <v>0</v>
      </c>
      <c r="K2478" s="31">
        <v>501.6</v>
      </c>
      <c r="Z2478" s="47" t="s">
        <v>3855</v>
      </c>
      <c r="AE2478" s="47" t="s">
        <v>2470</v>
      </c>
      <c r="AF2478" s="31">
        <v>55</v>
      </c>
      <c r="AK2478" s="32">
        <v>6</v>
      </c>
      <c r="AQ2478" s="32" t="s">
        <v>3873</v>
      </c>
      <c r="AR2478" s="32" t="s">
        <v>3874</v>
      </c>
      <c r="AU2478">
        <v>2477</v>
      </c>
    </row>
    <row r="2479" spans="1:47" x14ac:dyDescent="0.2">
      <c r="A2479" s="13">
        <v>6559</v>
      </c>
      <c r="B2479" s="57" t="s">
        <v>45</v>
      </c>
      <c r="C2479" s="57" t="s">
        <v>142</v>
      </c>
      <c r="D2479" s="29"/>
      <c r="E2479" s="57" t="s">
        <v>3875</v>
      </c>
      <c r="F2479" s="31" t="s">
        <v>76</v>
      </c>
      <c r="G2479" s="31" t="s">
        <v>49</v>
      </c>
      <c r="I2479" s="47" t="b">
        <v>0</v>
      </c>
      <c r="J2479" s="47" t="b">
        <v>0</v>
      </c>
      <c r="K2479" s="31">
        <v>831.6</v>
      </c>
      <c r="Z2479" s="47" t="s">
        <v>3855</v>
      </c>
      <c r="AE2479" s="47" t="s">
        <v>2470</v>
      </c>
      <c r="AF2479" s="31">
        <v>55</v>
      </c>
      <c r="AK2479" s="32">
        <v>9</v>
      </c>
      <c r="AQ2479" s="32" t="s">
        <v>3873</v>
      </c>
      <c r="AR2479" s="32" t="s">
        <v>3874</v>
      </c>
      <c r="AU2479">
        <v>2478</v>
      </c>
    </row>
    <row r="2480" spans="1:47" x14ac:dyDescent="0.2">
      <c r="A2480" s="13">
        <v>6559</v>
      </c>
      <c r="B2480" s="57" t="s">
        <v>45</v>
      </c>
      <c r="C2480" s="57" t="s">
        <v>142</v>
      </c>
      <c r="D2480" s="29"/>
      <c r="E2480" s="57" t="s">
        <v>3876</v>
      </c>
      <c r="F2480" s="31" t="s">
        <v>76</v>
      </c>
      <c r="G2480" s="31" t="s">
        <v>49</v>
      </c>
      <c r="I2480" s="47" t="b">
        <v>0</v>
      </c>
      <c r="J2480" s="47" t="b">
        <v>0</v>
      </c>
      <c r="K2480" s="31">
        <v>1676.4</v>
      </c>
      <c r="Z2480" s="31" t="s">
        <v>3855</v>
      </c>
      <c r="AE2480" s="47" t="s">
        <v>2470</v>
      </c>
      <c r="AF2480" s="31">
        <v>70</v>
      </c>
      <c r="AK2480" s="32">
        <v>21</v>
      </c>
      <c r="AQ2480" s="32" t="s">
        <v>3873</v>
      </c>
      <c r="AR2480" s="32" t="s">
        <v>3874</v>
      </c>
      <c r="AU2480">
        <v>2479</v>
      </c>
    </row>
    <row r="2481" spans="1:47" x14ac:dyDescent="0.2">
      <c r="A2481" s="26">
        <v>6559</v>
      </c>
      <c r="B2481" s="27">
        <v>0.50416666666666665</v>
      </c>
      <c r="C2481" s="28"/>
      <c r="D2481" s="29"/>
      <c r="E2481" s="30" t="s">
        <v>869</v>
      </c>
      <c r="H2481" s="32">
        <v>0</v>
      </c>
      <c r="I2481" s="32" t="s">
        <v>2461</v>
      </c>
      <c r="AG2481" s="32">
        <v>0</v>
      </c>
      <c r="AH2481" s="32">
        <v>0</v>
      </c>
      <c r="AI2481" s="32">
        <v>0</v>
      </c>
      <c r="AK2481" s="32">
        <v>0</v>
      </c>
      <c r="AL2481" s="32">
        <f>19/60</f>
        <v>0.31666666666666665</v>
      </c>
      <c r="AP2481" s="32">
        <f>19/60</f>
        <v>0.31666666666666665</v>
      </c>
      <c r="AQ2481" s="32" t="s">
        <v>589</v>
      </c>
      <c r="AU2481">
        <v>2480</v>
      </c>
    </row>
    <row r="2482" spans="1:47" x14ac:dyDescent="0.2">
      <c r="A2482" s="26">
        <v>6560</v>
      </c>
      <c r="B2482" s="27">
        <v>0.57916666666666672</v>
      </c>
      <c r="C2482" s="28"/>
      <c r="D2482" s="29"/>
      <c r="E2482" s="30" t="s">
        <v>869</v>
      </c>
      <c r="H2482" s="32">
        <v>0</v>
      </c>
      <c r="I2482" s="32" t="s">
        <v>3877</v>
      </c>
      <c r="AG2482" s="32">
        <v>0</v>
      </c>
      <c r="AH2482" s="32">
        <v>0</v>
      </c>
      <c r="AI2482" s="32">
        <v>0</v>
      </c>
      <c r="AK2482" s="32">
        <v>0</v>
      </c>
      <c r="AL2482" s="32">
        <f>98/60</f>
        <v>1.6333333333333333</v>
      </c>
      <c r="AP2482" s="32">
        <f>98/60</f>
        <v>1.6333333333333333</v>
      </c>
      <c r="AQ2482" s="32" t="s">
        <v>589</v>
      </c>
      <c r="AU2482">
        <v>2481</v>
      </c>
    </row>
    <row r="2483" spans="1:47" x14ac:dyDescent="0.2">
      <c r="A2483" s="13">
        <v>6565</v>
      </c>
      <c r="B2483" s="57" t="s">
        <v>85</v>
      </c>
      <c r="C2483" s="57" t="s">
        <v>3845</v>
      </c>
      <c r="D2483" s="29"/>
      <c r="E2483" s="57" t="s">
        <v>321</v>
      </c>
      <c r="F2483" s="31" t="s">
        <v>76</v>
      </c>
      <c r="G2483" s="31" t="s">
        <v>49</v>
      </c>
      <c r="I2483" s="31" t="s">
        <v>3878</v>
      </c>
      <c r="K2483" s="31">
        <f>(64*20+42*10)*2.2</f>
        <v>3740.0000000000005</v>
      </c>
      <c r="S2483" s="33">
        <v>10</v>
      </c>
      <c r="T2483" s="31">
        <v>0</v>
      </c>
      <c r="U2483" s="31">
        <v>0</v>
      </c>
      <c r="V2483" s="31">
        <v>0</v>
      </c>
      <c r="Y2483" s="31" t="s">
        <v>51</v>
      </c>
      <c r="Z2483" s="31" t="s">
        <v>3724</v>
      </c>
      <c r="AK2483" s="32">
        <v>106</v>
      </c>
      <c r="AQ2483" s="32" t="s">
        <v>3879</v>
      </c>
      <c r="AU2483">
        <v>2482</v>
      </c>
    </row>
    <row r="2484" spans="1:47" x14ac:dyDescent="0.2">
      <c r="A2484" s="13">
        <v>6565</v>
      </c>
      <c r="B2484" s="57" t="s">
        <v>45</v>
      </c>
      <c r="C2484" s="57" t="s">
        <v>142</v>
      </c>
      <c r="D2484" s="29"/>
      <c r="E2484" s="57" t="s">
        <v>3880</v>
      </c>
      <c r="F2484" s="31" t="s">
        <v>409</v>
      </c>
      <c r="G2484" s="31" t="s">
        <v>49</v>
      </c>
      <c r="I2484" s="47" t="b">
        <v>1</v>
      </c>
      <c r="J2484" s="47" t="b">
        <v>1</v>
      </c>
      <c r="K2484" s="31">
        <f>4072*2.2</f>
        <v>8958.4000000000015</v>
      </c>
      <c r="S2484" s="33">
        <v>18</v>
      </c>
      <c r="T2484" s="31">
        <v>0</v>
      </c>
      <c r="U2484" s="31">
        <v>0</v>
      </c>
      <c r="V2484" s="31">
        <v>0</v>
      </c>
      <c r="Y2484" s="31" t="s">
        <v>51</v>
      </c>
      <c r="Z2484" s="31" t="s">
        <v>3881</v>
      </c>
      <c r="AE2484" s="47" t="s">
        <v>2470</v>
      </c>
      <c r="AK2484" s="32">
        <f>12+84+6+32</f>
        <v>134</v>
      </c>
      <c r="AQ2484" s="32" t="s">
        <v>3882</v>
      </c>
      <c r="AR2484" s="32" t="s">
        <v>3883</v>
      </c>
      <c r="AU2484">
        <v>2483</v>
      </c>
    </row>
    <row r="2485" spans="1:47" x14ac:dyDescent="0.2">
      <c r="A2485" s="13">
        <v>6565</v>
      </c>
      <c r="B2485" s="57" t="s">
        <v>45</v>
      </c>
      <c r="C2485" s="57" t="s">
        <v>142</v>
      </c>
      <c r="D2485" s="29"/>
      <c r="E2485" s="57" t="s">
        <v>3884</v>
      </c>
      <c r="F2485" s="31" t="s">
        <v>76</v>
      </c>
      <c r="G2485" s="31" t="s">
        <v>49</v>
      </c>
      <c r="I2485" s="47" t="b">
        <v>0</v>
      </c>
      <c r="J2485" s="47" t="b">
        <v>0</v>
      </c>
      <c r="K2485" s="31">
        <v>528</v>
      </c>
      <c r="Z2485" s="31" t="s">
        <v>3881</v>
      </c>
      <c r="AE2485" s="47" t="s">
        <v>2470</v>
      </c>
      <c r="AF2485" s="31">
        <v>85</v>
      </c>
      <c r="AK2485" s="32">
        <v>12</v>
      </c>
      <c r="AQ2485" s="32" t="s">
        <v>3882</v>
      </c>
      <c r="AR2485" s="32" t="s">
        <v>3883</v>
      </c>
      <c r="AU2485">
        <v>2484</v>
      </c>
    </row>
    <row r="2486" spans="1:47" x14ac:dyDescent="0.2">
      <c r="A2486" s="13">
        <v>6565</v>
      </c>
      <c r="B2486" s="57" t="s">
        <v>45</v>
      </c>
      <c r="C2486" s="57" t="s">
        <v>142</v>
      </c>
      <c r="D2486" s="29"/>
      <c r="E2486" s="57" t="s">
        <v>3885</v>
      </c>
      <c r="F2486" s="31" t="s">
        <v>76</v>
      </c>
      <c r="G2486" s="31" t="s">
        <v>49</v>
      </c>
      <c r="I2486" s="47" t="b">
        <v>0</v>
      </c>
      <c r="J2486" s="47" t="b">
        <v>0</v>
      </c>
      <c r="K2486" s="31">
        <v>1645.6</v>
      </c>
      <c r="Z2486" s="31" t="s">
        <v>3881</v>
      </c>
      <c r="AE2486" s="47" t="s">
        <v>2470</v>
      </c>
      <c r="AF2486" s="31">
        <v>50</v>
      </c>
      <c r="AK2486" s="32">
        <v>26</v>
      </c>
      <c r="AQ2486" s="32" t="s">
        <v>3882</v>
      </c>
      <c r="AR2486" s="32" t="s">
        <v>3883</v>
      </c>
      <c r="AU2486">
        <v>2485</v>
      </c>
    </row>
    <row r="2487" spans="1:47" x14ac:dyDescent="0.2">
      <c r="A2487" s="13">
        <v>6565</v>
      </c>
      <c r="B2487" s="57" t="s">
        <v>45</v>
      </c>
      <c r="C2487" s="57" t="s">
        <v>142</v>
      </c>
      <c r="D2487" s="29"/>
      <c r="E2487" s="57" t="s">
        <v>1042</v>
      </c>
      <c r="F2487" s="31" t="s">
        <v>76</v>
      </c>
      <c r="G2487" s="31" t="s">
        <v>49</v>
      </c>
      <c r="I2487" s="47" t="b">
        <v>0</v>
      </c>
      <c r="J2487" s="47" t="b">
        <v>0</v>
      </c>
      <c r="K2487" s="31">
        <v>3256</v>
      </c>
      <c r="Z2487" s="31" t="s">
        <v>3881</v>
      </c>
      <c r="AE2487" s="47" t="s">
        <v>2470</v>
      </c>
      <c r="AF2487" s="31">
        <v>55</v>
      </c>
      <c r="AK2487" s="32">
        <v>44</v>
      </c>
      <c r="AQ2487" s="32" t="s">
        <v>3882</v>
      </c>
      <c r="AR2487" s="32" t="s">
        <v>3883</v>
      </c>
      <c r="AU2487">
        <v>2486</v>
      </c>
    </row>
    <row r="2488" spans="1:47" x14ac:dyDescent="0.2">
      <c r="A2488" s="13">
        <v>6565</v>
      </c>
      <c r="B2488" s="57" t="s">
        <v>45</v>
      </c>
      <c r="C2488" s="57" t="s">
        <v>142</v>
      </c>
      <c r="D2488" s="29"/>
      <c r="E2488" s="57" t="s">
        <v>3783</v>
      </c>
      <c r="F2488" s="31" t="s">
        <v>76</v>
      </c>
      <c r="G2488" s="31" t="s">
        <v>49</v>
      </c>
      <c r="I2488" s="47" t="b">
        <v>0</v>
      </c>
      <c r="J2488" s="47" t="b">
        <v>0</v>
      </c>
      <c r="K2488" s="31">
        <v>3528.8</v>
      </c>
      <c r="Z2488" s="31" t="s">
        <v>3881</v>
      </c>
      <c r="AE2488" s="47" t="s">
        <v>2470</v>
      </c>
      <c r="AF2488" s="31">
        <v>45</v>
      </c>
      <c r="AK2488" s="32">
        <v>52</v>
      </c>
      <c r="AQ2488" s="32" t="s">
        <v>3882</v>
      </c>
      <c r="AR2488" s="32" t="s">
        <v>3883</v>
      </c>
      <c r="AU2488">
        <v>2487</v>
      </c>
    </row>
    <row r="2489" spans="1:47" x14ac:dyDescent="0.2">
      <c r="A2489" s="13">
        <v>6565</v>
      </c>
      <c r="B2489" s="57" t="s">
        <v>45</v>
      </c>
      <c r="C2489" s="38" t="s">
        <v>3610</v>
      </c>
      <c r="D2489" s="29"/>
      <c r="E2489" s="57" t="s">
        <v>405</v>
      </c>
      <c r="F2489" s="31" t="s">
        <v>76</v>
      </c>
      <c r="G2489" s="31" t="s">
        <v>49</v>
      </c>
      <c r="I2489" s="31" t="s">
        <v>3886</v>
      </c>
      <c r="K2489" s="31">
        <f>30*10*2.2</f>
        <v>660</v>
      </c>
      <c r="L2489" s="33">
        <v>1</v>
      </c>
      <c r="S2489" s="33">
        <v>1</v>
      </c>
      <c r="T2489" s="31">
        <v>0</v>
      </c>
      <c r="U2489" s="31">
        <v>0</v>
      </c>
      <c r="V2489" s="31">
        <v>0</v>
      </c>
      <c r="W2489" s="47">
        <f>1700*39.37/12</f>
        <v>5577.416666666667</v>
      </c>
      <c r="Y2489" s="31" t="s">
        <v>51</v>
      </c>
      <c r="Z2489" s="47" t="s">
        <v>1846</v>
      </c>
      <c r="AD2489" s="35">
        <v>1.75</v>
      </c>
      <c r="AE2489" s="47" t="s">
        <v>342</v>
      </c>
      <c r="AF2489" s="31">
        <v>40</v>
      </c>
      <c r="AK2489" s="32">
        <v>30</v>
      </c>
      <c r="AQ2489" s="32" t="s">
        <v>3887</v>
      </c>
      <c r="AU2489">
        <v>2488</v>
      </c>
    </row>
    <row r="2490" spans="1:47" x14ac:dyDescent="0.2">
      <c r="A2490" s="13">
        <v>6565</v>
      </c>
      <c r="B2490" s="57" t="s">
        <v>45</v>
      </c>
      <c r="C2490" s="38" t="s">
        <v>3610</v>
      </c>
      <c r="D2490" s="29"/>
      <c r="E2490" s="57" t="s">
        <v>3367</v>
      </c>
      <c r="F2490" s="31" t="s">
        <v>76</v>
      </c>
      <c r="G2490" s="31" t="s">
        <v>49</v>
      </c>
      <c r="I2490" s="31" t="s">
        <v>3888</v>
      </c>
      <c r="K2490" s="31">
        <f>(2*30*10+6*50)*2.2</f>
        <v>1980.0000000000002</v>
      </c>
      <c r="L2490" s="33">
        <v>3</v>
      </c>
      <c r="S2490" s="33">
        <v>3</v>
      </c>
      <c r="T2490" s="31">
        <v>0</v>
      </c>
      <c r="U2490" s="31">
        <v>0</v>
      </c>
      <c r="V2490" s="31">
        <v>0</v>
      </c>
      <c r="W2490" s="47">
        <f>((3000+2400+2900)/3)*39.37/12</f>
        <v>9076.9722222222208</v>
      </c>
      <c r="Y2490" s="31" t="s">
        <v>51</v>
      </c>
      <c r="Z2490" s="47" t="s">
        <v>1846</v>
      </c>
      <c r="AD2490" s="35">
        <f>2+5/60</f>
        <v>2.0833333333333335</v>
      </c>
      <c r="AE2490" s="47" t="s">
        <v>342</v>
      </c>
      <c r="AF2490" s="31">
        <v>45</v>
      </c>
      <c r="AK2490" s="32">
        <f>30+30+6</f>
        <v>66</v>
      </c>
      <c r="AQ2490" s="32" t="s">
        <v>3887</v>
      </c>
      <c r="AU2490">
        <v>2489</v>
      </c>
    </row>
    <row r="2491" spans="1:47" x14ac:dyDescent="0.2">
      <c r="A2491" s="168">
        <v>6565</v>
      </c>
      <c r="B2491" s="144" t="s">
        <v>45</v>
      </c>
      <c r="C2491" s="144" t="s">
        <v>1367</v>
      </c>
      <c r="D2491" s="29"/>
      <c r="E2491" s="144" t="s">
        <v>3666</v>
      </c>
      <c r="F2491" s="31" t="s">
        <v>76</v>
      </c>
      <c r="G2491" s="31" t="s">
        <v>49</v>
      </c>
      <c r="I2491" s="31" t="s">
        <v>3889</v>
      </c>
      <c r="K2491" s="19">
        <f>(1974-600)*2.2</f>
        <v>3022.8</v>
      </c>
      <c r="AD2491" s="31"/>
      <c r="AK2491" s="32">
        <f>91-56</f>
        <v>35</v>
      </c>
      <c r="AQ2491" s="32" t="s">
        <v>3890</v>
      </c>
      <c r="AU2491">
        <v>2490</v>
      </c>
    </row>
    <row r="2492" spans="1:47" x14ac:dyDescent="0.2">
      <c r="A2492" s="26">
        <v>6565</v>
      </c>
      <c r="B2492" s="27">
        <v>0.76388888888888884</v>
      </c>
      <c r="C2492" s="28"/>
      <c r="D2492" s="29"/>
      <c r="E2492" s="30" t="s">
        <v>464</v>
      </c>
      <c r="H2492" s="32">
        <v>0</v>
      </c>
      <c r="I2492" s="32" t="s">
        <v>3590</v>
      </c>
      <c r="AG2492" s="32">
        <v>0</v>
      </c>
      <c r="AH2492" s="32">
        <v>0</v>
      </c>
      <c r="AL2492" s="32">
        <f>2+2/60</f>
        <v>2.0333333333333332</v>
      </c>
      <c r="AO2492" s="32" t="s">
        <v>1898</v>
      </c>
      <c r="AP2492" s="32">
        <f>2+2/60</f>
        <v>2.0333333333333332</v>
      </c>
      <c r="AQ2492" s="32" t="s">
        <v>1522</v>
      </c>
      <c r="AU2492">
        <v>2491</v>
      </c>
    </row>
    <row r="2493" spans="1:47" x14ac:dyDescent="0.2">
      <c r="A2493" s="37">
        <v>6566</v>
      </c>
      <c r="B2493" s="38" t="s">
        <v>85</v>
      </c>
      <c r="C2493" s="39" t="s">
        <v>142</v>
      </c>
      <c r="D2493" s="29"/>
      <c r="E2493" s="38" t="s">
        <v>3891</v>
      </c>
      <c r="F2493" s="31" t="s">
        <v>409</v>
      </c>
      <c r="G2493" s="31" t="s">
        <v>49</v>
      </c>
      <c r="H2493" s="32"/>
      <c r="I2493" s="47" t="b">
        <v>1</v>
      </c>
      <c r="J2493" s="47" t="b">
        <v>1</v>
      </c>
      <c r="K2493" s="31">
        <f>4160*2.2</f>
        <v>9152</v>
      </c>
      <c r="L2493" s="33">
        <v>25</v>
      </c>
      <c r="S2493" s="33">
        <v>25</v>
      </c>
      <c r="T2493" s="31">
        <v>1</v>
      </c>
      <c r="U2493" s="31">
        <v>0</v>
      </c>
      <c r="V2493" s="31">
        <v>0</v>
      </c>
      <c r="Y2493" s="31" t="s">
        <v>120</v>
      </c>
      <c r="Z2493" s="31" t="s">
        <v>3724</v>
      </c>
      <c r="AE2493" s="47" t="s">
        <v>2470</v>
      </c>
      <c r="AK2493" s="32">
        <f>188+40</f>
        <v>228</v>
      </c>
      <c r="AQ2493" s="32" t="s">
        <v>3892</v>
      </c>
      <c r="AR2493" s="32" t="s">
        <v>3893</v>
      </c>
      <c r="AU2493">
        <v>2492</v>
      </c>
    </row>
    <row r="2494" spans="1:47" x14ac:dyDescent="0.2">
      <c r="A2494" s="13">
        <v>6566</v>
      </c>
      <c r="B2494" s="57" t="s">
        <v>85</v>
      </c>
      <c r="C2494" s="57" t="s">
        <v>142</v>
      </c>
      <c r="D2494" s="29"/>
      <c r="E2494" s="57" t="s">
        <v>3894</v>
      </c>
      <c r="F2494" s="31" t="s">
        <v>76</v>
      </c>
      <c r="G2494" s="31" t="s">
        <v>49</v>
      </c>
      <c r="I2494" s="47" t="b">
        <v>0</v>
      </c>
      <c r="J2494" s="47" t="b">
        <v>0</v>
      </c>
      <c r="K2494" s="31">
        <v>2420</v>
      </c>
      <c r="Z2494" s="31" t="s">
        <v>3724</v>
      </c>
      <c r="AE2494" s="47" t="s">
        <v>2470</v>
      </c>
      <c r="AF2494" s="31">
        <v>80</v>
      </c>
      <c r="AK2494" s="32">
        <v>62</v>
      </c>
      <c r="AQ2494" s="32" t="s">
        <v>3892</v>
      </c>
      <c r="AU2494">
        <v>2493</v>
      </c>
    </row>
    <row r="2495" spans="1:47" x14ac:dyDescent="0.2">
      <c r="A2495" s="13">
        <v>6566</v>
      </c>
      <c r="B2495" s="57" t="s">
        <v>85</v>
      </c>
      <c r="C2495" s="57" t="s">
        <v>142</v>
      </c>
      <c r="D2495" s="29"/>
      <c r="E2495" s="57" t="s">
        <v>3895</v>
      </c>
      <c r="F2495" s="31" t="s">
        <v>76</v>
      </c>
      <c r="G2495" s="31" t="s">
        <v>49</v>
      </c>
      <c r="I2495" s="47" t="b">
        <v>0</v>
      </c>
      <c r="J2495" s="47" t="b">
        <v>0</v>
      </c>
      <c r="K2495" s="31">
        <v>2992</v>
      </c>
      <c r="Z2495" s="31" t="s">
        <v>3724</v>
      </c>
      <c r="AE2495" s="47" t="s">
        <v>2470</v>
      </c>
      <c r="AF2495" s="31">
        <v>60</v>
      </c>
      <c r="AK2495" s="32">
        <v>68</v>
      </c>
      <c r="AQ2495" s="32" t="s">
        <v>3892</v>
      </c>
      <c r="AU2495">
        <v>2494</v>
      </c>
    </row>
    <row r="2496" spans="1:47" x14ac:dyDescent="0.2">
      <c r="A2496" s="13">
        <v>6566</v>
      </c>
      <c r="B2496" s="57" t="s">
        <v>85</v>
      </c>
      <c r="C2496" s="57" t="s">
        <v>142</v>
      </c>
      <c r="D2496" s="29"/>
      <c r="E2496" s="57" t="s">
        <v>3884</v>
      </c>
      <c r="F2496" s="31" t="s">
        <v>76</v>
      </c>
      <c r="G2496" s="31" t="s">
        <v>49</v>
      </c>
      <c r="I2496" s="47" t="b">
        <v>0</v>
      </c>
      <c r="J2496" s="47" t="b">
        <v>0</v>
      </c>
      <c r="K2496" s="31">
        <v>3740</v>
      </c>
      <c r="Z2496" s="31" t="s">
        <v>3724</v>
      </c>
      <c r="AE2496" s="47" t="s">
        <v>2470</v>
      </c>
      <c r="AF2496" s="31">
        <v>85</v>
      </c>
      <c r="AK2496" s="32">
        <v>98</v>
      </c>
      <c r="AQ2496" s="32" t="s">
        <v>3892</v>
      </c>
      <c r="AU2496">
        <v>2495</v>
      </c>
    </row>
    <row r="2497" spans="1:47" x14ac:dyDescent="0.2">
      <c r="A2497" s="13">
        <v>6566</v>
      </c>
      <c r="B2497" s="57" t="s">
        <v>45</v>
      </c>
      <c r="C2497" s="57" t="s">
        <v>332</v>
      </c>
      <c r="D2497" s="29"/>
      <c r="E2497" s="57" t="s">
        <v>3896</v>
      </c>
      <c r="F2497" s="31" t="s">
        <v>144</v>
      </c>
      <c r="K2497" s="31">
        <v>338.8</v>
      </c>
      <c r="AK2497" s="32">
        <v>5</v>
      </c>
      <c r="AQ2497" s="32" t="s">
        <v>3897</v>
      </c>
      <c r="AU2497">
        <v>2496</v>
      </c>
    </row>
    <row r="2498" spans="1:47" x14ac:dyDescent="0.2">
      <c r="A2498" s="13">
        <v>6566</v>
      </c>
      <c r="B2498" s="57" t="s">
        <v>45</v>
      </c>
      <c r="C2498" s="57" t="s">
        <v>332</v>
      </c>
      <c r="D2498" s="29"/>
      <c r="E2498" s="57" t="s">
        <v>3898</v>
      </c>
      <c r="F2498" s="31" t="s">
        <v>76</v>
      </c>
      <c r="G2498" s="31" t="s">
        <v>49</v>
      </c>
      <c r="K2498" s="31">
        <v>338.8</v>
      </c>
      <c r="AK2498" s="32">
        <v>5</v>
      </c>
      <c r="AQ2498" s="32" t="s">
        <v>3897</v>
      </c>
      <c r="AU2498">
        <v>2497</v>
      </c>
    </row>
    <row r="2499" spans="1:47" x14ac:dyDescent="0.2">
      <c r="A2499" s="13">
        <v>6566</v>
      </c>
      <c r="B2499" s="57" t="s">
        <v>45</v>
      </c>
      <c r="C2499" s="57" t="s">
        <v>332</v>
      </c>
      <c r="D2499" s="29"/>
      <c r="E2499" s="57" t="s">
        <v>3899</v>
      </c>
      <c r="F2499" s="31" t="s">
        <v>76</v>
      </c>
      <c r="G2499" s="31" t="s">
        <v>49</v>
      </c>
      <c r="K2499" s="31">
        <v>440</v>
      </c>
      <c r="AK2499" s="32">
        <v>12</v>
      </c>
      <c r="AQ2499" s="32" t="s">
        <v>3897</v>
      </c>
      <c r="AU2499">
        <v>2498</v>
      </c>
    </row>
    <row r="2500" spans="1:47" x14ac:dyDescent="0.2">
      <c r="A2500" s="13">
        <v>6566</v>
      </c>
      <c r="B2500" s="57" t="s">
        <v>45</v>
      </c>
      <c r="C2500" s="57" t="s">
        <v>332</v>
      </c>
      <c r="D2500" s="29"/>
      <c r="E2500" s="57" t="s">
        <v>3597</v>
      </c>
      <c r="F2500" s="31" t="s">
        <v>76</v>
      </c>
      <c r="G2500" s="31" t="s">
        <v>49</v>
      </c>
      <c r="K2500" s="31">
        <v>1320</v>
      </c>
      <c r="AK2500" s="32">
        <v>36</v>
      </c>
      <c r="AQ2500" s="32" t="s">
        <v>3897</v>
      </c>
      <c r="AU2500">
        <v>2499</v>
      </c>
    </row>
    <row r="2501" spans="1:47" x14ac:dyDescent="0.2">
      <c r="A2501" s="13">
        <v>6566</v>
      </c>
      <c r="B2501" s="57" t="s">
        <v>45</v>
      </c>
      <c r="C2501" s="57" t="s">
        <v>332</v>
      </c>
      <c r="D2501" s="29"/>
      <c r="E2501" s="57" t="s">
        <v>3793</v>
      </c>
      <c r="F2501" s="31" t="s">
        <v>76</v>
      </c>
      <c r="G2501" s="31" t="s">
        <v>49</v>
      </c>
      <c r="K2501" s="31">
        <v>1760</v>
      </c>
      <c r="AK2501" s="32">
        <v>48</v>
      </c>
      <c r="AQ2501" s="32" t="s">
        <v>3897</v>
      </c>
      <c r="AU2501">
        <v>2500</v>
      </c>
    </row>
    <row r="2502" spans="1:47" x14ac:dyDescent="0.2">
      <c r="A2502" s="169">
        <v>6566</v>
      </c>
      <c r="B2502" s="170" t="s">
        <v>45</v>
      </c>
      <c r="C2502" s="170" t="s">
        <v>142</v>
      </c>
      <c r="D2502" s="62"/>
      <c r="E2502" s="170" t="s">
        <v>3900</v>
      </c>
      <c r="F2502" s="63" t="s">
        <v>204</v>
      </c>
      <c r="I2502" s="63" t="s">
        <v>3901</v>
      </c>
      <c r="K2502" s="31">
        <v>352</v>
      </c>
      <c r="AE2502" s="47" t="s">
        <v>2470</v>
      </c>
      <c r="AK2502" s="32">
        <v>8</v>
      </c>
      <c r="AQ2502" s="32" t="s">
        <v>3897</v>
      </c>
      <c r="AU2502">
        <v>2501</v>
      </c>
    </row>
    <row r="2503" spans="1:47" x14ac:dyDescent="0.2">
      <c r="A2503" s="169">
        <v>6566</v>
      </c>
      <c r="B2503" s="170" t="s">
        <v>45</v>
      </c>
      <c r="C2503" s="170" t="s">
        <v>142</v>
      </c>
      <c r="D2503" s="62"/>
      <c r="E2503" s="170" t="s">
        <v>2747</v>
      </c>
      <c r="F2503" s="63" t="s">
        <v>76</v>
      </c>
      <c r="I2503" s="63" t="s">
        <v>3901</v>
      </c>
      <c r="K2503" s="31">
        <v>1848</v>
      </c>
      <c r="AE2503" s="47" t="s">
        <v>2470</v>
      </c>
      <c r="AK2503" s="32">
        <v>24</v>
      </c>
      <c r="AQ2503" s="32" t="s">
        <v>3897</v>
      </c>
      <c r="AU2503">
        <v>2502</v>
      </c>
    </row>
    <row r="2504" spans="1:47" x14ac:dyDescent="0.2">
      <c r="A2504" s="169">
        <v>6566</v>
      </c>
      <c r="B2504" s="170" t="s">
        <v>45</v>
      </c>
      <c r="C2504" s="170" t="s">
        <v>142</v>
      </c>
      <c r="D2504" s="62"/>
      <c r="E2504" s="170" t="s">
        <v>3902</v>
      </c>
      <c r="F2504" s="63" t="s">
        <v>76</v>
      </c>
      <c r="I2504" s="63" t="s">
        <v>3901</v>
      </c>
      <c r="K2504" s="31">
        <v>1927.2</v>
      </c>
      <c r="AE2504" s="47" t="s">
        <v>2470</v>
      </c>
      <c r="AK2504" s="32">
        <v>30</v>
      </c>
      <c r="AQ2504" s="32" t="s">
        <v>3897</v>
      </c>
      <c r="AU2504">
        <v>2503</v>
      </c>
    </row>
    <row r="2505" spans="1:47" x14ac:dyDescent="0.2">
      <c r="A2505" s="169">
        <v>6566</v>
      </c>
      <c r="B2505" s="170" t="s">
        <v>45</v>
      </c>
      <c r="C2505" s="170" t="s">
        <v>142</v>
      </c>
      <c r="D2505" s="62"/>
      <c r="E2505" s="170" t="s">
        <v>1042</v>
      </c>
      <c r="F2505" s="63" t="s">
        <v>76</v>
      </c>
      <c r="I2505" s="63" t="s">
        <v>3901</v>
      </c>
      <c r="K2505" s="31">
        <v>2076.8000000000002</v>
      </c>
      <c r="AE2505" s="47" t="s">
        <v>2470</v>
      </c>
      <c r="AK2505" s="32">
        <v>28</v>
      </c>
      <c r="AQ2505" s="32" t="s">
        <v>3897</v>
      </c>
      <c r="AU2505">
        <v>2504</v>
      </c>
    </row>
    <row r="2506" spans="1:47" x14ac:dyDescent="0.2">
      <c r="A2506" s="169">
        <v>6566</v>
      </c>
      <c r="B2506" s="170" t="s">
        <v>45</v>
      </c>
      <c r="C2506" s="170" t="s">
        <v>142</v>
      </c>
      <c r="D2506" s="62"/>
      <c r="E2506" s="170" t="s">
        <v>1064</v>
      </c>
      <c r="F2506" s="63" t="s">
        <v>76</v>
      </c>
      <c r="I2506" s="63" t="s">
        <v>3901</v>
      </c>
      <c r="K2506" s="31">
        <v>2970</v>
      </c>
      <c r="AE2506" s="47" t="s">
        <v>2470</v>
      </c>
      <c r="AK2506" s="32">
        <v>44</v>
      </c>
      <c r="AQ2506" s="32" t="s">
        <v>3897</v>
      </c>
      <c r="AU2506">
        <v>2505</v>
      </c>
    </row>
    <row r="2507" spans="1:47" x14ac:dyDescent="0.2">
      <c r="A2507" s="37">
        <v>6567</v>
      </c>
      <c r="B2507" s="38" t="s">
        <v>85</v>
      </c>
      <c r="C2507" s="39" t="s">
        <v>3903</v>
      </c>
      <c r="D2507" s="29"/>
      <c r="E2507" s="38" t="s">
        <v>321</v>
      </c>
      <c r="F2507" s="31" t="s">
        <v>150</v>
      </c>
      <c r="G2507" s="31" t="s">
        <v>49</v>
      </c>
      <c r="H2507" s="32"/>
      <c r="I2507" s="84" t="s">
        <v>3904</v>
      </c>
      <c r="K2507" s="31">
        <f>48*20*2.2</f>
        <v>2112</v>
      </c>
      <c r="S2507" s="33">
        <v>6</v>
      </c>
      <c r="T2507" s="31">
        <v>0</v>
      </c>
      <c r="U2507" s="31">
        <v>0</v>
      </c>
      <c r="V2507" s="31">
        <v>0</v>
      </c>
      <c r="Y2507" s="31" t="s">
        <v>51</v>
      </c>
      <c r="Z2507" s="31" t="s">
        <v>3724</v>
      </c>
      <c r="AK2507" s="32">
        <v>48</v>
      </c>
      <c r="AQ2507" s="32" t="s">
        <v>3892</v>
      </c>
      <c r="AU2507">
        <v>2506</v>
      </c>
    </row>
    <row r="2508" spans="1:47" x14ac:dyDescent="0.2">
      <c r="A2508" s="37">
        <v>6567</v>
      </c>
      <c r="B2508" s="38" t="s">
        <v>45</v>
      </c>
      <c r="C2508" s="39" t="s">
        <v>142</v>
      </c>
      <c r="D2508" s="29"/>
      <c r="E2508" s="38" t="s">
        <v>3905</v>
      </c>
      <c r="F2508" s="31" t="s">
        <v>246</v>
      </c>
      <c r="G2508" s="31" t="s">
        <v>49</v>
      </c>
      <c r="H2508" s="32"/>
      <c r="I2508" s="32" t="s">
        <v>3906</v>
      </c>
      <c r="K2508" s="31">
        <f>4330*2.2</f>
        <v>9526</v>
      </c>
      <c r="S2508" s="33">
        <v>16</v>
      </c>
      <c r="T2508" s="31">
        <v>0</v>
      </c>
      <c r="U2508" s="31">
        <v>0</v>
      </c>
      <c r="V2508" s="31">
        <v>0</v>
      </c>
      <c r="Y2508" s="31" t="s">
        <v>51</v>
      </c>
      <c r="Z2508" s="31" t="s">
        <v>3881</v>
      </c>
      <c r="AE2508" s="47" t="s">
        <v>2470</v>
      </c>
      <c r="AK2508" s="32">
        <f>80+47+8+10</f>
        <v>145</v>
      </c>
      <c r="AQ2508" s="32" t="s">
        <v>3907</v>
      </c>
      <c r="AU2508">
        <v>2507</v>
      </c>
    </row>
    <row r="2509" spans="1:47" x14ac:dyDescent="0.2">
      <c r="A2509" s="13">
        <v>6567</v>
      </c>
      <c r="B2509" s="57" t="s">
        <v>45</v>
      </c>
      <c r="C2509" s="57" t="s">
        <v>105</v>
      </c>
      <c r="D2509" s="29"/>
      <c r="E2509" s="57" t="s">
        <v>3908</v>
      </c>
      <c r="F2509" s="31" t="s">
        <v>76</v>
      </c>
      <c r="G2509" s="31" t="s">
        <v>49</v>
      </c>
      <c r="I2509" s="31" t="s">
        <v>3602</v>
      </c>
      <c r="K2509" s="31">
        <v>400.4</v>
      </c>
      <c r="AK2509" s="32">
        <v>8</v>
      </c>
      <c r="AQ2509" s="32" t="s">
        <v>3890</v>
      </c>
      <c r="AU2509">
        <v>2508</v>
      </c>
    </row>
    <row r="2510" spans="1:47" x14ac:dyDescent="0.2">
      <c r="A2510" s="13">
        <v>6567</v>
      </c>
      <c r="B2510" s="57" t="s">
        <v>45</v>
      </c>
      <c r="C2510" s="57" t="s">
        <v>105</v>
      </c>
      <c r="D2510" s="29"/>
      <c r="E2510" s="57" t="s">
        <v>3063</v>
      </c>
      <c r="F2510" s="31" t="s">
        <v>76</v>
      </c>
      <c r="G2510" s="31" t="s">
        <v>49</v>
      </c>
      <c r="I2510" s="31" t="s">
        <v>3602</v>
      </c>
      <c r="K2510" s="31">
        <v>1117.5999999999999</v>
      </c>
      <c r="AK2510" s="32">
        <v>28</v>
      </c>
      <c r="AQ2510" s="32" t="s">
        <v>3890</v>
      </c>
      <c r="AU2510">
        <v>2509</v>
      </c>
    </row>
    <row r="2511" spans="1:47" x14ac:dyDescent="0.2">
      <c r="A2511" s="26">
        <v>6567</v>
      </c>
      <c r="B2511" s="27">
        <v>0.92638888888888893</v>
      </c>
      <c r="C2511" s="28"/>
      <c r="D2511" s="29"/>
      <c r="E2511" s="30" t="s">
        <v>464</v>
      </c>
      <c r="H2511" s="32">
        <v>0</v>
      </c>
      <c r="I2511" s="32" t="s">
        <v>3590</v>
      </c>
      <c r="AG2511" s="32">
        <v>0</v>
      </c>
      <c r="AH2511" s="32">
        <v>0</v>
      </c>
      <c r="AL2511" s="32">
        <f>61/60</f>
        <v>1.0166666666666666</v>
      </c>
      <c r="AO2511" s="32" t="s">
        <v>1898</v>
      </c>
      <c r="AP2511" s="32">
        <f>61/60</f>
        <v>1.0166666666666666</v>
      </c>
      <c r="AQ2511" s="32" t="s">
        <v>1522</v>
      </c>
      <c r="AU2511">
        <v>2510</v>
      </c>
    </row>
    <row r="2512" spans="1:47" x14ac:dyDescent="0.2">
      <c r="A2512" s="26">
        <v>6567</v>
      </c>
      <c r="B2512" s="27">
        <v>0.93055555555555547</v>
      </c>
      <c r="C2512" s="28"/>
      <c r="D2512" s="29"/>
      <c r="E2512" s="30" t="s">
        <v>869</v>
      </c>
      <c r="H2512" s="32">
        <v>0</v>
      </c>
      <c r="I2512" s="32" t="s">
        <v>2344</v>
      </c>
      <c r="AG2512" s="32">
        <v>0</v>
      </c>
      <c r="AH2512" s="32">
        <v>0</v>
      </c>
      <c r="AI2512" s="32">
        <v>0</v>
      </c>
      <c r="AK2512" s="32">
        <v>0</v>
      </c>
      <c r="AL2512" s="32">
        <v>0.5</v>
      </c>
      <c r="AP2512" s="32">
        <v>0.5</v>
      </c>
      <c r="AQ2512" s="32" t="s">
        <v>589</v>
      </c>
      <c r="AU2512">
        <v>2511</v>
      </c>
    </row>
    <row r="2513" spans="1:47" x14ac:dyDescent="0.2">
      <c r="A2513" s="26">
        <v>6567</v>
      </c>
      <c r="B2513" s="27" t="s">
        <v>45</v>
      </c>
      <c r="C2513" s="28"/>
      <c r="D2513" s="29"/>
      <c r="E2513" s="30" t="s">
        <v>1531</v>
      </c>
      <c r="H2513" s="32">
        <v>0</v>
      </c>
      <c r="I2513" s="32" t="s">
        <v>1706</v>
      </c>
      <c r="AG2513" s="32">
        <v>0</v>
      </c>
      <c r="AH2513" s="32">
        <v>0</v>
      </c>
      <c r="AI2513" s="32">
        <v>0</v>
      </c>
      <c r="AK2513" s="32">
        <v>0</v>
      </c>
      <c r="AM2513" s="32">
        <f>498*65</f>
        <v>32370</v>
      </c>
      <c r="AO2513" s="32" t="s">
        <v>1533</v>
      </c>
      <c r="AQ2513" s="32" t="s">
        <v>1101</v>
      </c>
      <c r="AU2513">
        <v>2512</v>
      </c>
    </row>
    <row r="2514" spans="1:47" x14ac:dyDescent="0.2">
      <c r="A2514" s="26">
        <v>6567</v>
      </c>
      <c r="B2514" s="27" t="s">
        <v>45</v>
      </c>
      <c r="C2514" s="28"/>
      <c r="D2514" s="29"/>
      <c r="E2514" s="150" t="s">
        <v>2286</v>
      </c>
      <c r="H2514" s="32">
        <v>0</v>
      </c>
      <c r="I2514" s="32" t="s">
        <v>1824</v>
      </c>
      <c r="AG2514" s="32">
        <v>0</v>
      </c>
      <c r="AH2514" s="32">
        <v>0</v>
      </c>
      <c r="AI2514" s="32">
        <v>0</v>
      </c>
      <c r="AK2514" s="32">
        <v>0</v>
      </c>
      <c r="AM2514" s="32">
        <v>2500</v>
      </c>
      <c r="AO2514" s="73" t="s">
        <v>75</v>
      </c>
      <c r="AQ2514" s="32" t="s">
        <v>589</v>
      </c>
      <c r="AU2514">
        <v>2513</v>
      </c>
    </row>
    <row r="2515" spans="1:47" x14ac:dyDescent="0.2">
      <c r="A2515" s="133">
        <v>6568</v>
      </c>
      <c r="B2515" s="39" t="s">
        <v>85</v>
      </c>
      <c r="C2515" s="39">
        <v>55</v>
      </c>
      <c r="D2515" s="29" t="b">
        <v>0</v>
      </c>
      <c r="E2515" s="39" t="s">
        <v>3909</v>
      </c>
      <c r="F2515" s="47" t="s">
        <v>3910</v>
      </c>
      <c r="G2515" s="47" t="s">
        <v>73</v>
      </c>
      <c r="H2515"/>
      <c r="I2515" s="47" t="b">
        <v>0</v>
      </c>
      <c r="J2515" s="47" t="b">
        <v>1</v>
      </c>
      <c r="K2515" s="47">
        <v>2252</v>
      </c>
      <c r="L2515" s="48">
        <v>12</v>
      </c>
      <c r="M2515" s="47">
        <v>0</v>
      </c>
      <c r="N2515" s="47">
        <v>2</v>
      </c>
      <c r="O2515" s="47">
        <v>0</v>
      </c>
      <c r="P2515" s="47">
        <v>0</v>
      </c>
      <c r="Q2515" s="47">
        <v>0</v>
      </c>
      <c r="R2515" s="47">
        <v>0</v>
      </c>
      <c r="S2515" s="48">
        <v>10</v>
      </c>
      <c r="T2515" s="47">
        <v>1</v>
      </c>
      <c r="U2515" s="47">
        <v>0</v>
      </c>
      <c r="V2515" s="47">
        <v>0</v>
      </c>
      <c r="W2515" s="47">
        <v>13500</v>
      </c>
      <c r="X2515" s="47">
        <v>377</v>
      </c>
      <c r="Y2515" s="47"/>
      <c r="Z2515" s="47" t="s">
        <v>3618</v>
      </c>
      <c r="AA2515" s="49"/>
      <c r="AB2515" s="49"/>
      <c r="AC2515" s="49"/>
      <c r="AD2515" s="50"/>
      <c r="AE2515" s="47" t="s">
        <v>3798</v>
      </c>
      <c r="AF2515" s="47">
        <v>200</v>
      </c>
      <c r="AG2515"/>
      <c r="AH2515"/>
      <c r="AI2515"/>
      <c r="AJ2515"/>
      <c r="AK2515"/>
      <c r="AL2515"/>
      <c r="AM2515"/>
      <c r="AN2515"/>
      <c r="AO2515"/>
      <c r="AP2515"/>
      <c r="AQ2515" t="s">
        <v>2526</v>
      </c>
      <c r="AU2515">
        <v>2514</v>
      </c>
    </row>
    <row r="2516" spans="1:47" x14ac:dyDescent="0.2">
      <c r="A2516" s="37">
        <v>6568</v>
      </c>
      <c r="B2516" s="38" t="s">
        <v>85</v>
      </c>
      <c r="C2516" s="39" t="s">
        <v>1234</v>
      </c>
      <c r="D2516" s="29"/>
      <c r="E2516" s="38" t="s">
        <v>3911</v>
      </c>
      <c r="F2516" s="32" t="s">
        <v>150</v>
      </c>
      <c r="G2516" s="47" t="s">
        <v>49</v>
      </c>
      <c r="H2516"/>
      <c r="I2516" s="32" t="s">
        <v>3912</v>
      </c>
      <c r="J2516" s="47"/>
      <c r="K2516" s="47">
        <f>420*2.2</f>
        <v>924.00000000000011</v>
      </c>
      <c r="L2516" s="48"/>
      <c r="M2516" s="47"/>
      <c r="N2516" s="47"/>
      <c r="O2516" s="47"/>
      <c r="P2516" s="47"/>
      <c r="Q2516" s="47"/>
      <c r="R2516" s="47"/>
      <c r="S2516" s="48">
        <v>4</v>
      </c>
      <c r="T2516" s="47"/>
      <c r="U2516" s="47"/>
      <c r="V2516" s="47"/>
      <c r="W2516" s="47"/>
      <c r="X2516" s="47"/>
      <c r="Y2516" s="47"/>
      <c r="Z2516" s="47" t="s">
        <v>1809</v>
      </c>
      <c r="AA2516" s="49"/>
      <c r="AB2516" s="49"/>
      <c r="AC2516" s="49"/>
      <c r="AD2516" s="50"/>
      <c r="AE2516" s="47" t="s">
        <v>1653</v>
      </c>
      <c r="AF2516" s="47">
        <v>85</v>
      </c>
      <c r="AG2516"/>
      <c r="AH2516"/>
      <c r="AI2516"/>
      <c r="AJ2516"/>
      <c r="AK2516"/>
      <c r="AL2516"/>
      <c r="AM2516"/>
      <c r="AN2516"/>
      <c r="AO2516"/>
      <c r="AP2516"/>
      <c r="AQ2516" t="s">
        <v>3840</v>
      </c>
      <c r="AU2516">
        <v>2515</v>
      </c>
    </row>
    <row r="2517" spans="1:47" x14ac:dyDescent="0.2">
      <c r="A2517" s="13">
        <v>6568</v>
      </c>
      <c r="B2517" s="57" t="s">
        <v>85</v>
      </c>
      <c r="C2517" s="57" t="s">
        <v>1234</v>
      </c>
      <c r="D2517" s="29"/>
      <c r="E2517" s="57" t="s">
        <v>3726</v>
      </c>
      <c r="F2517" s="31" t="s">
        <v>3727</v>
      </c>
      <c r="G2517" s="31" t="s">
        <v>69</v>
      </c>
      <c r="I2517" s="31" t="s">
        <v>3913</v>
      </c>
      <c r="K2517" s="63"/>
      <c r="Z2517" s="47" t="s">
        <v>1809</v>
      </c>
      <c r="AE2517" s="47" t="s">
        <v>1653</v>
      </c>
      <c r="AQ2517" s="32" t="s">
        <v>3890</v>
      </c>
      <c r="AU2517">
        <v>2516</v>
      </c>
    </row>
    <row r="2518" spans="1:47" x14ac:dyDescent="0.2">
      <c r="A2518" s="13">
        <v>6568</v>
      </c>
      <c r="B2518" s="57" t="s">
        <v>85</v>
      </c>
      <c r="C2518" s="57" t="s">
        <v>1077</v>
      </c>
      <c r="D2518" s="29"/>
      <c r="E2518" s="57" t="s">
        <v>3914</v>
      </c>
      <c r="F2518" s="31" t="s">
        <v>2343</v>
      </c>
      <c r="G2518" s="31" t="s">
        <v>69</v>
      </c>
      <c r="K2518" s="31">
        <v>264</v>
      </c>
      <c r="Z2518" s="31" t="s">
        <v>3724</v>
      </c>
      <c r="AK2518" s="32">
        <v>6</v>
      </c>
      <c r="AQ2518" s="32" t="s">
        <v>3890</v>
      </c>
      <c r="AU2518">
        <v>2517</v>
      </c>
    </row>
    <row r="2519" spans="1:47" x14ac:dyDescent="0.2">
      <c r="A2519" s="26">
        <v>6568</v>
      </c>
      <c r="B2519" s="27">
        <v>3.4722222222222224E-2</v>
      </c>
      <c r="C2519" s="28"/>
      <c r="D2519" s="29"/>
      <c r="E2519" s="30" t="s">
        <v>631</v>
      </c>
      <c r="H2519" s="32">
        <v>1</v>
      </c>
      <c r="I2519" s="32" t="s">
        <v>3915</v>
      </c>
      <c r="AG2519" s="32">
        <v>0</v>
      </c>
      <c r="AH2519" s="32">
        <v>0</v>
      </c>
      <c r="AK2519" s="32">
        <v>2</v>
      </c>
      <c r="AL2519" s="32">
        <v>0.5</v>
      </c>
      <c r="AO2519" s="32" t="s">
        <v>633</v>
      </c>
      <c r="AP2519" s="32">
        <v>0.5</v>
      </c>
      <c r="AQ2519" s="32">
        <v>463</v>
      </c>
      <c r="AU2519">
        <v>2518</v>
      </c>
    </row>
    <row r="2520" spans="1:47" x14ac:dyDescent="0.2">
      <c r="A2520" s="26">
        <v>6568</v>
      </c>
      <c r="B2520" s="27">
        <v>0.52638888888888891</v>
      </c>
      <c r="C2520" s="28"/>
      <c r="D2520" s="29"/>
      <c r="E2520" s="30" t="s">
        <v>869</v>
      </c>
      <c r="H2520" s="32">
        <v>0</v>
      </c>
      <c r="I2520" s="32" t="s">
        <v>3916</v>
      </c>
      <c r="AG2520" s="32">
        <v>0</v>
      </c>
      <c r="AH2520" s="32">
        <v>0</v>
      </c>
      <c r="AI2520" s="32">
        <v>0</v>
      </c>
      <c r="AK2520" s="32">
        <v>0</v>
      </c>
      <c r="AL2520" s="32">
        <v>1.5</v>
      </c>
      <c r="AP2520" s="32">
        <v>1.5</v>
      </c>
      <c r="AQ2520" s="32" t="s">
        <v>589</v>
      </c>
      <c r="AU2520">
        <v>2519</v>
      </c>
    </row>
    <row r="2521" spans="1:47" x14ac:dyDescent="0.2">
      <c r="A2521" s="26">
        <v>6568</v>
      </c>
      <c r="B2521" s="27">
        <v>0.55694444444444446</v>
      </c>
      <c r="C2521" s="28"/>
      <c r="D2521" s="29"/>
      <c r="E2521" s="30" t="s">
        <v>3155</v>
      </c>
      <c r="H2521" s="32">
        <v>0</v>
      </c>
      <c r="I2521" s="32" t="s">
        <v>3156</v>
      </c>
      <c r="AG2521" s="32">
        <v>0</v>
      </c>
      <c r="AH2521" s="32">
        <v>0</v>
      </c>
      <c r="AI2521" s="32">
        <v>0</v>
      </c>
      <c r="AK2521" s="32">
        <v>0</v>
      </c>
      <c r="AP2521" s="32">
        <f>18/60</f>
        <v>0.3</v>
      </c>
      <c r="AQ2521" s="32" t="s">
        <v>1101</v>
      </c>
      <c r="AU2521">
        <v>2520</v>
      </c>
    </row>
    <row r="2522" spans="1:47" x14ac:dyDescent="0.2">
      <c r="A2522" s="26">
        <v>6568</v>
      </c>
      <c r="B2522" s="27"/>
      <c r="C2522" s="28"/>
      <c r="D2522" s="29"/>
      <c r="E2522" s="30" t="s">
        <v>3909</v>
      </c>
      <c r="H2522" s="32">
        <v>1</v>
      </c>
      <c r="I2522" s="32" t="s">
        <v>3917</v>
      </c>
      <c r="AG2522" s="32">
        <v>2</v>
      </c>
      <c r="AH2522" s="32">
        <v>12</v>
      </c>
      <c r="AI2522" s="32">
        <v>34000</v>
      </c>
      <c r="AQ2522" s="32" t="s">
        <v>3918</v>
      </c>
      <c r="AU2522">
        <v>2521</v>
      </c>
    </row>
    <row r="2523" spans="1:47" x14ac:dyDescent="0.2">
      <c r="A2523" s="13">
        <v>6570</v>
      </c>
      <c r="B2523" s="57" t="s">
        <v>85</v>
      </c>
      <c r="C2523" s="57" t="s">
        <v>1077</v>
      </c>
      <c r="D2523" s="29"/>
      <c r="E2523" s="57" t="s">
        <v>1764</v>
      </c>
      <c r="F2523" s="31" t="s">
        <v>3919</v>
      </c>
      <c r="G2523" s="31" t="s">
        <v>481</v>
      </c>
      <c r="I2523" s="31" t="s">
        <v>3602</v>
      </c>
      <c r="K2523" s="31">
        <v>396</v>
      </c>
      <c r="Z2523" s="31" t="s">
        <v>3724</v>
      </c>
      <c r="AK2523" s="32">
        <v>8</v>
      </c>
      <c r="AQ2523" s="32" t="s">
        <v>3890</v>
      </c>
      <c r="AU2523">
        <v>2522</v>
      </c>
    </row>
    <row r="2524" spans="1:47" x14ac:dyDescent="0.2">
      <c r="A2524" s="13">
        <v>6570</v>
      </c>
      <c r="B2524" s="57" t="s">
        <v>85</v>
      </c>
      <c r="C2524" s="57" t="s">
        <v>1077</v>
      </c>
      <c r="D2524" s="29"/>
      <c r="E2524" s="57" t="s">
        <v>3604</v>
      </c>
      <c r="F2524" s="31" t="s">
        <v>76</v>
      </c>
      <c r="G2524" s="31" t="s">
        <v>49</v>
      </c>
      <c r="I2524" s="31" t="s">
        <v>3602</v>
      </c>
      <c r="K2524" s="31">
        <v>693</v>
      </c>
      <c r="Z2524" s="31" t="s">
        <v>3724</v>
      </c>
      <c r="AK2524" s="32">
        <v>14</v>
      </c>
      <c r="AQ2524" s="32" t="s">
        <v>3890</v>
      </c>
      <c r="AU2524">
        <v>2523</v>
      </c>
    </row>
    <row r="2525" spans="1:47" x14ac:dyDescent="0.2">
      <c r="A2525" s="37">
        <v>6570</v>
      </c>
      <c r="B2525" s="38" t="s">
        <v>45</v>
      </c>
      <c r="C2525" s="39" t="s">
        <v>142</v>
      </c>
      <c r="D2525" s="29"/>
      <c r="E2525" s="38" t="s">
        <v>3920</v>
      </c>
      <c r="F2525" s="32" t="s">
        <v>2539</v>
      </c>
      <c r="G2525" s="31" t="s">
        <v>49</v>
      </c>
      <c r="H2525" s="32"/>
      <c r="I2525" s="32" t="s">
        <v>3921</v>
      </c>
      <c r="K2525" s="31">
        <f>132*20*2.2</f>
        <v>5808.0000000000009</v>
      </c>
      <c r="L2525" s="33">
        <v>16</v>
      </c>
      <c r="S2525" s="33">
        <v>16</v>
      </c>
      <c r="T2525" s="31">
        <v>0</v>
      </c>
      <c r="U2525" s="31">
        <v>0</v>
      </c>
      <c r="V2525" s="31">
        <v>0</v>
      </c>
      <c r="Y2525" s="31" t="s">
        <v>51</v>
      </c>
      <c r="Z2525" s="31" t="s">
        <v>3724</v>
      </c>
      <c r="AE2525" s="47" t="s">
        <v>2470</v>
      </c>
      <c r="AK2525" s="32">
        <v>132</v>
      </c>
      <c r="AQ2525" s="32" t="s">
        <v>3922</v>
      </c>
      <c r="AU2525">
        <v>2524</v>
      </c>
    </row>
    <row r="2526" spans="1:47" x14ac:dyDescent="0.2">
      <c r="A2526" s="13">
        <v>6570</v>
      </c>
      <c r="B2526" s="57" t="s">
        <v>45</v>
      </c>
      <c r="C2526" s="57" t="s">
        <v>1367</v>
      </c>
      <c r="D2526" s="29"/>
      <c r="E2526" s="57" t="s">
        <v>3603</v>
      </c>
      <c r="F2526" s="31" t="s">
        <v>3923</v>
      </c>
      <c r="G2526" s="31" t="s">
        <v>49</v>
      </c>
      <c r="K2526" s="31">
        <v>660</v>
      </c>
      <c r="AE2526" s="47" t="s">
        <v>342</v>
      </c>
      <c r="AF2526" s="31">
        <v>35</v>
      </c>
      <c r="AK2526" s="32">
        <v>6</v>
      </c>
      <c r="AQ2526" s="32" t="s">
        <v>3890</v>
      </c>
      <c r="AU2526">
        <v>2525</v>
      </c>
    </row>
    <row r="2527" spans="1:47" x14ac:dyDescent="0.2">
      <c r="A2527" s="13">
        <v>6570</v>
      </c>
      <c r="B2527" s="57" t="s">
        <v>45</v>
      </c>
      <c r="C2527" s="57" t="s">
        <v>1367</v>
      </c>
      <c r="D2527" s="29"/>
      <c r="E2527" s="57" t="s">
        <v>3924</v>
      </c>
      <c r="F2527" s="31" t="s">
        <v>2343</v>
      </c>
      <c r="G2527" s="31" t="s">
        <v>69</v>
      </c>
      <c r="K2527" s="31">
        <v>1100</v>
      </c>
      <c r="AE2527" s="47" t="s">
        <v>342</v>
      </c>
      <c r="AF2527" s="31">
        <v>65</v>
      </c>
      <c r="AK2527" s="32">
        <v>16</v>
      </c>
      <c r="AQ2527" s="32" t="s">
        <v>3890</v>
      </c>
      <c r="AU2527">
        <v>2526</v>
      </c>
    </row>
    <row r="2528" spans="1:47" x14ac:dyDescent="0.2">
      <c r="A2528" s="13">
        <v>6570</v>
      </c>
      <c r="B2528" s="57" t="s">
        <v>45</v>
      </c>
      <c r="C2528" s="38" t="s">
        <v>3610</v>
      </c>
      <c r="D2528" s="29"/>
      <c r="E2528" s="166" t="s">
        <v>512</v>
      </c>
      <c r="F2528" s="19" t="s">
        <v>3276</v>
      </c>
      <c r="G2528" s="19" t="s">
        <v>49</v>
      </c>
      <c r="I2528" s="19" t="s">
        <v>3925</v>
      </c>
      <c r="K2528" s="31">
        <f>30*10*2.2</f>
        <v>660</v>
      </c>
      <c r="L2528" s="33">
        <v>3</v>
      </c>
      <c r="M2528" s="31">
        <v>2</v>
      </c>
      <c r="S2528" s="33">
        <v>1</v>
      </c>
      <c r="T2528" s="31">
        <v>0</v>
      </c>
      <c r="U2528" s="31">
        <v>0</v>
      </c>
      <c r="V2528" s="31">
        <v>0</v>
      </c>
      <c r="W2528" s="47">
        <f>1500*39.37/12</f>
        <v>4921.2499999999991</v>
      </c>
      <c r="Y2528" s="19" t="s">
        <v>51</v>
      </c>
      <c r="Z2528" s="19" t="s">
        <v>1846</v>
      </c>
      <c r="AD2528" s="35">
        <f>1+25/60</f>
        <v>1.4166666666666667</v>
      </c>
      <c r="AE2528" s="47" t="s">
        <v>342</v>
      </c>
      <c r="AF2528" s="31">
        <v>35</v>
      </c>
      <c r="AK2528" s="32">
        <v>30</v>
      </c>
      <c r="AQ2528" s="18" t="s">
        <v>3926</v>
      </c>
      <c r="AU2528">
        <v>2527</v>
      </c>
    </row>
    <row r="2529" spans="1:47" x14ac:dyDescent="0.2">
      <c r="A2529" s="13">
        <v>6570</v>
      </c>
      <c r="B2529" s="57" t="s">
        <v>45</v>
      </c>
      <c r="C2529" s="57" t="s">
        <v>105</v>
      </c>
      <c r="D2529" s="29"/>
      <c r="E2529" s="57" t="s">
        <v>3063</v>
      </c>
      <c r="F2529" s="31" t="s">
        <v>76</v>
      </c>
      <c r="G2529" s="31" t="s">
        <v>49</v>
      </c>
      <c r="I2529" s="31" t="s">
        <v>3602</v>
      </c>
      <c r="K2529" s="31">
        <v>1144</v>
      </c>
      <c r="AK2529" s="32">
        <v>32</v>
      </c>
      <c r="AQ2529" s="32" t="s">
        <v>3890</v>
      </c>
      <c r="AU2529">
        <v>2528</v>
      </c>
    </row>
    <row r="2530" spans="1:47" x14ac:dyDescent="0.2">
      <c r="A2530" s="26">
        <v>6570</v>
      </c>
      <c r="B2530" s="27">
        <v>0.9375</v>
      </c>
      <c r="C2530" s="28"/>
      <c r="D2530" s="29"/>
      <c r="E2530" s="30" t="s">
        <v>464</v>
      </c>
      <c r="H2530" s="32">
        <v>0</v>
      </c>
      <c r="I2530" s="32" t="s">
        <v>3927</v>
      </c>
      <c r="AG2530" s="32">
        <v>0</v>
      </c>
      <c r="AH2530" s="32">
        <v>0</v>
      </c>
      <c r="AL2530" s="32">
        <v>1.333</v>
      </c>
      <c r="AO2530" s="32" t="s">
        <v>1898</v>
      </c>
      <c r="AP2530" s="32">
        <v>1.333</v>
      </c>
      <c r="AQ2530" s="32" t="s">
        <v>1522</v>
      </c>
      <c r="AU2530">
        <v>2529</v>
      </c>
    </row>
    <row r="2531" spans="1:47" x14ac:dyDescent="0.2">
      <c r="A2531" s="26">
        <v>6570</v>
      </c>
      <c r="B2531" s="27">
        <v>0.94097222222222221</v>
      </c>
      <c r="C2531" s="28"/>
      <c r="D2531" s="29"/>
      <c r="E2531" s="30" t="s">
        <v>1282</v>
      </c>
      <c r="H2531" s="32">
        <v>0</v>
      </c>
      <c r="I2531" s="32" t="s">
        <v>3928</v>
      </c>
      <c r="AG2531" s="32">
        <v>0</v>
      </c>
      <c r="AH2531" s="32">
        <v>0</v>
      </c>
      <c r="AI2531" s="32">
        <v>0</v>
      </c>
      <c r="AK2531" s="32">
        <v>0</v>
      </c>
      <c r="AL2531" s="32">
        <f>1+35/60</f>
        <v>1.5833333333333335</v>
      </c>
      <c r="AP2531" s="32">
        <v>0.75</v>
      </c>
      <c r="AQ2531" s="32" t="s">
        <v>1101</v>
      </c>
      <c r="AU2531">
        <v>2530</v>
      </c>
    </row>
    <row r="2532" spans="1:47" x14ac:dyDescent="0.2">
      <c r="A2532" s="26">
        <v>6570</v>
      </c>
      <c r="B2532" s="27" t="s">
        <v>85</v>
      </c>
      <c r="C2532" s="28"/>
      <c r="D2532" s="29"/>
      <c r="E2532" s="30" t="s">
        <v>1285</v>
      </c>
      <c r="H2532" s="32">
        <v>1</v>
      </c>
      <c r="I2532" s="32" t="s">
        <v>3929</v>
      </c>
      <c r="AI2532" s="32">
        <v>33</v>
      </c>
      <c r="AM2532" s="32">
        <v>9495</v>
      </c>
      <c r="AO2532" s="32" t="s">
        <v>472</v>
      </c>
      <c r="AQ2532" s="32" t="s">
        <v>589</v>
      </c>
      <c r="AU2532">
        <v>2531</v>
      </c>
    </row>
    <row r="2533" spans="1:47" x14ac:dyDescent="0.2">
      <c r="A2533" s="13">
        <v>6571</v>
      </c>
      <c r="B2533" s="57" t="s">
        <v>85</v>
      </c>
      <c r="C2533" s="57" t="s">
        <v>1234</v>
      </c>
      <c r="D2533" s="29"/>
      <c r="E2533" s="57" t="s">
        <v>3726</v>
      </c>
      <c r="F2533" s="31" t="s">
        <v>3727</v>
      </c>
      <c r="G2533" s="31" t="s">
        <v>69</v>
      </c>
      <c r="I2533" s="31" t="s">
        <v>3930</v>
      </c>
      <c r="K2533" s="63"/>
      <c r="Z2533" s="47" t="s">
        <v>1809</v>
      </c>
      <c r="AE2533" s="47" t="s">
        <v>1653</v>
      </c>
      <c r="AQ2533" s="32" t="s">
        <v>3890</v>
      </c>
      <c r="AU2533">
        <v>2532</v>
      </c>
    </row>
    <row r="2534" spans="1:47" x14ac:dyDescent="0.2">
      <c r="A2534" s="26">
        <v>6571</v>
      </c>
      <c r="B2534" s="27">
        <v>1.3888888888888888E-2</v>
      </c>
      <c r="C2534" s="28"/>
      <c r="D2534" s="29"/>
      <c r="E2534" s="30" t="s">
        <v>464</v>
      </c>
      <c r="H2534" s="32">
        <v>1</v>
      </c>
      <c r="I2534" s="32" t="s">
        <v>3931</v>
      </c>
      <c r="AG2534" s="32">
        <v>0</v>
      </c>
      <c r="AH2534" s="32">
        <v>0</v>
      </c>
      <c r="AL2534" s="32">
        <f>70/60</f>
        <v>1.1666666666666667</v>
      </c>
      <c r="AO2534" s="32" t="s">
        <v>1898</v>
      </c>
      <c r="AP2534" s="32">
        <f>70/60</f>
        <v>1.1666666666666667</v>
      </c>
      <c r="AQ2534" s="32" t="s">
        <v>3652</v>
      </c>
      <c r="AU2534">
        <v>2533</v>
      </c>
    </row>
    <row r="2535" spans="1:47" x14ac:dyDescent="0.2">
      <c r="A2535" s="13">
        <v>6572</v>
      </c>
      <c r="B2535" s="57" t="s">
        <v>85</v>
      </c>
      <c r="C2535" s="57" t="s">
        <v>1077</v>
      </c>
      <c r="D2535" s="29"/>
      <c r="E2535" s="57" t="s">
        <v>3604</v>
      </c>
      <c r="F2535" s="31" t="s">
        <v>76</v>
      </c>
      <c r="G2535" s="31" t="s">
        <v>49</v>
      </c>
      <c r="I2535" s="31" t="s">
        <v>3602</v>
      </c>
      <c r="K2535" s="31">
        <v>462</v>
      </c>
      <c r="Z2535" s="31" t="s">
        <v>3724</v>
      </c>
      <c r="AK2535" s="32">
        <v>10</v>
      </c>
      <c r="AQ2535" s="32" t="s">
        <v>3890</v>
      </c>
      <c r="AU2535">
        <v>2534</v>
      </c>
    </row>
    <row r="2536" spans="1:47" x14ac:dyDescent="0.2">
      <c r="A2536" s="13">
        <v>6572</v>
      </c>
      <c r="B2536" s="57" t="s">
        <v>85</v>
      </c>
      <c r="C2536" s="57" t="s">
        <v>1077</v>
      </c>
      <c r="D2536" s="29"/>
      <c r="E2536" s="57" t="s">
        <v>3666</v>
      </c>
      <c r="F2536" s="31" t="s">
        <v>76</v>
      </c>
      <c r="G2536" s="31" t="s">
        <v>49</v>
      </c>
      <c r="I2536" s="31" t="s">
        <v>3602</v>
      </c>
      <c r="K2536" s="31">
        <v>1452</v>
      </c>
      <c r="Z2536" s="31" t="s">
        <v>3724</v>
      </c>
      <c r="AK2536" s="32">
        <v>32</v>
      </c>
      <c r="AQ2536" s="32" t="s">
        <v>3890</v>
      </c>
      <c r="AU2536">
        <v>2535</v>
      </c>
    </row>
    <row r="2537" spans="1:47" x14ac:dyDescent="0.2">
      <c r="A2537" s="13">
        <v>6572</v>
      </c>
      <c r="B2537" s="57" t="s">
        <v>85</v>
      </c>
      <c r="C2537" s="57" t="s">
        <v>1234</v>
      </c>
      <c r="D2537" s="29"/>
      <c r="E2537" s="57" t="s">
        <v>3726</v>
      </c>
      <c r="F2537" s="31" t="s">
        <v>3727</v>
      </c>
      <c r="G2537" s="31" t="s">
        <v>69</v>
      </c>
      <c r="I2537" s="31" t="s">
        <v>3930</v>
      </c>
      <c r="K2537" s="63"/>
      <c r="Z2537" s="47" t="s">
        <v>1809</v>
      </c>
      <c r="AE2537" s="47" t="s">
        <v>1653</v>
      </c>
      <c r="AQ2537" s="32" t="s">
        <v>3890</v>
      </c>
      <c r="AU2537">
        <v>2536</v>
      </c>
    </row>
    <row r="2538" spans="1:47" x14ac:dyDescent="0.2">
      <c r="A2538" s="13">
        <v>6572</v>
      </c>
      <c r="B2538" s="57" t="s">
        <v>45</v>
      </c>
      <c r="C2538" s="57" t="s">
        <v>142</v>
      </c>
      <c r="D2538" s="29"/>
      <c r="E2538" s="57" t="s">
        <v>3932</v>
      </c>
      <c r="F2538" s="31" t="s">
        <v>76</v>
      </c>
      <c r="G2538" s="31" t="s">
        <v>49</v>
      </c>
      <c r="I2538" s="47" t="b">
        <v>1</v>
      </c>
      <c r="J2538" s="47" t="b">
        <v>1</v>
      </c>
      <c r="K2538" s="19">
        <f>(54*20+56*10)*2.2</f>
        <v>3608.0000000000005</v>
      </c>
      <c r="L2538" s="33">
        <v>11</v>
      </c>
      <c r="S2538" s="33">
        <v>11</v>
      </c>
      <c r="T2538" s="31">
        <v>1</v>
      </c>
      <c r="U2538" s="31">
        <v>0</v>
      </c>
      <c r="V2538" s="31">
        <v>0</v>
      </c>
      <c r="Y2538" s="31" t="s">
        <v>51</v>
      </c>
      <c r="Z2538" s="31" t="s">
        <v>3724</v>
      </c>
      <c r="AE2538" s="47" t="s">
        <v>2470</v>
      </c>
      <c r="AK2538" s="32">
        <f>54+56</f>
        <v>110</v>
      </c>
      <c r="AQ2538" s="32" t="s">
        <v>3933</v>
      </c>
      <c r="AR2538" s="32" t="s">
        <v>3934</v>
      </c>
      <c r="AU2538">
        <v>2537</v>
      </c>
    </row>
    <row r="2539" spans="1:47" x14ac:dyDescent="0.2">
      <c r="A2539" s="13">
        <v>6572</v>
      </c>
      <c r="B2539" s="57" t="s">
        <v>45</v>
      </c>
      <c r="C2539" s="57" t="s">
        <v>142</v>
      </c>
      <c r="D2539" s="29"/>
      <c r="E2539" s="57" t="s">
        <v>3885</v>
      </c>
      <c r="F2539" s="31" t="s">
        <v>76</v>
      </c>
      <c r="G2539" s="31" t="s">
        <v>49</v>
      </c>
      <c r="I2539" s="47" t="b">
        <v>0</v>
      </c>
      <c r="J2539" s="47" t="b">
        <v>0</v>
      </c>
      <c r="K2539" s="31">
        <v>440</v>
      </c>
      <c r="AE2539" s="47" t="s">
        <v>2470</v>
      </c>
      <c r="AF2539" s="31">
        <v>50</v>
      </c>
      <c r="AK2539" s="32">
        <v>10</v>
      </c>
      <c r="AQ2539" s="32" t="s">
        <v>3933</v>
      </c>
      <c r="AR2539" s="32" t="s">
        <v>3935</v>
      </c>
      <c r="AU2539">
        <v>2538</v>
      </c>
    </row>
    <row r="2540" spans="1:47" x14ac:dyDescent="0.2">
      <c r="A2540" s="13">
        <v>6572</v>
      </c>
      <c r="B2540" s="57" t="s">
        <v>45</v>
      </c>
      <c r="C2540" s="57" t="s">
        <v>142</v>
      </c>
      <c r="D2540" s="29"/>
      <c r="E2540" s="57" t="s">
        <v>3936</v>
      </c>
      <c r="F2540" s="31" t="s">
        <v>76</v>
      </c>
      <c r="G2540" s="31" t="s">
        <v>49</v>
      </c>
      <c r="I2540" s="47" t="b">
        <v>0</v>
      </c>
      <c r="J2540" s="47" t="b">
        <v>0</v>
      </c>
      <c r="K2540" s="31">
        <v>704</v>
      </c>
      <c r="AE2540" s="47" t="s">
        <v>2470</v>
      </c>
      <c r="AF2540" s="31">
        <v>55</v>
      </c>
      <c r="AK2540" s="32">
        <v>24</v>
      </c>
      <c r="AQ2540" s="32" t="s">
        <v>3897</v>
      </c>
      <c r="AU2540">
        <v>2539</v>
      </c>
    </row>
    <row r="2541" spans="1:47" x14ac:dyDescent="0.2">
      <c r="A2541" s="13">
        <v>6572</v>
      </c>
      <c r="B2541" s="57" t="s">
        <v>45</v>
      </c>
      <c r="C2541" s="57" t="s">
        <v>142</v>
      </c>
      <c r="D2541" s="29"/>
      <c r="E2541" s="57" t="s">
        <v>3875</v>
      </c>
      <c r="F2541" s="31" t="s">
        <v>76</v>
      </c>
      <c r="G2541" s="31" t="s">
        <v>49</v>
      </c>
      <c r="I2541" s="47" t="b">
        <v>0</v>
      </c>
      <c r="J2541" s="47" t="b">
        <v>0</v>
      </c>
      <c r="K2541" s="31">
        <v>880</v>
      </c>
      <c r="AE2541" s="47" t="s">
        <v>2470</v>
      </c>
      <c r="AF2541" s="31">
        <v>55</v>
      </c>
      <c r="AK2541" s="32">
        <v>40</v>
      </c>
      <c r="AQ2541" s="32" t="s">
        <v>3933</v>
      </c>
      <c r="AR2541" s="32" t="s">
        <v>3937</v>
      </c>
      <c r="AU2541">
        <v>2540</v>
      </c>
    </row>
    <row r="2542" spans="1:47" x14ac:dyDescent="0.2">
      <c r="A2542" s="13">
        <v>6572</v>
      </c>
      <c r="B2542" s="57" t="s">
        <v>45</v>
      </c>
      <c r="C2542" s="57" t="s">
        <v>142</v>
      </c>
      <c r="D2542" s="29"/>
      <c r="E2542" s="57" t="s">
        <v>3884</v>
      </c>
      <c r="F2542" s="31" t="s">
        <v>76</v>
      </c>
      <c r="G2542" s="31" t="s">
        <v>49</v>
      </c>
      <c r="I2542" s="47" t="b">
        <v>0</v>
      </c>
      <c r="J2542" s="47" t="b">
        <v>0</v>
      </c>
      <c r="K2542" s="31">
        <v>1584</v>
      </c>
      <c r="AE2542" s="47" t="s">
        <v>2470</v>
      </c>
      <c r="AF2542" s="31">
        <v>85</v>
      </c>
      <c r="AK2542" s="32">
        <v>36</v>
      </c>
      <c r="AQ2542" s="32" t="s">
        <v>3897</v>
      </c>
      <c r="AU2542">
        <v>2541</v>
      </c>
    </row>
    <row r="2543" spans="1:47" x14ac:dyDescent="0.2">
      <c r="A2543" s="13">
        <v>6572</v>
      </c>
      <c r="B2543" s="57" t="s">
        <v>45</v>
      </c>
      <c r="C2543" s="57" t="s">
        <v>1367</v>
      </c>
      <c r="D2543" s="29"/>
      <c r="E2543" s="57" t="s">
        <v>3938</v>
      </c>
      <c r="F2543" s="31" t="s">
        <v>2343</v>
      </c>
      <c r="G2543" s="31" t="s">
        <v>69</v>
      </c>
      <c r="K2543" s="31">
        <v>9075</v>
      </c>
      <c r="AE2543" s="47" t="s">
        <v>342</v>
      </c>
      <c r="AF2543" s="31">
        <v>25</v>
      </c>
      <c r="AK2543" s="32">
        <v>102</v>
      </c>
      <c r="AQ2543" s="32" t="s">
        <v>3890</v>
      </c>
      <c r="AU2543">
        <v>2542</v>
      </c>
    </row>
    <row r="2544" spans="1:47" x14ac:dyDescent="0.2">
      <c r="A2544" s="13">
        <v>6572</v>
      </c>
      <c r="B2544" s="57" t="s">
        <v>45</v>
      </c>
      <c r="C2544" s="38" t="s">
        <v>3610</v>
      </c>
      <c r="D2544" s="29"/>
      <c r="E2544" s="166" t="s">
        <v>3939</v>
      </c>
      <c r="F2544" s="19" t="s">
        <v>340</v>
      </c>
      <c r="G2544" s="19" t="s">
        <v>49</v>
      </c>
      <c r="I2544" s="47" t="b">
        <v>1</v>
      </c>
      <c r="J2544" s="47" t="b">
        <v>1</v>
      </c>
      <c r="K2544" s="31">
        <f>3*30*10*2.2+6*50*2.2</f>
        <v>2640</v>
      </c>
      <c r="L2544" s="33">
        <v>5</v>
      </c>
      <c r="N2544" s="31">
        <v>1</v>
      </c>
      <c r="S2544" s="33">
        <v>4</v>
      </c>
      <c r="T2544" s="31">
        <v>0</v>
      </c>
      <c r="U2544" s="31">
        <v>0</v>
      </c>
      <c r="V2544" s="31">
        <v>0</v>
      </c>
      <c r="W2544" s="47">
        <f>((2500+2000+2000+2200)/4)*39.37/12</f>
        <v>7135.8125</v>
      </c>
      <c r="Y2544" s="19" t="s">
        <v>51</v>
      </c>
      <c r="Z2544" s="19" t="s">
        <v>1846</v>
      </c>
      <c r="AD2544" s="35">
        <v>2</v>
      </c>
      <c r="AE2544" s="47" t="s">
        <v>342</v>
      </c>
      <c r="AF2544" s="31">
        <v>45</v>
      </c>
      <c r="AK2544" s="32">
        <f>30*3+6</f>
        <v>96</v>
      </c>
      <c r="AQ2544" s="171" t="s">
        <v>3926</v>
      </c>
      <c r="AR2544" s="18" t="s">
        <v>3940</v>
      </c>
      <c r="AU2544">
        <v>2543</v>
      </c>
    </row>
    <row r="2545" spans="1:47" x14ac:dyDescent="0.2">
      <c r="A2545" s="13">
        <v>6572</v>
      </c>
      <c r="B2545" s="57" t="s">
        <v>45</v>
      </c>
      <c r="C2545" s="38" t="s">
        <v>3610</v>
      </c>
      <c r="D2545" s="29"/>
      <c r="E2545" s="166" t="s">
        <v>3367</v>
      </c>
      <c r="F2545" s="19" t="s">
        <v>220</v>
      </c>
      <c r="G2545" s="19" t="s">
        <v>49</v>
      </c>
      <c r="I2545" s="47" t="b">
        <v>0</v>
      </c>
      <c r="J2545" s="47" t="b">
        <v>0</v>
      </c>
      <c r="K2545" s="31">
        <f>3*30*10*2.2</f>
        <v>1980.0000000000002</v>
      </c>
      <c r="S2545" s="33">
        <v>3</v>
      </c>
      <c r="W2545" s="47">
        <f>((2500+2000+2200)/3)*39.37/12</f>
        <v>7327.1944444444443</v>
      </c>
      <c r="Y2545" s="19" t="s">
        <v>51</v>
      </c>
      <c r="Z2545" s="19" t="s">
        <v>1846</v>
      </c>
      <c r="AD2545" s="35">
        <v>2</v>
      </c>
      <c r="AE2545" s="47" t="s">
        <v>342</v>
      </c>
      <c r="AF2545" s="31">
        <v>45</v>
      </c>
      <c r="AK2545" s="32">
        <f>30*3</f>
        <v>90</v>
      </c>
      <c r="AQ2545" s="171" t="s">
        <v>3926</v>
      </c>
      <c r="AR2545" s="18" t="s">
        <v>3941</v>
      </c>
      <c r="AU2545">
        <v>2544</v>
      </c>
    </row>
    <row r="2546" spans="1:47" x14ac:dyDescent="0.2">
      <c r="A2546" s="13">
        <v>6572</v>
      </c>
      <c r="B2546" s="57" t="s">
        <v>45</v>
      </c>
      <c r="C2546" s="38" t="s">
        <v>3610</v>
      </c>
      <c r="D2546" s="29"/>
      <c r="E2546" s="166" t="s">
        <v>512</v>
      </c>
      <c r="F2546" s="19" t="s">
        <v>220</v>
      </c>
      <c r="G2546" s="19" t="s">
        <v>49</v>
      </c>
      <c r="I2546" s="47" t="b">
        <v>0</v>
      </c>
      <c r="J2546" s="47" t="b">
        <v>0</v>
      </c>
      <c r="K2546" s="31">
        <f>6*50*2.2</f>
        <v>660</v>
      </c>
      <c r="S2546" s="33">
        <v>1</v>
      </c>
      <c r="W2546" s="47">
        <f>2000*39.37/12</f>
        <v>6561.666666666667</v>
      </c>
      <c r="Y2546" s="19" t="s">
        <v>51</v>
      </c>
      <c r="Z2546" s="19" t="s">
        <v>1846</v>
      </c>
      <c r="AD2546" s="35">
        <v>1.75</v>
      </c>
      <c r="AE2546" s="47" t="s">
        <v>342</v>
      </c>
      <c r="AF2546" s="31">
        <v>35</v>
      </c>
      <c r="AK2546" s="32">
        <v>6</v>
      </c>
      <c r="AQ2546" s="171" t="s">
        <v>3926</v>
      </c>
      <c r="AR2546" s="18" t="s">
        <v>3942</v>
      </c>
      <c r="AU2546">
        <v>2545</v>
      </c>
    </row>
    <row r="2547" spans="1:47" x14ac:dyDescent="0.2">
      <c r="A2547" s="13">
        <v>6572</v>
      </c>
      <c r="B2547" s="57" t="s">
        <v>45</v>
      </c>
      <c r="C2547" s="57" t="s">
        <v>332</v>
      </c>
      <c r="D2547" s="29"/>
      <c r="E2547" s="57" t="s">
        <v>3943</v>
      </c>
      <c r="F2547" s="31" t="s">
        <v>3637</v>
      </c>
      <c r="G2547" s="31" t="s">
        <v>69</v>
      </c>
      <c r="K2547" s="31">
        <v>57.2</v>
      </c>
      <c r="AK2547" s="32">
        <v>1</v>
      </c>
      <c r="AQ2547" s="32" t="s">
        <v>3897</v>
      </c>
      <c r="AU2547">
        <v>2546</v>
      </c>
    </row>
    <row r="2548" spans="1:47" x14ac:dyDescent="0.2">
      <c r="A2548" s="13">
        <v>6572</v>
      </c>
      <c r="B2548" s="57" t="s">
        <v>45</v>
      </c>
      <c r="C2548" s="57" t="s">
        <v>332</v>
      </c>
      <c r="D2548" s="29"/>
      <c r="E2548" s="57" t="s">
        <v>3944</v>
      </c>
      <c r="F2548" s="31" t="s">
        <v>3637</v>
      </c>
      <c r="G2548" s="31" t="s">
        <v>69</v>
      </c>
      <c r="K2548" s="31">
        <v>88</v>
      </c>
      <c r="AK2548" s="32">
        <v>4</v>
      </c>
      <c r="AQ2548" s="32" t="s">
        <v>3897</v>
      </c>
      <c r="AU2548">
        <v>2547</v>
      </c>
    </row>
    <row r="2549" spans="1:47" x14ac:dyDescent="0.2">
      <c r="A2549" s="13">
        <v>6572</v>
      </c>
      <c r="B2549" s="57" t="s">
        <v>45</v>
      </c>
      <c r="C2549" s="57" t="s">
        <v>332</v>
      </c>
      <c r="D2549" s="29"/>
      <c r="E2549" s="57" t="s">
        <v>3945</v>
      </c>
      <c r="F2549" s="31" t="s">
        <v>3637</v>
      </c>
      <c r="G2549" s="31" t="s">
        <v>69</v>
      </c>
      <c r="K2549" s="31">
        <v>171.6</v>
      </c>
      <c r="AK2549" s="32">
        <v>3</v>
      </c>
      <c r="AQ2549" s="32" t="s">
        <v>3897</v>
      </c>
      <c r="AU2549">
        <v>2548</v>
      </c>
    </row>
    <row r="2550" spans="1:47" x14ac:dyDescent="0.2">
      <c r="A2550" s="13">
        <v>6572</v>
      </c>
      <c r="B2550" s="57" t="s">
        <v>45</v>
      </c>
      <c r="C2550" s="57" t="s">
        <v>332</v>
      </c>
      <c r="D2550" s="29"/>
      <c r="E2550" s="57" t="s">
        <v>3946</v>
      </c>
      <c r="F2550" s="31" t="s">
        <v>76</v>
      </c>
      <c r="G2550" s="31" t="s">
        <v>49</v>
      </c>
      <c r="K2550" s="31">
        <v>224.4</v>
      </c>
      <c r="AK2550" s="32">
        <v>3</v>
      </c>
      <c r="AQ2550" s="32" t="s">
        <v>3897</v>
      </c>
      <c r="AU2550">
        <v>2549</v>
      </c>
    </row>
    <row r="2551" spans="1:47" x14ac:dyDescent="0.2">
      <c r="A2551" s="13">
        <v>6572</v>
      </c>
      <c r="B2551" s="57" t="s">
        <v>45</v>
      </c>
      <c r="C2551" s="57" t="s">
        <v>332</v>
      </c>
      <c r="D2551" s="29"/>
      <c r="E2551" s="57" t="s">
        <v>3947</v>
      </c>
      <c r="F2551" s="31" t="s">
        <v>3637</v>
      </c>
      <c r="G2551" s="31" t="s">
        <v>69</v>
      </c>
      <c r="K2551" s="31">
        <v>281.60000000000002</v>
      </c>
      <c r="AK2551" s="32">
        <v>4</v>
      </c>
      <c r="AQ2551" s="32" t="s">
        <v>3897</v>
      </c>
      <c r="AU2551">
        <v>2550</v>
      </c>
    </row>
    <row r="2552" spans="1:47" x14ac:dyDescent="0.2">
      <c r="A2552" s="13">
        <v>6572</v>
      </c>
      <c r="B2552" s="57" t="s">
        <v>45</v>
      </c>
      <c r="C2552" s="57" t="s">
        <v>332</v>
      </c>
      <c r="D2552" s="29"/>
      <c r="E2552" s="57" t="s">
        <v>3948</v>
      </c>
      <c r="F2552" s="31" t="s">
        <v>76</v>
      </c>
      <c r="G2552" s="31" t="s">
        <v>49</v>
      </c>
      <c r="K2552" s="31">
        <v>396</v>
      </c>
      <c r="AK2552" s="32">
        <v>6</v>
      </c>
      <c r="AQ2552" s="32" t="s">
        <v>3897</v>
      </c>
      <c r="AU2552">
        <v>2551</v>
      </c>
    </row>
    <row r="2553" spans="1:47" x14ac:dyDescent="0.2">
      <c r="A2553" s="13">
        <v>6572</v>
      </c>
      <c r="B2553" s="57" t="s">
        <v>45</v>
      </c>
      <c r="C2553" s="57" t="s">
        <v>332</v>
      </c>
      <c r="D2553" s="29"/>
      <c r="E2553" s="57" t="s">
        <v>3949</v>
      </c>
      <c r="F2553" s="31" t="s">
        <v>76</v>
      </c>
      <c r="G2553" s="31" t="s">
        <v>49</v>
      </c>
      <c r="K2553" s="31">
        <v>440</v>
      </c>
      <c r="AK2553" s="32">
        <v>12</v>
      </c>
      <c r="AQ2553" s="32" t="s">
        <v>3897</v>
      </c>
      <c r="AU2553">
        <v>2552</v>
      </c>
    </row>
    <row r="2554" spans="1:47" x14ac:dyDescent="0.2">
      <c r="A2554" s="13">
        <v>6572</v>
      </c>
      <c r="B2554" s="57" t="s">
        <v>45</v>
      </c>
      <c r="C2554" s="57" t="s">
        <v>332</v>
      </c>
      <c r="D2554" s="29"/>
      <c r="E2554" s="57" t="s">
        <v>3950</v>
      </c>
      <c r="F2554" s="31" t="s">
        <v>76</v>
      </c>
      <c r="G2554" s="31" t="s">
        <v>49</v>
      </c>
      <c r="K2554" s="31">
        <v>440</v>
      </c>
      <c r="AK2554" s="32">
        <v>12</v>
      </c>
      <c r="AQ2554" s="32" t="s">
        <v>3897</v>
      </c>
      <c r="AU2554">
        <v>2553</v>
      </c>
    </row>
    <row r="2555" spans="1:47" x14ac:dyDescent="0.2">
      <c r="A2555" s="13">
        <v>6572</v>
      </c>
      <c r="B2555" s="57" t="s">
        <v>45</v>
      </c>
      <c r="C2555" s="57" t="s">
        <v>332</v>
      </c>
      <c r="D2555" s="29"/>
      <c r="E2555" s="57" t="s">
        <v>2668</v>
      </c>
      <c r="F2555" s="31" t="s">
        <v>76</v>
      </c>
      <c r="G2555" s="31" t="s">
        <v>49</v>
      </c>
      <c r="K2555" s="31">
        <v>440</v>
      </c>
      <c r="AK2555" s="32">
        <v>12</v>
      </c>
      <c r="AQ2555" s="32" t="s">
        <v>3897</v>
      </c>
      <c r="AU2555">
        <v>2554</v>
      </c>
    </row>
    <row r="2556" spans="1:47" x14ac:dyDescent="0.2">
      <c r="A2556" s="13">
        <v>6572</v>
      </c>
      <c r="B2556" s="57" t="s">
        <v>45</v>
      </c>
      <c r="C2556" s="57" t="s">
        <v>332</v>
      </c>
      <c r="D2556" s="29"/>
      <c r="E2556" s="57" t="s">
        <v>3951</v>
      </c>
      <c r="F2556" s="31" t="s">
        <v>76</v>
      </c>
      <c r="G2556" s="31" t="s">
        <v>49</v>
      </c>
      <c r="K2556" s="31">
        <v>440</v>
      </c>
      <c r="AK2556" s="32">
        <v>12</v>
      </c>
      <c r="AQ2556" s="32" t="s">
        <v>3897</v>
      </c>
      <c r="AU2556">
        <v>2555</v>
      </c>
    </row>
    <row r="2557" spans="1:47" x14ac:dyDescent="0.2">
      <c r="A2557" s="13">
        <v>6572</v>
      </c>
      <c r="B2557" s="57" t="s">
        <v>45</v>
      </c>
      <c r="C2557" s="57" t="s">
        <v>332</v>
      </c>
      <c r="D2557" s="29"/>
      <c r="E2557" s="57" t="s">
        <v>3952</v>
      </c>
      <c r="F2557" s="31" t="s">
        <v>3637</v>
      </c>
      <c r="G2557" s="31" t="s">
        <v>69</v>
      </c>
      <c r="K2557" s="31">
        <v>440</v>
      </c>
      <c r="AK2557" s="32">
        <v>12</v>
      </c>
      <c r="AQ2557" s="32" t="s">
        <v>3897</v>
      </c>
      <c r="AU2557">
        <v>2556</v>
      </c>
    </row>
    <row r="2558" spans="1:47" x14ac:dyDescent="0.2">
      <c r="A2558" s="13">
        <v>6572</v>
      </c>
      <c r="B2558" s="57" t="s">
        <v>45</v>
      </c>
      <c r="C2558" s="57" t="s">
        <v>332</v>
      </c>
      <c r="D2558" s="29"/>
      <c r="E2558" s="57" t="s">
        <v>3953</v>
      </c>
      <c r="F2558" s="31" t="s">
        <v>3715</v>
      </c>
      <c r="G2558" s="31" t="s">
        <v>69</v>
      </c>
      <c r="K2558" s="31">
        <v>638</v>
      </c>
      <c r="AK2558" s="32">
        <v>17</v>
      </c>
      <c r="AQ2558" s="32" t="s">
        <v>3897</v>
      </c>
      <c r="AU2558">
        <v>2557</v>
      </c>
    </row>
    <row r="2559" spans="1:47" x14ac:dyDescent="0.2">
      <c r="A2559" s="13">
        <v>6572</v>
      </c>
      <c r="B2559" s="57" t="s">
        <v>45</v>
      </c>
      <c r="C2559" s="57" t="s">
        <v>332</v>
      </c>
      <c r="D2559" s="29"/>
      <c r="E2559" s="57" t="s">
        <v>3954</v>
      </c>
      <c r="F2559" s="31" t="s">
        <v>76</v>
      </c>
      <c r="G2559" s="31" t="s">
        <v>49</v>
      </c>
      <c r="K2559" s="31">
        <v>682</v>
      </c>
      <c r="AK2559" s="32">
        <v>19</v>
      </c>
      <c r="AQ2559" s="32" t="s">
        <v>3897</v>
      </c>
      <c r="AU2559">
        <v>2558</v>
      </c>
    </row>
    <row r="2560" spans="1:47" x14ac:dyDescent="0.2">
      <c r="A2560" s="13">
        <v>6572</v>
      </c>
      <c r="B2560" s="57" t="s">
        <v>45</v>
      </c>
      <c r="C2560" s="57" t="s">
        <v>332</v>
      </c>
      <c r="D2560" s="29"/>
      <c r="E2560" s="57" t="s">
        <v>3955</v>
      </c>
      <c r="F2560" s="31" t="s">
        <v>76</v>
      </c>
      <c r="G2560" s="31" t="s">
        <v>49</v>
      </c>
      <c r="K2560" s="31">
        <v>1320</v>
      </c>
      <c r="AK2560" s="32">
        <v>36</v>
      </c>
      <c r="AQ2560" s="32" t="s">
        <v>3897</v>
      </c>
      <c r="AU2560">
        <v>2559</v>
      </c>
    </row>
    <row r="2561" spans="1:47" x14ac:dyDescent="0.2">
      <c r="A2561" s="13">
        <v>6572</v>
      </c>
      <c r="B2561" s="57" t="s">
        <v>45</v>
      </c>
      <c r="C2561" s="57" t="s">
        <v>332</v>
      </c>
      <c r="D2561" s="29"/>
      <c r="E2561" s="57" t="s">
        <v>3956</v>
      </c>
      <c r="F2561" s="31" t="s">
        <v>76</v>
      </c>
      <c r="G2561" s="31" t="s">
        <v>49</v>
      </c>
      <c r="K2561" s="31">
        <v>1320</v>
      </c>
      <c r="AK2561" s="32">
        <v>36</v>
      </c>
      <c r="AQ2561" s="32" t="s">
        <v>3897</v>
      </c>
      <c r="AU2561">
        <v>2560</v>
      </c>
    </row>
    <row r="2562" spans="1:47" x14ac:dyDescent="0.2">
      <c r="A2562" s="13">
        <v>6572</v>
      </c>
      <c r="B2562" s="38" t="s">
        <v>45</v>
      </c>
      <c r="C2562" s="39" t="s">
        <v>1234</v>
      </c>
      <c r="D2562" s="29"/>
      <c r="E2562" s="38" t="s">
        <v>3911</v>
      </c>
      <c r="F2562" s="32" t="s">
        <v>150</v>
      </c>
      <c r="G2562" s="31" t="s">
        <v>49</v>
      </c>
      <c r="H2562"/>
      <c r="I2562" s="32" t="s">
        <v>3957</v>
      </c>
      <c r="J2562" s="47"/>
      <c r="K2562" s="47">
        <f>410*2.2</f>
        <v>902.00000000000011</v>
      </c>
      <c r="L2562" s="48"/>
      <c r="M2562" s="47"/>
      <c r="N2562" s="47"/>
      <c r="O2562" s="47"/>
      <c r="P2562" s="47"/>
      <c r="Q2562" s="47"/>
      <c r="R2562" s="47"/>
      <c r="S2562" s="48">
        <v>3</v>
      </c>
      <c r="T2562" s="47"/>
      <c r="U2562" s="47"/>
      <c r="V2562" s="47"/>
      <c r="W2562" s="47"/>
      <c r="X2562" s="47"/>
      <c r="Y2562" s="47"/>
      <c r="Z2562" s="47" t="s">
        <v>1809</v>
      </c>
      <c r="AA2562" s="49"/>
      <c r="AB2562" s="49"/>
      <c r="AC2562" s="49"/>
      <c r="AD2562" s="50"/>
      <c r="AE2562" s="47" t="s">
        <v>1653</v>
      </c>
      <c r="AF2562" s="47">
        <v>85</v>
      </c>
      <c r="AG2562"/>
      <c r="AH2562"/>
      <c r="AI2562"/>
      <c r="AJ2562"/>
      <c r="AK2562"/>
      <c r="AL2562"/>
      <c r="AM2562"/>
      <c r="AN2562"/>
      <c r="AO2562"/>
      <c r="AP2562"/>
      <c r="AQ2562" t="s">
        <v>3840</v>
      </c>
      <c r="AU2562">
        <v>2561</v>
      </c>
    </row>
    <row r="2563" spans="1:47" x14ac:dyDescent="0.2">
      <c r="A2563" s="26">
        <v>6572</v>
      </c>
      <c r="B2563" s="27">
        <v>0.85277777777777775</v>
      </c>
      <c r="C2563" s="28"/>
      <c r="D2563" s="29"/>
      <c r="E2563" s="30" t="s">
        <v>464</v>
      </c>
      <c r="H2563" s="32">
        <v>0</v>
      </c>
      <c r="I2563" s="32" t="s">
        <v>3958</v>
      </c>
      <c r="AG2563" s="32">
        <v>0</v>
      </c>
      <c r="AH2563" s="32">
        <v>0</v>
      </c>
      <c r="AL2563" s="32">
        <f>137/60</f>
        <v>2.2833333333333332</v>
      </c>
      <c r="AO2563" s="32" t="s">
        <v>1898</v>
      </c>
      <c r="AP2563" s="32">
        <f>137/60</f>
        <v>2.2833333333333332</v>
      </c>
      <c r="AQ2563" s="32" t="s">
        <v>1522</v>
      </c>
      <c r="AU2563">
        <v>2562</v>
      </c>
    </row>
    <row r="2564" spans="1:47" x14ac:dyDescent="0.2">
      <c r="A2564" s="26">
        <v>6572</v>
      </c>
      <c r="B2564" s="27">
        <v>0.86111111111111116</v>
      </c>
      <c r="C2564" s="28"/>
      <c r="D2564" s="29"/>
      <c r="E2564" s="30" t="s">
        <v>1282</v>
      </c>
      <c r="H2564" s="32">
        <v>0</v>
      </c>
      <c r="I2564" s="32" t="s">
        <v>3959</v>
      </c>
      <c r="AG2564" s="32">
        <v>0</v>
      </c>
      <c r="AH2564" s="32">
        <v>0</v>
      </c>
      <c r="AI2564" s="32">
        <v>0</v>
      </c>
      <c r="AK2564" s="32">
        <v>0</v>
      </c>
      <c r="AL2564" s="32">
        <v>6</v>
      </c>
      <c r="AP2564" s="32">
        <f>2+2/3</f>
        <v>2.6666666666666665</v>
      </c>
      <c r="AQ2564" s="32" t="s">
        <v>1101</v>
      </c>
      <c r="AU2564">
        <v>2563</v>
      </c>
    </row>
    <row r="2565" spans="1:47" x14ac:dyDescent="0.2">
      <c r="A2565" s="26">
        <v>6572</v>
      </c>
      <c r="B2565" s="27">
        <v>0.86458333333333337</v>
      </c>
      <c r="C2565" s="28"/>
      <c r="D2565" s="29"/>
      <c r="E2565" s="30" t="s">
        <v>1124</v>
      </c>
      <c r="H2565" s="32">
        <v>1</v>
      </c>
      <c r="I2565" s="32" t="s">
        <v>1246</v>
      </c>
      <c r="AG2565" s="32">
        <v>0</v>
      </c>
      <c r="AH2565" s="32">
        <v>7</v>
      </c>
      <c r="AK2565" s="32">
        <v>22</v>
      </c>
      <c r="AL2565" s="32">
        <f>110/60</f>
        <v>1.8333333333333333</v>
      </c>
      <c r="AO2565" s="46" t="s">
        <v>1126</v>
      </c>
      <c r="AP2565" s="32">
        <f>110/60</f>
        <v>1.8333333333333333</v>
      </c>
      <c r="AQ2565" s="32" t="s">
        <v>589</v>
      </c>
      <c r="AU2565">
        <v>2564</v>
      </c>
    </row>
    <row r="2566" spans="1:47" x14ac:dyDescent="0.2">
      <c r="A2566" s="26">
        <v>6572</v>
      </c>
      <c r="B2566" s="27" t="s">
        <v>45</v>
      </c>
      <c r="C2566" s="28"/>
      <c r="D2566" s="29"/>
      <c r="E2566" s="30" t="s">
        <v>1531</v>
      </c>
      <c r="H2566" s="32">
        <v>0</v>
      </c>
      <c r="I2566" s="32" t="s">
        <v>1532</v>
      </c>
      <c r="AG2566" s="32">
        <v>0</v>
      </c>
      <c r="AH2566" s="32">
        <v>0</v>
      </c>
      <c r="AI2566" s="32">
        <v>0</v>
      </c>
      <c r="AK2566" s="32">
        <v>0</v>
      </c>
      <c r="AM2566" s="32">
        <f>498*30</f>
        <v>14940</v>
      </c>
      <c r="AO2566" s="32" t="s">
        <v>1533</v>
      </c>
      <c r="AQ2566" s="32" t="s">
        <v>1101</v>
      </c>
      <c r="AU2566">
        <v>2565</v>
      </c>
    </row>
    <row r="2567" spans="1:47" x14ac:dyDescent="0.2">
      <c r="A2567" s="26">
        <v>6572</v>
      </c>
      <c r="B2567" s="27" t="s">
        <v>45</v>
      </c>
      <c r="C2567" s="28"/>
      <c r="D2567" s="29"/>
      <c r="E2567" s="150" t="s">
        <v>2286</v>
      </c>
      <c r="H2567" s="32">
        <v>0</v>
      </c>
      <c r="I2567" s="32" t="s">
        <v>1824</v>
      </c>
      <c r="AG2567" s="32">
        <v>0</v>
      </c>
      <c r="AH2567" s="32">
        <v>0</v>
      </c>
      <c r="AI2567" s="32">
        <v>0</v>
      </c>
      <c r="AK2567" s="32">
        <v>0</v>
      </c>
      <c r="AM2567" s="32">
        <v>2500</v>
      </c>
      <c r="AO2567" s="73" t="s">
        <v>75</v>
      </c>
      <c r="AQ2567" s="32" t="s">
        <v>589</v>
      </c>
      <c r="AU2567">
        <v>2566</v>
      </c>
    </row>
    <row r="2568" spans="1:47" x14ac:dyDescent="0.2">
      <c r="A2568" s="37">
        <v>6573</v>
      </c>
      <c r="B2568" s="38" t="s">
        <v>85</v>
      </c>
      <c r="C2568" s="39" t="s">
        <v>2689</v>
      </c>
      <c r="D2568" s="29"/>
      <c r="E2568" s="38" t="s">
        <v>2345</v>
      </c>
      <c r="F2568" s="32" t="s">
        <v>2343</v>
      </c>
      <c r="G2568" s="47" t="s">
        <v>69</v>
      </c>
      <c r="H2568"/>
      <c r="I2568" s="32" t="s">
        <v>3960</v>
      </c>
      <c r="J2568" s="47"/>
      <c r="K2568" s="47">
        <f>140*2.2</f>
        <v>308</v>
      </c>
      <c r="L2568" s="48"/>
      <c r="M2568" s="47"/>
      <c r="N2568" s="47"/>
      <c r="O2568" s="47"/>
      <c r="P2568" s="47"/>
      <c r="Q2568" s="47"/>
      <c r="R2568" s="47"/>
      <c r="S2568" s="48">
        <v>5</v>
      </c>
      <c r="T2568" s="47"/>
      <c r="U2568" s="47"/>
      <c r="V2568" s="47"/>
      <c r="W2568" s="47"/>
      <c r="X2568" s="47"/>
      <c r="Y2568" s="47"/>
      <c r="Z2568" s="47" t="s">
        <v>1809</v>
      </c>
      <c r="AA2568" s="49"/>
      <c r="AB2568" s="49"/>
      <c r="AC2568" s="49"/>
      <c r="AD2568" s="50"/>
      <c r="AE2568" s="47" t="s">
        <v>1810</v>
      </c>
      <c r="AF2568" s="47">
        <v>80</v>
      </c>
      <c r="AG2568"/>
      <c r="AH2568"/>
      <c r="AI2568"/>
      <c r="AJ2568"/>
      <c r="AK2568"/>
      <c r="AL2568"/>
      <c r="AM2568"/>
      <c r="AN2568"/>
      <c r="AO2568"/>
      <c r="AP2568"/>
      <c r="AQ2568" t="s">
        <v>3840</v>
      </c>
      <c r="AU2568">
        <v>2567</v>
      </c>
    </row>
    <row r="2569" spans="1:47" x14ac:dyDescent="0.2">
      <c r="A2569" s="37">
        <v>6573</v>
      </c>
      <c r="B2569" s="38" t="s">
        <v>85</v>
      </c>
      <c r="C2569" s="39" t="s">
        <v>1234</v>
      </c>
      <c r="D2569" s="29"/>
      <c r="E2569" s="38" t="s">
        <v>901</v>
      </c>
      <c r="F2569" s="32"/>
      <c r="G2569" s="47"/>
      <c r="H2569"/>
      <c r="I2569" s="32" t="s">
        <v>3961</v>
      </c>
      <c r="J2569" s="47"/>
      <c r="K2569" s="47"/>
      <c r="L2569" s="48"/>
      <c r="M2569" s="47"/>
      <c r="N2569" s="47"/>
      <c r="O2569" s="47"/>
      <c r="P2569" s="47"/>
      <c r="Q2569" s="47"/>
      <c r="R2569" s="47"/>
      <c r="S2569" s="48">
        <v>21</v>
      </c>
      <c r="T2569" s="47"/>
      <c r="U2569" s="47"/>
      <c r="V2569" s="47"/>
      <c r="W2569" s="47"/>
      <c r="X2569" s="47"/>
      <c r="Y2569" s="47"/>
      <c r="Z2569" s="47" t="s">
        <v>1809</v>
      </c>
      <c r="AA2569" s="49"/>
      <c r="AB2569" s="49"/>
      <c r="AC2569" s="49"/>
      <c r="AD2569" s="50"/>
      <c r="AE2569" s="47" t="s">
        <v>1653</v>
      </c>
      <c r="AF2569" s="47">
        <v>60</v>
      </c>
      <c r="AG2569"/>
      <c r="AH2569"/>
      <c r="AI2569"/>
      <c r="AJ2569"/>
      <c r="AK2569"/>
      <c r="AL2569"/>
      <c r="AM2569"/>
      <c r="AN2569"/>
      <c r="AO2569"/>
      <c r="AP2569"/>
      <c r="AQ2569" t="s">
        <v>3840</v>
      </c>
      <c r="AU2569">
        <v>2568</v>
      </c>
    </row>
    <row r="2570" spans="1:47" x14ac:dyDescent="0.2">
      <c r="A2570" s="13">
        <v>6573</v>
      </c>
      <c r="B2570" s="57" t="s">
        <v>85</v>
      </c>
      <c r="C2570" s="57" t="s">
        <v>1234</v>
      </c>
      <c r="D2570" s="29"/>
      <c r="E2570" s="57" t="s">
        <v>3726</v>
      </c>
      <c r="F2570" s="31" t="s">
        <v>3727</v>
      </c>
      <c r="G2570" s="31" t="s">
        <v>69</v>
      </c>
      <c r="I2570" s="31" t="s">
        <v>3962</v>
      </c>
      <c r="K2570" s="63"/>
      <c r="Z2570" s="47" t="s">
        <v>1809</v>
      </c>
      <c r="AE2570" s="47" t="s">
        <v>1653</v>
      </c>
      <c r="AQ2570" s="32" t="s">
        <v>3890</v>
      </c>
      <c r="AU2570">
        <v>2569</v>
      </c>
    </row>
    <row r="2571" spans="1:47" x14ac:dyDescent="0.2">
      <c r="A2571" s="13">
        <v>6573</v>
      </c>
      <c r="B2571" s="57" t="s">
        <v>85</v>
      </c>
      <c r="C2571" s="39" t="s">
        <v>3963</v>
      </c>
      <c r="D2571" s="29"/>
      <c r="E2571" s="38" t="s">
        <v>2558</v>
      </c>
      <c r="F2571" s="31" t="s">
        <v>76</v>
      </c>
      <c r="G2571" s="31" t="s">
        <v>49</v>
      </c>
      <c r="I2571" s="31" t="s">
        <v>3964</v>
      </c>
      <c r="K2571" s="31">
        <f>(8*20+15*10)*2.2</f>
        <v>682</v>
      </c>
      <c r="S2571" s="33">
        <v>2</v>
      </c>
      <c r="T2571" s="31">
        <v>0</v>
      </c>
      <c r="U2571" s="31">
        <v>0</v>
      </c>
      <c r="V2571" s="31">
        <v>0</v>
      </c>
      <c r="Y2571" s="31" t="s">
        <v>51</v>
      </c>
      <c r="Z2571" s="31" t="s">
        <v>3724</v>
      </c>
      <c r="AK2571" s="32">
        <v>23</v>
      </c>
      <c r="AQ2571" s="32" t="s">
        <v>3933</v>
      </c>
      <c r="AU2571">
        <v>2570</v>
      </c>
    </row>
    <row r="2572" spans="1:47" x14ac:dyDescent="0.2">
      <c r="A2572" s="26">
        <v>6573</v>
      </c>
      <c r="B2572" s="27">
        <v>2.4305555555555556E-2</v>
      </c>
      <c r="C2572" s="28"/>
      <c r="D2572" s="29"/>
      <c r="E2572" s="30" t="s">
        <v>464</v>
      </c>
      <c r="H2572" s="32">
        <v>0</v>
      </c>
      <c r="I2572" s="32" t="s">
        <v>3965</v>
      </c>
      <c r="AG2572" s="32">
        <v>0</v>
      </c>
      <c r="AH2572" s="32">
        <v>0</v>
      </c>
      <c r="AL2572" s="32">
        <f>133/60</f>
        <v>2.2166666666666668</v>
      </c>
      <c r="AO2572" s="32" t="s">
        <v>1898</v>
      </c>
      <c r="AP2572" s="32">
        <f>133/60</f>
        <v>2.2166666666666668</v>
      </c>
      <c r="AQ2572" s="32" t="s">
        <v>1522</v>
      </c>
      <c r="AU2572">
        <v>2571</v>
      </c>
    </row>
    <row r="2573" spans="1:47" x14ac:dyDescent="0.2">
      <c r="A2573" s="37">
        <v>6574</v>
      </c>
      <c r="B2573" s="38" t="s">
        <v>85</v>
      </c>
      <c r="C2573" s="39" t="s">
        <v>3762</v>
      </c>
      <c r="D2573" s="29"/>
      <c r="E2573" s="38" t="s">
        <v>3714</v>
      </c>
      <c r="F2573" s="32" t="s">
        <v>2343</v>
      </c>
      <c r="G2573" s="47" t="s">
        <v>69</v>
      </c>
      <c r="H2573"/>
      <c r="I2573" s="32" t="s">
        <v>3966</v>
      </c>
      <c r="J2573" s="47"/>
      <c r="K2573" s="47">
        <f>210*2.2</f>
        <v>462.00000000000006</v>
      </c>
      <c r="L2573" s="48"/>
      <c r="M2573" s="47"/>
      <c r="N2573" s="47"/>
      <c r="O2573" s="47"/>
      <c r="P2573" s="47"/>
      <c r="Q2573" s="47"/>
      <c r="R2573" s="47"/>
      <c r="S2573" s="48">
        <v>2</v>
      </c>
      <c r="T2573" s="47"/>
      <c r="U2573" s="47"/>
      <c r="V2573" s="47"/>
      <c r="W2573" s="47"/>
      <c r="X2573" s="47"/>
      <c r="Y2573" s="47"/>
      <c r="Z2573" s="47" t="s">
        <v>1809</v>
      </c>
      <c r="AA2573" s="49"/>
      <c r="AB2573" s="49"/>
      <c r="AC2573" s="49"/>
      <c r="AD2573" s="50"/>
      <c r="AE2573" s="47" t="s">
        <v>1653</v>
      </c>
      <c r="AF2573" s="47">
        <v>70</v>
      </c>
      <c r="AG2573"/>
      <c r="AH2573"/>
      <c r="AI2573"/>
      <c r="AJ2573"/>
      <c r="AK2573"/>
      <c r="AL2573"/>
      <c r="AM2573"/>
      <c r="AN2573"/>
      <c r="AO2573"/>
      <c r="AP2573"/>
      <c r="AQ2573" t="s">
        <v>3840</v>
      </c>
      <c r="AU2573">
        <v>2572</v>
      </c>
    </row>
    <row r="2574" spans="1:47" x14ac:dyDescent="0.2">
      <c r="A2574" s="13">
        <v>6574</v>
      </c>
      <c r="B2574" s="57" t="s">
        <v>85</v>
      </c>
      <c r="C2574" s="57" t="s">
        <v>1234</v>
      </c>
      <c r="D2574" s="29"/>
      <c r="E2574" s="57" t="s">
        <v>3726</v>
      </c>
      <c r="F2574" s="31" t="s">
        <v>3727</v>
      </c>
      <c r="G2574" s="31" t="s">
        <v>69</v>
      </c>
      <c r="I2574" s="31" t="s">
        <v>3967</v>
      </c>
      <c r="K2574" s="63"/>
      <c r="Z2574" s="47" t="s">
        <v>1809</v>
      </c>
      <c r="AE2574" s="47" t="s">
        <v>1653</v>
      </c>
      <c r="AQ2574" s="32" t="s">
        <v>3890</v>
      </c>
      <c r="AU2574">
        <v>2573</v>
      </c>
    </row>
    <row r="2575" spans="1:47" x14ac:dyDescent="0.2">
      <c r="A2575" s="26">
        <v>6575</v>
      </c>
      <c r="B2575" s="27">
        <v>0.56388888888888888</v>
      </c>
      <c r="C2575" s="28"/>
      <c r="D2575" s="29"/>
      <c r="E2575" s="30" t="s">
        <v>869</v>
      </c>
      <c r="H2575" s="32">
        <v>0</v>
      </c>
      <c r="I2575" s="32" t="s">
        <v>2344</v>
      </c>
      <c r="AG2575" s="32">
        <v>0</v>
      </c>
      <c r="AH2575" s="32">
        <v>0</v>
      </c>
      <c r="AI2575" s="32">
        <v>0</v>
      </c>
      <c r="AK2575" s="32">
        <v>0</v>
      </c>
      <c r="AL2575" s="32">
        <f>28/60</f>
        <v>0.46666666666666667</v>
      </c>
      <c r="AP2575" s="32">
        <f>28/60</f>
        <v>0.46666666666666667</v>
      </c>
      <c r="AQ2575" s="32" t="s">
        <v>589</v>
      </c>
      <c r="AU2575">
        <v>2574</v>
      </c>
    </row>
    <row r="2576" spans="1:47" x14ac:dyDescent="0.2">
      <c r="A2576" s="44">
        <v>6576</v>
      </c>
      <c r="B2576" s="42" t="s">
        <v>85</v>
      </c>
      <c r="C2576" s="43" t="s">
        <v>2689</v>
      </c>
      <c r="D2576" s="29"/>
      <c r="E2576" s="36" t="s">
        <v>3968</v>
      </c>
      <c r="F2576" s="31" t="s">
        <v>3969</v>
      </c>
      <c r="G2576" s="31" t="s">
        <v>69</v>
      </c>
      <c r="H2576" s="32"/>
      <c r="I2576" s="32" t="s">
        <v>3970</v>
      </c>
      <c r="K2576" s="31">
        <f>260*2.2</f>
        <v>572</v>
      </c>
      <c r="L2576" s="33">
        <v>3</v>
      </c>
      <c r="S2576" s="33">
        <v>3</v>
      </c>
      <c r="Z2576" s="47" t="s">
        <v>1809</v>
      </c>
      <c r="AE2576" s="47" t="s">
        <v>1810</v>
      </c>
      <c r="AF2576" s="31">
        <v>85</v>
      </c>
      <c r="AQ2576" s="32" t="s">
        <v>3971</v>
      </c>
      <c r="AU2576">
        <v>2575</v>
      </c>
    </row>
    <row r="2577" spans="1:47" x14ac:dyDescent="0.2">
      <c r="A2577" s="13">
        <v>6576</v>
      </c>
      <c r="B2577" s="57"/>
      <c r="C2577" s="57" t="s">
        <v>1234</v>
      </c>
      <c r="D2577" s="29"/>
      <c r="E2577" s="57" t="s">
        <v>3726</v>
      </c>
      <c r="F2577" s="31" t="s">
        <v>3727</v>
      </c>
      <c r="G2577" s="31" t="s">
        <v>69</v>
      </c>
      <c r="I2577" s="31" t="s">
        <v>3972</v>
      </c>
      <c r="K2577" s="63"/>
      <c r="AE2577" s="47" t="s">
        <v>1653</v>
      </c>
      <c r="AQ2577" s="32" t="s">
        <v>3973</v>
      </c>
      <c r="AU2577">
        <v>2576</v>
      </c>
    </row>
    <row r="2578" spans="1:47" x14ac:dyDescent="0.2">
      <c r="A2578" s="26">
        <v>6576</v>
      </c>
      <c r="B2578" s="27"/>
      <c r="C2578" s="28"/>
      <c r="D2578" s="29"/>
      <c r="E2578" s="102" t="s">
        <v>1421</v>
      </c>
      <c r="H2578" s="32">
        <v>1</v>
      </c>
      <c r="I2578" s="32" t="s">
        <v>1422</v>
      </c>
      <c r="AK2578" s="32">
        <v>9</v>
      </c>
      <c r="AO2578" s="73"/>
      <c r="AQ2578" s="32" t="s">
        <v>589</v>
      </c>
      <c r="AU2578">
        <v>2577</v>
      </c>
    </row>
    <row r="2579" spans="1:47" x14ac:dyDescent="0.2">
      <c r="A2579" s="13">
        <v>6578</v>
      </c>
      <c r="B2579" s="57" t="s">
        <v>85</v>
      </c>
      <c r="C2579" s="57" t="s">
        <v>1077</v>
      </c>
      <c r="D2579" s="29"/>
      <c r="E2579" s="57" t="s">
        <v>1048</v>
      </c>
      <c r="F2579" s="31" t="s">
        <v>76</v>
      </c>
      <c r="G2579" s="31" t="s">
        <v>49</v>
      </c>
      <c r="I2579" s="31" t="s">
        <v>3602</v>
      </c>
      <c r="K2579" s="31">
        <v>264</v>
      </c>
      <c r="Z2579" s="31" t="s">
        <v>3724</v>
      </c>
      <c r="AK2579" s="32">
        <v>12</v>
      </c>
      <c r="AQ2579" s="32" t="s">
        <v>3973</v>
      </c>
      <c r="AU2579">
        <v>2578</v>
      </c>
    </row>
    <row r="2580" spans="1:47" x14ac:dyDescent="0.2">
      <c r="A2580" s="13">
        <v>6578</v>
      </c>
      <c r="B2580" s="57" t="s">
        <v>85</v>
      </c>
      <c r="C2580" s="57" t="s">
        <v>1077</v>
      </c>
      <c r="D2580" s="29"/>
      <c r="E2580" s="57" t="s">
        <v>788</v>
      </c>
      <c r="F2580" s="31" t="s">
        <v>76</v>
      </c>
      <c r="G2580" s="31" t="s">
        <v>49</v>
      </c>
      <c r="I2580" s="31" t="s">
        <v>3602</v>
      </c>
      <c r="K2580" s="31">
        <v>651.20000000000005</v>
      </c>
      <c r="Z2580" s="31" t="s">
        <v>3724</v>
      </c>
      <c r="AK2580" s="32">
        <v>20</v>
      </c>
      <c r="AQ2580" s="32" t="s">
        <v>3973</v>
      </c>
      <c r="AU2580">
        <v>2579</v>
      </c>
    </row>
    <row r="2581" spans="1:47" x14ac:dyDescent="0.2">
      <c r="A2581" s="13">
        <v>6578</v>
      </c>
      <c r="B2581" s="57" t="s">
        <v>85</v>
      </c>
      <c r="C2581" s="57" t="s">
        <v>1077</v>
      </c>
      <c r="D2581" s="29"/>
      <c r="E2581" s="57" t="s">
        <v>472</v>
      </c>
      <c r="F2581" s="31" t="s">
        <v>3601</v>
      </c>
      <c r="G2581" s="31" t="s">
        <v>481</v>
      </c>
      <c r="I2581" s="31" t="s">
        <v>3602</v>
      </c>
      <c r="K2581" s="31">
        <v>7150</v>
      </c>
      <c r="Z2581" s="31" t="s">
        <v>3724</v>
      </c>
      <c r="AK2581" s="32">
        <v>132</v>
      </c>
      <c r="AQ2581" s="32" t="s">
        <v>3973</v>
      </c>
      <c r="AU2581">
        <v>2580</v>
      </c>
    </row>
    <row r="2582" spans="1:47" x14ac:dyDescent="0.2">
      <c r="A2582" s="133">
        <v>6578</v>
      </c>
      <c r="B2582" s="39" t="s">
        <v>45</v>
      </c>
      <c r="C2582" s="39">
        <v>100</v>
      </c>
      <c r="D2582" s="29" t="b">
        <v>0</v>
      </c>
      <c r="E2582" s="39" t="s">
        <v>3974</v>
      </c>
      <c r="F2582" s="47" t="s">
        <v>3975</v>
      </c>
      <c r="G2582" s="47" t="s">
        <v>49</v>
      </c>
      <c r="H2582"/>
      <c r="I2582" s="47" t="b">
        <v>1</v>
      </c>
      <c r="J2582" s="47" t="b">
        <v>1</v>
      </c>
      <c r="K2582" s="47">
        <v>1420</v>
      </c>
      <c r="L2582" s="48">
        <v>10</v>
      </c>
      <c r="M2582" s="47">
        <v>0</v>
      </c>
      <c r="N2582" s="47">
        <v>5</v>
      </c>
      <c r="O2582" s="47">
        <v>0</v>
      </c>
      <c r="P2582" s="47">
        <v>0</v>
      </c>
      <c r="Q2582" s="47">
        <v>0</v>
      </c>
      <c r="R2582" s="47">
        <v>3</v>
      </c>
      <c r="S2582" s="48">
        <v>5</v>
      </c>
      <c r="T2582" s="47">
        <v>0</v>
      </c>
      <c r="U2582" s="47">
        <v>0</v>
      </c>
      <c r="V2582" s="47">
        <v>0</v>
      </c>
      <c r="W2582" s="47"/>
      <c r="X2582" s="47">
        <v>378</v>
      </c>
      <c r="Y2582" s="47"/>
      <c r="Z2582" s="47" t="s">
        <v>2524</v>
      </c>
      <c r="AA2582" s="49"/>
      <c r="AB2582" s="49"/>
      <c r="AC2582" s="49"/>
      <c r="AD2582" s="50"/>
      <c r="AE2582" s="47" t="s">
        <v>1312</v>
      </c>
      <c r="AF2582" s="47">
        <v>70</v>
      </c>
      <c r="AG2582"/>
      <c r="AH2582"/>
      <c r="AI2582"/>
      <c r="AJ2582"/>
      <c r="AK2582"/>
      <c r="AL2582"/>
      <c r="AM2582"/>
      <c r="AN2582"/>
      <c r="AO2582"/>
      <c r="AP2582"/>
      <c r="AQ2582" t="s">
        <v>2526</v>
      </c>
      <c r="AU2582">
        <v>2581</v>
      </c>
    </row>
    <row r="2583" spans="1:47" x14ac:dyDescent="0.2">
      <c r="A2583" s="133">
        <v>6578</v>
      </c>
      <c r="B2583" s="39" t="s">
        <v>45</v>
      </c>
      <c r="C2583" s="39">
        <v>100</v>
      </c>
      <c r="D2583" s="29" t="b">
        <v>0</v>
      </c>
      <c r="E2583" s="39" t="s">
        <v>3976</v>
      </c>
      <c r="F2583" s="47" t="s">
        <v>48</v>
      </c>
      <c r="G2583" s="47" t="s">
        <v>49</v>
      </c>
      <c r="H2583"/>
      <c r="I2583" s="47" t="b">
        <v>0</v>
      </c>
      <c r="J2583" s="47" t="b">
        <v>0</v>
      </c>
      <c r="K2583" s="47">
        <v>380</v>
      </c>
      <c r="L2583" s="48">
        <v>10</v>
      </c>
      <c r="M2583" s="47">
        <v>0</v>
      </c>
      <c r="N2583" s="47">
        <v>5</v>
      </c>
      <c r="O2583" s="47">
        <v>0</v>
      </c>
      <c r="P2583" s="47">
        <v>0</v>
      </c>
      <c r="Q2583" s="47">
        <v>0</v>
      </c>
      <c r="R2583" s="47">
        <v>3</v>
      </c>
      <c r="S2583" s="48">
        <v>3</v>
      </c>
      <c r="T2583" s="47">
        <v>0</v>
      </c>
      <c r="U2583" s="47">
        <v>0</v>
      </c>
      <c r="V2583" s="47">
        <v>0</v>
      </c>
      <c r="W2583" s="47"/>
      <c r="X2583" s="47">
        <v>379</v>
      </c>
      <c r="Y2583" s="47"/>
      <c r="Z2583" s="47" t="s">
        <v>2524</v>
      </c>
      <c r="AA2583" s="49"/>
      <c r="AB2583" s="49"/>
      <c r="AC2583" s="49"/>
      <c r="AD2583" s="50"/>
      <c r="AE2583" s="47" t="s">
        <v>1312</v>
      </c>
      <c r="AF2583" s="31">
        <v>65</v>
      </c>
      <c r="AG2583"/>
      <c r="AH2583"/>
      <c r="AI2583"/>
      <c r="AJ2583"/>
      <c r="AK2583"/>
      <c r="AL2583"/>
      <c r="AM2583"/>
      <c r="AN2583"/>
      <c r="AO2583"/>
      <c r="AP2583"/>
      <c r="AQ2583" t="s">
        <v>2526</v>
      </c>
      <c r="AU2583">
        <v>2582</v>
      </c>
    </row>
    <row r="2584" spans="1:47" x14ac:dyDescent="0.2">
      <c r="A2584" s="133">
        <v>6578</v>
      </c>
      <c r="B2584" s="39" t="s">
        <v>45</v>
      </c>
      <c r="C2584" s="39">
        <v>100</v>
      </c>
      <c r="D2584" s="29" t="b">
        <v>0</v>
      </c>
      <c r="E2584" s="39" t="s">
        <v>3977</v>
      </c>
      <c r="F2584" s="47" t="s">
        <v>3663</v>
      </c>
      <c r="G2584" s="47" t="s">
        <v>49</v>
      </c>
      <c r="H2584"/>
      <c r="I2584" s="47" t="b">
        <v>0</v>
      </c>
      <c r="J2584" s="47" t="b">
        <v>0</v>
      </c>
      <c r="K2584" s="47">
        <v>380</v>
      </c>
      <c r="L2584" s="48">
        <v>10</v>
      </c>
      <c r="M2584" s="47">
        <v>0</v>
      </c>
      <c r="N2584" s="47">
        <v>5</v>
      </c>
      <c r="O2584" s="47">
        <v>0</v>
      </c>
      <c r="P2584" s="47">
        <v>0</v>
      </c>
      <c r="Q2584" s="47">
        <v>0</v>
      </c>
      <c r="R2584" s="47">
        <v>3</v>
      </c>
      <c r="S2584" s="48">
        <v>3</v>
      </c>
      <c r="T2584" s="47">
        <v>0</v>
      </c>
      <c r="U2584" s="47">
        <v>0</v>
      </c>
      <c r="V2584" s="47">
        <v>0</v>
      </c>
      <c r="W2584" s="47"/>
      <c r="X2584" s="47">
        <v>380</v>
      </c>
      <c r="Y2584" s="47"/>
      <c r="Z2584" s="47" t="s">
        <v>2524</v>
      </c>
      <c r="AA2584" s="49"/>
      <c r="AB2584" s="49"/>
      <c r="AC2584" s="49"/>
      <c r="AD2584" s="50"/>
      <c r="AE2584" s="47" t="s">
        <v>1312</v>
      </c>
      <c r="AF2584" s="47">
        <v>60</v>
      </c>
      <c r="AG2584"/>
      <c r="AH2584"/>
      <c r="AI2584"/>
      <c r="AJ2584"/>
      <c r="AK2584"/>
      <c r="AL2584"/>
      <c r="AM2584"/>
      <c r="AN2584"/>
      <c r="AO2584"/>
      <c r="AP2584"/>
      <c r="AQ2584" t="s">
        <v>2526</v>
      </c>
      <c r="AR2584" s="32" t="s">
        <v>3978</v>
      </c>
      <c r="AU2584">
        <v>2583</v>
      </c>
    </row>
    <row r="2585" spans="1:47" x14ac:dyDescent="0.2">
      <c r="A2585" s="133">
        <v>6578</v>
      </c>
      <c r="B2585" s="39" t="s">
        <v>45</v>
      </c>
      <c r="C2585" s="39">
        <v>100</v>
      </c>
      <c r="D2585" s="29" t="b">
        <v>0</v>
      </c>
      <c r="E2585" s="39" t="s">
        <v>2368</v>
      </c>
      <c r="F2585" s="47" t="s">
        <v>1972</v>
      </c>
      <c r="G2585" s="47" t="s">
        <v>481</v>
      </c>
      <c r="H2585"/>
      <c r="I2585" s="47" t="b">
        <v>0</v>
      </c>
      <c r="J2585" s="47" t="b">
        <v>0</v>
      </c>
      <c r="K2585" s="47">
        <v>660</v>
      </c>
      <c r="L2585" s="48">
        <v>10</v>
      </c>
      <c r="M2585" s="47">
        <v>0</v>
      </c>
      <c r="N2585" s="47">
        <v>5</v>
      </c>
      <c r="O2585" s="47">
        <v>0</v>
      </c>
      <c r="P2585" s="47">
        <v>0</v>
      </c>
      <c r="Q2585" s="47">
        <v>0</v>
      </c>
      <c r="R2585" s="47">
        <v>3</v>
      </c>
      <c r="S2585" s="48">
        <v>2</v>
      </c>
      <c r="T2585" s="47">
        <v>0</v>
      </c>
      <c r="U2585" s="47">
        <v>0</v>
      </c>
      <c r="V2585" s="47">
        <v>0</v>
      </c>
      <c r="W2585" s="47"/>
      <c r="X2585" s="47">
        <v>381</v>
      </c>
      <c r="Y2585" s="47"/>
      <c r="Z2585" s="47" t="s">
        <v>2524</v>
      </c>
      <c r="AA2585" s="49"/>
      <c r="AB2585" s="49"/>
      <c r="AC2585" s="49"/>
      <c r="AD2585" s="50"/>
      <c r="AE2585" s="47" t="s">
        <v>1312</v>
      </c>
      <c r="AF2585" s="47">
        <v>70</v>
      </c>
      <c r="AG2585"/>
      <c r="AH2585"/>
      <c r="AI2585"/>
      <c r="AJ2585"/>
      <c r="AK2585"/>
      <c r="AL2585"/>
      <c r="AM2585"/>
      <c r="AN2585"/>
      <c r="AO2585"/>
      <c r="AP2585"/>
      <c r="AQ2585" t="s">
        <v>2526</v>
      </c>
      <c r="AU2585">
        <v>2584</v>
      </c>
    </row>
    <row r="2586" spans="1:47" x14ac:dyDescent="0.2">
      <c r="A2586" s="13">
        <v>6578</v>
      </c>
      <c r="B2586" s="57" t="s">
        <v>45</v>
      </c>
      <c r="C2586" s="57" t="s">
        <v>105</v>
      </c>
      <c r="D2586" s="29"/>
      <c r="E2586" s="57" t="s">
        <v>3979</v>
      </c>
      <c r="F2586" s="31" t="s">
        <v>76</v>
      </c>
      <c r="G2586" s="31" t="s">
        <v>49</v>
      </c>
      <c r="K2586" s="31">
        <v>193.6</v>
      </c>
      <c r="AK2586" s="32">
        <v>8</v>
      </c>
      <c r="AQ2586" s="32" t="s">
        <v>3973</v>
      </c>
      <c r="AU2586">
        <v>2585</v>
      </c>
    </row>
    <row r="2587" spans="1:47" x14ac:dyDescent="0.2">
      <c r="A2587" s="13">
        <v>6578</v>
      </c>
      <c r="B2587" s="57" t="s">
        <v>45</v>
      </c>
      <c r="C2587" s="57" t="s">
        <v>105</v>
      </c>
      <c r="D2587" s="29"/>
      <c r="E2587" s="57" t="s">
        <v>3063</v>
      </c>
      <c r="F2587" s="31" t="s">
        <v>76</v>
      </c>
      <c r="G2587" s="31" t="s">
        <v>49</v>
      </c>
      <c r="I2587" s="31" t="s">
        <v>3602</v>
      </c>
      <c r="K2587" s="31">
        <v>193.6</v>
      </c>
      <c r="AK2587" s="32">
        <v>8</v>
      </c>
      <c r="AQ2587" s="32" t="s">
        <v>3973</v>
      </c>
      <c r="AU2587">
        <v>2586</v>
      </c>
    </row>
    <row r="2588" spans="1:47" x14ac:dyDescent="0.2">
      <c r="A2588" s="13">
        <v>6578</v>
      </c>
      <c r="B2588" s="57" t="s">
        <v>45</v>
      </c>
      <c r="C2588" s="57" t="s">
        <v>105</v>
      </c>
      <c r="D2588" s="29"/>
      <c r="E2588" s="57" t="s">
        <v>2191</v>
      </c>
      <c r="F2588" s="31" t="s">
        <v>76</v>
      </c>
      <c r="G2588" s="31" t="s">
        <v>49</v>
      </c>
      <c r="I2588" s="31" t="s">
        <v>3602</v>
      </c>
      <c r="K2588" s="31">
        <v>2032.8</v>
      </c>
      <c r="AK2588" s="32">
        <v>60</v>
      </c>
      <c r="AQ2588" s="32" t="s">
        <v>3973</v>
      </c>
      <c r="AU2588">
        <v>2587</v>
      </c>
    </row>
    <row r="2589" spans="1:47" x14ac:dyDescent="0.2">
      <c r="A2589" s="133">
        <v>6578</v>
      </c>
      <c r="B2589" s="39" t="s">
        <v>45</v>
      </c>
      <c r="C2589" s="39" t="s">
        <v>2891</v>
      </c>
      <c r="D2589" s="29"/>
      <c r="E2589" s="39" t="s">
        <v>3980</v>
      </c>
      <c r="F2589" s="47" t="s">
        <v>3749</v>
      </c>
      <c r="G2589" s="47" t="s">
        <v>73</v>
      </c>
      <c r="H2589"/>
      <c r="I2589" s="47" t="b">
        <v>1</v>
      </c>
      <c r="J2589" s="47" t="b">
        <v>1</v>
      </c>
      <c r="K2589" s="47">
        <f>4974*2.2</f>
        <v>10942.800000000001</v>
      </c>
      <c r="L2589" s="48"/>
      <c r="M2589" s="47"/>
      <c r="N2589" s="47"/>
      <c r="O2589" s="47"/>
      <c r="P2589" s="47"/>
      <c r="Q2589" s="47"/>
      <c r="R2589" s="47"/>
      <c r="S2589" s="48">
        <v>18</v>
      </c>
      <c r="T2589" s="47">
        <v>0</v>
      </c>
      <c r="U2589" s="47">
        <v>0</v>
      </c>
      <c r="V2589" s="47">
        <v>0</v>
      </c>
      <c r="W2589" s="47"/>
      <c r="X2589" s="47"/>
      <c r="Y2589" s="47" t="s">
        <v>51</v>
      </c>
      <c r="Z2589" s="47" t="s">
        <v>3855</v>
      </c>
      <c r="AA2589" s="49"/>
      <c r="AB2589" s="49"/>
      <c r="AC2589" s="49"/>
      <c r="AD2589" s="50"/>
      <c r="AE2589" s="47" t="s">
        <v>2470</v>
      </c>
      <c r="AF2589" s="47"/>
      <c r="AG2589"/>
      <c r="AH2589"/>
      <c r="AI2589"/>
      <c r="AJ2589"/>
      <c r="AK2589">
        <f>98+46+21</f>
        <v>165</v>
      </c>
      <c r="AL2589"/>
      <c r="AM2589"/>
      <c r="AN2589"/>
      <c r="AO2589"/>
      <c r="AP2589"/>
      <c r="AQ2589" t="s">
        <v>3981</v>
      </c>
      <c r="AR2589" s="32" t="s">
        <v>3982</v>
      </c>
      <c r="AU2589">
        <v>2588</v>
      </c>
    </row>
    <row r="2590" spans="1:47" x14ac:dyDescent="0.2">
      <c r="A2590" s="13">
        <v>6578</v>
      </c>
      <c r="B2590" s="57" t="s">
        <v>45</v>
      </c>
      <c r="C2590" s="39" t="s">
        <v>2891</v>
      </c>
      <c r="D2590" s="29"/>
      <c r="E2590" s="57" t="s">
        <v>3983</v>
      </c>
      <c r="F2590" s="31" t="s">
        <v>409</v>
      </c>
      <c r="G2590" s="31" t="s">
        <v>49</v>
      </c>
      <c r="I2590" s="47" t="b">
        <v>0</v>
      </c>
      <c r="J2590" s="47" t="b">
        <v>0</v>
      </c>
      <c r="K2590" s="31">
        <v>264</v>
      </c>
      <c r="Z2590" s="47" t="s">
        <v>3855</v>
      </c>
      <c r="AE2590" s="47" t="s">
        <v>2470</v>
      </c>
      <c r="AK2590" s="32">
        <v>21</v>
      </c>
      <c r="AQ2590" s="32" t="s">
        <v>3984</v>
      </c>
      <c r="AU2590">
        <v>2589</v>
      </c>
    </row>
    <row r="2591" spans="1:47" x14ac:dyDescent="0.2">
      <c r="A2591" s="13">
        <v>6578</v>
      </c>
      <c r="B2591" s="57" t="s">
        <v>45</v>
      </c>
      <c r="C2591" s="39" t="s">
        <v>2891</v>
      </c>
      <c r="D2591" s="29"/>
      <c r="E2591" s="57" t="s">
        <v>3985</v>
      </c>
      <c r="F2591" s="31" t="s">
        <v>3986</v>
      </c>
      <c r="G2591" s="31" t="s">
        <v>73</v>
      </c>
      <c r="I2591" s="47" t="b">
        <v>0</v>
      </c>
      <c r="J2591" s="47" t="b">
        <v>0</v>
      </c>
      <c r="K2591" s="31">
        <v>341</v>
      </c>
      <c r="Z2591" s="47" t="s">
        <v>3855</v>
      </c>
      <c r="AE2591" s="47" t="s">
        <v>2470</v>
      </c>
      <c r="AK2591" s="32">
        <v>98</v>
      </c>
      <c r="AQ2591" s="32" t="s">
        <v>3984</v>
      </c>
      <c r="AU2591">
        <v>2590</v>
      </c>
    </row>
    <row r="2592" spans="1:47" x14ac:dyDescent="0.2">
      <c r="A2592" s="13">
        <v>6578</v>
      </c>
      <c r="B2592" s="57" t="s">
        <v>45</v>
      </c>
      <c r="C2592" s="39" t="s">
        <v>2891</v>
      </c>
      <c r="D2592" s="29"/>
      <c r="E2592" s="57" t="s">
        <v>3987</v>
      </c>
      <c r="F2592" s="31" t="s">
        <v>3637</v>
      </c>
      <c r="G2592" s="31" t="s">
        <v>69</v>
      </c>
      <c r="I2592" s="47" t="b">
        <v>0</v>
      </c>
      <c r="J2592" s="47" t="b">
        <v>0</v>
      </c>
      <c r="K2592" s="31">
        <v>440</v>
      </c>
      <c r="Z2592" s="47" t="s">
        <v>3855</v>
      </c>
      <c r="AE2592" s="47" t="s">
        <v>2470</v>
      </c>
      <c r="AK2592" s="32">
        <v>46</v>
      </c>
      <c r="AQ2592" s="32" t="s">
        <v>3984</v>
      </c>
      <c r="AU2592">
        <v>2591</v>
      </c>
    </row>
    <row r="2593" spans="1:47" x14ac:dyDescent="0.2">
      <c r="A2593" s="13">
        <v>6578</v>
      </c>
      <c r="B2593" s="57" t="s">
        <v>45</v>
      </c>
      <c r="C2593" s="57" t="s">
        <v>1367</v>
      </c>
      <c r="D2593" s="29"/>
      <c r="E2593" s="57" t="s">
        <v>512</v>
      </c>
      <c r="F2593" s="31" t="s">
        <v>76</v>
      </c>
      <c r="G2593" s="31" t="s">
        <v>49</v>
      </c>
      <c r="K2593" s="31">
        <v>2024</v>
      </c>
      <c r="AE2593" s="47" t="s">
        <v>342</v>
      </c>
      <c r="AF2593" s="31">
        <v>35</v>
      </c>
      <c r="AK2593" s="32">
        <v>40</v>
      </c>
      <c r="AQ2593" s="32" t="s">
        <v>3973</v>
      </c>
      <c r="AU2593">
        <v>2592</v>
      </c>
    </row>
    <row r="2594" spans="1:47" x14ac:dyDescent="0.2">
      <c r="A2594" s="13">
        <v>6578</v>
      </c>
      <c r="B2594" s="57" t="s">
        <v>45</v>
      </c>
      <c r="C2594" s="57" t="s">
        <v>1367</v>
      </c>
      <c r="D2594" s="29"/>
      <c r="E2594" s="57" t="s">
        <v>405</v>
      </c>
      <c r="F2594" s="31" t="s">
        <v>76</v>
      </c>
      <c r="G2594" s="31" t="s">
        <v>49</v>
      </c>
      <c r="I2594" s="31" t="s">
        <v>3602</v>
      </c>
      <c r="K2594" s="31">
        <v>5280</v>
      </c>
      <c r="AE2594" s="47" t="s">
        <v>342</v>
      </c>
      <c r="AF2594" s="31">
        <v>40</v>
      </c>
      <c r="AK2594" s="32">
        <v>65</v>
      </c>
      <c r="AQ2594" s="32" t="s">
        <v>3973</v>
      </c>
      <c r="AU2594">
        <v>2593</v>
      </c>
    </row>
    <row r="2595" spans="1:47" x14ac:dyDescent="0.2">
      <c r="A2595" s="133">
        <v>6578</v>
      </c>
      <c r="B2595" s="39" t="s">
        <v>45</v>
      </c>
      <c r="C2595" s="39" t="s">
        <v>332</v>
      </c>
      <c r="D2595" s="29"/>
      <c r="E2595" s="39" t="s">
        <v>3988</v>
      </c>
      <c r="F2595" s="47" t="s">
        <v>340</v>
      </c>
      <c r="G2595" s="47" t="s">
        <v>49</v>
      </c>
      <c r="H2595"/>
      <c r="I2595" s="47" t="s">
        <v>3989</v>
      </c>
      <c r="J2595" s="47"/>
      <c r="K2595" s="47">
        <f>1600*2.2</f>
        <v>3520.0000000000005</v>
      </c>
      <c r="L2595" s="48"/>
      <c r="M2595" s="47"/>
      <c r="N2595" s="47"/>
      <c r="O2595" s="47"/>
      <c r="P2595" s="47"/>
      <c r="Q2595" s="47"/>
      <c r="R2595" s="47"/>
      <c r="S2595" s="48">
        <v>8</v>
      </c>
      <c r="T2595" s="47"/>
      <c r="U2595" s="47"/>
      <c r="V2595" s="47"/>
      <c r="W2595" s="47"/>
      <c r="X2595" s="47"/>
      <c r="Y2595" s="47"/>
      <c r="Z2595" s="47"/>
      <c r="AA2595" s="49"/>
      <c r="AB2595" s="49"/>
      <c r="AC2595" s="49"/>
      <c r="AD2595" s="50"/>
      <c r="AE2595" s="47"/>
      <c r="AF2595" s="47"/>
      <c r="AG2595"/>
      <c r="AH2595"/>
      <c r="AI2595"/>
      <c r="AJ2595"/>
      <c r="AK2595"/>
      <c r="AL2595"/>
      <c r="AM2595"/>
      <c r="AN2595"/>
      <c r="AO2595"/>
      <c r="AP2595"/>
      <c r="AQ2595" t="s">
        <v>3990</v>
      </c>
      <c r="AU2595">
        <v>2594</v>
      </c>
    </row>
    <row r="2596" spans="1:47" x14ac:dyDescent="0.2">
      <c r="A2596" s="13">
        <v>6578</v>
      </c>
      <c r="B2596" s="57" t="s">
        <v>45</v>
      </c>
      <c r="C2596" s="57" t="s">
        <v>332</v>
      </c>
      <c r="D2596" s="29"/>
      <c r="E2596" s="57" t="s">
        <v>3991</v>
      </c>
      <c r="F2596" s="31" t="s">
        <v>3992</v>
      </c>
      <c r="G2596" s="31" t="s">
        <v>49</v>
      </c>
      <c r="K2596" s="31">
        <v>3608</v>
      </c>
      <c r="S2596" s="33">
        <v>8</v>
      </c>
      <c r="AQ2596" s="32" t="s">
        <v>3984</v>
      </c>
      <c r="AU2596">
        <v>2595</v>
      </c>
    </row>
    <row r="2597" spans="1:47" x14ac:dyDescent="0.2">
      <c r="A2597" s="13">
        <v>6578</v>
      </c>
      <c r="B2597" s="57" t="s">
        <v>45</v>
      </c>
      <c r="C2597" s="57" t="s">
        <v>1234</v>
      </c>
      <c r="D2597" s="29"/>
      <c r="E2597" s="57" t="s">
        <v>3993</v>
      </c>
      <c r="F2597" s="31" t="s">
        <v>76</v>
      </c>
      <c r="G2597" s="31" t="s">
        <v>49</v>
      </c>
      <c r="I2597" s="31" t="s">
        <v>3994</v>
      </c>
      <c r="K2597" s="31">
        <v>858</v>
      </c>
      <c r="S2597" s="33">
        <v>5</v>
      </c>
      <c r="T2597" s="31">
        <v>1</v>
      </c>
      <c r="Z2597" s="47" t="s">
        <v>1809</v>
      </c>
      <c r="AE2597" s="47" t="s">
        <v>1653</v>
      </c>
      <c r="AF2597" s="31">
        <v>110</v>
      </c>
      <c r="AK2597" s="32">
        <v>28</v>
      </c>
      <c r="AQ2597" s="32" t="s">
        <v>3995</v>
      </c>
      <c r="AU2597">
        <v>2596</v>
      </c>
    </row>
    <row r="2598" spans="1:47" x14ac:dyDescent="0.2">
      <c r="A2598" s="13">
        <v>6578</v>
      </c>
      <c r="B2598" s="57" t="s">
        <v>45</v>
      </c>
      <c r="C2598" s="57" t="s">
        <v>1234</v>
      </c>
      <c r="D2598" s="29"/>
      <c r="E2598" s="57" t="s">
        <v>631</v>
      </c>
      <c r="F2598" s="31" t="s">
        <v>3996</v>
      </c>
      <c r="G2598" s="31" t="s">
        <v>627</v>
      </c>
      <c r="I2598" s="31" t="s">
        <v>3997</v>
      </c>
      <c r="K2598" s="31">
        <v>1529</v>
      </c>
      <c r="S2598" s="33">
        <v>6</v>
      </c>
      <c r="Z2598" s="47" t="s">
        <v>1809</v>
      </c>
      <c r="AE2598" s="47" t="s">
        <v>1653</v>
      </c>
      <c r="AF2598" s="31">
        <v>120</v>
      </c>
      <c r="AK2598" s="32">
        <v>28</v>
      </c>
      <c r="AQ2598" s="32" t="s">
        <v>3998</v>
      </c>
      <c r="AU2598">
        <v>2597</v>
      </c>
    </row>
    <row r="2599" spans="1:47" x14ac:dyDescent="0.2">
      <c r="A2599" s="13">
        <v>6578</v>
      </c>
      <c r="B2599" s="57" t="s">
        <v>45</v>
      </c>
      <c r="C2599" s="57" t="s">
        <v>1077</v>
      </c>
      <c r="D2599" s="29"/>
      <c r="E2599" s="57" t="s">
        <v>3999</v>
      </c>
      <c r="F2599" s="31" t="s">
        <v>3601</v>
      </c>
      <c r="G2599" s="31" t="s">
        <v>481</v>
      </c>
      <c r="I2599" s="31" t="s">
        <v>3602</v>
      </c>
      <c r="K2599" s="31">
        <v>484</v>
      </c>
      <c r="Z2599" s="31" t="s">
        <v>3814</v>
      </c>
      <c r="AK2599" s="32">
        <v>10</v>
      </c>
      <c r="AQ2599" s="32" t="s">
        <v>3973</v>
      </c>
      <c r="AU2599">
        <v>2598</v>
      </c>
    </row>
    <row r="2600" spans="1:47" x14ac:dyDescent="0.2">
      <c r="A2600" s="13">
        <v>6578</v>
      </c>
      <c r="B2600" s="57" t="s">
        <v>45</v>
      </c>
      <c r="C2600" s="57" t="s">
        <v>1077</v>
      </c>
      <c r="D2600" s="29"/>
      <c r="E2600" s="57" t="s">
        <v>3367</v>
      </c>
      <c r="F2600" s="31" t="s">
        <v>76</v>
      </c>
      <c r="G2600" s="31" t="s">
        <v>49</v>
      </c>
      <c r="I2600" s="31" t="s">
        <v>3602</v>
      </c>
      <c r="K2600" s="31">
        <v>580.79999999999995</v>
      </c>
      <c r="Z2600" s="31" t="s">
        <v>3814</v>
      </c>
      <c r="AK2600" s="32">
        <v>12</v>
      </c>
      <c r="AQ2600" s="32" t="s">
        <v>3973</v>
      </c>
      <c r="AU2600">
        <v>2599</v>
      </c>
    </row>
    <row r="2601" spans="1:47" x14ac:dyDescent="0.2">
      <c r="A2601" s="13">
        <v>6578</v>
      </c>
      <c r="B2601" s="57" t="s">
        <v>45</v>
      </c>
      <c r="C2601" s="57" t="s">
        <v>1077</v>
      </c>
      <c r="D2601" s="29"/>
      <c r="E2601" s="57" t="s">
        <v>405</v>
      </c>
      <c r="F2601" s="31" t="s">
        <v>76</v>
      </c>
      <c r="G2601" s="31" t="s">
        <v>49</v>
      </c>
      <c r="I2601" s="31" t="s">
        <v>3602</v>
      </c>
      <c r="K2601" s="31">
        <v>580.79999999999995</v>
      </c>
      <c r="Z2601" s="31" t="s">
        <v>3814</v>
      </c>
      <c r="AK2601" s="32">
        <v>12</v>
      </c>
      <c r="AQ2601" s="32" t="s">
        <v>3973</v>
      </c>
      <c r="AU2601">
        <v>2600</v>
      </c>
    </row>
    <row r="2602" spans="1:47" x14ac:dyDescent="0.2">
      <c r="A2602" s="13">
        <v>6578</v>
      </c>
      <c r="B2602" s="57" t="s">
        <v>45</v>
      </c>
      <c r="C2602" s="57" t="s">
        <v>1077</v>
      </c>
      <c r="D2602" s="29"/>
      <c r="E2602" s="57" t="s">
        <v>472</v>
      </c>
      <c r="F2602" s="31" t="s">
        <v>3601</v>
      </c>
      <c r="G2602" s="31" t="s">
        <v>481</v>
      </c>
      <c r="I2602" s="31" t="s">
        <v>3602</v>
      </c>
      <c r="K2602" s="31">
        <v>968</v>
      </c>
      <c r="Z2602" s="31" t="s">
        <v>3814</v>
      </c>
      <c r="AK2602" s="32">
        <v>20</v>
      </c>
      <c r="AQ2602" s="32" t="s">
        <v>3973</v>
      </c>
      <c r="AU2602">
        <v>2601</v>
      </c>
    </row>
    <row r="2603" spans="1:47" x14ac:dyDescent="0.2">
      <c r="A2603" s="13">
        <v>6578</v>
      </c>
      <c r="B2603" s="57" t="s">
        <v>45</v>
      </c>
      <c r="C2603" s="57" t="s">
        <v>1077</v>
      </c>
      <c r="D2603" s="29"/>
      <c r="E2603" s="57" t="s">
        <v>1764</v>
      </c>
      <c r="F2603" s="31" t="s">
        <v>76</v>
      </c>
      <c r="G2603" s="31" t="s">
        <v>49</v>
      </c>
      <c r="I2603" s="31" t="s">
        <v>3602</v>
      </c>
      <c r="K2603" s="31">
        <v>1161.5999999999999</v>
      </c>
      <c r="Z2603" s="31" t="s">
        <v>3814</v>
      </c>
      <c r="AK2603" s="32">
        <v>24</v>
      </c>
      <c r="AQ2603" s="32" t="s">
        <v>3973</v>
      </c>
      <c r="AU2603">
        <v>2602</v>
      </c>
    </row>
    <row r="2604" spans="1:47" x14ac:dyDescent="0.2">
      <c r="A2604" s="26">
        <v>6578</v>
      </c>
      <c r="B2604" s="27">
        <v>0.5625</v>
      </c>
      <c r="C2604" s="28"/>
      <c r="D2604" s="29"/>
      <c r="E2604" s="30" t="s">
        <v>869</v>
      </c>
      <c r="H2604" s="32">
        <v>0</v>
      </c>
      <c r="I2604" s="32" t="s">
        <v>4000</v>
      </c>
      <c r="AG2604" s="32">
        <v>0</v>
      </c>
      <c r="AH2604" s="32">
        <v>0</v>
      </c>
      <c r="AI2604" s="32">
        <v>0</v>
      </c>
      <c r="AK2604" s="32">
        <v>0</v>
      </c>
      <c r="AL2604" s="32">
        <f>5/6</f>
        <v>0.83333333333333337</v>
      </c>
      <c r="AP2604" s="32">
        <f>5/6</f>
        <v>0.83333333333333337</v>
      </c>
      <c r="AQ2604" s="32" t="s">
        <v>589</v>
      </c>
      <c r="AU2604">
        <v>2603</v>
      </c>
    </row>
    <row r="2605" spans="1:47" x14ac:dyDescent="0.2">
      <c r="A2605" s="26">
        <v>6578</v>
      </c>
      <c r="B2605" s="27">
        <v>0.83680555555555547</v>
      </c>
      <c r="C2605" s="28"/>
      <c r="D2605" s="29"/>
      <c r="E2605" s="30" t="s">
        <v>464</v>
      </c>
      <c r="H2605" s="32">
        <v>0</v>
      </c>
      <c r="I2605" s="32" t="s">
        <v>4001</v>
      </c>
      <c r="AG2605" s="32">
        <v>0</v>
      </c>
      <c r="AH2605" s="32">
        <v>0</v>
      </c>
      <c r="AL2605" s="32">
        <f>1+55/60</f>
        <v>1.9166666666666665</v>
      </c>
      <c r="AO2605" s="32" t="s">
        <v>1898</v>
      </c>
      <c r="AP2605" s="32">
        <f>1+55/60</f>
        <v>1.9166666666666665</v>
      </c>
      <c r="AQ2605" s="32" t="s">
        <v>1522</v>
      </c>
      <c r="AU2605">
        <v>2604</v>
      </c>
    </row>
    <row r="2606" spans="1:47" x14ac:dyDescent="0.2">
      <c r="A2606" s="26">
        <v>6578</v>
      </c>
      <c r="B2606" s="27">
        <v>0.84027777777777779</v>
      </c>
      <c r="C2606" s="28"/>
      <c r="D2606" s="29"/>
      <c r="E2606" s="30" t="s">
        <v>1282</v>
      </c>
      <c r="H2606" s="32">
        <v>1</v>
      </c>
      <c r="I2606" s="32" t="s">
        <v>4002</v>
      </c>
      <c r="AG2606" s="32">
        <v>0</v>
      </c>
      <c r="AH2606" s="32">
        <v>0</v>
      </c>
      <c r="AL2606" s="32">
        <f>5+25/60</f>
        <v>5.416666666666667</v>
      </c>
      <c r="AP2606" s="32">
        <f>5+25/60</f>
        <v>5.416666666666667</v>
      </c>
      <c r="AQ2606" s="32" t="s">
        <v>1101</v>
      </c>
      <c r="AU2606">
        <v>2605</v>
      </c>
    </row>
    <row r="2607" spans="1:47" x14ac:dyDescent="0.2">
      <c r="A2607" s="26">
        <v>6578</v>
      </c>
      <c r="B2607" s="27">
        <v>0.84722222222222221</v>
      </c>
      <c r="C2607" s="28"/>
      <c r="D2607" s="29"/>
      <c r="E2607" s="30" t="s">
        <v>869</v>
      </c>
      <c r="H2607" s="32">
        <v>0</v>
      </c>
      <c r="I2607" s="32" t="s">
        <v>2344</v>
      </c>
      <c r="AG2607" s="32">
        <v>0</v>
      </c>
      <c r="AH2607" s="32">
        <v>0</v>
      </c>
      <c r="AI2607" s="32">
        <v>0</v>
      </c>
      <c r="AK2607" s="32">
        <v>0</v>
      </c>
      <c r="AL2607" s="32">
        <f>16/60</f>
        <v>0.26666666666666666</v>
      </c>
      <c r="AP2607" s="32">
        <f>16/60</f>
        <v>0.26666666666666666</v>
      </c>
      <c r="AQ2607" s="32" t="s">
        <v>589</v>
      </c>
      <c r="AU2607">
        <v>2606</v>
      </c>
    </row>
    <row r="2608" spans="1:47" x14ac:dyDescent="0.2">
      <c r="A2608" s="26">
        <v>6578</v>
      </c>
      <c r="B2608" s="27" t="s">
        <v>45</v>
      </c>
      <c r="C2608" s="28"/>
      <c r="D2608" s="29"/>
      <c r="E2608" s="30" t="s">
        <v>586</v>
      </c>
      <c r="H2608" s="32">
        <v>1</v>
      </c>
      <c r="I2608" s="32" t="s">
        <v>4003</v>
      </c>
      <c r="AI2608" s="32">
        <v>1762</v>
      </c>
      <c r="AO2608" s="46" t="s">
        <v>588</v>
      </c>
      <c r="AQ2608" s="32" t="s">
        <v>589</v>
      </c>
      <c r="AU2608">
        <v>2607</v>
      </c>
    </row>
    <row r="2609" spans="1:47" x14ac:dyDescent="0.2">
      <c r="A2609" s="26">
        <v>6578</v>
      </c>
      <c r="B2609" s="27" t="s">
        <v>45</v>
      </c>
      <c r="C2609" s="28"/>
      <c r="D2609" s="29"/>
      <c r="E2609" s="30" t="s">
        <v>1531</v>
      </c>
      <c r="H2609" s="32">
        <v>0</v>
      </c>
      <c r="I2609" s="32" t="s">
        <v>1706</v>
      </c>
      <c r="AG2609" s="32">
        <v>0</v>
      </c>
      <c r="AH2609" s="32">
        <v>0</v>
      </c>
      <c r="AI2609" s="32">
        <v>0</v>
      </c>
      <c r="AK2609" s="32">
        <v>0</v>
      </c>
      <c r="AM2609" s="32">
        <f>498*38</f>
        <v>18924</v>
      </c>
      <c r="AO2609" s="32" t="s">
        <v>1533</v>
      </c>
      <c r="AQ2609" s="32" t="s">
        <v>1101</v>
      </c>
      <c r="AU2609">
        <v>2608</v>
      </c>
    </row>
    <row r="2610" spans="1:47" x14ac:dyDescent="0.2">
      <c r="A2610" s="26">
        <v>6578</v>
      </c>
      <c r="B2610" s="27" t="s">
        <v>45</v>
      </c>
      <c r="C2610" s="28"/>
      <c r="D2610" s="29"/>
      <c r="E2610" s="150" t="s">
        <v>2379</v>
      </c>
      <c r="H2610" s="32">
        <v>0</v>
      </c>
      <c r="I2610" s="32" t="s">
        <v>1820</v>
      </c>
      <c r="AG2610" s="32">
        <v>0</v>
      </c>
      <c r="AH2610" s="32">
        <v>0</v>
      </c>
      <c r="AI2610" s="32">
        <v>0</v>
      </c>
      <c r="AK2610" s="32">
        <v>0</v>
      </c>
      <c r="AM2610" s="32">
        <v>2500</v>
      </c>
      <c r="AO2610" s="73" t="s">
        <v>75</v>
      </c>
      <c r="AQ2610" s="32" t="s">
        <v>589</v>
      </c>
      <c r="AU2610">
        <v>2609</v>
      </c>
    </row>
    <row r="2611" spans="1:47" x14ac:dyDescent="0.2">
      <c r="A2611" s="26">
        <v>6578</v>
      </c>
      <c r="B2611" s="27"/>
      <c r="C2611" s="28"/>
      <c r="D2611" s="29"/>
      <c r="E2611" s="30" t="s">
        <v>3126</v>
      </c>
      <c r="H2611" s="32">
        <v>1</v>
      </c>
      <c r="I2611" s="32" t="s">
        <v>4004</v>
      </c>
      <c r="AI2611" s="32">
        <v>1593</v>
      </c>
      <c r="AK2611" s="32">
        <v>3</v>
      </c>
      <c r="AQ2611" s="32">
        <v>466</v>
      </c>
      <c r="AU2611">
        <v>2610</v>
      </c>
    </row>
    <row r="2612" spans="1:47" x14ac:dyDescent="0.2">
      <c r="A2612" s="133">
        <v>6579</v>
      </c>
      <c r="B2612" s="39" t="s">
        <v>85</v>
      </c>
      <c r="C2612" s="39" t="s">
        <v>4005</v>
      </c>
      <c r="D2612" s="29" t="b">
        <v>0</v>
      </c>
      <c r="E2612" s="39" t="s">
        <v>586</v>
      </c>
      <c r="G2612" s="31" t="s">
        <v>481</v>
      </c>
      <c r="H2612" s="32"/>
      <c r="I2612" s="32"/>
      <c r="L2612" s="33">
        <v>7</v>
      </c>
      <c r="Z2612" s="47" t="s">
        <v>1809</v>
      </c>
      <c r="AE2612" s="47" t="s">
        <v>1810</v>
      </c>
      <c r="AF2612" s="31">
        <v>80</v>
      </c>
      <c r="AQ2612" s="32" t="s">
        <v>3971</v>
      </c>
      <c r="AU2612">
        <v>2611</v>
      </c>
    </row>
    <row r="2613" spans="1:47" x14ac:dyDescent="0.2">
      <c r="A2613" s="13">
        <v>6579</v>
      </c>
      <c r="B2613" s="57" t="s">
        <v>85</v>
      </c>
      <c r="C2613" s="39" t="s">
        <v>4006</v>
      </c>
      <c r="D2613" s="29"/>
      <c r="E2613" s="57" t="s">
        <v>782</v>
      </c>
      <c r="F2613" s="31" t="s">
        <v>204</v>
      </c>
      <c r="G2613" s="31" t="s">
        <v>205</v>
      </c>
      <c r="I2613" s="31" t="s">
        <v>4007</v>
      </c>
      <c r="K2613" s="31">
        <v>605</v>
      </c>
      <c r="S2613" s="33">
        <v>6</v>
      </c>
      <c r="Z2613" s="47" t="s">
        <v>1809</v>
      </c>
      <c r="AE2613" s="47" t="s">
        <v>1653</v>
      </c>
      <c r="AF2613" s="31">
        <v>80</v>
      </c>
      <c r="AK2613" s="32">
        <v>24</v>
      </c>
      <c r="AQ2613" s="32" t="s">
        <v>4008</v>
      </c>
      <c r="AU2613">
        <v>2612</v>
      </c>
    </row>
    <row r="2614" spans="1:47" x14ac:dyDescent="0.2">
      <c r="A2614" s="13">
        <v>6579</v>
      </c>
      <c r="B2614" s="57"/>
      <c r="C2614" s="57" t="s">
        <v>1234</v>
      </c>
      <c r="D2614" s="29"/>
      <c r="E2614" s="57" t="s">
        <v>3726</v>
      </c>
      <c r="F2614" s="31" t="s">
        <v>3727</v>
      </c>
      <c r="G2614" s="31" t="s">
        <v>69</v>
      </c>
      <c r="I2614" s="31" t="s">
        <v>3972</v>
      </c>
      <c r="K2614" s="63"/>
      <c r="AE2614" s="47" t="s">
        <v>1653</v>
      </c>
      <c r="AQ2614" s="32" t="s">
        <v>3973</v>
      </c>
      <c r="AU2614">
        <v>2613</v>
      </c>
    </row>
    <row r="2615" spans="1:47" x14ac:dyDescent="0.2">
      <c r="A2615" s="13">
        <v>6579</v>
      </c>
      <c r="B2615" s="57" t="s">
        <v>85</v>
      </c>
      <c r="C2615" s="57" t="s">
        <v>1077</v>
      </c>
      <c r="D2615" s="29"/>
      <c r="E2615" s="57" t="s">
        <v>405</v>
      </c>
      <c r="F2615" s="31" t="s">
        <v>76</v>
      </c>
      <c r="G2615" s="31" t="s">
        <v>49</v>
      </c>
      <c r="I2615" s="31" t="s">
        <v>3602</v>
      </c>
      <c r="K2615" s="31">
        <v>4501.2</v>
      </c>
      <c r="Z2615" s="31" t="s">
        <v>3724</v>
      </c>
      <c r="AK2615" s="32">
        <v>93</v>
      </c>
      <c r="AQ2615" s="32" t="s">
        <v>3973</v>
      </c>
      <c r="AU2615">
        <v>2614</v>
      </c>
    </row>
    <row r="2616" spans="1:47" x14ac:dyDescent="0.2">
      <c r="A2616" s="133">
        <v>6579</v>
      </c>
      <c r="B2616" s="39" t="s">
        <v>45</v>
      </c>
      <c r="C2616" s="39">
        <v>100</v>
      </c>
      <c r="D2616" s="29" t="b">
        <v>0</v>
      </c>
      <c r="E2616" s="39" t="s">
        <v>4009</v>
      </c>
      <c r="F2616" s="47" t="s">
        <v>4010</v>
      </c>
      <c r="G2616" s="47" t="s">
        <v>49</v>
      </c>
      <c r="H2616"/>
      <c r="I2616" s="47" t="b">
        <v>1</v>
      </c>
      <c r="J2616" s="47" t="b">
        <v>1</v>
      </c>
      <c r="K2616" s="47">
        <v>3020</v>
      </c>
      <c r="L2616" s="48">
        <v>9</v>
      </c>
      <c r="M2616" s="47">
        <v>0</v>
      </c>
      <c r="N2616" s="47">
        <v>1</v>
      </c>
      <c r="O2616" s="47">
        <v>0</v>
      </c>
      <c r="P2616" s="47">
        <v>0</v>
      </c>
      <c r="Q2616" s="47">
        <v>0</v>
      </c>
      <c r="R2616" s="47">
        <v>0</v>
      </c>
      <c r="S2616" s="48">
        <v>8</v>
      </c>
      <c r="T2616" s="47">
        <v>0</v>
      </c>
      <c r="U2616" s="47">
        <v>0</v>
      </c>
      <c r="V2616" s="47">
        <v>0</v>
      </c>
      <c r="W2616" s="47">
        <v>1000</v>
      </c>
      <c r="X2616" s="47">
        <v>382</v>
      </c>
      <c r="Y2616" s="47"/>
      <c r="Z2616" s="47" t="s">
        <v>2524</v>
      </c>
      <c r="AA2616" s="49"/>
      <c r="AB2616" s="49"/>
      <c r="AC2616" s="49"/>
      <c r="AD2616" s="50"/>
      <c r="AE2616" s="47" t="s">
        <v>1312</v>
      </c>
      <c r="AF2616" s="47"/>
      <c r="AG2616"/>
      <c r="AH2616"/>
      <c r="AI2616"/>
      <c r="AJ2616"/>
      <c r="AK2616"/>
      <c r="AL2616"/>
      <c r="AM2616"/>
      <c r="AN2616"/>
      <c r="AO2616"/>
      <c r="AP2616"/>
      <c r="AQ2616" t="s">
        <v>2526</v>
      </c>
      <c r="AU2616">
        <v>2615</v>
      </c>
    </row>
    <row r="2617" spans="1:47" x14ac:dyDescent="0.2">
      <c r="A2617" s="133">
        <v>6579</v>
      </c>
      <c r="B2617" s="39" t="s">
        <v>45</v>
      </c>
      <c r="C2617" s="39">
        <v>100</v>
      </c>
      <c r="D2617" s="29" t="b">
        <v>0</v>
      </c>
      <c r="E2617" s="39" t="s">
        <v>4011</v>
      </c>
      <c r="F2617" s="47" t="s">
        <v>48</v>
      </c>
      <c r="G2617" s="47" t="s">
        <v>49</v>
      </c>
      <c r="H2617"/>
      <c r="I2617" s="47" t="b">
        <v>0</v>
      </c>
      <c r="J2617" s="47" t="b">
        <v>0</v>
      </c>
      <c r="K2617" s="47">
        <v>380</v>
      </c>
      <c r="L2617" s="48">
        <v>1</v>
      </c>
      <c r="M2617" s="47">
        <v>0</v>
      </c>
      <c r="N2617" s="47">
        <v>0</v>
      </c>
      <c r="O2617" s="47">
        <v>0</v>
      </c>
      <c r="P2617" s="47">
        <v>0</v>
      </c>
      <c r="Q2617" s="47">
        <v>0</v>
      </c>
      <c r="R2617" s="47">
        <v>0</v>
      </c>
      <c r="S2617" s="48">
        <v>1</v>
      </c>
      <c r="T2617" s="47">
        <v>0</v>
      </c>
      <c r="U2617" s="47">
        <v>0</v>
      </c>
      <c r="V2617" s="47">
        <v>0</v>
      </c>
      <c r="W2617" s="47">
        <v>1000</v>
      </c>
      <c r="X2617" s="47">
        <v>383</v>
      </c>
      <c r="Y2617" s="47"/>
      <c r="Z2617" s="47" t="s">
        <v>2524</v>
      </c>
      <c r="AA2617" s="49"/>
      <c r="AB2617" s="49"/>
      <c r="AC2617" s="49"/>
      <c r="AD2617" s="50"/>
      <c r="AE2617" s="47" t="s">
        <v>1312</v>
      </c>
      <c r="AF2617" s="47">
        <v>40</v>
      </c>
      <c r="AG2617"/>
      <c r="AH2617"/>
      <c r="AI2617"/>
      <c r="AJ2617"/>
      <c r="AK2617"/>
      <c r="AL2617"/>
      <c r="AM2617"/>
      <c r="AN2617"/>
      <c r="AO2617"/>
      <c r="AP2617"/>
      <c r="AQ2617" t="s">
        <v>2526</v>
      </c>
      <c r="AU2617">
        <v>2616</v>
      </c>
    </row>
    <row r="2618" spans="1:47" x14ac:dyDescent="0.2">
      <c r="A2618" s="133">
        <v>6579</v>
      </c>
      <c r="B2618" s="39" t="s">
        <v>45</v>
      </c>
      <c r="C2618" s="39">
        <v>100</v>
      </c>
      <c r="D2618" s="29" t="b">
        <v>0</v>
      </c>
      <c r="E2618" s="39" t="s">
        <v>4012</v>
      </c>
      <c r="F2618" s="47" t="s">
        <v>4013</v>
      </c>
      <c r="G2618" s="47" t="s">
        <v>481</v>
      </c>
      <c r="H2618"/>
      <c r="I2618" s="47" t="b">
        <v>0</v>
      </c>
      <c r="J2618" s="47" t="b">
        <v>0</v>
      </c>
      <c r="K2618" s="47">
        <v>1520</v>
      </c>
      <c r="L2618" s="48">
        <v>5</v>
      </c>
      <c r="M2618" s="47">
        <v>0</v>
      </c>
      <c r="N2618" s="47">
        <v>1</v>
      </c>
      <c r="O2618" s="47">
        <v>0</v>
      </c>
      <c r="P2618" s="47">
        <v>0</v>
      </c>
      <c r="Q2618" s="47">
        <v>0</v>
      </c>
      <c r="R2618" s="47">
        <v>0</v>
      </c>
      <c r="S2618" s="48">
        <v>4</v>
      </c>
      <c r="T2618" s="47">
        <v>0</v>
      </c>
      <c r="U2618" s="47">
        <v>0</v>
      </c>
      <c r="V2618" s="47">
        <v>0</v>
      </c>
      <c r="W2618" s="47">
        <v>1000</v>
      </c>
      <c r="X2618" s="47">
        <v>384</v>
      </c>
      <c r="Y2618" s="47"/>
      <c r="Z2618" s="47" t="s">
        <v>2524</v>
      </c>
      <c r="AA2618" s="49"/>
      <c r="AB2618" s="49"/>
      <c r="AC2618" s="49"/>
      <c r="AD2618" s="50"/>
      <c r="AE2618" s="47" t="s">
        <v>1312</v>
      </c>
      <c r="AF2618" s="47">
        <v>70</v>
      </c>
      <c r="AG2618"/>
      <c r="AH2618"/>
      <c r="AI2618"/>
      <c r="AJ2618"/>
      <c r="AK2618"/>
      <c r="AL2618"/>
      <c r="AM2618"/>
      <c r="AN2618"/>
      <c r="AO2618"/>
      <c r="AP2618"/>
      <c r="AQ2618" t="s">
        <v>2526</v>
      </c>
      <c r="AU2618">
        <v>2617</v>
      </c>
    </row>
    <row r="2619" spans="1:47" x14ac:dyDescent="0.2">
      <c r="A2619" s="133">
        <v>6579</v>
      </c>
      <c r="B2619" s="39" t="s">
        <v>45</v>
      </c>
      <c r="C2619" s="39">
        <v>100</v>
      </c>
      <c r="D2619" s="29" t="b">
        <v>0</v>
      </c>
      <c r="E2619" s="39" t="s">
        <v>4014</v>
      </c>
      <c r="F2619" s="47" t="s">
        <v>3663</v>
      </c>
      <c r="G2619" s="47" t="s">
        <v>49</v>
      </c>
      <c r="H2619"/>
      <c r="I2619" s="47" t="b">
        <v>0</v>
      </c>
      <c r="J2619" s="47" t="b">
        <v>0</v>
      </c>
      <c r="K2619" s="47">
        <v>370</v>
      </c>
      <c r="L2619" s="48">
        <v>1</v>
      </c>
      <c r="M2619" s="47">
        <v>0</v>
      </c>
      <c r="N2619" s="47">
        <v>0</v>
      </c>
      <c r="O2619" s="47">
        <v>0</v>
      </c>
      <c r="P2619" s="47">
        <v>0</v>
      </c>
      <c r="Q2619" s="47">
        <v>0</v>
      </c>
      <c r="R2619" s="47">
        <v>0</v>
      </c>
      <c r="S2619" s="48">
        <v>1</v>
      </c>
      <c r="T2619" s="47">
        <v>0</v>
      </c>
      <c r="U2619" s="47">
        <v>0</v>
      </c>
      <c r="V2619" s="47">
        <v>0</v>
      </c>
      <c r="W2619" s="47">
        <v>1000</v>
      </c>
      <c r="X2619" s="47">
        <v>385</v>
      </c>
      <c r="Y2619" s="47"/>
      <c r="Z2619" s="47" t="s">
        <v>2524</v>
      </c>
      <c r="AA2619" s="49"/>
      <c r="AB2619" s="49"/>
      <c r="AC2619" s="49"/>
      <c r="AD2619" s="50"/>
      <c r="AE2619" s="47" t="s">
        <v>1312</v>
      </c>
      <c r="AF2619" s="31">
        <v>65</v>
      </c>
      <c r="AG2619"/>
      <c r="AH2619"/>
      <c r="AI2619"/>
      <c r="AJ2619"/>
      <c r="AK2619"/>
      <c r="AL2619"/>
      <c r="AM2619"/>
      <c r="AN2619"/>
      <c r="AO2619"/>
      <c r="AP2619"/>
      <c r="AQ2619" t="s">
        <v>2526</v>
      </c>
      <c r="AU2619">
        <v>2618</v>
      </c>
    </row>
    <row r="2620" spans="1:47" x14ac:dyDescent="0.2">
      <c r="A2620" s="133">
        <v>6579</v>
      </c>
      <c r="B2620" s="39" t="s">
        <v>45</v>
      </c>
      <c r="C2620" s="39">
        <v>100</v>
      </c>
      <c r="D2620" s="29" t="b">
        <v>0</v>
      </c>
      <c r="E2620" s="39" t="s">
        <v>405</v>
      </c>
      <c r="F2620" s="47" t="s">
        <v>3663</v>
      </c>
      <c r="G2620" s="47" t="s">
        <v>49</v>
      </c>
      <c r="H2620"/>
      <c r="I2620" s="47" t="b">
        <v>0</v>
      </c>
      <c r="J2620" s="47" t="b">
        <v>0</v>
      </c>
      <c r="K2620" s="47">
        <v>380</v>
      </c>
      <c r="L2620" s="48">
        <v>1</v>
      </c>
      <c r="M2620" s="47">
        <v>0</v>
      </c>
      <c r="N2620" s="47">
        <v>0</v>
      </c>
      <c r="O2620" s="47">
        <v>0</v>
      </c>
      <c r="P2620" s="47">
        <v>0</v>
      </c>
      <c r="Q2620" s="47">
        <v>0</v>
      </c>
      <c r="R2620" s="47">
        <v>0</v>
      </c>
      <c r="S2620" s="48">
        <v>1</v>
      </c>
      <c r="T2620" s="47">
        <v>0</v>
      </c>
      <c r="U2620" s="47">
        <v>0</v>
      </c>
      <c r="V2620" s="47">
        <v>0</v>
      </c>
      <c r="W2620" s="47">
        <v>1000</v>
      </c>
      <c r="X2620" s="47">
        <v>386</v>
      </c>
      <c r="Y2620" s="47"/>
      <c r="Z2620" s="47" t="s">
        <v>2524</v>
      </c>
      <c r="AA2620" s="49"/>
      <c r="AB2620" s="49"/>
      <c r="AC2620" s="49"/>
      <c r="AD2620" s="50"/>
      <c r="AE2620" s="47" t="s">
        <v>1312</v>
      </c>
      <c r="AF2620" s="47">
        <v>60</v>
      </c>
      <c r="AG2620"/>
      <c r="AH2620"/>
      <c r="AI2620"/>
      <c r="AJ2620"/>
      <c r="AK2620"/>
      <c r="AL2620"/>
      <c r="AM2620"/>
      <c r="AN2620"/>
      <c r="AO2620"/>
      <c r="AP2620"/>
      <c r="AQ2620" t="s">
        <v>2526</v>
      </c>
      <c r="AU2620">
        <v>2619</v>
      </c>
    </row>
    <row r="2621" spans="1:47" x14ac:dyDescent="0.2">
      <c r="A2621" s="133">
        <v>6579</v>
      </c>
      <c r="B2621" s="39" t="s">
        <v>45</v>
      </c>
      <c r="C2621" s="39">
        <v>100</v>
      </c>
      <c r="D2621" s="29" t="b">
        <v>0</v>
      </c>
      <c r="E2621" s="39" t="s">
        <v>2434</v>
      </c>
      <c r="F2621" s="47" t="s">
        <v>4015</v>
      </c>
      <c r="G2621" s="47" t="s">
        <v>49</v>
      </c>
      <c r="H2621"/>
      <c r="I2621" s="47" t="b">
        <v>0</v>
      </c>
      <c r="J2621" s="47" t="b">
        <v>0</v>
      </c>
      <c r="K2621" s="47">
        <v>370</v>
      </c>
      <c r="L2621" s="48">
        <v>1</v>
      </c>
      <c r="M2621" s="47">
        <v>0</v>
      </c>
      <c r="N2621" s="47">
        <v>0</v>
      </c>
      <c r="O2621" s="47">
        <v>0</v>
      </c>
      <c r="P2621" s="47">
        <v>0</v>
      </c>
      <c r="Q2621" s="47">
        <v>0</v>
      </c>
      <c r="R2621" s="47">
        <v>0</v>
      </c>
      <c r="S2621" s="48">
        <v>1</v>
      </c>
      <c r="T2621" s="47">
        <v>0</v>
      </c>
      <c r="U2621" s="47">
        <v>0</v>
      </c>
      <c r="V2621" s="47">
        <v>0</v>
      </c>
      <c r="W2621" s="47">
        <v>1000</v>
      </c>
      <c r="X2621" s="47">
        <v>387</v>
      </c>
      <c r="Y2621" s="47"/>
      <c r="Z2621" s="47" t="s">
        <v>2524</v>
      </c>
      <c r="AA2621" s="49"/>
      <c r="AB2621" s="49"/>
      <c r="AC2621" s="49"/>
      <c r="AD2621" s="50"/>
      <c r="AE2621" s="47" t="s">
        <v>1312</v>
      </c>
      <c r="AF2621" s="47">
        <v>80</v>
      </c>
      <c r="AG2621"/>
      <c r="AH2621"/>
      <c r="AI2621"/>
      <c r="AJ2621"/>
      <c r="AK2621"/>
      <c r="AL2621"/>
      <c r="AM2621"/>
      <c r="AN2621"/>
      <c r="AO2621"/>
      <c r="AP2621"/>
      <c r="AQ2621" t="s">
        <v>2526</v>
      </c>
      <c r="AU2621">
        <v>2620</v>
      </c>
    </row>
    <row r="2622" spans="1:47" x14ac:dyDescent="0.2">
      <c r="A2622" s="13">
        <v>6579</v>
      </c>
      <c r="B2622" s="57" t="s">
        <v>45</v>
      </c>
      <c r="C2622" s="57" t="s">
        <v>1077</v>
      </c>
      <c r="D2622" s="29"/>
      <c r="E2622" s="57" t="s">
        <v>4016</v>
      </c>
      <c r="F2622" s="31" t="s">
        <v>83</v>
      </c>
      <c r="G2622" s="31" t="s">
        <v>69</v>
      </c>
      <c r="K2622" s="31">
        <v>132</v>
      </c>
      <c r="Z2622" s="31" t="s">
        <v>3814</v>
      </c>
      <c r="AK2622" s="32">
        <v>6</v>
      </c>
      <c r="AQ2622" s="32" t="s">
        <v>3973</v>
      </c>
      <c r="AU2622">
        <v>2621</v>
      </c>
    </row>
    <row r="2623" spans="1:47" x14ac:dyDescent="0.2">
      <c r="A2623" s="13">
        <v>6579</v>
      </c>
      <c r="B2623" s="57" t="s">
        <v>45</v>
      </c>
      <c r="C2623" s="57" t="s">
        <v>105</v>
      </c>
      <c r="D2623" s="29"/>
      <c r="E2623" s="57" t="s">
        <v>4017</v>
      </c>
      <c r="F2623" s="31" t="s">
        <v>76</v>
      </c>
      <c r="G2623" s="31" t="s">
        <v>49</v>
      </c>
      <c r="I2623" s="31" t="s">
        <v>3602</v>
      </c>
      <c r="K2623" s="31">
        <v>242</v>
      </c>
      <c r="AK2623" s="32">
        <v>11</v>
      </c>
      <c r="AQ2623" s="32" t="s">
        <v>3973</v>
      </c>
      <c r="AU2623">
        <v>2622</v>
      </c>
    </row>
    <row r="2624" spans="1:47" x14ac:dyDescent="0.2">
      <c r="A2624" s="13">
        <v>6579</v>
      </c>
      <c r="B2624" s="57" t="s">
        <v>45</v>
      </c>
      <c r="C2624" s="57" t="s">
        <v>1077</v>
      </c>
      <c r="D2624" s="29"/>
      <c r="E2624" s="57" t="s">
        <v>466</v>
      </c>
      <c r="F2624" s="31" t="s">
        <v>4018</v>
      </c>
      <c r="G2624" s="31" t="s">
        <v>49</v>
      </c>
      <c r="I2624" s="31" t="s">
        <v>3602</v>
      </c>
      <c r="K2624" s="31">
        <v>580.79999999999995</v>
      </c>
      <c r="Z2624" s="31" t="s">
        <v>3814</v>
      </c>
      <c r="AK2624" s="32">
        <v>12</v>
      </c>
      <c r="AQ2624" s="32" t="s">
        <v>3973</v>
      </c>
      <c r="AU2624">
        <v>2623</v>
      </c>
    </row>
    <row r="2625" spans="1:47" x14ac:dyDescent="0.2">
      <c r="A2625" s="13">
        <v>6579</v>
      </c>
      <c r="B2625" s="57" t="s">
        <v>45</v>
      </c>
      <c r="C2625" s="57" t="s">
        <v>105</v>
      </c>
      <c r="D2625" s="29"/>
      <c r="E2625" s="57" t="s">
        <v>3063</v>
      </c>
      <c r="F2625" s="31" t="s">
        <v>76</v>
      </c>
      <c r="G2625" s="31" t="s">
        <v>49</v>
      </c>
      <c r="I2625" s="31" t="s">
        <v>3602</v>
      </c>
      <c r="K2625" s="31">
        <v>664.4</v>
      </c>
      <c r="AK2625" s="32">
        <v>22</v>
      </c>
      <c r="AQ2625" s="32" t="s">
        <v>3973</v>
      </c>
      <c r="AU2625">
        <v>2624</v>
      </c>
    </row>
    <row r="2626" spans="1:47" x14ac:dyDescent="0.2">
      <c r="A2626" s="13">
        <v>6579</v>
      </c>
      <c r="B2626" s="57" t="s">
        <v>45</v>
      </c>
      <c r="C2626" s="57" t="s">
        <v>105</v>
      </c>
      <c r="D2626" s="29"/>
      <c r="E2626" s="57" t="s">
        <v>2191</v>
      </c>
      <c r="F2626" s="31" t="s">
        <v>76</v>
      </c>
      <c r="G2626" s="31" t="s">
        <v>49</v>
      </c>
      <c r="I2626" s="31" t="s">
        <v>3602</v>
      </c>
      <c r="K2626" s="31">
        <v>699.6</v>
      </c>
      <c r="AK2626" s="32">
        <v>18</v>
      </c>
      <c r="AQ2626" s="32" t="s">
        <v>3973</v>
      </c>
      <c r="AU2626">
        <v>2625</v>
      </c>
    </row>
    <row r="2627" spans="1:47" x14ac:dyDescent="0.2">
      <c r="A2627" s="13">
        <v>6579</v>
      </c>
      <c r="B2627" s="57" t="s">
        <v>45</v>
      </c>
      <c r="C2627" s="57" t="s">
        <v>1077</v>
      </c>
      <c r="D2627" s="29"/>
      <c r="E2627" s="166" t="s">
        <v>3367</v>
      </c>
      <c r="F2627" s="31" t="s">
        <v>76</v>
      </c>
      <c r="G2627" s="31" t="s">
        <v>49</v>
      </c>
      <c r="I2627" s="31" t="s">
        <v>3602</v>
      </c>
      <c r="K2627" s="31">
        <v>968</v>
      </c>
      <c r="Z2627" s="31" t="s">
        <v>3814</v>
      </c>
      <c r="AK2627" s="32">
        <v>20</v>
      </c>
      <c r="AQ2627" s="32" t="s">
        <v>3973</v>
      </c>
      <c r="AU2627">
        <v>2626</v>
      </c>
    </row>
    <row r="2628" spans="1:47" x14ac:dyDescent="0.2">
      <c r="A2628" s="26">
        <v>6579</v>
      </c>
      <c r="B2628" s="27">
        <v>4.1666666666666664E-2</v>
      </c>
      <c r="C2628" s="28"/>
      <c r="D2628" s="29"/>
      <c r="E2628" s="30" t="s">
        <v>464</v>
      </c>
      <c r="H2628" s="32">
        <v>0</v>
      </c>
      <c r="I2628" s="32" t="s">
        <v>3590</v>
      </c>
      <c r="AG2628" s="32">
        <v>0</v>
      </c>
      <c r="AH2628" s="32">
        <v>0</v>
      </c>
      <c r="AL2628" s="32">
        <f>70/60</f>
        <v>1.1666666666666667</v>
      </c>
      <c r="AO2628" s="32" t="s">
        <v>1898</v>
      </c>
      <c r="AP2628" s="32">
        <f>70/60</f>
        <v>1.1666666666666667</v>
      </c>
      <c r="AQ2628" s="32" t="s">
        <v>1522</v>
      </c>
      <c r="AU2628">
        <v>2627</v>
      </c>
    </row>
    <row r="2629" spans="1:47" x14ac:dyDescent="0.2">
      <c r="A2629" s="26">
        <v>6579</v>
      </c>
      <c r="B2629" s="27">
        <v>0.65625</v>
      </c>
      <c r="C2629" s="28"/>
      <c r="D2629" s="29"/>
      <c r="E2629" s="30" t="s">
        <v>869</v>
      </c>
      <c r="H2629" s="32">
        <v>0</v>
      </c>
      <c r="I2629" s="32" t="s">
        <v>2344</v>
      </c>
      <c r="AG2629" s="32">
        <v>0</v>
      </c>
      <c r="AH2629" s="32">
        <v>0</v>
      </c>
      <c r="AI2629" s="32">
        <v>0</v>
      </c>
      <c r="AK2629" s="32">
        <v>0</v>
      </c>
      <c r="AL2629" s="32">
        <f>55/60</f>
        <v>0.91666666666666663</v>
      </c>
      <c r="AP2629" s="32">
        <f>55/60</f>
        <v>0.91666666666666663</v>
      </c>
      <c r="AQ2629" s="32" t="s">
        <v>589</v>
      </c>
      <c r="AU2629">
        <v>2628</v>
      </c>
    </row>
    <row r="2630" spans="1:47" x14ac:dyDescent="0.2">
      <c r="A2630" s="26">
        <v>6579</v>
      </c>
      <c r="B2630" s="27">
        <v>0.75486111111111109</v>
      </c>
      <c r="C2630" s="28"/>
      <c r="D2630" s="29"/>
      <c r="E2630" s="30" t="s">
        <v>464</v>
      </c>
      <c r="H2630" s="32">
        <v>0</v>
      </c>
      <c r="I2630" s="32" t="s">
        <v>4019</v>
      </c>
      <c r="AG2630" s="32">
        <v>0</v>
      </c>
      <c r="AH2630" s="32">
        <v>0</v>
      </c>
      <c r="AL2630" s="32">
        <f>58/60</f>
        <v>0.96666666666666667</v>
      </c>
      <c r="AO2630" s="32" t="s">
        <v>1898</v>
      </c>
      <c r="AP2630" s="32">
        <f>58/60</f>
        <v>0.96666666666666667</v>
      </c>
      <c r="AQ2630" s="32" t="s">
        <v>1522</v>
      </c>
      <c r="AU2630">
        <v>2629</v>
      </c>
    </row>
    <row r="2631" spans="1:47" x14ac:dyDescent="0.2">
      <c r="A2631" s="26">
        <v>6579</v>
      </c>
      <c r="B2631" s="27">
        <v>0.84027777777777779</v>
      </c>
      <c r="C2631" s="28"/>
      <c r="D2631" s="29"/>
      <c r="E2631" s="30" t="s">
        <v>1282</v>
      </c>
      <c r="H2631" s="32">
        <v>0</v>
      </c>
      <c r="I2631" s="32" t="s">
        <v>4020</v>
      </c>
      <c r="AG2631" s="32">
        <v>0</v>
      </c>
      <c r="AH2631" s="32">
        <v>0</v>
      </c>
      <c r="AI2631" s="32">
        <v>0</v>
      </c>
      <c r="AK2631" s="32">
        <v>0</v>
      </c>
      <c r="AL2631" s="32">
        <v>7</v>
      </c>
      <c r="AP2631" s="32">
        <f>2+50/60</f>
        <v>2.8333333333333335</v>
      </c>
      <c r="AQ2631" s="32" t="s">
        <v>1101</v>
      </c>
      <c r="AU2631">
        <v>2630</v>
      </c>
    </row>
    <row r="2632" spans="1:47" x14ac:dyDescent="0.2">
      <c r="A2632" s="26">
        <v>6579</v>
      </c>
      <c r="B2632" s="27">
        <v>0.84722222222222221</v>
      </c>
      <c r="C2632" s="28"/>
      <c r="D2632" s="29"/>
      <c r="E2632" s="30" t="s">
        <v>464</v>
      </c>
      <c r="H2632" s="32">
        <v>0</v>
      </c>
      <c r="I2632" s="32" t="s">
        <v>4021</v>
      </c>
      <c r="AG2632" s="32">
        <v>0</v>
      </c>
      <c r="AH2632" s="32">
        <v>0</v>
      </c>
      <c r="AL2632" s="32">
        <f>85/60</f>
        <v>1.4166666666666667</v>
      </c>
      <c r="AO2632" s="32" t="s">
        <v>1898</v>
      </c>
      <c r="AP2632" s="32">
        <f>85/60</f>
        <v>1.4166666666666667</v>
      </c>
      <c r="AQ2632" s="32" t="s">
        <v>1522</v>
      </c>
      <c r="AU2632">
        <v>2631</v>
      </c>
    </row>
    <row r="2633" spans="1:47" x14ac:dyDescent="0.2">
      <c r="A2633" s="26">
        <v>6579</v>
      </c>
      <c r="B2633" s="27" t="s">
        <v>45</v>
      </c>
      <c r="C2633" s="28"/>
      <c r="D2633" s="29"/>
      <c r="E2633" s="30" t="s">
        <v>1531</v>
      </c>
      <c r="H2633" s="32">
        <v>1</v>
      </c>
      <c r="I2633" s="32" t="s">
        <v>4022</v>
      </c>
      <c r="AM2633" s="32">
        <f>498*58</f>
        <v>28884</v>
      </c>
      <c r="AO2633" s="32" t="s">
        <v>1533</v>
      </c>
      <c r="AQ2633" s="32" t="s">
        <v>1101</v>
      </c>
      <c r="AU2633">
        <v>2632</v>
      </c>
    </row>
    <row r="2634" spans="1:47" x14ac:dyDescent="0.2">
      <c r="A2634" s="26">
        <v>6579</v>
      </c>
      <c r="B2634" s="27" t="s">
        <v>45</v>
      </c>
      <c r="C2634" s="28"/>
      <c r="D2634" s="29"/>
      <c r="E2634" s="150" t="s">
        <v>2286</v>
      </c>
      <c r="H2634" s="32">
        <v>0</v>
      </c>
      <c r="I2634" s="32" t="s">
        <v>1824</v>
      </c>
      <c r="AG2634" s="32">
        <v>0</v>
      </c>
      <c r="AH2634" s="32">
        <v>0</v>
      </c>
      <c r="AI2634" s="32">
        <v>0</v>
      </c>
      <c r="AK2634" s="32">
        <v>0</v>
      </c>
      <c r="AM2634" s="32">
        <v>2500</v>
      </c>
      <c r="AO2634" s="73" t="s">
        <v>75</v>
      </c>
      <c r="AQ2634" s="32" t="s">
        <v>589</v>
      </c>
      <c r="AU2634">
        <v>2633</v>
      </c>
    </row>
    <row r="2635" spans="1:47" x14ac:dyDescent="0.2">
      <c r="A2635" s="133">
        <v>6580</v>
      </c>
      <c r="B2635" s="39" t="s">
        <v>45</v>
      </c>
      <c r="C2635" s="39">
        <v>100</v>
      </c>
      <c r="D2635" s="29" t="b">
        <v>0</v>
      </c>
      <c r="E2635" s="39" t="s">
        <v>4023</v>
      </c>
      <c r="F2635" s="47" t="s">
        <v>4024</v>
      </c>
      <c r="G2635" s="47" t="s">
        <v>49</v>
      </c>
      <c r="H2635"/>
      <c r="I2635" s="47" t="b">
        <v>1</v>
      </c>
      <c r="J2635" s="47" t="b">
        <v>1</v>
      </c>
      <c r="K2635" s="47">
        <v>2260</v>
      </c>
      <c r="L2635" s="48">
        <v>9</v>
      </c>
      <c r="M2635" s="47">
        <v>0</v>
      </c>
      <c r="N2635" s="47">
        <v>2</v>
      </c>
      <c r="O2635" s="47">
        <v>1</v>
      </c>
      <c r="P2635" s="47">
        <v>0</v>
      </c>
      <c r="Q2635" s="47">
        <v>0</v>
      </c>
      <c r="R2635" s="47">
        <v>0</v>
      </c>
      <c r="S2635" s="48">
        <v>6</v>
      </c>
      <c r="T2635" s="47">
        <v>0</v>
      </c>
      <c r="U2635" s="47">
        <v>0</v>
      </c>
      <c r="V2635" s="47">
        <v>0</v>
      </c>
      <c r="W2635" s="47">
        <v>1000</v>
      </c>
      <c r="X2635" s="47">
        <v>388</v>
      </c>
      <c r="Y2635" s="47"/>
      <c r="Z2635" s="47" t="s">
        <v>2524</v>
      </c>
      <c r="AA2635" s="49"/>
      <c r="AB2635" s="49"/>
      <c r="AC2635" s="49"/>
      <c r="AD2635" s="50"/>
      <c r="AE2635" s="47" t="s">
        <v>1312</v>
      </c>
      <c r="AF2635" s="31">
        <v>65</v>
      </c>
      <c r="AG2635"/>
      <c r="AH2635"/>
      <c r="AI2635"/>
      <c r="AJ2635"/>
      <c r="AK2635"/>
      <c r="AL2635"/>
      <c r="AM2635"/>
      <c r="AN2635"/>
      <c r="AO2635"/>
      <c r="AP2635"/>
      <c r="AQ2635" t="s">
        <v>2526</v>
      </c>
      <c r="AU2635">
        <v>2634</v>
      </c>
    </row>
    <row r="2636" spans="1:47" x14ac:dyDescent="0.2">
      <c r="A2636" s="133">
        <v>6580</v>
      </c>
      <c r="B2636" s="39" t="s">
        <v>45</v>
      </c>
      <c r="C2636" s="39">
        <v>100</v>
      </c>
      <c r="D2636" s="29" t="b">
        <v>0</v>
      </c>
      <c r="E2636" s="39" t="s">
        <v>788</v>
      </c>
      <c r="F2636" s="47" t="s">
        <v>4025</v>
      </c>
      <c r="G2636" s="47" t="s">
        <v>49</v>
      </c>
      <c r="H2636"/>
      <c r="I2636" s="47" t="b">
        <v>0</v>
      </c>
      <c r="J2636" s="47" t="b">
        <v>0</v>
      </c>
      <c r="K2636" s="47">
        <v>1880</v>
      </c>
      <c r="L2636" s="48">
        <v>9</v>
      </c>
      <c r="M2636" s="47">
        <v>0</v>
      </c>
      <c r="N2636" s="47">
        <v>2</v>
      </c>
      <c r="O2636" s="47">
        <v>1</v>
      </c>
      <c r="P2636" s="47">
        <v>0</v>
      </c>
      <c r="Q2636" s="47">
        <v>0</v>
      </c>
      <c r="R2636" s="47">
        <v>0</v>
      </c>
      <c r="S2636" s="48">
        <v>5</v>
      </c>
      <c r="T2636" s="47">
        <v>0</v>
      </c>
      <c r="U2636" s="47">
        <v>0</v>
      </c>
      <c r="V2636" s="47">
        <v>0</v>
      </c>
      <c r="W2636" s="47">
        <v>1000</v>
      </c>
      <c r="X2636" s="47">
        <v>389</v>
      </c>
      <c r="Y2636" s="47"/>
      <c r="Z2636" s="47" t="s">
        <v>2524</v>
      </c>
      <c r="AA2636" s="49"/>
      <c r="AB2636" s="49"/>
      <c r="AC2636" s="49"/>
      <c r="AD2636" s="50"/>
      <c r="AE2636" s="47" t="s">
        <v>1312</v>
      </c>
      <c r="AF2636" s="31">
        <v>65</v>
      </c>
      <c r="AG2636"/>
      <c r="AH2636"/>
      <c r="AI2636"/>
      <c r="AJ2636"/>
      <c r="AK2636"/>
      <c r="AL2636"/>
      <c r="AM2636"/>
      <c r="AN2636"/>
      <c r="AO2636"/>
      <c r="AP2636"/>
      <c r="AQ2636" t="s">
        <v>2526</v>
      </c>
      <c r="AU2636">
        <v>2635</v>
      </c>
    </row>
    <row r="2637" spans="1:47" x14ac:dyDescent="0.2">
      <c r="A2637" s="133">
        <v>6580</v>
      </c>
      <c r="B2637" s="39" t="s">
        <v>45</v>
      </c>
      <c r="C2637" s="39">
        <v>100</v>
      </c>
      <c r="D2637" s="29" t="b">
        <v>0</v>
      </c>
      <c r="E2637" s="39" t="s">
        <v>4026</v>
      </c>
      <c r="F2637" s="47" t="s">
        <v>48</v>
      </c>
      <c r="G2637" s="47" t="s">
        <v>49</v>
      </c>
      <c r="H2637"/>
      <c r="I2637" s="47" t="b">
        <v>0</v>
      </c>
      <c r="J2637" s="47" t="b">
        <v>0</v>
      </c>
      <c r="K2637" s="47">
        <v>380</v>
      </c>
      <c r="L2637" s="48">
        <v>9</v>
      </c>
      <c r="M2637" s="47">
        <v>0</v>
      </c>
      <c r="N2637" s="47">
        <v>2</v>
      </c>
      <c r="O2637" s="47">
        <v>1</v>
      </c>
      <c r="P2637" s="47">
        <v>0</v>
      </c>
      <c r="Q2637" s="47">
        <v>0</v>
      </c>
      <c r="R2637" s="47">
        <v>0</v>
      </c>
      <c r="S2637" s="48">
        <v>1</v>
      </c>
      <c r="T2637" s="47">
        <v>0</v>
      </c>
      <c r="U2637" s="47">
        <v>0</v>
      </c>
      <c r="V2637" s="47">
        <v>0</v>
      </c>
      <c r="W2637" s="47">
        <v>1000</v>
      </c>
      <c r="X2637" s="47">
        <v>390</v>
      </c>
      <c r="Y2637" s="47"/>
      <c r="Z2637" s="47" t="s">
        <v>2524</v>
      </c>
      <c r="AA2637" s="49"/>
      <c r="AB2637" s="49"/>
      <c r="AC2637" s="49"/>
      <c r="AD2637" s="50"/>
      <c r="AE2637" s="47" t="s">
        <v>1312</v>
      </c>
      <c r="AF2637" s="47">
        <v>55</v>
      </c>
      <c r="AG2637"/>
      <c r="AH2637"/>
      <c r="AI2637"/>
      <c r="AJ2637"/>
      <c r="AK2637"/>
      <c r="AL2637"/>
      <c r="AM2637"/>
      <c r="AN2637"/>
      <c r="AO2637"/>
      <c r="AP2637"/>
      <c r="AQ2637" t="s">
        <v>2526</v>
      </c>
      <c r="AU2637">
        <v>2636</v>
      </c>
    </row>
    <row r="2638" spans="1:47" x14ac:dyDescent="0.2">
      <c r="A2638" s="133">
        <v>6580</v>
      </c>
      <c r="B2638" s="39" t="s">
        <v>45</v>
      </c>
      <c r="C2638" s="39">
        <v>216</v>
      </c>
      <c r="D2638" s="29" t="b">
        <v>0</v>
      </c>
      <c r="E2638" s="39" t="s">
        <v>405</v>
      </c>
      <c r="F2638" s="47" t="s">
        <v>3663</v>
      </c>
      <c r="G2638" s="47" t="s">
        <v>49</v>
      </c>
      <c r="H2638"/>
      <c r="I2638" s="47" t="b">
        <v>0</v>
      </c>
      <c r="J2638" s="47" t="b">
        <v>1</v>
      </c>
      <c r="K2638" s="47">
        <v>1344</v>
      </c>
      <c r="L2638" s="48">
        <v>2</v>
      </c>
      <c r="M2638" s="47">
        <v>0</v>
      </c>
      <c r="N2638" s="47">
        <v>1</v>
      </c>
      <c r="O2638" s="47">
        <v>0</v>
      </c>
      <c r="P2638" s="47">
        <v>1</v>
      </c>
      <c r="Q2638" s="47">
        <v>0</v>
      </c>
      <c r="R2638" s="47">
        <v>1</v>
      </c>
      <c r="S2638" s="48">
        <v>1</v>
      </c>
      <c r="T2638" s="47">
        <v>0</v>
      </c>
      <c r="U2638" s="47">
        <v>0</v>
      </c>
      <c r="V2638" s="47">
        <v>0</v>
      </c>
      <c r="W2638" s="47">
        <v>5000</v>
      </c>
      <c r="X2638" s="47">
        <v>391</v>
      </c>
      <c r="Y2638" s="47"/>
      <c r="Z2638" s="47" t="s">
        <v>2466</v>
      </c>
      <c r="AA2638" s="49"/>
      <c r="AB2638" s="49"/>
      <c r="AC2638" s="49"/>
      <c r="AD2638" s="50"/>
      <c r="AE2638" s="47" t="s">
        <v>1312</v>
      </c>
      <c r="AF2638" s="47">
        <v>60</v>
      </c>
      <c r="AG2638"/>
      <c r="AH2638"/>
      <c r="AI2638"/>
      <c r="AJ2638"/>
      <c r="AK2638"/>
      <c r="AL2638"/>
      <c r="AM2638"/>
      <c r="AN2638"/>
      <c r="AO2638"/>
      <c r="AP2638"/>
      <c r="AQ2638" t="s">
        <v>2526</v>
      </c>
      <c r="AU2638">
        <v>2637</v>
      </c>
    </row>
    <row r="2639" spans="1:47" x14ac:dyDescent="0.2">
      <c r="A2639" s="133">
        <v>6580</v>
      </c>
      <c r="B2639" s="39" t="s">
        <v>45</v>
      </c>
      <c r="C2639" s="39" t="s">
        <v>105</v>
      </c>
      <c r="D2639" s="29"/>
      <c r="E2639" s="39" t="s">
        <v>4027</v>
      </c>
      <c r="F2639" s="47" t="s">
        <v>4028</v>
      </c>
      <c r="G2639" s="47" t="s">
        <v>49</v>
      </c>
      <c r="H2639"/>
      <c r="I2639" s="47"/>
      <c r="J2639" s="47"/>
      <c r="K2639" s="47"/>
      <c r="L2639" s="48"/>
      <c r="M2639" s="47"/>
      <c r="N2639" s="47"/>
      <c r="O2639" s="47"/>
      <c r="P2639" s="47"/>
      <c r="Q2639" s="47"/>
      <c r="R2639" s="47"/>
      <c r="S2639" s="48"/>
      <c r="T2639" s="47">
        <v>1</v>
      </c>
      <c r="U2639" s="47"/>
      <c r="V2639" s="47"/>
      <c r="W2639" s="47"/>
      <c r="X2639" s="47"/>
      <c r="Y2639" s="47"/>
      <c r="Z2639" s="47"/>
      <c r="AA2639" s="49"/>
      <c r="AB2639" s="49"/>
      <c r="AC2639" s="49"/>
      <c r="AD2639" s="50"/>
      <c r="AE2639" s="47"/>
      <c r="AF2639" s="47"/>
      <c r="AG2639"/>
      <c r="AH2639"/>
      <c r="AI2639"/>
      <c r="AJ2639"/>
      <c r="AK2639"/>
      <c r="AL2639"/>
      <c r="AM2639"/>
      <c r="AN2639"/>
      <c r="AO2639"/>
      <c r="AP2639"/>
      <c r="AQ2639"/>
      <c r="AU2639">
        <v>2638</v>
      </c>
    </row>
    <row r="2640" spans="1:47" x14ac:dyDescent="0.2">
      <c r="A2640" s="13">
        <v>6580</v>
      </c>
      <c r="B2640" s="57" t="s">
        <v>45</v>
      </c>
      <c r="C2640" s="57" t="s">
        <v>105</v>
      </c>
      <c r="D2640" s="29"/>
      <c r="E2640" s="57" t="s">
        <v>2191</v>
      </c>
      <c r="F2640" s="31" t="s">
        <v>76</v>
      </c>
      <c r="G2640" s="47" t="s">
        <v>49</v>
      </c>
      <c r="I2640" s="31" t="s">
        <v>3602</v>
      </c>
      <c r="K2640" s="31">
        <v>444.4</v>
      </c>
      <c r="AK2640" s="32">
        <v>14</v>
      </c>
      <c r="AQ2640" s="32" t="s">
        <v>3973</v>
      </c>
      <c r="AU2640">
        <v>2639</v>
      </c>
    </row>
    <row r="2641" spans="1:47" x14ac:dyDescent="0.2">
      <c r="A2641" s="13">
        <v>6580</v>
      </c>
      <c r="B2641" s="57" t="s">
        <v>45</v>
      </c>
      <c r="C2641" s="57" t="s">
        <v>105</v>
      </c>
      <c r="D2641" s="29"/>
      <c r="E2641" s="57" t="s">
        <v>1400</v>
      </c>
      <c r="F2641" s="31" t="s">
        <v>76</v>
      </c>
      <c r="G2641" s="47" t="s">
        <v>49</v>
      </c>
      <c r="I2641" s="31" t="s">
        <v>4029</v>
      </c>
      <c r="K2641" s="31">
        <v>880</v>
      </c>
      <c r="T2641" s="31">
        <v>1</v>
      </c>
      <c r="AK2641" s="32">
        <v>20</v>
      </c>
      <c r="AQ2641" s="32" t="s">
        <v>4030</v>
      </c>
      <c r="AU2641">
        <v>2640</v>
      </c>
    </row>
    <row r="2642" spans="1:47" x14ac:dyDescent="0.2">
      <c r="A2642" s="13">
        <v>6580</v>
      </c>
      <c r="B2642" s="57" t="s">
        <v>45</v>
      </c>
      <c r="C2642" s="57" t="s">
        <v>1234</v>
      </c>
      <c r="D2642" s="29"/>
      <c r="E2642" s="57" t="s">
        <v>3993</v>
      </c>
      <c r="F2642" s="31" t="s">
        <v>76</v>
      </c>
      <c r="G2642" s="47" t="s">
        <v>49</v>
      </c>
      <c r="I2642" s="31" t="s">
        <v>4031</v>
      </c>
      <c r="K2642" s="31">
        <v>462</v>
      </c>
      <c r="S2642" s="33">
        <v>3</v>
      </c>
      <c r="Z2642" s="47" t="s">
        <v>1809</v>
      </c>
      <c r="AE2642" s="47" t="s">
        <v>1653</v>
      </c>
      <c r="AF2642" s="31">
        <v>110</v>
      </c>
      <c r="AK2642" s="32">
        <v>12</v>
      </c>
      <c r="AQ2642" s="32" t="s">
        <v>3995</v>
      </c>
      <c r="AU2642">
        <v>2641</v>
      </c>
    </row>
    <row r="2643" spans="1:47" x14ac:dyDescent="0.2">
      <c r="A2643" s="13">
        <v>6580</v>
      </c>
      <c r="B2643" s="57" t="s">
        <v>45</v>
      </c>
      <c r="C2643" s="57" t="s">
        <v>1234</v>
      </c>
      <c r="D2643" s="29"/>
      <c r="E2643" s="57" t="s">
        <v>631</v>
      </c>
      <c r="F2643" s="31" t="s">
        <v>3996</v>
      </c>
      <c r="G2643" s="31" t="s">
        <v>627</v>
      </c>
      <c r="I2643" s="31" t="s">
        <v>4032</v>
      </c>
      <c r="K2643" s="31">
        <v>462</v>
      </c>
      <c r="S2643" s="33">
        <v>2</v>
      </c>
      <c r="Z2643" s="47" t="s">
        <v>1809</v>
      </c>
      <c r="AE2643" s="47" t="s">
        <v>1653</v>
      </c>
      <c r="AF2643" s="31">
        <v>120</v>
      </c>
      <c r="AK2643" s="32">
        <v>12</v>
      </c>
      <c r="AQ2643" s="32" t="s">
        <v>3998</v>
      </c>
      <c r="AU2643">
        <v>2642</v>
      </c>
    </row>
    <row r="2644" spans="1:47" x14ac:dyDescent="0.2">
      <c r="A2644" s="13">
        <v>6580</v>
      </c>
      <c r="B2644" s="57"/>
      <c r="C2644" s="57" t="s">
        <v>1234</v>
      </c>
      <c r="D2644" s="29"/>
      <c r="E2644" s="57" t="s">
        <v>3726</v>
      </c>
      <c r="F2644" s="31" t="s">
        <v>3727</v>
      </c>
      <c r="G2644" s="31" t="s">
        <v>69</v>
      </c>
      <c r="I2644" s="31" t="s">
        <v>3972</v>
      </c>
      <c r="K2644" s="63"/>
      <c r="AE2644" s="47" t="s">
        <v>1653</v>
      </c>
      <c r="AQ2644" s="32" t="s">
        <v>3973</v>
      </c>
      <c r="AU2644">
        <v>2643</v>
      </c>
    </row>
    <row r="2645" spans="1:47" x14ac:dyDescent="0.2">
      <c r="A2645" s="13">
        <v>6580</v>
      </c>
      <c r="B2645" s="57" t="s">
        <v>45</v>
      </c>
      <c r="C2645" s="57" t="s">
        <v>4033</v>
      </c>
      <c r="D2645" s="29"/>
      <c r="E2645" s="57" t="s">
        <v>4034</v>
      </c>
      <c r="F2645" s="31" t="s">
        <v>204</v>
      </c>
      <c r="G2645" s="31" t="s">
        <v>205</v>
      </c>
      <c r="I2645" s="31" t="s">
        <v>4035</v>
      </c>
      <c r="L2645" s="33">
        <v>1</v>
      </c>
      <c r="S2645" s="33" t="s">
        <v>688</v>
      </c>
      <c r="T2645" s="31">
        <v>1</v>
      </c>
      <c r="Z2645" s="31" t="s">
        <v>1809</v>
      </c>
      <c r="AE2645" s="47" t="s">
        <v>1810</v>
      </c>
      <c r="AF2645" s="31">
        <v>90</v>
      </c>
      <c r="AQ2645" s="32" t="s">
        <v>3995</v>
      </c>
      <c r="AU2645">
        <v>2644</v>
      </c>
    </row>
    <row r="2646" spans="1:47" x14ac:dyDescent="0.2">
      <c r="A2646" s="13">
        <v>6580</v>
      </c>
      <c r="B2646" s="57" t="s">
        <v>45</v>
      </c>
      <c r="C2646" s="57" t="s">
        <v>1077</v>
      </c>
      <c r="D2646" s="29"/>
      <c r="E2646" s="57" t="s">
        <v>466</v>
      </c>
      <c r="F2646" s="31" t="s">
        <v>4018</v>
      </c>
      <c r="G2646" s="31" t="s">
        <v>49</v>
      </c>
      <c r="I2646" s="31" t="s">
        <v>3602</v>
      </c>
      <c r="K2646" s="31">
        <v>184.8</v>
      </c>
      <c r="Z2646" s="31" t="s">
        <v>3814</v>
      </c>
      <c r="AK2646" s="32">
        <v>6</v>
      </c>
      <c r="AQ2646" s="32" t="s">
        <v>3973</v>
      </c>
      <c r="AU2646">
        <v>2645</v>
      </c>
    </row>
    <row r="2647" spans="1:47" x14ac:dyDescent="0.2">
      <c r="A2647" s="13">
        <v>6580</v>
      </c>
      <c r="B2647" s="57" t="s">
        <v>45</v>
      </c>
      <c r="C2647" s="57" t="s">
        <v>1077</v>
      </c>
      <c r="D2647" s="29"/>
      <c r="E2647" s="57" t="s">
        <v>3999</v>
      </c>
      <c r="F2647" s="31" t="s">
        <v>3601</v>
      </c>
      <c r="G2647" s="31" t="s">
        <v>481</v>
      </c>
      <c r="I2647" s="31" t="s">
        <v>3602</v>
      </c>
      <c r="K2647" s="31">
        <v>431.2</v>
      </c>
      <c r="Z2647" s="31" t="s">
        <v>3814</v>
      </c>
      <c r="AK2647" s="32">
        <v>8</v>
      </c>
      <c r="AQ2647" s="32" t="s">
        <v>3973</v>
      </c>
      <c r="AU2647">
        <v>2646</v>
      </c>
    </row>
    <row r="2648" spans="1:47" x14ac:dyDescent="0.2">
      <c r="A2648" s="13">
        <v>6580</v>
      </c>
      <c r="B2648" s="57" t="s">
        <v>45</v>
      </c>
      <c r="C2648" s="57" t="s">
        <v>1077</v>
      </c>
      <c r="D2648" s="29"/>
      <c r="E2648" s="57" t="s">
        <v>2210</v>
      </c>
      <c r="F2648" s="31" t="s">
        <v>3601</v>
      </c>
      <c r="G2648" s="31" t="s">
        <v>481</v>
      </c>
      <c r="I2648" s="31" t="s">
        <v>3602</v>
      </c>
      <c r="K2648" s="31">
        <v>580.79999999999995</v>
      </c>
      <c r="Z2648" s="31" t="s">
        <v>3814</v>
      </c>
      <c r="AK2648" s="32">
        <v>12</v>
      </c>
      <c r="AQ2648" s="32" t="s">
        <v>3973</v>
      </c>
      <c r="AU2648">
        <v>2647</v>
      </c>
    </row>
    <row r="2649" spans="1:47" x14ac:dyDescent="0.2">
      <c r="A2649" s="13">
        <v>6580</v>
      </c>
      <c r="B2649" s="57" t="s">
        <v>45</v>
      </c>
      <c r="C2649" s="57" t="s">
        <v>1077</v>
      </c>
      <c r="D2649" s="29"/>
      <c r="E2649" s="57" t="s">
        <v>4036</v>
      </c>
      <c r="F2649" s="31" t="s">
        <v>3601</v>
      </c>
      <c r="G2649" s="31" t="s">
        <v>481</v>
      </c>
      <c r="I2649" s="31" t="s">
        <v>3602</v>
      </c>
      <c r="K2649" s="31">
        <v>580.79999999999995</v>
      </c>
      <c r="Z2649" s="31" t="s">
        <v>3814</v>
      </c>
      <c r="AK2649" s="32">
        <v>12</v>
      </c>
      <c r="AQ2649" s="32" t="s">
        <v>3973</v>
      </c>
      <c r="AU2649">
        <v>2648</v>
      </c>
    </row>
    <row r="2650" spans="1:47" x14ac:dyDescent="0.2">
      <c r="A2650" s="13">
        <v>6580</v>
      </c>
      <c r="B2650" s="57" t="s">
        <v>45</v>
      </c>
      <c r="C2650" s="57" t="s">
        <v>1077</v>
      </c>
      <c r="D2650" s="29"/>
      <c r="E2650" s="57" t="s">
        <v>472</v>
      </c>
      <c r="F2650" s="31" t="s">
        <v>3601</v>
      </c>
      <c r="G2650" s="31" t="s">
        <v>481</v>
      </c>
      <c r="I2650" s="31" t="s">
        <v>3602</v>
      </c>
      <c r="K2650" s="31">
        <v>871.2</v>
      </c>
      <c r="Z2650" s="31" t="s">
        <v>3814</v>
      </c>
      <c r="AK2650" s="32">
        <v>18</v>
      </c>
      <c r="AQ2650" s="32" t="s">
        <v>3973</v>
      </c>
      <c r="AU2650">
        <v>2649</v>
      </c>
    </row>
    <row r="2651" spans="1:47" x14ac:dyDescent="0.2">
      <c r="A2651" s="26">
        <v>6580</v>
      </c>
      <c r="B2651" s="27">
        <v>0.10416666666666667</v>
      </c>
      <c r="C2651" s="28"/>
      <c r="D2651" s="29"/>
      <c r="E2651" s="30" t="s">
        <v>464</v>
      </c>
      <c r="H2651" s="32">
        <v>0</v>
      </c>
      <c r="I2651" s="32" t="s">
        <v>3590</v>
      </c>
      <c r="AG2651" s="32">
        <v>0</v>
      </c>
      <c r="AH2651" s="32">
        <v>0</v>
      </c>
      <c r="AL2651" s="32">
        <v>1.5</v>
      </c>
      <c r="AO2651" s="32" t="s">
        <v>1898</v>
      </c>
      <c r="AP2651" s="32">
        <v>1.5</v>
      </c>
      <c r="AQ2651" s="32" t="s">
        <v>1522</v>
      </c>
      <c r="AU2651">
        <v>2650</v>
      </c>
    </row>
    <row r="2652" spans="1:47" x14ac:dyDescent="0.2">
      <c r="A2652" s="26">
        <v>6580</v>
      </c>
      <c r="B2652" s="27">
        <v>0.60416666666666663</v>
      </c>
      <c r="C2652" s="28"/>
      <c r="D2652" s="29"/>
      <c r="E2652" s="30" t="s">
        <v>869</v>
      </c>
      <c r="H2652" s="32">
        <v>0</v>
      </c>
      <c r="I2652" s="32" t="s">
        <v>2344</v>
      </c>
      <c r="AG2652" s="32">
        <v>0</v>
      </c>
      <c r="AH2652" s="32">
        <v>0</v>
      </c>
      <c r="AI2652" s="32">
        <v>0</v>
      </c>
      <c r="AK2652" s="32">
        <v>0</v>
      </c>
      <c r="AL2652" s="32">
        <v>0.75</v>
      </c>
      <c r="AP2652" s="32">
        <v>0.75</v>
      </c>
      <c r="AQ2652" s="32" t="s">
        <v>589</v>
      </c>
      <c r="AU2652">
        <v>2651</v>
      </c>
    </row>
    <row r="2653" spans="1:47" x14ac:dyDescent="0.2">
      <c r="A2653" s="26">
        <v>6580</v>
      </c>
      <c r="B2653" s="27">
        <v>0.77638888888888891</v>
      </c>
      <c r="C2653" s="28"/>
      <c r="D2653" s="29"/>
      <c r="E2653" s="30" t="s">
        <v>464</v>
      </c>
      <c r="H2653" s="32">
        <v>0</v>
      </c>
      <c r="I2653" s="32" t="s">
        <v>4037</v>
      </c>
      <c r="AG2653" s="32">
        <v>0</v>
      </c>
      <c r="AH2653" s="32">
        <v>0</v>
      </c>
      <c r="AL2653" s="32">
        <f>5+22/60</f>
        <v>5.3666666666666663</v>
      </c>
      <c r="AO2653" s="32" t="s">
        <v>1898</v>
      </c>
      <c r="AP2653" s="32">
        <f>5+22/60</f>
        <v>5.3666666666666663</v>
      </c>
      <c r="AQ2653" s="32" t="s">
        <v>1522</v>
      </c>
      <c r="AU2653">
        <v>2652</v>
      </c>
    </row>
    <row r="2654" spans="1:47" x14ac:dyDescent="0.2">
      <c r="A2654" s="26">
        <v>6580</v>
      </c>
      <c r="B2654" s="27">
        <v>0.97916666666666663</v>
      </c>
      <c r="C2654" s="28"/>
      <c r="D2654" s="29"/>
      <c r="E2654" s="30" t="s">
        <v>2087</v>
      </c>
      <c r="H2654" s="32">
        <v>0</v>
      </c>
      <c r="I2654" s="32"/>
      <c r="AG2654" s="32">
        <v>0</v>
      </c>
      <c r="AH2654" s="32">
        <v>0</v>
      </c>
      <c r="AI2654" s="32">
        <v>0</v>
      </c>
      <c r="AK2654" s="32">
        <v>0</v>
      </c>
      <c r="AL2654" s="32">
        <v>0</v>
      </c>
      <c r="AP2654" s="32">
        <v>0.33300000000000002</v>
      </c>
      <c r="AQ2654" s="32" t="s">
        <v>1101</v>
      </c>
      <c r="AU2654">
        <v>2653</v>
      </c>
    </row>
    <row r="2655" spans="1:47" x14ac:dyDescent="0.2">
      <c r="A2655" s="26">
        <v>6580</v>
      </c>
      <c r="B2655" s="27" t="s">
        <v>45</v>
      </c>
      <c r="C2655" s="28"/>
      <c r="D2655" s="29"/>
      <c r="E2655" s="30" t="s">
        <v>1531</v>
      </c>
      <c r="H2655" s="32">
        <v>0</v>
      </c>
      <c r="I2655" s="32" t="s">
        <v>1706</v>
      </c>
      <c r="AG2655" s="32">
        <v>0</v>
      </c>
      <c r="AH2655" s="32">
        <v>0</v>
      </c>
      <c r="AI2655" s="32">
        <v>0</v>
      </c>
      <c r="AK2655" s="32">
        <v>0</v>
      </c>
      <c r="AM2655" s="32">
        <f>498*65</f>
        <v>32370</v>
      </c>
      <c r="AO2655" s="32" t="s">
        <v>1533</v>
      </c>
      <c r="AQ2655" s="32" t="s">
        <v>1101</v>
      </c>
      <c r="AU2655">
        <v>2654</v>
      </c>
    </row>
    <row r="2656" spans="1:47" x14ac:dyDescent="0.2">
      <c r="A2656" s="26">
        <v>6581</v>
      </c>
      <c r="B2656" s="27">
        <v>0.1388888888888889</v>
      </c>
      <c r="C2656" s="28"/>
      <c r="D2656" s="29"/>
      <c r="E2656" s="30" t="s">
        <v>464</v>
      </c>
      <c r="H2656" s="32">
        <v>0</v>
      </c>
      <c r="I2656" s="32" t="s">
        <v>4038</v>
      </c>
      <c r="AG2656" s="32">
        <v>0</v>
      </c>
      <c r="AH2656" s="32">
        <v>0</v>
      </c>
      <c r="AL2656" s="32">
        <f>70/60</f>
        <v>1.1666666666666667</v>
      </c>
      <c r="AO2656" s="32" t="s">
        <v>1898</v>
      </c>
      <c r="AP2656" s="32">
        <f>70/60</f>
        <v>1.1666666666666667</v>
      </c>
      <c r="AQ2656" s="32" t="s">
        <v>1522</v>
      </c>
      <c r="AU2656">
        <v>2655</v>
      </c>
    </row>
    <row r="2657" spans="1:47" x14ac:dyDescent="0.2">
      <c r="A2657" s="26">
        <v>6581</v>
      </c>
      <c r="B2657" s="27">
        <v>0.16666666666666666</v>
      </c>
      <c r="C2657" s="28"/>
      <c r="D2657" s="29"/>
      <c r="E2657" s="30" t="s">
        <v>2023</v>
      </c>
      <c r="H2657" s="32">
        <v>1</v>
      </c>
      <c r="I2657" s="32" t="s">
        <v>2024</v>
      </c>
      <c r="AI2657" s="32">
        <v>0</v>
      </c>
      <c r="AK2657" s="32">
        <v>12</v>
      </c>
      <c r="AM2657" s="32">
        <v>2500</v>
      </c>
      <c r="AO2657" s="32" t="s">
        <v>2025</v>
      </c>
      <c r="AQ2657" s="32">
        <v>416</v>
      </c>
      <c r="AU2657">
        <v>2656</v>
      </c>
    </row>
    <row r="2658" spans="1:47" x14ac:dyDescent="0.2">
      <c r="A2658" s="26">
        <v>6581</v>
      </c>
      <c r="B2658" s="27">
        <v>0.1875</v>
      </c>
      <c r="C2658" s="28"/>
      <c r="D2658" s="29"/>
      <c r="E2658" s="30" t="s">
        <v>3126</v>
      </c>
      <c r="H2658" s="32">
        <v>1</v>
      </c>
      <c r="I2658" s="32" t="s">
        <v>4039</v>
      </c>
      <c r="AI2658" s="32">
        <v>806</v>
      </c>
      <c r="AK2658" s="32">
        <v>1</v>
      </c>
      <c r="AL2658" s="32">
        <v>6</v>
      </c>
      <c r="AP2658" s="32">
        <f>35/60</f>
        <v>0.58333333333333337</v>
      </c>
      <c r="AQ2658" s="32">
        <v>466</v>
      </c>
      <c r="AU2658">
        <v>2657</v>
      </c>
    </row>
    <row r="2659" spans="1:47" x14ac:dyDescent="0.2">
      <c r="A2659" s="26">
        <v>6581</v>
      </c>
      <c r="B2659" s="27">
        <v>0.1875</v>
      </c>
      <c r="C2659" s="28"/>
      <c r="D2659" s="29"/>
      <c r="E2659" s="30" t="s">
        <v>631</v>
      </c>
      <c r="H2659" s="32">
        <v>0</v>
      </c>
      <c r="I2659" s="32" t="s">
        <v>4040</v>
      </c>
      <c r="AG2659" s="32">
        <v>0</v>
      </c>
      <c r="AH2659" s="32">
        <v>0</v>
      </c>
      <c r="AI2659" s="32">
        <v>0</v>
      </c>
      <c r="AK2659" s="32">
        <v>0</v>
      </c>
      <c r="AL2659" s="32">
        <f>35/60</f>
        <v>0.58333333333333337</v>
      </c>
      <c r="AP2659" s="32">
        <f>35/60</f>
        <v>0.58333333333333337</v>
      </c>
      <c r="AQ2659" s="32">
        <v>464</v>
      </c>
      <c r="AU2659">
        <v>2658</v>
      </c>
    </row>
    <row r="2660" spans="1:47" x14ac:dyDescent="0.2">
      <c r="A2660" s="26">
        <v>6588</v>
      </c>
      <c r="B2660" s="27">
        <v>0.63194444444444442</v>
      </c>
      <c r="C2660" s="28"/>
      <c r="D2660" s="29"/>
      <c r="E2660" s="102" t="s">
        <v>1102</v>
      </c>
      <c r="H2660" s="32">
        <v>0</v>
      </c>
      <c r="I2660" s="32" t="s">
        <v>1103</v>
      </c>
      <c r="AG2660" s="32">
        <v>0</v>
      </c>
      <c r="AH2660" s="32">
        <v>0</v>
      </c>
      <c r="AI2660" s="32">
        <v>0</v>
      </c>
      <c r="AK2660" s="32">
        <v>0</v>
      </c>
      <c r="AL2660" s="32">
        <f>5/60</f>
        <v>8.3333333333333329E-2</v>
      </c>
      <c r="AO2660" s="73" t="s">
        <v>1006</v>
      </c>
      <c r="AP2660" s="32">
        <f>5/60</f>
        <v>8.3333333333333329E-2</v>
      </c>
      <c r="AQ2660" s="32" t="s">
        <v>589</v>
      </c>
      <c r="AU2660">
        <v>2659</v>
      </c>
    </row>
    <row r="2661" spans="1:47" x14ac:dyDescent="0.2">
      <c r="A2661" s="133">
        <v>6589</v>
      </c>
      <c r="B2661" s="39" t="s">
        <v>85</v>
      </c>
      <c r="C2661" s="39">
        <v>55</v>
      </c>
      <c r="D2661" s="29" t="b">
        <v>0</v>
      </c>
      <c r="E2661" s="39" t="s">
        <v>720</v>
      </c>
      <c r="F2661" s="47" t="s">
        <v>4041</v>
      </c>
      <c r="G2661" s="47" t="s">
        <v>73</v>
      </c>
      <c r="H2661"/>
      <c r="I2661" s="47" t="b">
        <v>0</v>
      </c>
      <c r="J2661" s="47" t="b">
        <v>1</v>
      </c>
      <c r="K2661" s="47">
        <v>2752</v>
      </c>
      <c r="L2661" s="48">
        <v>12</v>
      </c>
      <c r="M2661" s="47">
        <v>0</v>
      </c>
      <c r="N2661" s="47">
        <v>0</v>
      </c>
      <c r="O2661" s="47">
        <v>0</v>
      </c>
      <c r="P2661" s="47">
        <v>0</v>
      </c>
      <c r="Q2661" s="47">
        <v>0</v>
      </c>
      <c r="R2661" s="47">
        <v>0</v>
      </c>
      <c r="S2661" s="48">
        <v>12</v>
      </c>
      <c r="T2661" s="47">
        <v>0</v>
      </c>
      <c r="U2661" s="47">
        <v>0</v>
      </c>
      <c r="V2661" s="47">
        <v>0</v>
      </c>
      <c r="W2661" s="47">
        <v>12500</v>
      </c>
      <c r="X2661" s="47">
        <v>392</v>
      </c>
      <c r="Y2661" s="47"/>
      <c r="Z2661" s="47" t="s">
        <v>3618</v>
      </c>
      <c r="AA2661" s="49"/>
      <c r="AB2661" s="49"/>
      <c r="AC2661" s="49"/>
      <c r="AD2661" s="50"/>
      <c r="AE2661" s="47" t="s">
        <v>3798</v>
      </c>
      <c r="AF2661" s="47">
        <v>175</v>
      </c>
      <c r="AG2661"/>
      <c r="AH2661"/>
      <c r="AI2661"/>
      <c r="AJ2661"/>
      <c r="AK2661"/>
      <c r="AL2661"/>
      <c r="AM2661"/>
      <c r="AN2661"/>
      <c r="AO2661"/>
      <c r="AP2661"/>
      <c r="AQ2661" t="s">
        <v>2526</v>
      </c>
      <c r="AU2661">
        <v>2660</v>
      </c>
    </row>
    <row r="2662" spans="1:47" x14ac:dyDescent="0.2">
      <c r="A2662" s="13">
        <v>6589</v>
      </c>
      <c r="B2662" s="57" t="s">
        <v>85</v>
      </c>
      <c r="C2662" s="57" t="s">
        <v>1234</v>
      </c>
      <c r="D2662" s="29"/>
      <c r="E2662" s="57" t="s">
        <v>3691</v>
      </c>
      <c r="F2662" s="31" t="s">
        <v>204</v>
      </c>
      <c r="G2662" s="31" t="s">
        <v>205</v>
      </c>
      <c r="I2662" s="31" t="s">
        <v>4042</v>
      </c>
      <c r="K2662" s="31">
        <v>726</v>
      </c>
      <c r="S2662" s="33">
        <v>3</v>
      </c>
      <c r="Z2662" s="47" t="s">
        <v>1809</v>
      </c>
      <c r="AE2662" s="47" t="s">
        <v>1653</v>
      </c>
      <c r="AF2662" s="31">
        <v>95</v>
      </c>
      <c r="AK2662" s="32">
        <v>16</v>
      </c>
      <c r="AQ2662" s="32" t="s">
        <v>4043</v>
      </c>
      <c r="AU2662">
        <v>2661</v>
      </c>
    </row>
    <row r="2663" spans="1:47" x14ac:dyDescent="0.2">
      <c r="A2663" s="13">
        <v>6589</v>
      </c>
      <c r="B2663" s="57"/>
      <c r="C2663" s="57" t="s">
        <v>1234</v>
      </c>
      <c r="D2663" s="29"/>
      <c r="E2663" s="57" t="s">
        <v>3726</v>
      </c>
      <c r="F2663" s="31" t="s">
        <v>3727</v>
      </c>
      <c r="G2663" s="31" t="s">
        <v>69</v>
      </c>
      <c r="I2663" s="31" t="s">
        <v>3972</v>
      </c>
      <c r="K2663" s="63"/>
      <c r="Z2663" s="47"/>
      <c r="AE2663" s="47" t="s">
        <v>1653</v>
      </c>
      <c r="AQ2663" s="32" t="s">
        <v>3973</v>
      </c>
      <c r="AU2663">
        <v>2662</v>
      </c>
    </row>
    <row r="2664" spans="1:47" x14ac:dyDescent="0.2">
      <c r="A2664" s="133">
        <v>6589</v>
      </c>
      <c r="B2664" s="39" t="s">
        <v>85</v>
      </c>
      <c r="C2664" s="15" t="s">
        <v>3730</v>
      </c>
      <c r="D2664" s="29"/>
      <c r="E2664" s="39" t="s">
        <v>4044</v>
      </c>
      <c r="F2664" s="31" t="s">
        <v>1900</v>
      </c>
      <c r="G2664" s="19" t="s">
        <v>69</v>
      </c>
      <c r="H2664" s="32"/>
      <c r="I2664" s="18" t="s">
        <v>4045</v>
      </c>
      <c r="K2664" s="31">
        <f>72*2.2</f>
        <v>158.4</v>
      </c>
      <c r="L2664" s="33">
        <v>3</v>
      </c>
      <c r="S2664" s="33">
        <v>3</v>
      </c>
      <c r="T2664" s="31">
        <v>1</v>
      </c>
      <c r="U2664" s="31">
        <v>0</v>
      </c>
      <c r="V2664" s="31">
        <v>0</v>
      </c>
      <c r="Y2664" s="19" t="s">
        <v>120</v>
      </c>
      <c r="Z2664" s="19" t="s">
        <v>1809</v>
      </c>
      <c r="AE2664" s="47" t="s">
        <v>1653</v>
      </c>
      <c r="AF2664" s="31">
        <v>60</v>
      </c>
      <c r="AO2664" s="73"/>
      <c r="AQ2664" s="18" t="s">
        <v>4046</v>
      </c>
      <c r="AU2664">
        <v>2663</v>
      </c>
    </row>
    <row r="2665" spans="1:47" x14ac:dyDescent="0.2">
      <c r="A2665" s="13">
        <v>6589</v>
      </c>
      <c r="B2665" s="57" t="s">
        <v>85</v>
      </c>
      <c r="C2665" s="57" t="s">
        <v>1077</v>
      </c>
      <c r="D2665" s="29"/>
      <c r="E2665" s="57" t="s">
        <v>512</v>
      </c>
      <c r="F2665" s="31" t="s">
        <v>76</v>
      </c>
      <c r="G2665" s="31" t="s">
        <v>49</v>
      </c>
      <c r="K2665" s="31">
        <v>132</v>
      </c>
      <c r="Z2665" s="31" t="s">
        <v>3724</v>
      </c>
      <c r="AK2665" s="32">
        <v>6</v>
      </c>
      <c r="AQ2665" s="32" t="s">
        <v>3973</v>
      </c>
      <c r="AU2665">
        <v>2664</v>
      </c>
    </row>
    <row r="2666" spans="1:47" x14ac:dyDescent="0.2">
      <c r="A2666" s="13">
        <v>6589</v>
      </c>
      <c r="B2666" s="57" t="s">
        <v>85</v>
      </c>
      <c r="C2666" s="57" t="s">
        <v>1077</v>
      </c>
      <c r="D2666" s="29"/>
      <c r="E2666" s="57" t="s">
        <v>466</v>
      </c>
      <c r="F2666" s="31" t="s">
        <v>4018</v>
      </c>
      <c r="G2666" s="31" t="s">
        <v>73</v>
      </c>
      <c r="I2666" s="31" t="s">
        <v>3602</v>
      </c>
      <c r="K2666" s="31">
        <v>352</v>
      </c>
      <c r="Z2666" s="31" t="s">
        <v>3724</v>
      </c>
      <c r="AK2666" s="32">
        <v>8</v>
      </c>
      <c r="AQ2666" s="32" t="s">
        <v>3973</v>
      </c>
      <c r="AU2666">
        <v>2665</v>
      </c>
    </row>
    <row r="2667" spans="1:47" x14ac:dyDescent="0.2">
      <c r="A2667" s="13">
        <v>6589</v>
      </c>
      <c r="B2667" s="57" t="s">
        <v>85</v>
      </c>
      <c r="C2667" s="57" t="s">
        <v>1077</v>
      </c>
      <c r="D2667" s="29"/>
      <c r="E2667" s="57" t="s">
        <v>432</v>
      </c>
      <c r="F2667" s="31" t="s">
        <v>76</v>
      </c>
      <c r="G2667" s="31" t="s">
        <v>49</v>
      </c>
      <c r="K2667" s="31">
        <v>4598</v>
      </c>
      <c r="Z2667" s="31" t="s">
        <v>3724</v>
      </c>
      <c r="AK2667" s="32">
        <v>102</v>
      </c>
      <c r="AQ2667" s="32" t="s">
        <v>3973</v>
      </c>
      <c r="AU2667">
        <v>2666</v>
      </c>
    </row>
    <row r="2668" spans="1:47" x14ac:dyDescent="0.2">
      <c r="A2668" s="13">
        <v>6589</v>
      </c>
      <c r="B2668" s="57" t="s">
        <v>45</v>
      </c>
      <c r="C2668" s="57" t="s">
        <v>1077</v>
      </c>
      <c r="D2668" s="29"/>
      <c r="E2668" s="57" t="s">
        <v>466</v>
      </c>
      <c r="F2668" s="31" t="s">
        <v>4018</v>
      </c>
      <c r="G2668" s="31" t="s">
        <v>73</v>
      </c>
      <c r="I2668" s="31" t="s">
        <v>3602</v>
      </c>
      <c r="K2668" s="31">
        <v>451</v>
      </c>
      <c r="Z2668" s="31" t="s">
        <v>3814</v>
      </c>
      <c r="AK2668" s="32">
        <v>10</v>
      </c>
      <c r="AQ2668" s="32" t="s">
        <v>3973</v>
      </c>
      <c r="AU2668">
        <v>2667</v>
      </c>
    </row>
    <row r="2669" spans="1:47" x14ac:dyDescent="0.2">
      <c r="A2669" s="13">
        <v>6589</v>
      </c>
      <c r="B2669" s="57" t="s">
        <v>45</v>
      </c>
      <c r="C2669" s="57" t="s">
        <v>1077</v>
      </c>
      <c r="D2669" s="29"/>
      <c r="E2669" s="57" t="s">
        <v>1048</v>
      </c>
      <c r="F2669" s="31" t="s">
        <v>76</v>
      </c>
      <c r="G2669" s="31" t="s">
        <v>49</v>
      </c>
      <c r="I2669" s="31" t="s">
        <v>3602</v>
      </c>
      <c r="K2669" s="31">
        <v>2255</v>
      </c>
      <c r="Z2669" s="31" t="s">
        <v>3814</v>
      </c>
      <c r="AK2669" s="32">
        <v>50</v>
      </c>
      <c r="AQ2669" s="32" t="s">
        <v>3973</v>
      </c>
      <c r="AU2669">
        <v>2668</v>
      </c>
    </row>
    <row r="2670" spans="1:47" x14ac:dyDescent="0.2">
      <c r="A2670" s="13">
        <v>6589</v>
      </c>
      <c r="B2670" s="57" t="s">
        <v>45</v>
      </c>
      <c r="C2670" s="57" t="s">
        <v>1367</v>
      </c>
      <c r="D2670" s="29"/>
      <c r="E2670" s="57" t="s">
        <v>405</v>
      </c>
      <c r="F2670" s="31" t="s">
        <v>76</v>
      </c>
      <c r="G2670" s="31" t="s">
        <v>49</v>
      </c>
      <c r="I2670" s="31" t="s">
        <v>3602</v>
      </c>
      <c r="K2670" s="31">
        <v>3685</v>
      </c>
      <c r="AK2670" s="32">
        <v>47</v>
      </c>
      <c r="AQ2670" s="32" t="s">
        <v>3973</v>
      </c>
      <c r="AU2670">
        <v>2669</v>
      </c>
    </row>
    <row r="2671" spans="1:47" x14ac:dyDescent="0.2">
      <c r="A2671" s="133">
        <v>6589</v>
      </c>
      <c r="B2671" s="39" t="s">
        <v>45</v>
      </c>
      <c r="C2671" s="39">
        <v>100</v>
      </c>
      <c r="D2671" s="29" t="b">
        <v>0</v>
      </c>
      <c r="E2671" s="39" t="s">
        <v>4047</v>
      </c>
      <c r="F2671" s="47" t="s">
        <v>4048</v>
      </c>
      <c r="G2671" s="47" t="s">
        <v>49</v>
      </c>
      <c r="H2671"/>
      <c r="I2671" s="47" t="b">
        <v>1</v>
      </c>
      <c r="J2671" s="47" t="b">
        <v>1</v>
      </c>
      <c r="K2671" s="47">
        <v>2195</v>
      </c>
      <c r="L2671" s="48">
        <v>8</v>
      </c>
      <c r="M2671" s="47">
        <v>0</v>
      </c>
      <c r="N2671" s="47">
        <v>2</v>
      </c>
      <c r="O2671" s="47">
        <v>0</v>
      </c>
      <c r="P2671" s="47">
        <v>0</v>
      </c>
      <c r="Q2671" s="47">
        <v>0</v>
      </c>
      <c r="R2671" s="47">
        <v>0</v>
      </c>
      <c r="S2671" s="48">
        <v>6</v>
      </c>
      <c r="T2671" s="47">
        <v>0</v>
      </c>
      <c r="U2671" s="47">
        <v>0</v>
      </c>
      <c r="V2671" s="47">
        <v>0</v>
      </c>
      <c r="W2671" s="47">
        <v>1500</v>
      </c>
      <c r="X2671" s="47">
        <v>393</v>
      </c>
      <c r="Y2671" s="47"/>
      <c r="Z2671" s="47" t="s">
        <v>2524</v>
      </c>
      <c r="AA2671" s="49"/>
      <c r="AB2671" s="49"/>
      <c r="AC2671" s="49"/>
      <c r="AD2671" s="50"/>
      <c r="AE2671" s="47" t="s">
        <v>1312</v>
      </c>
      <c r="AF2671" s="31">
        <v>85</v>
      </c>
      <c r="AG2671"/>
      <c r="AH2671"/>
      <c r="AI2671"/>
      <c r="AJ2671"/>
      <c r="AK2671"/>
      <c r="AL2671"/>
      <c r="AM2671"/>
      <c r="AN2671"/>
      <c r="AO2671"/>
      <c r="AP2671"/>
      <c r="AQ2671" t="s">
        <v>2526</v>
      </c>
      <c r="AU2671">
        <v>2670</v>
      </c>
    </row>
    <row r="2672" spans="1:47" x14ac:dyDescent="0.2">
      <c r="A2672" s="133">
        <v>6589</v>
      </c>
      <c r="B2672" s="39" t="s">
        <v>45</v>
      </c>
      <c r="C2672" s="39">
        <v>100</v>
      </c>
      <c r="D2672" s="29" t="b">
        <v>0</v>
      </c>
      <c r="E2672" s="39" t="s">
        <v>4049</v>
      </c>
      <c r="F2672" s="47" t="s">
        <v>2882</v>
      </c>
      <c r="G2672" s="47" t="s">
        <v>481</v>
      </c>
      <c r="H2672"/>
      <c r="I2672" s="47" t="b">
        <v>0</v>
      </c>
      <c r="J2672" s="47" t="b">
        <v>0</v>
      </c>
      <c r="K2672" s="47">
        <v>1090</v>
      </c>
      <c r="L2672" s="48">
        <v>5</v>
      </c>
      <c r="M2672" s="47">
        <v>0</v>
      </c>
      <c r="N2672" s="47">
        <v>2</v>
      </c>
      <c r="O2672" s="47">
        <v>0</v>
      </c>
      <c r="P2672" s="47">
        <v>0</v>
      </c>
      <c r="Q2672" s="47">
        <v>0</v>
      </c>
      <c r="R2672" s="47">
        <v>0</v>
      </c>
      <c r="S2672" s="48">
        <v>3</v>
      </c>
      <c r="T2672" s="47">
        <v>0</v>
      </c>
      <c r="U2672" s="47">
        <v>0</v>
      </c>
      <c r="V2672" s="47">
        <v>0</v>
      </c>
      <c r="W2672" s="47">
        <v>1500</v>
      </c>
      <c r="X2672" s="47">
        <v>394</v>
      </c>
      <c r="Y2672" s="47"/>
      <c r="Z2672" s="47" t="s">
        <v>2524</v>
      </c>
      <c r="AA2672" s="49"/>
      <c r="AB2672" s="49"/>
      <c r="AC2672" s="49"/>
      <c r="AD2672" s="50"/>
      <c r="AE2672" s="47" t="s">
        <v>1312</v>
      </c>
      <c r="AF2672" s="47">
        <v>85</v>
      </c>
      <c r="AG2672"/>
      <c r="AH2672"/>
      <c r="AI2672"/>
      <c r="AJ2672"/>
      <c r="AK2672"/>
      <c r="AL2672"/>
      <c r="AM2672"/>
      <c r="AN2672"/>
      <c r="AO2672"/>
      <c r="AP2672"/>
      <c r="AQ2672" t="s">
        <v>2526</v>
      </c>
      <c r="AU2672">
        <v>2671</v>
      </c>
    </row>
    <row r="2673" spans="1:47" x14ac:dyDescent="0.2">
      <c r="A2673" s="133">
        <v>6589</v>
      </c>
      <c r="B2673" s="39" t="s">
        <v>45</v>
      </c>
      <c r="C2673" s="39">
        <v>100</v>
      </c>
      <c r="D2673" s="29" t="b">
        <v>0</v>
      </c>
      <c r="E2673" s="39" t="s">
        <v>4050</v>
      </c>
      <c r="F2673" s="47" t="s">
        <v>1743</v>
      </c>
      <c r="G2673" s="47" t="s">
        <v>49</v>
      </c>
      <c r="H2673"/>
      <c r="I2673" s="47" t="b">
        <v>0</v>
      </c>
      <c r="J2673" s="47" t="b">
        <v>0</v>
      </c>
      <c r="K2673" s="47">
        <v>760</v>
      </c>
      <c r="L2673" s="48">
        <v>2</v>
      </c>
      <c r="M2673" s="47">
        <v>0</v>
      </c>
      <c r="N2673" s="47">
        <v>0</v>
      </c>
      <c r="O2673" s="47">
        <v>0</v>
      </c>
      <c r="P2673" s="47">
        <v>2</v>
      </c>
      <c r="Q2673" s="47">
        <v>0</v>
      </c>
      <c r="R2673" s="47">
        <v>0</v>
      </c>
      <c r="S2673" s="48">
        <v>2</v>
      </c>
      <c r="T2673" s="47">
        <v>0</v>
      </c>
      <c r="U2673" s="47">
        <v>0</v>
      </c>
      <c r="V2673" s="47">
        <v>0</v>
      </c>
      <c r="W2673" s="47">
        <v>1500</v>
      </c>
      <c r="X2673" s="47">
        <v>395</v>
      </c>
      <c r="Y2673" s="47"/>
      <c r="Z2673" s="47" t="s">
        <v>2524</v>
      </c>
      <c r="AA2673" s="49"/>
      <c r="AB2673" s="49"/>
      <c r="AC2673" s="49"/>
      <c r="AD2673" s="50"/>
      <c r="AE2673" s="47" t="s">
        <v>1312</v>
      </c>
      <c r="AF2673" s="47">
        <v>60</v>
      </c>
      <c r="AG2673"/>
      <c r="AH2673"/>
      <c r="AI2673"/>
      <c r="AJ2673"/>
      <c r="AK2673"/>
      <c r="AL2673"/>
      <c r="AM2673"/>
      <c r="AN2673"/>
      <c r="AO2673"/>
      <c r="AP2673"/>
      <c r="AQ2673" t="s">
        <v>2526</v>
      </c>
      <c r="AR2673" s="32" t="s">
        <v>4051</v>
      </c>
      <c r="AU2673">
        <v>2672</v>
      </c>
    </row>
    <row r="2674" spans="1:47" x14ac:dyDescent="0.2">
      <c r="A2674" s="133">
        <v>6589</v>
      </c>
      <c r="B2674" s="39" t="s">
        <v>45</v>
      </c>
      <c r="C2674" s="39">
        <v>100</v>
      </c>
      <c r="D2674" s="29" t="b">
        <v>0</v>
      </c>
      <c r="E2674" s="39" t="s">
        <v>4052</v>
      </c>
      <c r="F2674" s="47" t="s">
        <v>1743</v>
      </c>
      <c r="G2674" s="47" t="s">
        <v>49</v>
      </c>
      <c r="H2674"/>
      <c r="I2674" s="47" t="b">
        <v>0</v>
      </c>
      <c r="J2674" s="47" t="b">
        <v>0</v>
      </c>
      <c r="K2674" s="47">
        <v>320</v>
      </c>
      <c r="L2674" s="48">
        <v>1</v>
      </c>
      <c r="M2674" s="47">
        <v>0</v>
      </c>
      <c r="N2674" s="47">
        <v>0</v>
      </c>
      <c r="O2674" s="47">
        <v>0</v>
      </c>
      <c r="P2674" s="47">
        <v>1</v>
      </c>
      <c r="Q2674" s="47">
        <v>0</v>
      </c>
      <c r="R2674" s="47">
        <v>0</v>
      </c>
      <c r="S2674" s="48">
        <v>1</v>
      </c>
      <c r="T2674" s="47">
        <v>0</v>
      </c>
      <c r="U2674" s="47">
        <v>0</v>
      </c>
      <c r="V2674" s="47">
        <v>0</v>
      </c>
      <c r="W2674" s="47">
        <v>1500</v>
      </c>
      <c r="X2674" s="47">
        <v>396</v>
      </c>
      <c r="Y2674" s="47"/>
      <c r="Z2674" s="47" t="s">
        <v>2524</v>
      </c>
      <c r="AA2674" s="49"/>
      <c r="AB2674" s="49"/>
      <c r="AC2674" s="49"/>
      <c r="AD2674" s="50"/>
      <c r="AE2674" s="47" t="s">
        <v>1312</v>
      </c>
      <c r="AF2674" s="47"/>
      <c r="AG2674"/>
      <c r="AH2674"/>
      <c r="AI2674"/>
      <c r="AJ2674"/>
      <c r="AK2674"/>
      <c r="AL2674"/>
      <c r="AM2674"/>
      <c r="AN2674"/>
      <c r="AO2674"/>
      <c r="AP2674"/>
      <c r="AQ2674" t="s">
        <v>2526</v>
      </c>
      <c r="AU2674">
        <v>2673</v>
      </c>
    </row>
    <row r="2675" spans="1:47" x14ac:dyDescent="0.2">
      <c r="A2675" s="133">
        <v>6589</v>
      </c>
      <c r="B2675" s="39" t="s">
        <v>45</v>
      </c>
      <c r="C2675" s="39">
        <v>100</v>
      </c>
      <c r="D2675" s="29" t="b">
        <v>0</v>
      </c>
      <c r="E2675" s="39" t="s">
        <v>653</v>
      </c>
      <c r="F2675" s="47" t="s">
        <v>1743</v>
      </c>
      <c r="G2675" s="47" t="s">
        <v>49</v>
      </c>
      <c r="H2675"/>
      <c r="I2675" s="47" t="b">
        <v>0</v>
      </c>
      <c r="J2675" s="47" t="b">
        <v>0</v>
      </c>
      <c r="K2675" s="47">
        <v>25</v>
      </c>
      <c r="L2675" s="48">
        <v>1</v>
      </c>
      <c r="M2675" s="47">
        <v>0</v>
      </c>
      <c r="N2675" s="47">
        <v>0</v>
      </c>
      <c r="O2675" s="47">
        <v>0</v>
      </c>
      <c r="P2675" s="47">
        <v>1</v>
      </c>
      <c r="Q2675" s="47">
        <v>0</v>
      </c>
      <c r="R2675" s="47">
        <v>0</v>
      </c>
      <c r="S2675" s="48">
        <v>1</v>
      </c>
      <c r="T2675" s="47">
        <v>0</v>
      </c>
      <c r="U2675" s="47">
        <v>0</v>
      </c>
      <c r="V2675" s="47">
        <v>0</v>
      </c>
      <c r="W2675" s="47">
        <v>1500</v>
      </c>
      <c r="X2675" s="47">
        <v>397</v>
      </c>
      <c r="Y2675" s="47"/>
      <c r="Z2675" s="47" t="s">
        <v>2524</v>
      </c>
      <c r="AA2675" s="49"/>
      <c r="AB2675" s="49"/>
      <c r="AC2675" s="49"/>
      <c r="AD2675" s="50"/>
      <c r="AE2675" s="47" t="s">
        <v>1312</v>
      </c>
      <c r="AF2675" s="47">
        <v>70</v>
      </c>
      <c r="AG2675"/>
      <c r="AH2675"/>
      <c r="AI2675"/>
      <c r="AJ2675"/>
      <c r="AK2675"/>
      <c r="AL2675"/>
      <c r="AM2675"/>
      <c r="AN2675"/>
      <c r="AO2675"/>
      <c r="AP2675"/>
      <c r="AQ2675" t="s">
        <v>2526</v>
      </c>
      <c r="AU2675">
        <v>2674</v>
      </c>
    </row>
    <row r="2676" spans="1:47" x14ac:dyDescent="0.2">
      <c r="A2676" s="26">
        <v>6589</v>
      </c>
      <c r="B2676" s="27">
        <v>0.5625</v>
      </c>
      <c r="C2676" s="28"/>
      <c r="D2676" s="29"/>
      <c r="E2676" s="30" t="s">
        <v>869</v>
      </c>
      <c r="H2676" s="32">
        <v>0</v>
      </c>
      <c r="I2676" s="32" t="s">
        <v>2344</v>
      </c>
      <c r="AG2676" s="32">
        <v>0</v>
      </c>
      <c r="AH2676" s="32">
        <v>0</v>
      </c>
      <c r="AI2676" s="32">
        <v>0</v>
      </c>
      <c r="AK2676" s="32">
        <v>0</v>
      </c>
      <c r="AL2676" s="32">
        <v>0.25</v>
      </c>
      <c r="AP2676" s="32">
        <v>0.25</v>
      </c>
      <c r="AQ2676" s="32" t="s">
        <v>589</v>
      </c>
      <c r="AU2676">
        <v>2675</v>
      </c>
    </row>
    <row r="2677" spans="1:47" x14ac:dyDescent="0.2">
      <c r="A2677" s="26">
        <v>6589</v>
      </c>
      <c r="B2677" s="27">
        <v>0.78472222222222221</v>
      </c>
      <c r="C2677" s="28"/>
      <c r="D2677" s="29"/>
      <c r="E2677" s="30" t="s">
        <v>464</v>
      </c>
      <c r="H2677" s="32">
        <v>1</v>
      </c>
      <c r="I2677" s="32" t="s">
        <v>4053</v>
      </c>
      <c r="AG2677" s="32">
        <v>0</v>
      </c>
      <c r="AH2677" s="32">
        <v>0</v>
      </c>
      <c r="AK2677" s="32">
        <v>2</v>
      </c>
      <c r="AL2677" s="32">
        <f>3+10/60+2+10/60</f>
        <v>5.333333333333333</v>
      </c>
      <c r="AO2677" s="32" t="s">
        <v>3708</v>
      </c>
      <c r="AP2677" s="32">
        <f>3+10/60+2+10/60</f>
        <v>5.333333333333333</v>
      </c>
      <c r="AQ2677" s="32" t="s">
        <v>4054</v>
      </c>
      <c r="AU2677">
        <v>2676</v>
      </c>
    </row>
    <row r="2678" spans="1:47" x14ac:dyDescent="0.2">
      <c r="A2678" s="26">
        <v>6589</v>
      </c>
      <c r="B2678" s="27">
        <v>0.79027777777777775</v>
      </c>
      <c r="C2678" s="28"/>
      <c r="D2678" s="29"/>
      <c r="E2678" s="30" t="s">
        <v>1282</v>
      </c>
      <c r="H2678" s="32">
        <v>1</v>
      </c>
      <c r="I2678" s="32" t="s">
        <v>4055</v>
      </c>
      <c r="AG2678" s="32">
        <v>0</v>
      </c>
      <c r="AH2678" s="32">
        <v>0</v>
      </c>
      <c r="AL2678" s="32">
        <f>6+19/60</f>
        <v>6.3166666666666664</v>
      </c>
      <c r="AP2678" s="32">
        <f>6+13/60</f>
        <v>6.2166666666666668</v>
      </c>
      <c r="AQ2678" s="32" t="s">
        <v>1101</v>
      </c>
      <c r="AU2678">
        <v>2677</v>
      </c>
    </row>
    <row r="2679" spans="1:47" x14ac:dyDescent="0.2">
      <c r="A2679" s="26">
        <v>6589</v>
      </c>
      <c r="B2679" s="27">
        <v>0.79027777777777775</v>
      </c>
      <c r="C2679" s="28"/>
      <c r="D2679" s="29"/>
      <c r="E2679" s="30" t="s">
        <v>869</v>
      </c>
      <c r="H2679" s="32">
        <v>0</v>
      </c>
      <c r="I2679" s="32" t="s">
        <v>4056</v>
      </c>
      <c r="AG2679" s="32">
        <v>0</v>
      </c>
      <c r="AH2679" s="32">
        <v>0</v>
      </c>
      <c r="AI2679" s="32">
        <v>0</v>
      </c>
      <c r="AK2679" s="32">
        <v>0</v>
      </c>
      <c r="AL2679" s="32">
        <f>37/60</f>
        <v>0.6166666666666667</v>
      </c>
      <c r="AP2679" s="32">
        <f>37/60</f>
        <v>0.6166666666666667</v>
      </c>
      <c r="AQ2679" s="32" t="s">
        <v>589</v>
      </c>
      <c r="AU2679">
        <v>2678</v>
      </c>
    </row>
    <row r="2680" spans="1:47" x14ac:dyDescent="0.2">
      <c r="A2680" s="26">
        <v>6589</v>
      </c>
      <c r="B2680" s="27">
        <v>0.89513888888888893</v>
      </c>
      <c r="C2680" s="28"/>
      <c r="D2680" s="29"/>
      <c r="E2680" s="30" t="s">
        <v>869</v>
      </c>
      <c r="H2680" s="32">
        <v>0</v>
      </c>
      <c r="I2680" s="32" t="s">
        <v>2344</v>
      </c>
      <c r="AG2680" s="32">
        <v>0</v>
      </c>
      <c r="AH2680" s="32">
        <v>0</v>
      </c>
      <c r="AI2680" s="32">
        <v>0</v>
      </c>
      <c r="AK2680" s="32">
        <v>0</v>
      </c>
      <c r="AL2680" s="32">
        <f>26/60</f>
        <v>0.43333333333333335</v>
      </c>
      <c r="AP2680" s="32">
        <f>26/60</f>
        <v>0.43333333333333335</v>
      </c>
      <c r="AQ2680" s="32" t="s">
        <v>589</v>
      </c>
      <c r="AU2680">
        <v>2679</v>
      </c>
    </row>
    <row r="2681" spans="1:47" x14ac:dyDescent="0.2">
      <c r="A2681" s="26">
        <v>6589</v>
      </c>
      <c r="B2681" s="27" t="s">
        <v>45</v>
      </c>
      <c r="C2681" s="28"/>
      <c r="D2681" s="29"/>
      <c r="E2681" s="30" t="s">
        <v>1764</v>
      </c>
      <c r="H2681" s="32">
        <v>1</v>
      </c>
      <c r="I2681" s="32" t="s">
        <v>4057</v>
      </c>
      <c r="AI2681" s="32">
        <v>500</v>
      </c>
      <c r="AL2681" s="32">
        <v>9</v>
      </c>
      <c r="AQ2681" s="32" t="s">
        <v>4058</v>
      </c>
      <c r="AU2681">
        <v>2680</v>
      </c>
    </row>
    <row r="2682" spans="1:47" x14ac:dyDescent="0.2">
      <c r="A2682" s="26">
        <v>6589</v>
      </c>
      <c r="B2682" s="27" t="s">
        <v>45</v>
      </c>
      <c r="C2682" s="28"/>
      <c r="D2682" s="29"/>
      <c r="E2682" s="30" t="s">
        <v>1531</v>
      </c>
      <c r="H2682" s="32">
        <v>0</v>
      </c>
      <c r="I2682" s="32" t="s">
        <v>1532</v>
      </c>
      <c r="AG2682" s="32">
        <v>0</v>
      </c>
      <c r="AH2682" s="32">
        <v>0</v>
      </c>
      <c r="AI2682" s="32">
        <v>0</v>
      </c>
      <c r="AK2682" s="32">
        <v>0</v>
      </c>
      <c r="AM2682" s="32">
        <f>498*60</f>
        <v>29880</v>
      </c>
      <c r="AO2682" s="32" t="s">
        <v>1533</v>
      </c>
      <c r="AQ2682" s="32" t="s">
        <v>1101</v>
      </c>
      <c r="AU2682">
        <v>2681</v>
      </c>
    </row>
    <row r="2683" spans="1:47" x14ac:dyDescent="0.2">
      <c r="A2683" s="26">
        <v>6589</v>
      </c>
      <c r="B2683" s="27"/>
      <c r="C2683" s="28"/>
      <c r="D2683" s="29"/>
      <c r="E2683" s="30" t="s">
        <v>720</v>
      </c>
      <c r="F2683" s="47"/>
      <c r="G2683" s="47"/>
      <c r="H2683">
        <v>1</v>
      </c>
      <c r="I2683" s="47" t="s">
        <v>4059</v>
      </c>
      <c r="J2683" s="47"/>
      <c r="K2683" s="47"/>
      <c r="L2683" s="48"/>
      <c r="M2683" s="47"/>
      <c r="N2683" s="47"/>
      <c r="O2683" s="47"/>
      <c r="P2683" s="47"/>
      <c r="Q2683" s="47"/>
      <c r="R2683" s="47"/>
      <c r="S2683" s="48"/>
      <c r="T2683" s="47"/>
      <c r="U2683" s="47"/>
      <c r="V2683" s="47"/>
      <c r="W2683" s="47"/>
      <c r="X2683" s="47"/>
      <c r="Y2683" s="47"/>
      <c r="Z2683" s="47"/>
      <c r="AA2683" s="49"/>
      <c r="AB2683" s="49"/>
      <c r="AC2683" s="49"/>
      <c r="AD2683" s="50"/>
      <c r="AE2683" s="47"/>
      <c r="AF2683" s="47"/>
      <c r="AG2683"/>
      <c r="AH2683"/>
      <c r="AI2683">
        <v>100000</v>
      </c>
      <c r="AJ2683"/>
      <c r="AK2683">
        <v>7</v>
      </c>
      <c r="AL2683"/>
      <c r="AM2683"/>
      <c r="AN2683"/>
      <c r="AO2683"/>
      <c r="AP2683"/>
      <c r="AQ2683" t="s">
        <v>4060</v>
      </c>
      <c r="AU2683">
        <v>2682</v>
      </c>
    </row>
    <row r="2684" spans="1:47" x14ac:dyDescent="0.2">
      <c r="A2684" s="133">
        <v>6591</v>
      </c>
      <c r="B2684" s="39" t="s">
        <v>45</v>
      </c>
      <c r="C2684" s="39">
        <v>100</v>
      </c>
      <c r="D2684" s="29" t="b">
        <v>0</v>
      </c>
      <c r="E2684" s="39" t="s">
        <v>4061</v>
      </c>
      <c r="F2684" s="47" t="s">
        <v>4062</v>
      </c>
      <c r="G2684" s="47" t="s">
        <v>73</v>
      </c>
      <c r="H2684"/>
      <c r="I2684" s="47" t="b">
        <v>1</v>
      </c>
      <c r="J2684" s="47" t="b">
        <v>1</v>
      </c>
      <c r="K2684" s="47">
        <v>560</v>
      </c>
      <c r="L2684" s="48">
        <v>6</v>
      </c>
      <c r="M2684" s="47">
        <v>4</v>
      </c>
      <c r="N2684" s="47">
        <v>0</v>
      </c>
      <c r="O2684" s="47">
        <v>0</v>
      </c>
      <c r="P2684" s="47">
        <v>2</v>
      </c>
      <c r="Q2684" s="47">
        <v>0</v>
      </c>
      <c r="R2684" s="47">
        <v>0</v>
      </c>
      <c r="S2684" s="48">
        <v>2</v>
      </c>
      <c r="T2684" s="47">
        <v>0</v>
      </c>
      <c r="U2684" s="47">
        <v>0</v>
      </c>
      <c r="V2684" s="47">
        <v>0</v>
      </c>
      <c r="W2684" s="47"/>
      <c r="X2684" s="47">
        <v>398</v>
      </c>
      <c r="Y2684" s="47"/>
      <c r="Z2684" s="47" t="s">
        <v>2524</v>
      </c>
      <c r="AA2684" s="49"/>
      <c r="AB2684" s="49"/>
      <c r="AC2684" s="49"/>
      <c r="AD2684" s="50"/>
      <c r="AE2684" s="47" t="s">
        <v>1312</v>
      </c>
      <c r="AF2684" s="47">
        <v>50</v>
      </c>
      <c r="AG2684"/>
      <c r="AH2684"/>
      <c r="AI2684"/>
      <c r="AJ2684"/>
      <c r="AK2684"/>
      <c r="AL2684"/>
      <c r="AM2684"/>
      <c r="AN2684"/>
      <c r="AO2684"/>
      <c r="AP2684"/>
      <c r="AQ2684" t="s">
        <v>2526</v>
      </c>
      <c r="AU2684">
        <v>2683</v>
      </c>
    </row>
    <row r="2685" spans="1:47" x14ac:dyDescent="0.2">
      <c r="A2685" s="133">
        <v>6591</v>
      </c>
      <c r="B2685" s="39" t="s">
        <v>45</v>
      </c>
      <c r="C2685" s="39">
        <v>100</v>
      </c>
      <c r="D2685" s="29" t="b">
        <v>0</v>
      </c>
      <c r="E2685" s="39" t="s">
        <v>4061</v>
      </c>
      <c r="F2685" s="47" t="s">
        <v>3283</v>
      </c>
      <c r="G2685" s="47" t="s">
        <v>49</v>
      </c>
      <c r="H2685"/>
      <c r="I2685" s="47" t="b">
        <v>0</v>
      </c>
      <c r="J2685" s="47" t="b">
        <v>0</v>
      </c>
      <c r="K2685" s="47">
        <v>280</v>
      </c>
      <c r="L2685" s="48">
        <v>5</v>
      </c>
      <c r="M2685" s="47">
        <v>4</v>
      </c>
      <c r="N2685" s="47">
        <v>0</v>
      </c>
      <c r="O2685" s="47">
        <v>0</v>
      </c>
      <c r="P2685" s="47">
        <v>1</v>
      </c>
      <c r="Q2685" s="47">
        <v>0</v>
      </c>
      <c r="R2685" s="47">
        <v>0</v>
      </c>
      <c r="S2685" s="48">
        <v>1</v>
      </c>
      <c r="T2685" s="47">
        <v>0</v>
      </c>
      <c r="U2685" s="47">
        <v>0</v>
      </c>
      <c r="V2685" s="47">
        <v>0</v>
      </c>
      <c r="W2685" s="47"/>
      <c r="X2685" s="47">
        <v>399</v>
      </c>
      <c r="Y2685" s="47"/>
      <c r="Z2685" s="47" t="s">
        <v>2524</v>
      </c>
      <c r="AA2685" s="49"/>
      <c r="AB2685" s="49"/>
      <c r="AC2685" s="49"/>
      <c r="AD2685" s="50"/>
      <c r="AE2685" s="47" t="s">
        <v>1312</v>
      </c>
      <c r="AF2685" s="47">
        <v>50</v>
      </c>
      <c r="AG2685"/>
      <c r="AH2685"/>
      <c r="AI2685"/>
      <c r="AJ2685"/>
      <c r="AK2685"/>
      <c r="AL2685"/>
      <c r="AM2685"/>
      <c r="AN2685"/>
      <c r="AO2685"/>
      <c r="AP2685"/>
      <c r="AQ2685" t="s">
        <v>2526</v>
      </c>
      <c r="AU2685">
        <v>2684</v>
      </c>
    </row>
    <row r="2686" spans="1:47" x14ac:dyDescent="0.2">
      <c r="A2686" s="133">
        <v>6591</v>
      </c>
      <c r="B2686" s="39" t="s">
        <v>45</v>
      </c>
      <c r="C2686" s="39">
        <v>100</v>
      </c>
      <c r="D2686" s="29" t="b">
        <v>0</v>
      </c>
      <c r="E2686" s="39" t="s">
        <v>4063</v>
      </c>
      <c r="F2686" s="47" t="s">
        <v>2717</v>
      </c>
      <c r="G2686" s="47" t="s">
        <v>73</v>
      </c>
      <c r="H2686"/>
      <c r="I2686" s="47" t="b">
        <v>0</v>
      </c>
      <c r="J2686" s="47" t="b">
        <v>0</v>
      </c>
      <c r="K2686" s="47">
        <v>280</v>
      </c>
      <c r="L2686" s="48">
        <v>1</v>
      </c>
      <c r="M2686" s="47">
        <v>0</v>
      </c>
      <c r="N2686" s="47">
        <v>0</v>
      </c>
      <c r="O2686" s="47">
        <v>0</v>
      </c>
      <c r="P2686" s="47">
        <v>1</v>
      </c>
      <c r="Q2686" s="47">
        <v>0</v>
      </c>
      <c r="R2686" s="47">
        <v>0</v>
      </c>
      <c r="S2686" s="48">
        <v>1</v>
      </c>
      <c r="T2686" s="47">
        <v>0</v>
      </c>
      <c r="U2686" s="47">
        <v>0</v>
      </c>
      <c r="V2686" s="47">
        <v>0</v>
      </c>
      <c r="W2686" s="47"/>
      <c r="X2686" s="47">
        <v>400</v>
      </c>
      <c r="Y2686" s="47"/>
      <c r="Z2686" s="47" t="s">
        <v>2524</v>
      </c>
      <c r="AA2686" s="49"/>
      <c r="AB2686" s="49"/>
      <c r="AC2686" s="49"/>
      <c r="AD2686" s="50"/>
      <c r="AE2686" s="47" t="s">
        <v>1312</v>
      </c>
      <c r="AF2686" s="47">
        <v>50</v>
      </c>
      <c r="AG2686"/>
      <c r="AH2686"/>
      <c r="AI2686"/>
      <c r="AJ2686"/>
      <c r="AK2686"/>
      <c r="AL2686"/>
      <c r="AM2686"/>
      <c r="AN2686"/>
      <c r="AO2686"/>
      <c r="AP2686"/>
      <c r="AQ2686" t="s">
        <v>2526</v>
      </c>
      <c r="AU2686">
        <v>2685</v>
      </c>
    </row>
    <row r="2687" spans="1:47" x14ac:dyDescent="0.2">
      <c r="A2687" s="26">
        <v>6591</v>
      </c>
      <c r="B2687" s="27">
        <v>0.91666666666666663</v>
      </c>
      <c r="C2687" s="28"/>
      <c r="D2687" s="29"/>
      <c r="E2687" s="30" t="s">
        <v>2087</v>
      </c>
      <c r="H2687" s="32">
        <v>1</v>
      </c>
      <c r="I2687" s="32" t="s">
        <v>4064</v>
      </c>
      <c r="AG2687" s="32">
        <v>0</v>
      </c>
      <c r="AH2687" s="32">
        <v>0</v>
      </c>
      <c r="AK2687" s="32">
        <v>5</v>
      </c>
      <c r="AL2687" s="32">
        <v>0</v>
      </c>
      <c r="AP2687" s="32">
        <v>1</v>
      </c>
      <c r="AQ2687" s="32">
        <v>418</v>
      </c>
      <c r="AU2687">
        <v>2686</v>
      </c>
    </row>
    <row r="2688" spans="1:47" x14ac:dyDescent="0.2">
      <c r="A2688" s="13">
        <v>6592</v>
      </c>
      <c r="B2688" s="57"/>
      <c r="C2688" s="57" t="s">
        <v>1077</v>
      </c>
      <c r="D2688" s="29"/>
      <c r="E2688" s="57" t="s">
        <v>4065</v>
      </c>
      <c r="F2688" s="31" t="s">
        <v>3183</v>
      </c>
      <c r="G2688" s="31" t="s">
        <v>49</v>
      </c>
      <c r="K2688" s="31">
        <v>484</v>
      </c>
      <c r="AK2688" s="32">
        <v>26</v>
      </c>
      <c r="AQ2688" s="32" t="s">
        <v>4066</v>
      </c>
      <c r="AU2688">
        <v>2687</v>
      </c>
    </row>
    <row r="2689" spans="1:47" x14ac:dyDescent="0.2">
      <c r="A2689" s="26">
        <v>6592</v>
      </c>
      <c r="B2689" s="27">
        <v>7.2916666666666671E-2</v>
      </c>
      <c r="C2689" s="28"/>
      <c r="D2689" s="29"/>
      <c r="E2689" s="30" t="s">
        <v>464</v>
      </c>
      <c r="H2689" s="32">
        <v>0</v>
      </c>
      <c r="I2689" s="32" t="s">
        <v>3590</v>
      </c>
      <c r="AG2689" s="32">
        <v>0</v>
      </c>
      <c r="AH2689" s="32">
        <v>0</v>
      </c>
      <c r="AL2689" s="32">
        <v>1.25</v>
      </c>
      <c r="AO2689" s="32" t="s">
        <v>4067</v>
      </c>
      <c r="AP2689" s="32">
        <v>1.25</v>
      </c>
      <c r="AQ2689" s="32" t="s">
        <v>1522</v>
      </c>
      <c r="AU2689">
        <v>2688</v>
      </c>
    </row>
    <row r="2690" spans="1:47" x14ac:dyDescent="0.2">
      <c r="A2690" s="26">
        <v>6592</v>
      </c>
      <c r="B2690" s="27">
        <v>7.6388888888888895E-2</v>
      </c>
      <c r="C2690" s="28"/>
      <c r="D2690" s="29"/>
      <c r="E2690" s="30" t="s">
        <v>1282</v>
      </c>
      <c r="H2690" s="32">
        <v>0</v>
      </c>
      <c r="I2690" s="32" t="s">
        <v>4068</v>
      </c>
      <c r="AG2690" s="32">
        <v>0</v>
      </c>
      <c r="AH2690" s="32">
        <v>0</v>
      </c>
      <c r="AI2690" s="32">
        <v>0</v>
      </c>
      <c r="AK2690" s="32">
        <v>0</v>
      </c>
      <c r="AL2690" s="32">
        <f>1+25/60</f>
        <v>1.4166666666666667</v>
      </c>
      <c r="AP2690" s="32">
        <f>1+25/60</f>
        <v>1.4166666666666667</v>
      </c>
      <c r="AQ2690" s="32" t="s">
        <v>1101</v>
      </c>
      <c r="AU2690">
        <v>2689</v>
      </c>
    </row>
    <row r="2691" spans="1:47" x14ac:dyDescent="0.2">
      <c r="A2691" s="133">
        <v>6593</v>
      </c>
      <c r="B2691" s="39" t="s">
        <v>45</v>
      </c>
      <c r="C2691" s="43" t="s">
        <v>1077</v>
      </c>
      <c r="D2691" s="29"/>
      <c r="E2691" s="36" t="s">
        <v>631</v>
      </c>
      <c r="F2691" s="31" t="s">
        <v>1663</v>
      </c>
      <c r="G2691" s="31" t="s">
        <v>459</v>
      </c>
      <c r="H2691" s="32"/>
      <c r="I2691" s="32" t="s">
        <v>4069</v>
      </c>
      <c r="Z2691" s="31" t="s">
        <v>3814</v>
      </c>
      <c r="AU2691">
        <v>2690</v>
      </c>
    </row>
    <row r="2692" spans="1:47" x14ac:dyDescent="0.2">
      <c r="A2692" s="26">
        <v>6594</v>
      </c>
      <c r="B2692" s="27">
        <v>0.68958333333333333</v>
      </c>
      <c r="C2692" s="28"/>
      <c r="D2692" s="29"/>
      <c r="E2692" s="30" t="s">
        <v>869</v>
      </c>
      <c r="H2692" s="32">
        <v>0</v>
      </c>
      <c r="I2692" s="32" t="s">
        <v>2344</v>
      </c>
      <c r="AG2692" s="32">
        <v>0</v>
      </c>
      <c r="AH2692" s="32">
        <v>0</v>
      </c>
      <c r="AI2692" s="32">
        <v>0</v>
      </c>
      <c r="AK2692" s="32">
        <v>0</v>
      </c>
      <c r="AL2692" s="32">
        <v>0.1</v>
      </c>
      <c r="AP2692" s="32">
        <v>0.1</v>
      </c>
      <c r="AQ2692" s="32" t="s">
        <v>589</v>
      </c>
      <c r="AU2692">
        <v>2691</v>
      </c>
    </row>
    <row r="2693" spans="1:47" x14ac:dyDescent="0.2">
      <c r="A2693" s="13">
        <v>6595</v>
      </c>
      <c r="B2693" s="57" t="s">
        <v>85</v>
      </c>
      <c r="C2693" s="57" t="s">
        <v>1234</v>
      </c>
      <c r="D2693" s="29"/>
      <c r="E2693" s="57" t="s">
        <v>3726</v>
      </c>
      <c r="F2693" s="31" t="s">
        <v>3727</v>
      </c>
      <c r="G2693" s="31" t="s">
        <v>69</v>
      </c>
      <c r="I2693" s="31" t="s">
        <v>4070</v>
      </c>
      <c r="K2693" s="63"/>
      <c r="Z2693" s="47" t="s">
        <v>1809</v>
      </c>
      <c r="AQ2693" s="32" t="s">
        <v>4071</v>
      </c>
      <c r="AU2693">
        <v>2692</v>
      </c>
    </row>
    <row r="2694" spans="1:47" x14ac:dyDescent="0.2">
      <c r="A2694" s="26">
        <v>6595</v>
      </c>
      <c r="B2694" s="27">
        <v>0.2986111111111111</v>
      </c>
      <c r="C2694" s="28"/>
      <c r="D2694" s="29"/>
      <c r="E2694" s="30" t="s">
        <v>869</v>
      </c>
      <c r="H2694" s="32">
        <v>0</v>
      </c>
      <c r="I2694" s="32" t="s">
        <v>2344</v>
      </c>
      <c r="AG2694" s="32">
        <v>0</v>
      </c>
      <c r="AH2694" s="32">
        <v>0</v>
      </c>
      <c r="AI2694" s="32">
        <v>0</v>
      </c>
      <c r="AK2694" s="32">
        <v>0</v>
      </c>
      <c r="AL2694" s="32">
        <v>0.33300000000000002</v>
      </c>
      <c r="AP2694" s="32">
        <v>0.33300000000000002</v>
      </c>
      <c r="AQ2694" s="32" t="s">
        <v>589</v>
      </c>
      <c r="AU2694">
        <v>2693</v>
      </c>
    </row>
    <row r="2695" spans="1:47" x14ac:dyDescent="0.2">
      <c r="A2695" s="26">
        <v>6595</v>
      </c>
      <c r="B2695" s="27">
        <v>0.55555555555555558</v>
      </c>
      <c r="C2695" s="28"/>
      <c r="D2695" s="29"/>
      <c r="E2695" s="30" t="s">
        <v>869</v>
      </c>
      <c r="H2695" s="32">
        <v>0</v>
      </c>
      <c r="I2695" s="32" t="s">
        <v>4072</v>
      </c>
      <c r="AG2695" s="32">
        <v>0</v>
      </c>
      <c r="AH2695" s="32">
        <v>0</v>
      </c>
      <c r="AI2695" s="32">
        <v>0</v>
      </c>
      <c r="AK2695" s="32">
        <v>0</v>
      </c>
      <c r="AL2695" s="32">
        <f>66/60</f>
        <v>1.1000000000000001</v>
      </c>
      <c r="AP2695" s="32">
        <f>66/60</f>
        <v>1.1000000000000001</v>
      </c>
      <c r="AQ2695" s="32" t="s">
        <v>589</v>
      </c>
      <c r="AU2695">
        <v>2694</v>
      </c>
    </row>
    <row r="2696" spans="1:47" x14ac:dyDescent="0.2">
      <c r="A2696" s="133">
        <v>6596</v>
      </c>
      <c r="B2696" s="39" t="s">
        <v>85</v>
      </c>
      <c r="C2696" s="39" t="s">
        <v>4073</v>
      </c>
      <c r="D2696" s="29" t="b">
        <v>0</v>
      </c>
      <c r="E2696" s="39" t="s">
        <v>3603</v>
      </c>
      <c r="F2696" s="31" t="s">
        <v>150</v>
      </c>
      <c r="G2696" s="31" t="s">
        <v>49</v>
      </c>
      <c r="H2696" s="32"/>
      <c r="I2696" s="32" t="s">
        <v>4074</v>
      </c>
      <c r="K2696" s="31">
        <f>821*2.2</f>
        <v>1806.2</v>
      </c>
      <c r="W2696" s="31">
        <f>1200/0.3048</f>
        <v>3937.0078740157478</v>
      </c>
      <c r="Z2696" s="31" t="s">
        <v>3724</v>
      </c>
      <c r="AU2696">
        <v>2695</v>
      </c>
    </row>
    <row r="2697" spans="1:47" x14ac:dyDescent="0.2">
      <c r="A2697" s="13">
        <v>6596</v>
      </c>
      <c r="B2697" s="57" t="s">
        <v>85</v>
      </c>
      <c r="C2697" s="57" t="s">
        <v>1234</v>
      </c>
      <c r="D2697" s="29"/>
      <c r="E2697" s="57" t="s">
        <v>3726</v>
      </c>
      <c r="F2697" s="31" t="s">
        <v>3727</v>
      </c>
      <c r="G2697" s="31" t="s">
        <v>69</v>
      </c>
      <c r="I2697" s="31" t="s">
        <v>4070</v>
      </c>
      <c r="K2697" s="63"/>
      <c r="Z2697" s="47" t="s">
        <v>1809</v>
      </c>
      <c r="AQ2697" s="32" t="s">
        <v>4071</v>
      </c>
      <c r="AU2697">
        <v>2696</v>
      </c>
    </row>
    <row r="2698" spans="1:47" x14ac:dyDescent="0.2">
      <c r="A2698" s="133">
        <v>6596</v>
      </c>
      <c r="B2698" s="39" t="s">
        <v>45</v>
      </c>
      <c r="C2698" s="39">
        <v>100</v>
      </c>
      <c r="D2698" s="29" t="b">
        <v>0</v>
      </c>
      <c r="E2698" s="39" t="s">
        <v>4075</v>
      </c>
      <c r="F2698" s="47" t="s">
        <v>4076</v>
      </c>
      <c r="G2698" s="47" t="s">
        <v>49</v>
      </c>
      <c r="H2698"/>
      <c r="I2698" s="47" t="b">
        <v>1</v>
      </c>
      <c r="J2698" s="47" t="b">
        <v>1</v>
      </c>
      <c r="K2698" s="47">
        <v>3510</v>
      </c>
      <c r="L2698" s="48">
        <v>17</v>
      </c>
      <c r="M2698" s="47">
        <v>0</v>
      </c>
      <c r="N2698" s="47">
        <v>6</v>
      </c>
      <c r="O2698" s="47">
        <v>0</v>
      </c>
      <c r="P2698" s="47">
        <v>7</v>
      </c>
      <c r="Q2698" s="47">
        <v>0</v>
      </c>
      <c r="R2698" s="47">
        <v>0</v>
      </c>
      <c r="S2698" s="48">
        <v>11</v>
      </c>
      <c r="T2698" s="47">
        <v>1</v>
      </c>
      <c r="U2698" s="47">
        <v>0</v>
      </c>
      <c r="V2698" s="47">
        <v>0</v>
      </c>
      <c r="W2698" s="47">
        <v>800</v>
      </c>
      <c r="X2698" s="47">
        <v>401</v>
      </c>
      <c r="Y2698" s="47"/>
      <c r="Z2698" s="47" t="s">
        <v>2524</v>
      </c>
      <c r="AA2698" s="49"/>
      <c r="AB2698" s="49"/>
      <c r="AC2698" s="49"/>
      <c r="AD2698" s="50"/>
      <c r="AE2698" s="47" t="s">
        <v>1312</v>
      </c>
      <c r="AF2698" s="31">
        <v>85</v>
      </c>
      <c r="AG2698"/>
      <c r="AH2698"/>
      <c r="AI2698"/>
      <c r="AJ2698"/>
      <c r="AK2698"/>
      <c r="AL2698"/>
      <c r="AM2698"/>
      <c r="AN2698"/>
      <c r="AO2698"/>
      <c r="AP2698"/>
      <c r="AQ2698" t="s">
        <v>2526</v>
      </c>
      <c r="AU2698">
        <v>2697</v>
      </c>
    </row>
    <row r="2699" spans="1:47" x14ac:dyDescent="0.2">
      <c r="A2699" s="133">
        <v>6596</v>
      </c>
      <c r="B2699" s="39" t="s">
        <v>45</v>
      </c>
      <c r="C2699" s="39">
        <v>100</v>
      </c>
      <c r="D2699" s="29" t="b">
        <v>0</v>
      </c>
      <c r="E2699" s="39" t="s">
        <v>1764</v>
      </c>
      <c r="F2699" s="47" t="s">
        <v>1663</v>
      </c>
      <c r="G2699" s="47" t="s">
        <v>459</v>
      </c>
      <c r="H2699"/>
      <c r="I2699" s="47" t="b">
        <v>0</v>
      </c>
      <c r="J2699" s="47" t="b">
        <v>0</v>
      </c>
      <c r="K2699" s="47">
        <v>1490</v>
      </c>
      <c r="L2699" s="48">
        <v>17</v>
      </c>
      <c r="M2699" s="47">
        <v>0</v>
      </c>
      <c r="N2699" s="47">
        <v>6</v>
      </c>
      <c r="O2699" s="47">
        <v>0</v>
      </c>
      <c r="P2699" s="47">
        <v>7</v>
      </c>
      <c r="Q2699" s="47">
        <v>0</v>
      </c>
      <c r="R2699" s="47">
        <v>0</v>
      </c>
      <c r="S2699" s="48">
        <v>4</v>
      </c>
      <c r="T2699" s="47">
        <v>1</v>
      </c>
      <c r="U2699" s="47">
        <v>0</v>
      </c>
      <c r="V2699" s="47">
        <v>0</v>
      </c>
      <c r="W2699" s="47">
        <v>800</v>
      </c>
      <c r="X2699" s="47">
        <v>402</v>
      </c>
      <c r="Y2699" s="47"/>
      <c r="Z2699" s="47" t="s">
        <v>2524</v>
      </c>
      <c r="AA2699" s="49"/>
      <c r="AB2699" s="49"/>
      <c r="AC2699" s="49"/>
      <c r="AD2699" s="50"/>
      <c r="AE2699" s="47" t="s">
        <v>1312</v>
      </c>
      <c r="AF2699" s="31">
        <v>85</v>
      </c>
      <c r="AG2699"/>
      <c r="AH2699"/>
      <c r="AI2699"/>
      <c r="AJ2699"/>
      <c r="AK2699"/>
      <c r="AL2699"/>
      <c r="AM2699"/>
      <c r="AN2699"/>
      <c r="AO2699"/>
      <c r="AP2699"/>
      <c r="AQ2699" t="s">
        <v>2526</v>
      </c>
      <c r="AU2699">
        <v>2698</v>
      </c>
    </row>
    <row r="2700" spans="1:47" x14ac:dyDescent="0.2">
      <c r="A2700" s="133">
        <v>6596</v>
      </c>
      <c r="B2700" s="39" t="s">
        <v>45</v>
      </c>
      <c r="C2700" s="39">
        <v>100</v>
      </c>
      <c r="D2700" s="29" t="b">
        <v>0</v>
      </c>
      <c r="E2700" s="39" t="s">
        <v>653</v>
      </c>
      <c r="F2700" s="47" t="s">
        <v>4077</v>
      </c>
      <c r="G2700" s="47" t="s">
        <v>49</v>
      </c>
      <c r="H2700"/>
      <c r="I2700" s="47" t="b">
        <v>0</v>
      </c>
      <c r="J2700" s="47" t="b">
        <v>0</v>
      </c>
      <c r="K2700" s="47">
        <v>1360</v>
      </c>
      <c r="L2700" s="48">
        <v>17</v>
      </c>
      <c r="M2700" s="47">
        <v>0</v>
      </c>
      <c r="N2700" s="47">
        <v>6</v>
      </c>
      <c r="O2700" s="47">
        <v>0</v>
      </c>
      <c r="P2700" s="47">
        <v>7</v>
      </c>
      <c r="Q2700" s="47">
        <v>0</v>
      </c>
      <c r="R2700" s="47">
        <v>0</v>
      </c>
      <c r="S2700" s="48">
        <v>5</v>
      </c>
      <c r="T2700" s="47">
        <v>0</v>
      </c>
      <c r="U2700" s="47">
        <v>0</v>
      </c>
      <c r="V2700" s="47">
        <v>0</v>
      </c>
      <c r="W2700" s="47">
        <v>800</v>
      </c>
      <c r="X2700" s="47">
        <v>403</v>
      </c>
      <c r="Y2700" s="47"/>
      <c r="Z2700" s="47" t="s">
        <v>2524</v>
      </c>
      <c r="AA2700" s="49"/>
      <c r="AB2700" s="49"/>
      <c r="AC2700" s="49"/>
      <c r="AD2700" s="50"/>
      <c r="AE2700" s="47" t="s">
        <v>1312</v>
      </c>
      <c r="AF2700" s="47">
        <v>70</v>
      </c>
      <c r="AG2700"/>
      <c r="AH2700"/>
      <c r="AI2700"/>
      <c r="AJ2700"/>
      <c r="AK2700"/>
      <c r="AL2700"/>
      <c r="AM2700"/>
      <c r="AN2700"/>
      <c r="AO2700"/>
      <c r="AP2700"/>
      <c r="AQ2700" t="s">
        <v>2526</v>
      </c>
      <c r="AU2700">
        <v>2699</v>
      </c>
    </row>
    <row r="2701" spans="1:47" x14ac:dyDescent="0.2">
      <c r="A2701" s="133">
        <v>6596</v>
      </c>
      <c r="B2701" s="39" t="s">
        <v>45</v>
      </c>
      <c r="C2701" s="39">
        <v>100</v>
      </c>
      <c r="D2701" s="29" t="b">
        <v>0</v>
      </c>
      <c r="E2701" s="39" t="s">
        <v>2434</v>
      </c>
      <c r="F2701" s="47" t="s">
        <v>3663</v>
      </c>
      <c r="G2701" s="47" t="s">
        <v>49</v>
      </c>
      <c r="H2701"/>
      <c r="I2701" s="47" t="b">
        <v>0</v>
      </c>
      <c r="J2701" s="47" t="b">
        <v>0</v>
      </c>
      <c r="K2701" s="47">
        <v>660</v>
      </c>
      <c r="L2701" s="48">
        <v>17</v>
      </c>
      <c r="M2701" s="47">
        <v>0</v>
      </c>
      <c r="N2701" s="47">
        <v>6</v>
      </c>
      <c r="O2701" s="47">
        <v>0</v>
      </c>
      <c r="P2701" s="47">
        <v>7</v>
      </c>
      <c r="Q2701" s="47">
        <v>0</v>
      </c>
      <c r="R2701" s="47">
        <v>0</v>
      </c>
      <c r="S2701" s="48">
        <v>2</v>
      </c>
      <c r="T2701" s="47">
        <v>0</v>
      </c>
      <c r="U2701" s="47">
        <v>0</v>
      </c>
      <c r="V2701" s="47">
        <v>0</v>
      </c>
      <c r="W2701" s="47">
        <v>800</v>
      </c>
      <c r="X2701" s="47">
        <v>404</v>
      </c>
      <c r="Y2701" s="47"/>
      <c r="Z2701" s="47" t="s">
        <v>2524</v>
      </c>
      <c r="AA2701" s="49"/>
      <c r="AB2701" s="49"/>
      <c r="AC2701" s="49"/>
      <c r="AD2701" s="50"/>
      <c r="AE2701" s="47" t="s">
        <v>1312</v>
      </c>
      <c r="AF2701" s="47">
        <v>80</v>
      </c>
      <c r="AG2701"/>
      <c r="AH2701"/>
      <c r="AI2701"/>
      <c r="AJ2701"/>
      <c r="AK2701"/>
      <c r="AL2701"/>
      <c r="AM2701"/>
      <c r="AN2701"/>
      <c r="AO2701"/>
      <c r="AP2701"/>
      <c r="AQ2701" t="s">
        <v>2526</v>
      </c>
      <c r="AU2701">
        <v>2700</v>
      </c>
    </row>
    <row r="2702" spans="1:47" x14ac:dyDescent="0.2">
      <c r="A2702" s="133">
        <v>6596</v>
      </c>
      <c r="B2702" s="39" t="s">
        <v>45</v>
      </c>
      <c r="C2702" s="39">
        <v>216</v>
      </c>
      <c r="D2702" s="29" t="b">
        <v>0</v>
      </c>
      <c r="E2702" s="39" t="s">
        <v>4078</v>
      </c>
      <c r="F2702" s="47" t="s">
        <v>348</v>
      </c>
      <c r="G2702" s="47" t="s">
        <v>49</v>
      </c>
      <c r="H2702"/>
      <c r="I2702" s="47" t="b">
        <v>0</v>
      </c>
      <c r="J2702" s="47" t="b">
        <v>1</v>
      </c>
      <c r="K2702" s="47">
        <v>1344</v>
      </c>
      <c r="L2702" s="48">
        <v>2</v>
      </c>
      <c r="M2702" s="47">
        <v>1</v>
      </c>
      <c r="N2702" s="47">
        <v>0</v>
      </c>
      <c r="O2702" s="47">
        <v>0</v>
      </c>
      <c r="P2702" s="47">
        <v>1</v>
      </c>
      <c r="Q2702" s="47">
        <v>0</v>
      </c>
      <c r="R2702" s="47">
        <v>0</v>
      </c>
      <c r="S2702" s="48">
        <v>1</v>
      </c>
      <c r="T2702" s="47">
        <v>0</v>
      </c>
      <c r="U2702" s="47">
        <v>0</v>
      </c>
      <c r="V2702" s="47">
        <v>0</v>
      </c>
      <c r="W2702" s="47"/>
      <c r="X2702" s="47">
        <v>405</v>
      </c>
      <c r="Y2702" s="47"/>
      <c r="Z2702" s="47" t="s">
        <v>2466</v>
      </c>
      <c r="AA2702" s="49"/>
      <c r="AB2702" s="49"/>
      <c r="AC2702" s="49"/>
      <c r="AD2702" s="50"/>
      <c r="AE2702" s="47" t="s">
        <v>1312</v>
      </c>
      <c r="AF2702" s="47">
        <v>45</v>
      </c>
      <c r="AG2702"/>
      <c r="AH2702"/>
      <c r="AI2702"/>
      <c r="AJ2702"/>
      <c r="AK2702"/>
      <c r="AL2702"/>
      <c r="AM2702"/>
      <c r="AN2702"/>
      <c r="AO2702"/>
      <c r="AP2702"/>
      <c r="AQ2702" t="s">
        <v>2526</v>
      </c>
      <c r="AU2702">
        <v>2701</v>
      </c>
    </row>
    <row r="2703" spans="1:47" x14ac:dyDescent="0.2">
      <c r="A2703" s="13">
        <v>6596</v>
      </c>
      <c r="B2703" s="57" t="s">
        <v>85</v>
      </c>
      <c r="C2703" s="57" t="s">
        <v>1077</v>
      </c>
      <c r="D2703" s="29"/>
      <c r="E2703" s="57" t="s">
        <v>3603</v>
      </c>
      <c r="F2703" s="31" t="s">
        <v>76</v>
      </c>
      <c r="G2703" s="31" t="s">
        <v>49</v>
      </c>
      <c r="I2703" s="31" t="s">
        <v>4079</v>
      </c>
      <c r="K2703" s="31">
        <f>821*2.2</f>
        <v>1806.2</v>
      </c>
      <c r="S2703" s="33">
        <v>3</v>
      </c>
      <c r="W2703" s="47">
        <f>1200*39.37/12</f>
        <v>3937</v>
      </c>
      <c r="Z2703" s="31" t="s">
        <v>3724</v>
      </c>
      <c r="AK2703" s="32">
        <v>8</v>
      </c>
      <c r="AQ2703" s="32" t="s">
        <v>4080</v>
      </c>
      <c r="AU2703">
        <v>2702</v>
      </c>
    </row>
    <row r="2704" spans="1:47" x14ac:dyDescent="0.2">
      <c r="A2704" s="13">
        <v>6596</v>
      </c>
      <c r="B2704" s="57"/>
      <c r="C2704" s="57" t="s">
        <v>1077</v>
      </c>
      <c r="D2704" s="29"/>
      <c r="E2704" s="57" t="s">
        <v>1491</v>
      </c>
      <c r="F2704" s="31" t="s">
        <v>83</v>
      </c>
      <c r="G2704" s="31" t="s">
        <v>69</v>
      </c>
      <c r="K2704" s="31">
        <v>506</v>
      </c>
      <c r="AK2704" s="32">
        <v>24</v>
      </c>
      <c r="AQ2704" s="32" t="s">
        <v>4066</v>
      </c>
      <c r="AU2704">
        <v>2703</v>
      </c>
    </row>
    <row r="2705" spans="1:47" x14ac:dyDescent="0.2">
      <c r="A2705" s="13">
        <v>6596</v>
      </c>
      <c r="B2705" s="57"/>
      <c r="C2705" s="57" t="s">
        <v>1077</v>
      </c>
      <c r="D2705" s="29"/>
      <c r="E2705" s="57" t="s">
        <v>190</v>
      </c>
      <c r="F2705" s="31" t="s">
        <v>4081</v>
      </c>
      <c r="G2705" s="31" t="s">
        <v>49</v>
      </c>
      <c r="K2705" s="31">
        <v>528</v>
      </c>
      <c r="AK2705" s="32">
        <v>28</v>
      </c>
      <c r="AQ2705" s="32" t="s">
        <v>4066</v>
      </c>
      <c r="AU2705">
        <v>2704</v>
      </c>
    </row>
    <row r="2706" spans="1:47" x14ac:dyDescent="0.2">
      <c r="A2706" s="26">
        <v>6596</v>
      </c>
      <c r="B2706" s="27">
        <v>0.92708333333333337</v>
      </c>
      <c r="C2706" s="28"/>
      <c r="D2706" s="29"/>
      <c r="E2706" s="30" t="s">
        <v>1282</v>
      </c>
      <c r="H2706" s="32">
        <v>0</v>
      </c>
      <c r="I2706" s="32" t="s">
        <v>4068</v>
      </c>
      <c r="AG2706" s="32">
        <v>0</v>
      </c>
      <c r="AH2706" s="32">
        <v>0</v>
      </c>
      <c r="AI2706" s="32">
        <v>0</v>
      </c>
      <c r="AK2706" s="32">
        <v>0</v>
      </c>
      <c r="AL2706" s="32">
        <f>2+25/60</f>
        <v>2.4166666666666665</v>
      </c>
      <c r="AP2706" s="32">
        <f>2+25/60</f>
        <v>2.4166666666666665</v>
      </c>
      <c r="AQ2706" s="32" t="s">
        <v>1101</v>
      </c>
      <c r="AU2706">
        <v>2705</v>
      </c>
    </row>
    <row r="2707" spans="1:47" x14ac:dyDescent="0.2">
      <c r="A2707" s="26">
        <v>6596</v>
      </c>
      <c r="B2707" s="27">
        <v>0.94791666666666663</v>
      </c>
      <c r="C2707" s="28"/>
      <c r="D2707" s="29"/>
      <c r="E2707" s="30" t="s">
        <v>869</v>
      </c>
      <c r="H2707" s="32">
        <v>0</v>
      </c>
      <c r="I2707" s="32" t="s">
        <v>2344</v>
      </c>
      <c r="AG2707" s="32">
        <v>0</v>
      </c>
      <c r="AH2707" s="32">
        <v>0</v>
      </c>
      <c r="AI2707" s="32">
        <v>0</v>
      </c>
      <c r="AK2707" s="32">
        <v>0</v>
      </c>
      <c r="AL2707" s="32">
        <v>1</v>
      </c>
      <c r="AP2707" s="32">
        <v>1</v>
      </c>
      <c r="AQ2707" s="32" t="s">
        <v>589</v>
      </c>
      <c r="AU2707">
        <v>2706</v>
      </c>
    </row>
    <row r="2708" spans="1:47" x14ac:dyDescent="0.2">
      <c r="A2708" s="26">
        <v>6596</v>
      </c>
      <c r="B2708" s="27">
        <v>0.96180555555555547</v>
      </c>
      <c r="C2708" s="28"/>
      <c r="D2708" s="29"/>
      <c r="E2708" s="102" t="s">
        <v>1102</v>
      </c>
      <c r="H2708" s="32">
        <v>0</v>
      </c>
      <c r="I2708" s="32" t="s">
        <v>1103</v>
      </c>
      <c r="AG2708" s="32">
        <v>0</v>
      </c>
      <c r="AH2708" s="32">
        <v>0</v>
      </c>
      <c r="AI2708" s="32">
        <v>0</v>
      </c>
      <c r="AK2708" s="32">
        <v>0</v>
      </c>
      <c r="AL2708" s="32">
        <v>0.25</v>
      </c>
      <c r="AO2708" s="73" t="s">
        <v>1006</v>
      </c>
      <c r="AP2708" s="32">
        <v>0.25</v>
      </c>
      <c r="AQ2708" s="32" t="s">
        <v>589</v>
      </c>
      <c r="AU2708">
        <v>2707</v>
      </c>
    </row>
    <row r="2709" spans="1:47" x14ac:dyDescent="0.2">
      <c r="A2709" s="26">
        <v>6596</v>
      </c>
      <c r="B2709" s="27" t="s">
        <v>45</v>
      </c>
      <c r="C2709" s="28"/>
      <c r="D2709" s="29"/>
      <c r="E2709" s="30" t="s">
        <v>1461</v>
      </c>
      <c r="H2709" s="32">
        <v>1</v>
      </c>
      <c r="I2709" s="32" t="s">
        <v>4082</v>
      </c>
      <c r="AG2709" s="32">
        <v>0</v>
      </c>
      <c r="AH2709" s="32">
        <v>0</v>
      </c>
      <c r="AI2709" s="32">
        <v>1117</v>
      </c>
      <c r="AK2709" s="32">
        <v>1</v>
      </c>
      <c r="AO2709" s="32" t="s">
        <v>1463</v>
      </c>
      <c r="AQ2709" s="32">
        <v>403</v>
      </c>
      <c r="AU2709">
        <v>2708</v>
      </c>
    </row>
    <row r="2710" spans="1:47" x14ac:dyDescent="0.2">
      <c r="A2710" s="26">
        <v>6596</v>
      </c>
      <c r="B2710" s="27" t="s">
        <v>45</v>
      </c>
      <c r="C2710" s="28"/>
      <c r="D2710" s="29"/>
      <c r="E2710" s="30" t="s">
        <v>1531</v>
      </c>
      <c r="H2710" s="32">
        <v>0</v>
      </c>
      <c r="I2710" s="32" t="s">
        <v>1706</v>
      </c>
      <c r="AG2710" s="32">
        <v>0</v>
      </c>
      <c r="AH2710" s="32">
        <v>0</v>
      </c>
      <c r="AI2710" s="32">
        <v>0</v>
      </c>
      <c r="AK2710" s="32">
        <v>0</v>
      </c>
      <c r="AM2710" s="32">
        <f>498*48</f>
        <v>23904</v>
      </c>
      <c r="AO2710" s="32" t="s">
        <v>1533</v>
      </c>
      <c r="AQ2710" s="32" t="s">
        <v>1101</v>
      </c>
      <c r="AU2710">
        <v>2709</v>
      </c>
    </row>
    <row r="2711" spans="1:47" x14ac:dyDescent="0.2">
      <c r="A2711" s="26">
        <v>6596</v>
      </c>
      <c r="B2711" s="27" t="s">
        <v>45</v>
      </c>
      <c r="C2711" s="28"/>
      <c r="D2711" s="29"/>
      <c r="E2711" s="150" t="s">
        <v>2286</v>
      </c>
      <c r="H2711" s="32">
        <v>0</v>
      </c>
      <c r="I2711" s="32" t="s">
        <v>1824</v>
      </c>
      <c r="AG2711" s="32">
        <v>0</v>
      </c>
      <c r="AH2711" s="32">
        <v>0</v>
      </c>
      <c r="AI2711" s="32">
        <v>0</v>
      </c>
      <c r="AK2711" s="32">
        <v>0</v>
      </c>
      <c r="AM2711" s="32">
        <v>2500</v>
      </c>
      <c r="AO2711" s="73" t="s">
        <v>75</v>
      </c>
      <c r="AQ2711" s="32" t="s">
        <v>589</v>
      </c>
      <c r="AU2711">
        <v>2710</v>
      </c>
    </row>
    <row r="2712" spans="1:47" x14ac:dyDescent="0.2">
      <c r="A2712" s="26">
        <v>6597</v>
      </c>
      <c r="B2712" s="27">
        <v>0.95833333333333337</v>
      </c>
      <c r="C2712" s="28"/>
      <c r="D2712" s="29"/>
      <c r="E2712" s="30" t="s">
        <v>2087</v>
      </c>
      <c r="H2712" s="32">
        <v>0</v>
      </c>
      <c r="I2712" s="32"/>
      <c r="AG2712" s="32">
        <v>0</v>
      </c>
      <c r="AH2712" s="32">
        <v>0</v>
      </c>
      <c r="AI2712" s="32">
        <v>0</v>
      </c>
      <c r="AK2712" s="32">
        <v>0</v>
      </c>
      <c r="AL2712" s="32">
        <v>0</v>
      </c>
      <c r="AP2712" s="32">
        <v>0.33300000000000002</v>
      </c>
      <c r="AQ2712" s="32" t="s">
        <v>1101</v>
      </c>
      <c r="AU2712">
        <v>2711</v>
      </c>
    </row>
    <row r="2713" spans="1:47" x14ac:dyDescent="0.2">
      <c r="A2713" s="172">
        <v>6599</v>
      </c>
      <c r="B2713" s="39" t="s">
        <v>85</v>
      </c>
      <c r="C2713" s="39" t="s">
        <v>253</v>
      </c>
      <c r="D2713" s="29"/>
      <c r="E2713" s="39" t="s">
        <v>4044</v>
      </c>
      <c r="F2713" s="31" t="s">
        <v>1900</v>
      </c>
      <c r="G2713" s="47"/>
      <c r="H2713"/>
      <c r="I2713" s="47" t="s">
        <v>4083</v>
      </c>
      <c r="J2713" s="47"/>
      <c r="K2713" s="47"/>
      <c r="L2713" s="48">
        <v>13</v>
      </c>
      <c r="M2713" s="47"/>
      <c r="N2713" s="47"/>
      <c r="O2713" s="47"/>
      <c r="P2713" s="47"/>
      <c r="Q2713" s="47"/>
      <c r="R2713" s="47"/>
      <c r="S2713" s="48"/>
      <c r="T2713" s="47">
        <v>0</v>
      </c>
      <c r="U2713" s="47"/>
      <c r="V2713" s="47"/>
      <c r="W2713" s="47"/>
      <c r="X2713" s="47"/>
      <c r="Y2713" s="47" t="s">
        <v>51</v>
      </c>
      <c r="Z2713" s="47" t="s">
        <v>1809</v>
      </c>
      <c r="AA2713" s="49"/>
      <c r="AB2713" s="49"/>
      <c r="AC2713" s="49"/>
      <c r="AD2713" s="50"/>
      <c r="AE2713" s="47"/>
      <c r="AF2713" s="47"/>
      <c r="AG2713"/>
      <c r="AH2713"/>
      <c r="AI2713"/>
      <c r="AJ2713"/>
      <c r="AK2713"/>
      <c r="AL2713"/>
      <c r="AM2713"/>
      <c r="AN2713"/>
      <c r="AO2713"/>
      <c r="AP2713"/>
      <c r="AQ2713"/>
      <c r="AU2713">
        <v>2712</v>
      </c>
    </row>
    <row r="2714" spans="1:47" x14ac:dyDescent="0.2">
      <c r="A2714" s="173">
        <v>6599</v>
      </c>
      <c r="B2714" s="57" t="s">
        <v>85</v>
      </c>
      <c r="C2714" s="57" t="s">
        <v>1234</v>
      </c>
      <c r="D2714" s="29"/>
      <c r="E2714" s="57" t="s">
        <v>3726</v>
      </c>
      <c r="F2714" s="31" t="s">
        <v>3727</v>
      </c>
      <c r="G2714" s="31" t="s">
        <v>69</v>
      </c>
      <c r="I2714" s="31" t="s">
        <v>4070</v>
      </c>
      <c r="K2714" s="63"/>
      <c r="Z2714" s="47" t="s">
        <v>1809</v>
      </c>
      <c r="AQ2714" s="32" t="s">
        <v>4071</v>
      </c>
      <c r="AU2714">
        <v>2713</v>
      </c>
    </row>
    <row r="2715" spans="1:47" x14ac:dyDescent="0.2">
      <c r="A2715" s="172">
        <v>6599</v>
      </c>
      <c r="B2715" s="39" t="s">
        <v>45</v>
      </c>
      <c r="C2715" s="39">
        <v>100</v>
      </c>
      <c r="D2715" s="29" t="b">
        <v>0</v>
      </c>
      <c r="E2715" s="39" t="s">
        <v>4084</v>
      </c>
      <c r="F2715" s="47" t="s">
        <v>4085</v>
      </c>
      <c r="G2715" s="47" t="s">
        <v>459</v>
      </c>
      <c r="H2715"/>
      <c r="I2715" s="47" t="b">
        <v>1</v>
      </c>
      <c r="J2715" s="47" t="b">
        <v>1</v>
      </c>
      <c r="K2715" s="47">
        <v>2594</v>
      </c>
      <c r="L2715" s="48">
        <v>16</v>
      </c>
      <c r="M2715" s="47">
        <v>0</v>
      </c>
      <c r="N2715" s="47">
        <v>5</v>
      </c>
      <c r="O2715" s="47">
        <v>0</v>
      </c>
      <c r="P2715" s="47">
        <v>2</v>
      </c>
      <c r="Q2715" s="47">
        <v>0</v>
      </c>
      <c r="R2715" s="47">
        <v>0</v>
      </c>
      <c r="S2715" s="48">
        <v>10</v>
      </c>
      <c r="T2715" s="47">
        <v>1</v>
      </c>
      <c r="U2715" s="47">
        <v>0</v>
      </c>
      <c r="V2715" s="47">
        <v>0</v>
      </c>
      <c r="W2715" s="47">
        <v>1500</v>
      </c>
      <c r="X2715" s="47">
        <v>406</v>
      </c>
      <c r="Y2715" s="47"/>
      <c r="Z2715" s="47" t="s">
        <v>2524</v>
      </c>
      <c r="AA2715" s="49"/>
      <c r="AB2715" s="49"/>
      <c r="AC2715" s="49"/>
      <c r="AD2715" s="50"/>
      <c r="AE2715" s="47" t="s">
        <v>1312</v>
      </c>
      <c r="AF2715" s="47">
        <v>135</v>
      </c>
      <c r="AG2715"/>
      <c r="AH2715"/>
      <c r="AI2715"/>
      <c r="AJ2715"/>
      <c r="AK2715"/>
      <c r="AL2715"/>
      <c r="AM2715"/>
      <c r="AN2715"/>
      <c r="AO2715"/>
      <c r="AP2715"/>
      <c r="AQ2715" t="s">
        <v>2526</v>
      </c>
      <c r="AU2715">
        <v>2714</v>
      </c>
    </row>
    <row r="2716" spans="1:47" x14ac:dyDescent="0.2">
      <c r="A2716" s="172">
        <v>6599</v>
      </c>
      <c r="B2716" s="39" t="s">
        <v>45</v>
      </c>
      <c r="C2716" s="39">
        <v>100</v>
      </c>
      <c r="D2716" s="29" t="b">
        <v>0</v>
      </c>
      <c r="E2716" s="39" t="s">
        <v>4086</v>
      </c>
      <c r="F2716" s="47" t="s">
        <v>748</v>
      </c>
      <c r="G2716" s="47" t="s">
        <v>459</v>
      </c>
      <c r="H2716"/>
      <c r="I2716" s="47" t="b">
        <v>0</v>
      </c>
      <c r="J2716" s="47" t="b">
        <v>0</v>
      </c>
      <c r="K2716" s="47">
        <v>590</v>
      </c>
      <c r="L2716" s="48">
        <v>16</v>
      </c>
      <c r="M2716" s="47">
        <v>0</v>
      </c>
      <c r="N2716" s="47">
        <v>5</v>
      </c>
      <c r="O2716" s="47">
        <v>0</v>
      </c>
      <c r="P2716" s="47">
        <v>2</v>
      </c>
      <c r="Q2716" s="47">
        <v>0</v>
      </c>
      <c r="R2716" s="47">
        <v>0</v>
      </c>
      <c r="S2716" s="48">
        <v>2</v>
      </c>
      <c r="T2716" s="47">
        <v>-1</v>
      </c>
      <c r="U2716" s="47">
        <v>0</v>
      </c>
      <c r="V2716" s="47">
        <v>0</v>
      </c>
      <c r="W2716" s="47">
        <v>1500</v>
      </c>
      <c r="X2716" s="47">
        <v>407</v>
      </c>
      <c r="Y2716" s="47"/>
      <c r="Z2716" s="47" t="s">
        <v>2524</v>
      </c>
      <c r="AA2716" s="49"/>
      <c r="AB2716" s="49"/>
      <c r="AC2716" s="49"/>
      <c r="AD2716" s="50"/>
      <c r="AE2716" s="47" t="s">
        <v>1312</v>
      </c>
      <c r="AF2716" s="47">
        <v>135</v>
      </c>
      <c r="AG2716"/>
      <c r="AH2716"/>
      <c r="AI2716"/>
      <c r="AJ2716"/>
      <c r="AK2716"/>
      <c r="AL2716"/>
      <c r="AM2716"/>
      <c r="AN2716"/>
      <c r="AO2716"/>
      <c r="AP2716"/>
      <c r="AQ2716" t="s">
        <v>2526</v>
      </c>
      <c r="AU2716">
        <v>2715</v>
      </c>
    </row>
    <row r="2717" spans="1:47" x14ac:dyDescent="0.2">
      <c r="A2717" s="172">
        <v>6599</v>
      </c>
      <c r="B2717" s="39" t="s">
        <v>45</v>
      </c>
      <c r="C2717" s="39">
        <v>100</v>
      </c>
      <c r="D2717" s="29" t="b">
        <v>0</v>
      </c>
      <c r="E2717" s="39" t="s">
        <v>4087</v>
      </c>
      <c r="F2717" s="47" t="s">
        <v>2882</v>
      </c>
      <c r="G2717" s="47" t="s">
        <v>481</v>
      </c>
      <c r="H2717"/>
      <c r="I2717" s="47" t="b">
        <v>0</v>
      </c>
      <c r="J2717" s="47" t="b">
        <v>0</v>
      </c>
      <c r="K2717" s="47">
        <v>1444</v>
      </c>
      <c r="L2717" s="48">
        <v>16</v>
      </c>
      <c r="M2717" s="47">
        <v>0</v>
      </c>
      <c r="N2717" s="47">
        <v>5</v>
      </c>
      <c r="O2717" s="47">
        <v>0</v>
      </c>
      <c r="P2717" s="47">
        <v>2</v>
      </c>
      <c r="Q2717" s="47">
        <v>0</v>
      </c>
      <c r="R2717" s="47">
        <v>0</v>
      </c>
      <c r="S2717" s="48">
        <v>6</v>
      </c>
      <c r="T2717" s="47">
        <v>-1</v>
      </c>
      <c r="U2717" s="47">
        <v>0</v>
      </c>
      <c r="V2717" s="47">
        <v>0</v>
      </c>
      <c r="W2717" s="47">
        <v>1500</v>
      </c>
      <c r="X2717" s="47">
        <v>408</v>
      </c>
      <c r="Y2717" s="47"/>
      <c r="Z2717" s="47" t="s">
        <v>2524</v>
      </c>
      <c r="AA2717" s="49"/>
      <c r="AB2717" s="49"/>
      <c r="AC2717" s="49"/>
      <c r="AD2717" s="50"/>
      <c r="AE2717" s="47" t="s">
        <v>1312</v>
      </c>
      <c r="AF2717" s="47">
        <v>85</v>
      </c>
      <c r="AG2717"/>
      <c r="AH2717"/>
      <c r="AI2717"/>
      <c r="AJ2717"/>
      <c r="AK2717"/>
      <c r="AL2717"/>
      <c r="AM2717"/>
      <c r="AN2717"/>
      <c r="AO2717"/>
      <c r="AP2717"/>
      <c r="AQ2717" t="s">
        <v>2526</v>
      </c>
      <c r="AU2717">
        <v>2716</v>
      </c>
    </row>
    <row r="2718" spans="1:47" x14ac:dyDescent="0.2">
      <c r="A2718" s="172">
        <v>6599</v>
      </c>
      <c r="B2718" s="39" t="s">
        <v>45</v>
      </c>
      <c r="C2718" s="39">
        <v>100</v>
      </c>
      <c r="D2718" s="29" t="b">
        <v>0</v>
      </c>
      <c r="E2718" s="39" t="s">
        <v>4088</v>
      </c>
      <c r="F2718" s="47" t="s">
        <v>748</v>
      </c>
      <c r="G2718" s="47" t="s">
        <v>459</v>
      </c>
      <c r="H2718"/>
      <c r="I2718" s="47" t="b">
        <v>0</v>
      </c>
      <c r="J2718" s="47" t="b">
        <v>0</v>
      </c>
      <c r="K2718" s="47">
        <v>280</v>
      </c>
      <c r="L2718" s="48">
        <v>16</v>
      </c>
      <c r="M2718" s="47">
        <v>0</v>
      </c>
      <c r="N2718" s="47">
        <v>5</v>
      </c>
      <c r="O2718" s="47">
        <v>0</v>
      </c>
      <c r="P2718" s="47">
        <v>2</v>
      </c>
      <c r="Q2718" s="47">
        <v>0</v>
      </c>
      <c r="R2718" s="47">
        <v>0</v>
      </c>
      <c r="S2718" s="48">
        <v>1</v>
      </c>
      <c r="T2718" s="47">
        <v>-1</v>
      </c>
      <c r="U2718" s="47">
        <v>0</v>
      </c>
      <c r="V2718" s="47">
        <v>0</v>
      </c>
      <c r="W2718" s="47">
        <v>1500</v>
      </c>
      <c r="X2718" s="47">
        <v>409</v>
      </c>
      <c r="Y2718" s="47"/>
      <c r="Z2718" s="47" t="s">
        <v>2524</v>
      </c>
      <c r="AA2718" s="49"/>
      <c r="AB2718" s="49"/>
      <c r="AC2718" s="49"/>
      <c r="AD2718" s="50"/>
      <c r="AE2718" s="47" t="s">
        <v>1312</v>
      </c>
      <c r="AF2718" s="47">
        <v>130</v>
      </c>
      <c r="AG2718"/>
      <c r="AH2718"/>
      <c r="AI2718"/>
      <c r="AJ2718"/>
      <c r="AK2718"/>
      <c r="AL2718"/>
      <c r="AM2718"/>
      <c r="AN2718"/>
      <c r="AO2718"/>
      <c r="AP2718"/>
      <c r="AQ2718" t="s">
        <v>2526</v>
      </c>
      <c r="AU2718">
        <v>2717</v>
      </c>
    </row>
    <row r="2719" spans="1:47" x14ac:dyDescent="0.2">
      <c r="A2719" s="172">
        <v>6599</v>
      </c>
      <c r="B2719" s="39" t="s">
        <v>45</v>
      </c>
      <c r="C2719" s="39">
        <v>100</v>
      </c>
      <c r="D2719" s="29" t="b">
        <v>0</v>
      </c>
      <c r="E2719" s="39" t="s">
        <v>4089</v>
      </c>
      <c r="F2719" s="47" t="s">
        <v>748</v>
      </c>
      <c r="G2719" s="47" t="s">
        <v>459</v>
      </c>
      <c r="H2719"/>
      <c r="I2719" s="47" t="b">
        <v>0</v>
      </c>
      <c r="J2719" s="47" t="b">
        <v>0</v>
      </c>
      <c r="K2719" s="47">
        <v>280</v>
      </c>
      <c r="L2719" s="48">
        <v>16</v>
      </c>
      <c r="M2719" s="47">
        <v>0</v>
      </c>
      <c r="N2719" s="47">
        <v>5</v>
      </c>
      <c r="O2719" s="47">
        <v>0</v>
      </c>
      <c r="P2719" s="47">
        <v>2</v>
      </c>
      <c r="Q2719" s="47">
        <v>0</v>
      </c>
      <c r="R2719" s="47">
        <v>0</v>
      </c>
      <c r="S2719" s="48">
        <v>1</v>
      </c>
      <c r="T2719" s="47">
        <v>-1</v>
      </c>
      <c r="U2719" s="47">
        <v>0</v>
      </c>
      <c r="V2719" s="47">
        <v>0</v>
      </c>
      <c r="W2719" s="47">
        <v>1500</v>
      </c>
      <c r="X2719" s="47">
        <v>410</v>
      </c>
      <c r="Y2719" s="47"/>
      <c r="Z2719" s="47" t="s">
        <v>2524</v>
      </c>
      <c r="AA2719" s="49"/>
      <c r="AB2719" s="49"/>
      <c r="AC2719" s="49"/>
      <c r="AD2719" s="50"/>
      <c r="AE2719" s="47" t="s">
        <v>1312</v>
      </c>
      <c r="AF2719" s="47">
        <v>120</v>
      </c>
      <c r="AG2719"/>
      <c r="AH2719"/>
      <c r="AI2719"/>
      <c r="AJ2719"/>
      <c r="AK2719"/>
      <c r="AL2719"/>
      <c r="AM2719"/>
      <c r="AN2719"/>
      <c r="AO2719"/>
      <c r="AP2719"/>
      <c r="AQ2719" t="s">
        <v>2526</v>
      </c>
      <c r="AU2719">
        <v>2718</v>
      </c>
    </row>
    <row r="2720" spans="1:47" x14ac:dyDescent="0.2">
      <c r="A2720" s="172">
        <v>6599</v>
      </c>
      <c r="B2720" s="39" t="s">
        <v>45</v>
      </c>
      <c r="C2720" s="39">
        <v>216</v>
      </c>
      <c r="D2720" s="29" t="b">
        <v>0</v>
      </c>
      <c r="E2720" s="39" t="s">
        <v>4090</v>
      </c>
      <c r="F2720" s="47" t="s">
        <v>4091</v>
      </c>
      <c r="G2720" s="47" t="s">
        <v>274</v>
      </c>
      <c r="H2720"/>
      <c r="I2720" s="47" t="b">
        <v>1</v>
      </c>
      <c r="J2720" s="47" t="b">
        <v>1</v>
      </c>
      <c r="K2720" s="47">
        <v>2688</v>
      </c>
      <c r="L2720" s="48">
        <v>3</v>
      </c>
      <c r="M2720" s="47">
        <v>1</v>
      </c>
      <c r="N2720" s="47">
        <v>0</v>
      </c>
      <c r="O2720" s="47">
        <v>0</v>
      </c>
      <c r="P2720" s="47">
        <v>0</v>
      </c>
      <c r="Q2720" s="47">
        <v>0</v>
      </c>
      <c r="R2720" s="47">
        <v>0</v>
      </c>
      <c r="S2720" s="48">
        <v>2</v>
      </c>
      <c r="T2720" s="47">
        <v>0</v>
      </c>
      <c r="U2720" s="47">
        <v>0</v>
      </c>
      <c r="V2720" s="47">
        <v>0</v>
      </c>
      <c r="W2720" s="47"/>
      <c r="X2720" s="47">
        <v>411</v>
      </c>
      <c r="Y2720" s="47"/>
      <c r="Z2720" s="47" t="s">
        <v>2466</v>
      </c>
      <c r="AA2720" s="49"/>
      <c r="AB2720" s="49"/>
      <c r="AC2720" s="49"/>
      <c r="AD2720" s="50"/>
      <c r="AE2720" s="47" t="s">
        <v>1312</v>
      </c>
      <c r="AF2720" s="47">
        <v>210</v>
      </c>
      <c r="AG2720"/>
      <c r="AH2720"/>
      <c r="AI2720"/>
      <c r="AJ2720"/>
      <c r="AK2720"/>
      <c r="AL2720"/>
      <c r="AM2720"/>
      <c r="AN2720"/>
      <c r="AO2720"/>
      <c r="AP2720"/>
      <c r="AQ2720" t="s">
        <v>2526</v>
      </c>
      <c r="AU2720">
        <v>2719</v>
      </c>
    </row>
    <row r="2721" spans="1:47" x14ac:dyDescent="0.2">
      <c r="A2721" s="172">
        <v>6599</v>
      </c>
      <c r="B2721" s="39" t="s">
        <v>45</v>
      </c>
      <c r="C2721" s="39">
        <v>216</v>
      </c>
      <c r="D2721" s="29" t="b">
        <v>0</v>
      </c>
      <c r="E2721" s="39" t="s">
        <v>3909</v>
      </c>
      <c r="F2721" s="47" t="s">
        <v>4092</v>
      </c>
      <c r="G2721" s="47" t="s">
        <v>274</v>
      </c>
      <c r="H2721"/>
      <c r="I2721" s="47" t="b">
        <v>0</v>
      </c>
      <c r="J2721" s="47" t="b">
        <v>0</v>
      </c>
      <c r="K2721" s="47">
        <v>1344</v>
      </c>
      <c r="L2721" s="48">
        <v>3</v>
      </c>
      <c r="M2721" s="47">
        <v>1</v>
      </c>
      <c r="N2721" s="47">
        <v>0</v>
      </c>
      <c r="O2721" s="47">
        <v>0</v>
      </c>
      <c r="P2721" s="47">
        <v>0</v>
      </c>
      <c r="Q2721" s="47">
        <v>0</v>
      </c>
      <c r="R2721" s="47">
        <v>0</v>
      </c>
      <c r="S2721" s="48">
        <v>1</v>
      </c>
      <c r="T2721" s="47">
        <v>0</v>
      </c>
      <c r="U2721" s="47">
        <v>0</v>
      </c>
      <c r="V2721" s="47">
        <v>0</v>
      </c>
      <c r="W2721" s="47"/>
      <c r="X2721" s="47">
        <v>412</v>
      </c>
      <c r="Y2721" s="47"/>
      <c r="Z2721" s="47" t="s">
        <v>2466</v>
      </c>
      <c r="AA2721" s="49"/>
      <c r="AB2721" s="49"/>
      <c r="AC2721" s="49"/>
      <c r="AD2721" s="50"/>
      <c r="AE2721" s="47" t="s">
        <v>1312</v>
      </c>
      <c r="AF2721" s="47">
        <v>210</v>
      </c>
      <c r="AG2721"/>
      <c r="AH2721"/>
      <c r="AI2721"/>
      <c r="AJ2721"/>
      <c r="AK2721"/>
      <c r="AL2721"/>
      <c r="AM2721"/>
      <c r="AN2721"/>
      <c r="AO2721"/>
      <c r="AP2721"/>
      <c r="AQ2721" t="s">
        <v>2526</v>
      </c>
      <c r="AU2721">
        <v>2720</v>
      </c>
    </row>
    <row r="2722" spans="1:47" x14ac:dyDescent="0.2">
      <c r="A2722" s="172">
        <v>6599</v>
      </c>
      <c r="B2722" s="39" t="s">
        <v>45</v>
      </c>
      <c r="C2722" s="39">
        <v>216</v>
      </c>
      <c r="D2722" s="29" t="b">
        <v>0</v>
      </c>
      <c r="E2722" s="39" t="s">
        <v>1764</v>
      </c>
      <c r="F2722" s="47" t="s">
        <v>881</v>
      </c>
      <c r="G2722" s="47" t="s">
        <v>73</v>
      </c>
      <c r="H2722"/>
      <c r="I2722" s="47" t="b">
        <v>0</v>
      </c>
      <c r="J2722" s="47" t="b">
        <v>0</v>
      </c>
      <c r="K2722" s="47">
        <v>1344</v>
      </c>
      <c r="L2722" s="48">
        <v>3</v>
      </c>
      <c r="M2722" s="47">
        <v>1</v>
      </c>
      <c r="N2722" s="47">
        <v>0</v>
      </c>
      <c r="O2722" s="47">
        <v>0</v>
      </c>
      <c r="P2722" s="47">
        <v>0</v>
      </c>
      <c r="Q2722" s="47">
        <v>0</v>
      </c>
      <c r="R2722" s="47">
        <v>0</v>
      </c>
      <c r="S2722" s="48">
        <v>1</v>
      </c>
      <c r="T2722" s="47">
        <v>0</v>
      </c>
      <c r="U2722" s="47">
        <v>0</v>
      </c>
      <c r="V2722" s="47">
        <v>0</v>
      </c>
      <c r="W2722" s="47"/>
      <c r="X2722" s="47">
        <v>413</v>
      </c>
      <c r="Y2722" s="47"/>
      <c r="Z2722" s="47" t="s">
        <v>2466</v>
      </c>
      <c r="AA2722" s="49"/>
      <c r="AB2722" s="49"/>
      <c r="AC2722" s="49"/>
      <c r="AD2722" s="50"/>
      <c r="AE2722" s="47" t="s">
        <v>1312</v>
      </c>
      <c r="AF2722" s="31">
        <v>85</v>
      </c>
      <c r="AG2722"/>
      <c r="AH2722"/>
      <c r="AI2722"/>
      <c r="AJ2722"/>
      <c r="AK2722"/>
      <c r="AL2722"/>
      <c r="AM2722"/>
      <c r="AN2722"/>
      <c r="AO2722"/>
      <c r="AP2722"/>
      <c r="AQ2722" t="s">
        <v>2526</v>
      </c>
      <c r="AU2722">
        <v>2721</v>
      </c>
    </row>
    <row r="2723" spans="1:47" x14ac:dyDescent="0.2">
      <c r="A2723" s="173">
        <v>6599</v>
      </c>
      <c r="B2723" s="57" t="s">
        <v>45</v>
      </c>
      <c r="C2723" s="57" t="s">
        <v>105</v>
      </c>
      <c r="D2723" s="29"/>
      <c r="E2723" s="57" t="s">
        <v>4093</v>
      </c>
      <c r="F2723" s="31" t="s">
        <v>76</v>
      </c>
      <c r="G2723" s="47" t="s">
        <v>49</v>
      </c>
      <c r="K2723" s="31">
        <v>193.6</v>
      </c>
      <c r="AE2723" s="31" t="s">
        <v>4094</v>
      </c>
      <c r="AF2723" s="31">
        <v>75</v>
      </c>
      <c r="AK2723" s="32">
        <v>8</v>
      </c>
      <c r="AQ2723" s="32" t="s">
        <v>4066</v>
      </c>
      <c r="AU2723">
        <v>2722</v>
      </c>
    </row>
    <row r="2724" spans="1:47" x14ac:dyDescent="0.2">
      <c r="A2724" s="173">
        <v>6599</v>
      </c>
      <c r="B2724" s="57" t="s">
        <v>45</v>
      </c>
      <c r="C2724" s="57" t="s">
        <v>105</v>
      </c>
      <c r="D2724" s="29"/>
      <c r="E2724" s="57" t="s">
        <v>1370</v>
      </c>
      <c r="F2724" s="31" t="s">
        <v>76</v>
      </c>
      <c r="G2724" s="47" t="s">
        <v>49</v>
      </c>
      <c r="K2724" s="31">
        <v>211.2</v>
      </c>
      <c r="AE2724" s="31" t="s">
        <v>4094</v>
      </c>
      <c r="AF2724" s="31">
        <v>60</v>
      </c>
      <c r="AK2724" s="32">
        <v>4</v>
      </c>
      <c r="AQ2724" s="32" t="s">
        <v>4066</v>
      </c>
      <c r="AU2724">
        <v>2723</v>
      </c>
    </row>
    <row r="2725" spans="1:47" x14ac:dyDescent="0.2">
      <c r="A2725" s="173">
        <v>6599</v>
      </c>
      <c r="B2725" s="57" t="s">
        <v>45</v>
      </c>
      <c r="C2725" s="57" t="s">
        <v>105</v>
      </c>
      <c r="D2725" s="29"/>
      <c r="E2725" s="57" t="s">
        <v>4095</v>
      </c>
      <c r="F2725" s="31" t="s">
        <v>76</v>
      </c>
      <c r="G2725" s="47" t="s">
        <v>49</v>
      </c>
      <c r="I2725" s="31" t="s">
        <v>3602</v>
      </c>
      <c r="K2725" s="31">
        <v>211.2</v>
      </c>
      <c r="AE2725" s="31" t="s">
        <v>4094</v>
      </c>
      <c r="AF2725" s="31">
        <v>70</v>
      </c>
      <c r="AK2725" s="32">
        <v>4</v>
      </c>
      <c r="AQ2725" s="32" t="s">
        <v>4066</v>
      </c>
      <c r="AU2725">
        <v>2724</v>
      </c>
    </row>
    <row r="2726" spans="1:47" x14ac:dyDescent="0.2">
      <c r="A2726" s="173">
        <v>6599</v>
      </c>
      <c r="B2726" s="57" t="s">
        <v>45</v>
      </c>
      <c r="C2726" s="57" t="s">
        <v>105</v>
      </c>
      <c r="D2726" s="29"/>
      <c r="E2726" s="57" t="s">
        <v>1400</v>
      </c>
      <c r="F2726" s="31" t="s">
        <v>3992</v>
      </c>
      <c r="G2726" s="47" t="s">
        <v>49</v>
      </c>
      <c r="I2726" s="31" t="s">
        <v>4096</v>
      </c>
      <c r="K2726" s="31">
        <v>1408</v>
      </c>
      <c r="AE2726" s="31" t="s">
        <v>4094</v>
      </c>
      <c r="AF2726" s="31">
        <v>85</v>
      </c>
      <c r="AK2726" s="32">
        <v>44</v>
      </c>
      <c r="AQ2726" s="32" t="s">
        <v>4066</v>
      </c>
      <c r="AU2726">
        <v>2725</v>
      </c>
    </row>
    <row r="2727" spans="1:47" x14ac:dyDescent="0.2">
      <c r="A2727" s="172">
        <v>6599</v>
      </c>
      <c r="B2727" s="39" t="s">
        <v>45</v>
      </c>
      <c r="C2727" s="39" t="s">
        <v>1234</v>
      </c>
      <c r="D2727" s="29"/>
      <c r="E2727" s="39" t="s">
        <v>135</v>
      </c>
      <c r="F2727" s="47" t="s">
        <v>150</v>
      </c>
      <c r="G2727" s="47" t="s">
        <v>49</v>
      </c>
      <c r="H2727"/>
      <c r="I2727" s="47" t="s">
        <v>4097</v>
      </c>
      <c r="J2727" s="47"/>
      <c r="K2727" s="47"/>
      <c r="L2727" s="48">
        <v>13</v>
      </c>
      <c r="M2727" s="47"/>
      <c r="N2727" s="47"/>
      <c r="O2727" s="47"/>
      <c r="P2727" s="47"/>
      <c r="Q2727" s="47"/>
      <c r="R2727" s="47"/>
      <c r="S2727" s="48"/>
      <c r="T2727" s="47"/>
      <c r="U2727" s="47"/>
      <c r="V2727" s="47"/>
      <c r="W2727" s="47"/>
      <c r="X2727" s="47"/>
      <c r="Y2727" s="47"/>
      <c r="Z2727" s="47"/>
      <c r="AA2727" s="49"/>
      <c r="AB2727" s="49"/>
      <c r="AC2727" s="49"/>
      <c r="AD2727" s="50"/>
      <c r="AE2727" s="47"/>
      <c r="AF2727" s="47"/>
      <c r="AG2727"/>
      <c r="AH2727"/>
      <c r="AI2727"/>
      <c r="AJ2727"/>
      <c r="AK2727"/>
      <c r="AL2727"/>
      <c r="AM2727"/>
      <c r="AN2727"/>
      <c r="AO2727"/>
      <c r="AP2727"/>
      <c r="AQ2727" t="s">
        <v>4098</v>
      </c>
      <c r="AU2727">
        <v>2726</v>
      </c>
    </row>
    <row r="2728" spans="1:47" x14ac:dyDescent="0.2">
      <c r="A2728" s="172">
        <v>6599</v>
      </c>
      <c r="B2728" s="39" t="s">
        <v>45</v>
      </c>
      <c r="C2728" s="39" t="s">
        <v>1234</v>
      </c>
      <c r="D2728" s="29"/>
      <c r="E2728" s="39" t="s">
        <v>4099</v>
      </c>
      <c r="F2728" s="47"/>
      <c r="G2728" s="47"/>
      <c r="H2728"/>
      <c r="I2728" s="47" t="s">
        <v>4100</v>
      </c>
      <c r="J2728" s="47"/>
      <c r="K2728" s="47"/>
      <c r="L2728" s="48"/>
      <c r="M2728" s="47"/>
      <c r="N2728" s="47"/>
      <c r="O2728" s="47"/>
      <c r="P2728" s="47"/>
      <c r="Q2728" s="47"/>
      <c r="R2728" s="47"/>
      <c r="S2728" s="48"/>
      <c r="T2728" s="47"/>
      <c r="U2728" s="47"/>
      <c r="V2728" s="47"/>
      <c r="W2728" s="47"/>
      <c r="X2728" s="47"/>
      <c r="Y2728" s="47"/>
      <c r="Z2728" s="47"/>
      <c r="AA2728" s="49"/>
      <c r="AB2728" s="49"/>
      <c r="AC2728" s="49"/>
      <c r="AD2728" s="50"/>
      <c r="AE2728" s="47"/>
      <c r="AF2728" s="47"/>
      <c r="AG2728"/>
      <c r="AH2728"/>
      <c r="AI2728"/>
      <c r="AJ2728"/>
      <c r="AK2728"/>
      <c r="AL2728"/>
      <c r="AM2728"/>
      <c r="AN2728"/>
      <c r="AO2728"/>
      <c r="AP2728"/>
      <c r="AQ2728" t="s">
        <v>4098</v>
      </c>
      <c r="AU2728">
        <v>2727</v>
      </c>
    </row>
    <row r="2729" spans="1:47" x14ac:dyDescent="0.2">
      <c r="A2729" s="173">
        <v>6599</v>
      </c>
      <c r="B2729" s="57" t="s">
        <v>45</v>
      </c>
      <c r="C2729" s="57" t="s">
        <v>1234</v>
      </c>
      <c r="D2729" s="29"/>
      <c r="E2729" s="57" t="s">
        <v>631</v>
      </c>
      <c r="F2729" s="31" t="s">
        <v>3764</v>
      </c>
      <c r="G2729" s="31" t="s">
        <v>459</v>
      </c>
      <c r="I2729" s="31" t="s">
        <v>4101</v>
      </c>
      <c r="K2729" s="31">
        <v>198</v>
      </c>
      <c r="S2729" s="33">
        <v>1</v>
      </c>
      <c r="Z2729" s="31" t="s">
        <v>1809</v>
      </c>
      <c r="AK2729" s="32">
        <v>8</v>
      </c>
      <c r="AQ2729" s="32" t="s">
        <v>4102</v>
      </c>
      <c r="AU2729">
        <v>2728</v>
      </c>
    </row>
    <row r="2730" spans="1:47" x14ac:dyDescent="0.2">
      <c r="A2730" s="173">
        <v>6599</v>
      </c>
      <c r="B2730" s="57"/>
      <c r="C2730" s="57" t="s">
        <v>1077</v>
      </c>
      <c r="D2730" s="29"/>
      <c r="E2730" s="57" t="s">
        <v>3603</v>
      </c>
      <c r="F2730" s="31" t="s">
        <v>76</v>
      </c>
      <c r="G2730" s="31" t="s">
        <v>49</v>
      </c>
      <c r="K2730" s="31">
        <v>528</v>
      </c>
      <c r="AK2730" s="32">
        <v>28</v>
      </c>
      <c r="AQ2730" s="32" t="s">
        <v>4066</v>
      </c>
      <c r="AU2730">
        <v>2729</v>
      </c>
    </row>
    <row r="2731" spans="1:47" x14ac:dyDescent="0.2">
      <c r="A2731" s="173">
        <v>6599</v>
      </c>
      <c r="B2731" s="57"/>
      <c r="C2731" s="57" t="s">
        <v>1077</v>
      </c>
      <c r="D2731" s="29"/>
      <c r="E2731" s="57" t="s">
        <v>4103</v>
      </c>
      <c r="F2731" s="31" t="s">
        <v>4104</v>
      </c>
      <c r="G2731" s="31" t="s">
        <v>49</v>
      </c>
      <c r="I2731" s="31" t="s">
        <v>3602</v>
      </c>
      <c r="K2731" s="31">
        <v>550</v>
      </c>
      <c r="AK2731" s="32">
        <v>32</v>
      </c>
      <c r="AQ2731" s="32" t="s">
        <v>4066</v>
      </c>
      <c r="AU2731">
        <v>2730</v>
      </c>
    </row>
    <row r="2732" spans="1:47" x14ac:dyDescent="0.2">
      <c r="A2732" s="173">
        <v>6599</v>
      </c>
      <c r="B2732" s="57"/>
      <c r="C2732" s="57" t="s">
        <v>1077</v>
      </c>
      <c r="D2732" s="29"/>
      <c r="E2732" s="57" t="s">
        <v>4105</v>
      </c>
      <c r="F2732" s="31" t="s">
        <v>4104</v>
      </c>
      <c r="G2732" s="31" t="s">
        <v>49</v>
      </c>
      <c r="I2732" s="31" t="s">
        <v>3602</v>
      </c>
      <c r="K2732" s="31">
        <v>550</v>
      </c>
      <c r="AK2732" s="32">
        <v>32</v>
      </c>
      <c r="AQ2732" s="32" t="s">
        <v>4066</v>
      </c>
      <c r="AU2732">
        <v>2731</v>
      </c>
    </row>
    <row r="2733" spans="1:47" x14ac:dyDescent="0.2">
      <c r="A2733" s="173">
        <v>6599</v>
      </c>
      <c r="B2733" s="57"/>
      <c r="C2733" s="57" t="s">
        <v>1077</v>
      </c>
      <c r="D2733" s="29"/>
      <c r="E2733" s="57" t="s">
        <v>1764</v>
      </c>
      <c r="F2733" s="31" t="s">
        <v>76</v>
      </c>
      <c r="G2733" s="31" t="s">
        <v>49</v>
      </c>
      <c r="I2733" s="31" t="s">
        <v>3602</v>
      </c>
      <c r="K2733" s="31">
        <v>2387</v>
      </c>
      <c r="AK2733" s="32">
        <v>56</v>
      </c>
      <c r="AQ2733" s="32" t="s">
        <v>4066</v>
      </c>
      <c r="AU2733">
        <v>2732</v>
      </c>
    </row>
    <row r="2734" spans="1:47" x14ac:dyDescent="0.2">
      <c r="A2734" s="173">
        <v>6599</v>
      </c>
      <c r="B2734" s="57"/>
      <c r="C2734" s="57" t="s">
        <v>1077</v>
      </c>
      <c r="D2734" s="29"/>
      <c r="E2734" s="57" t="s">
        <v>2210</v>
      </c>
      <c r="F2734" s="31" t="s">
        <v>76</v>
      </c>
      <c r="G2734" s="31" t="s">
        <v>49</v>
      </c>
      <c r="I2734" s="31" t="s">
        <v>3602</v>
      </c>
      <c r="K2734" s="31">
        <v>2741.2</v>
      </c>
      <c r="AK2734" s="32">
        <v>12</v>
      </c>
      <c r="AQ2734" s="32" t="s">
        <v>4066</v>
      </c>
      <c r="AU2734">
        <v>2733</v>
      </c>
    </row>
    <row r="2735" spans="1:47" x14ac:dyDescent="0.2">
      <c r="A2735" s="173">
        <v>6599</v>
      </c>
      <c r="B2735" s="57"/>
      <c r="C2735" s="57" t="s">
        <v>1077</v>
      </c>
      <c r="D2735" s="29"/>
      <c r="E2735" s="57" t="s">
        <v>4106</v>
      </c>
      <c r="F2735" s="31" t="s">
        <v>3992</v>
      </c>
      <c r="G2735" s="31" t="s">
        <v>49</v>
      </c>
      <c r="K2735" s="31">
        <v>4888.3999999999996</v>
      </c>
      <c r="AK2735" s="32">
        <v>101</v>
      </c>
      <c r="AQ2735" s="32" t="s">
        <v>4066</v>
      </c>
      <c r="AU2735">
        <v>2734</v>
      </c>
    </row>
    <row r="2736" spans="1:47" x14ac:dyDescent="0.2">
      <c r="A2736" s="26">
        <v>6599</v>
      </c>
      <c r="B2736" s="27">
        <v>0.30555555555555552</v>
      </c>
      <c r="C2736" s="28"/>
      <c r="D2736" s="29"/>
      <c r="E2736" s="30" t="s">
        <v>869</v>
      </c>
      <c r="H2736" s="32">
        <v>0</v>
      </c>
      <c r="I2736" s="32" t="s">
        <v>4107</v>
      </c>
      <c r="AG2736" s="32">
        <v>0</v>
      </c>
      <c r="AH2736" s="32">
        <v>0</v>
      </c>
      <c r="AI2736" s="32">
        <v>0</v>
      </c>
      <c r="AK2736" s="32">
        <v>0</v>
      </c>
      <c r="AL2736" s="32">
        <f>85/60</f>
        <v>1.4166666666666667</v>
      </c>
      <c r="AP2736" s="32">
        <f>85/60</f>
        <v>1.4166666666666667</v>
      </c>
      <c r="AQ2736" s="32" t="s">
        <v>589</v>
      </c>
      <c r="AU2736">
        <v>2735</v>
      </c>
    </row>
    <row r="2737" spans="1:47" x14ac:dyDescent="0.2">
      <c r="A2737" s="26">
        <v>6599</v>
      </c>
      <c r="B2737" s="27">
        <v>0.39583333333333331</v>
      </c>
      <c r="C2737" s="28"/>
      <c r="D2737" s="29"/>
      <c r="E2737" s="30" t="s">
        <v>869</v>
      </c>
      <c r="H2737" s="32">
        <v>0</v>
      </c>
      <c r="I2737" s="32" t="s">
        <v>4108</v>
      </c>
      <c r="AG2737" s="32">
        <v>0</v>
      </c>
      <c r="AH2737" s="32">
        <v>0</v>
      </c>
      <c r="AI2737" s="32">
        <v>0</v>
      </c>
      <c r="AK2737" s="32">
        <v>0</v>
      </c>
      <c r="AL2737" s="32">
        <f>95/60</f>
        <v>1.5833333333333333</v>
      </c>
      <c r="AP2737" s="32">
        <f>95/60</f>
        <v>1.5833333333333333</v>
      </c>
      <c r="AQ2737" s="32" t="s">
        <v>589</v>
      </c>
      <c r="AU2737">
        <v>2736</v>
      </c>
    </row>
    <row r="2738" spans="1:47" x14ac:dyDescent="0.2">
      <c r="A2738" s="26">
        <v>6599</v>
      </c>
      <c r="B2738" s="27">
        <v>0.78819444444444453</v>
      </c>
      <c r="C2738" s="28"/>
      <c r="D2738" s="29"/>
      <c r="E2738" s="30" t="s">
        <v>464</v>
      </c>
      <c r="H2738" s="32">
        <v>0</v>
      </c>
      <c r="I2738" s="32" t="s">
        <v>4109</v>
      </c>
      <c r="AG2738" s="32">
        <v>0</v>
      </c>
      <c r="AH2738" s="32">
        <v>0</v>
      </c>
      <c r="AL2738" s="32">
        <f>4+1/6</f>
        <v>4.166666666666667</v>
      </c>
      <c r="AO2738" s="32" t="s">
        <v>4067</v>
      </c>
      <c r="AP2738" s="32">
        <f>4+1/6</f>
        <v>4.166666666666667</v>
      </c>
      <c r="AQ2738" s="32" t="s">
        <v>1522</v>
      </c>
      <c r="AU2738">
        <v>2737</v>
      </c>
    </row>
    <row r="2739" spans="1:47" x14ac:dyDescent="0.2">
      <c r="A2739" s="26">
        <v>6599</v>
      </c>
      <c r="B2739" s="27">
        <v>0.80555555555555547</v>
      </c>
      <c r="C2739" s="28"/>
      <c r="D2739" s="29"/>
      <c r="E2739" s="30" t="s">
        <v>1282</v>
      </c>
      <c r="H2739" s="32">
        <v>1</v>
      </c>
      <c r="I2739" s="32" t="s">
        <v>4110</v>
      </c>
      <c r="AG2739" s="32">
        <v>0</v>
      </c>
      <c r="AH2739" s="32">
        <v>1</v>
      </c>
      <c r="AL2739" s="32">
        <f>50/60</f>
        <v>0.83333333333333337</v>
      </c>
      <c r="AP2739" s="32">
        <f>50/60</f>
        <v>0.83333333333333337</v>
      </c>
      <c r="AQ2739" s="32" t="s">
        <v>1101</v>
      </c>
      <c r="AU2739">
        <v>2738</v>
      </c>
    </row>
    <row r="2740" spans="1:47" x14ac:dyDescent="0.2">
      <c r="A2740" s="26">
        <v>6599</v>
      </c>
      <c r="B2740" s="27">
        <v>0.81597222222222221</v>
      </c>
      <c r="C2740" s="28"/>
      <c r="D2740" s="29"/>
      <c r="E2740" s="30" t="s">
        <v>1144</v>
      </c>
      <c r="H2740" s="32">
        <v>1</v>
      </c>
      <c r="I2740" s="32" t="s">
        <v>4111</v>
      </c>
      <c r="AG2740" s="32">
        <v>0</v>
      </c>
      <c r="AH2740" s="32">
        <v>0</v>
      </c>
      <c r="AI2740" s="32">
        <v>407</v>
      </c>
      <c r="AK2740" s="32">
        <v>2</v>
      </c>
      <c r="AL2740" s="32">
        <v>1</v>
      </c>
      <c r="AO2740" s="32" t="s">
        <v>1006</v>
      </c>
      <c r="AP2740" s="32">
        <v>1</v>
      </c>
      <c r="AQ2740" s="32">
        <v>421</v>
      </c>
      <c r="AU2740">
        <v>2739</v>
      </c>
    </row>
    <row r="2741" spans="1:47" x14ac:dyDescent="0.2">
      <c r="A2741" s="26">
        <v>6599</v>
      </c>
      <c r="B2741" s="27">
        <v>0.875</v>
      </c>
      <c r="C2741" s="28"/>
      <c r="D2741" s="29"/>
      <c r="E2741" s="30" t="s">
        <v>653</v>
      </c>
      <c r="H2741" s="32">
        <v>1</v>
      </c>
      <c r="I2741" s="32"/>
      <c r="AK2741" s="32">
        <v>2</v>
      </c>
      <c r="AO2741" s="32" t="s">
        <v>655</v>
      </c>
      <c r="AQ2741" s="32">
        <v>447</v>
      </c>
      <c r="AU2741">
        <v>2740</v>
      </c>
    </row>
    <row r="2742" spans="1:47" x14ac:dyDescent="0.2">
      <c r="A2742" s="26">
        <v>6599</v>
      </c>
      <c r="B2742" s="27">
        <v>0.875</v>
      </c>
      <c r="C2742" s="28"/>
      <c r="D2742" s="29"/>
      <c r="E2742" s="30" t="s">
        <v>631</v>
      </c>
      <c r="H2742" s="32">
        <v>1</v>
      </c>
      <c r="I2742" s="32" t="s">
        <v>4112</v>
      </c>
      <c r="AG2742" s="32">
        <v>0</v>
      </c>
      <c r="AH2742" s="32">
        <v>0</v>
      </c>
      <c r="AK2742" s="32">
        <v>3</v>
      </c>
      <c r="AL2742" s="32">
        <v>0.75</v>
      </c>
      <c r="AO2742" s="32" t="s">
        <v>633</v>
      </c>
      <c r="AP2742" s="32">
        <v>0.75</v>
      </c>
      <c r="AQ2742" s="32">
        <v>463</v>
      </c>
      <c r="AU2742">
        <v>2741</v>
      </c>
    </row>
    <row r="2743" spans="1:47" x14ac:dyDescent="0.2">
      <c r="A2743" s="26">
        <v>6599</v>
      </c>
      <c r="B2743" s="27">
        <v>0.875</v>
      </c>
      <c r="C2743" s="28"/>
      <c r="D2743" s="29"/>
      <c r="E2743" s="30" t="s">
        <v>3126</v>
      </c>
      <c r="H2743" s="32">
        <v>1</v>
      </c>
      <c r="I2743" s="32" t="s">
        <v>4113</v>
      </c>
      <c r="AI2743" s="32">
        <v>43</v>
      </c>
      <c r="AK2743" s="32">
        <v>1</v>
      </c>
      <c r="AP2743" s="32">
        <v>0.75</v>
      </c>
      <c r="AQ2743" s="32">
        <v>466</v>
      </c>
      <c r="AU2743">
        <v>2742</v>
      </c>
    </row>
    <row r="2744" spans="1:47" x14ac:dyDescent="0.2">
      <c r="A2744" s="26">
        <v>6599</v>
      </c>
      <c r="B2744" s="27">
        <v>0.88888888888888884</v>
      </c>
      <c r="C2744" s="28"/>
      <c r="D2744" s="29"/>
      <c r="E2744" s="30" t="s">
        <v>3155</v>
      </c>
      <c r="H2744" s="32">
        <v>0</v>
      </c>
      <c r="I2744" s="32" t="s">
        <v>3156</v>
      </c>
      <c r="AG2744" s="32">
        <v>0</v>
      </c>
      <c r="AH2744" s="32">
        <v>0</v>
      </c>
      <c r="AI2744" s="32">
        <v>0</v>
      </c>
      <c r="AK2744" s="32">
        <v>0</v>
      </c>
      <c r="AP2744" s="32">
        <v>1</v>
      </c>
      <c r="AQ2744" s="32" t="s">
        <v>1101</v>
      </c>
      <c r="AU2744">
        <v>2743</v>
      </c>
    </row>
    <row r="2745" spans="1:47" x14ac:dyDescent="0.2">
      <c r="A2745" s="26">
        <v>6599</v>
      </c>
      <c r="B2745" s="27">
        <v>0.92361111111111116</v>
      </c>
      <c r="C2745" s="28"/>
      <c r="D2745" s="29"/>
      <c r="E2745" s="102" t="s">
        <v>1102</v>
      </c>
      <c r="H2745" s="32">
        <v>0</v>
      </c>
      <c r="I2745" s="32" t="s">
        <v>1103</v>
      </c>
      <c r="AG2745" s="32">
        <v>0</v>
      </c>
      <c r="AH2745" s="32">
        <v>0</v>
      </c>
      <c r="AI2745" s="32">
        <v>0</v>
      </c>
      <c r="AK2745" s="32">
        <v>0</v>
      </c>
      <c r="AL2745" s="32">
        <f>27/60</f>
        <v>0.45</v>
      </c>
      <c r="AO2745" s="73" t="s">
        <v>1006</v>
      </c>
      <c r="AP2745" s="32">
        <f>27/60</f>
        <v>0.45</v>
      </c>
      <c r="AQ2745" s="32" t="s">
        <v>589</v>
      </c>
      <c r="AU2745">
        <v>2744</v>
      </c>
    </row>
    <row r="2746" spans="1:47" x14ac:dyDescent="0.2">
      <c r="A2746" s="26">
        <v>6599</v>
      </c>
      <c r="B2746" s="27" t="s">
        <v>45</v>
      </c>
      <c r="C2746" s="28"/>
      <c r="D2746" s="29"/>
      <c r="E2746" s="30" t="s">
        <v>1531</v>
      </c>
      <c r="H2746" s="32">
        <v>0</v>
      </c>
      <c r="I2746" s="32" t="s">
        <v>2553</v>
      </c>
      <c r="AG2746" s="32">
        <v>0</v>
      </c>
      <c r="AH2746" s="32">
        <v>0</v>
      </c>
      <c r="AI2746" s="32">
        <v>0</v>
      </c>
      <c r="AK2746" s="32">
        <v>0</v>
      </c>
      <c r="AM2746" s="32">
        <f>498*162</f>
        <v>80676</v>
      </c>
      <c r="AO2746" s="32" t="s">
        <v>1533</v>
      </c>
      <c r="AQ2746" s="32" t="s">
        <v>1101</v>
      </c>
      <c r="AU2746">
        <v>2745</v>
      </c>
    </row>
    <row r="2747" spans="1:47" x14ac:dyDescent="0.2">
      <c r="A2747" s="26">
        <v>6599</v>
      </c>
      <c r="B2747" s="27" t="s">
        <v>45</v>
      </c>
      <c r="C2747" s="28"/>
      <c r="D2747" s="29"/>
      <c r="E2747" s="150" t="s">
        <v>2286</v>
      </c>
      <c r="H2747" s="32">
        <v>0</v>
      </c>
      <c r="I2747" s="32" t="s">
        <v>1824</v>
      </c>
      <c r="AG2747" s="32">
        <v>0</v>
      </c>
      <c r="AH2747" s="32">
        <v>0</v>
      </c>
      <c r="AI2747" s="32">
        <v>0</v>
      </c>
      <c r="AK2747" s="32">
        <v>0</v>
      </c>
      <c r="AM2747" s="32">
        <v>5000</v>
      </c>
      <c r="AO2747" s="73" t="s">
        <v>75</v>
      </c>
      <c r="AQ2747" s="32" t="s">
        <v>589</v>
      </c>
      <c r="AU2747">
        <v>2746</v>
      </c>
    </row>
    <row r="2748" spans="1:47" x14ac:dyDescent="0.2">
      <c r="A2748" s="26">
        <v>6599</v>
      </c>
      <c r="B2748" s="27"/>
      <c r="C2748" s="28"/>
      <c r="D2748" s="29"/>
      <c r="E2748" s="30" t="s">
        <v>78</v>
      </c>
      <c r="H2748" s="32">
        <v>1</v>
      </c>
      <c r="I2748" s="32" t="s">
        <v>4114</v>
      </c>
      <c r="AG2748" s="32">
        <v>0</v>
      </c>
      <c r="AH2748" s="32">
        <v>0</v>
      </c>
      <c r="AJ2748" s="32">
        <v>68711</v>
      </c>
      <c r="AK2748" s="32">
        <v>9</v>
      </c>
      <c r="AO2748" s="32" t="s">
        <v>80</v>
      </c>
      <c r="AP2748" s="32">
        <v>1</v>
      </c>
      <c r="AQ2748" s="32" t="s">
        <v>1101</v>
      </c>
      <c r="AU2748">
        <v>2747</v>
      </c>
    </row>
    <row r="2749" spans="1:47" x14ac:dyDescent="0.2">
      <c r="A2749" s="26">
        <v>6599</v>
      </c>
      <c r="B2749" s="27"/>
      <c r="C2749" s="28"/>
      <c r="D2749" s="29"/>
      <c r="E2749" s="102" t="s">
        <v>1421</v>
      </c>
      <c r="H2749" s="32">
        <v>1</v>
      </c>
      <c r="I2749" s="32" t="s">
        <v>4115</v>
      </c>
      <c r="AK2749" s="32">
        <v>26</v>
      </c>
      <c r="AO2749" s="73"/>
      <c r="AQ2749" s="32" t="s">
        <v>589</v>
      </c>
      <c r="AU2749">
        <v>2748</v>
      </c>
    </row>
    <row r="2750" spans="1:47" x14ac:dyDescent="0.2">
      <c r="A2750" s="13">
        <v>6600</v>
      </c>
      <c r="B2750" s="57" t="s">
        <v>45</v>
      </c>
      <c r="C2750" s="57" t="s">
        <v>105</v>
      </c>
      <c r="D2750" s="29"/>
      <c r="E2750" s="57" t="s">
        <v>2337</v>
      </c>
      <c r="F2750" s="31" t="s">
        <v>4116</v>
      </c>
      <c r="G2750" s="31" t="s">
        <v>69</v>
      </c>
      <c r="I2750" s="31" t="s">
        <v>4117</v>
      </c>
      <c r="K2750" s="31">
        <v>211.2</v>
      </c>
      <c r="AE2750" s="31" t="s">
        <v>4094</v>
      </c>
      <c r="AF2750" s="31">
        <v>50</v>
      </c>
      <c r="AK2750" s="32">
        <v>4</v>
      </c>
      <c r="AQ2750" s="32" t="s">
        <v>4066</v>
      </c>
      <c r="AU2750">
        <v>2749</v>
      </c>
    </row>
    <row r="2751" spans="1:47" x14ac:dyDescent="0.2">
      <c r="A2751" s="13">
        <v>6600</v>
      </c>
      <c r="B2751" s="57" t="s">
        <v>45</v>
      </c>
      <c r="C2751" s="57" t="s">
        <v>105</v>
      </c>
      <c r="D2751" s="29"/>
      <c r="E2751" s="57" t="s">
        <v>4118</v>
      </c>
      <c r="F2751" s="31" t="s">
        <v>76</v>
      </c>
      <c r="G2751" s="31" t="s">
        <v>49</v>
      </c>
      <c r="K2751" s="31">
        <v>211.2</v>
      </c>
      <c r="AE2751" s="31" t="s">
        <v>4094</v>
      </c>
      <c r="AF2751" s="31">
        <v>70</v>
      </c>
      <c r="AK2751" s="32">
        <v>4</v>
      </c>
      <c r="AQ2751" s="32" t="s">
        <v>4066</v>
      </c>
      <c r="AU2751">
        <v>2750</v>
      </c>
    </row>
    <row r="2752" spans="1:47" x14ac:dyDescent="0.2">
      <c r="A2752" s="13">
        <v>6600</v>
      </c>
      <c r="B2752" s="57" t="s">
        <v>45</v>
      </c>
      <c r="C2752" s="57" t="s">
        <v>105</v>
      </c>
      <c r="D2752" s="29"/>
      <c r="E2752" s="57" t="s">
        <v>4119</v>
      </c>
      <c r="F2752" s="31" t="s">
        <v>76</v>
      </c>
      <c r="G2752" s="31" t="s">
        <v>49</v>
      </c>
      <c r="K2752" s="31">
        <v>211.2</v>
      </c>
      <c r="AE2752" s="31" t="s">
        <v>4094</v>
      </c>
      <c r="AF2752" s="31">
        <v>100</v>
      </c>
      <c r="AK2752" s="32">
        <v>4</v>
      </c>
      <c r="AQ2752" s="32" t="s">
        <v>4066</v>
      </c>
      <c r="AU2752">
        <v>2751</v>
      </c>
    </row>
    <row r="2753" spans="1:47" x14ac:dyDescent="0.2">
      <c r="A2753" s="13">
        <v>6600</v>
      </c>
      <c r="B2753" s="57" t="s">
        <v>45</v>
      </c>
      <c r="C2753" s="57" t="s">
        <v>105</v>
      </c>
      <c r="D2753" s="29"/>
      <c r="E2753" s="57" t="s">
        <v>4120</v>
      </c>
      <c r="F2753" s="31" t="s">
        <v>76</v>
      </c>
      <c r="G2753" s="31" t="s">
        <v>49</v>
      </c>
      <c r="I2753" s="31" t="s">
        <v>4121</v>
      </c>
      <c r="K2753" s="31">
        <v>589.6</v>
      </c>
      <c r="AE2753" s="31" t="s">
        <v>4094</v>
      </c>
      <c r="AF2753" s="31">
        <v>105</v>
      </c>
      <c r="AK2753" s="32">
        <v>18</v>
      </c>
      <c r="AQ2753" s="32" t="s">
        <v>4066</v>
      </c>
      <c r="AU2753">
        <v>2752</v>
      </c>
    </row>
    <row r="2754" spans="1:47" x14ac:dyDescent="0.2">
      <c r="A2754" s="13">
        <v>6600</v>
      </c>
      <c r="B2754" s="57" t="s">
        <v>45</v>
      </c>
      <c r="C2754" s="57" t="s">
        <v>105</v>
      </c>
      <c r="D2754" s="29"/>
      <c r="E2754" s="57" t="s">
        <v>4122</v>
      </c>
      <c r="F2754" s="31" t="s">
        <v>76</v>
      </c>
      <c r="G2754" s="31" t="s">
        <v>49</v>
      </c>
      <c r="I2754" s="31" t="s">
        <v>3602</v>
      </c>
      <c r="K2754" s="31">
        <v>589.6</v>
      </c>
      <c r="AE2754" s="31" t="s">
        <v>4094</v>
      </c>
      <c r="AF2754" s="31">
        <v>100</v>
      </c>
      <c r="AK2754" s="32">
        <v>19</v>
      </c>
      <c r="AQ2754" s="32" t="s">
        <v>4066</v>
      </c>
      <c r="AU2754">
        <v>2753</v>
      </c>
    </row>
    <row r="2755" spans="1:47" x14ac:dyDescent="0.2">
      <c r="A2755" s="44">
        <v>6600</v>
      </c>
      <c r="B2755" s="42" t="s">
        <v>45</v>
      </c>
      <c r="C2755" s="43" t="s">
        <v>142</v>
      </c>
      <c r="D2755" s="29"/>
      <c r="E2755" s="121" t="s">
        <v>4123</v>
      </c>
      <c r="F2755" s="31" t="s">
        <v>246</v>
      </c>
      <c r="G2755" s="31" t="s">
        <v>49</v>
      </c>
      <c r="H2755" s="32"/>
      <c r="I2755" s="47" t="b">
        <v>1</v>
      </c>
      <c r="J2755" s="47" t="b">
        <v>1</v>
      </c>
      <c r="K2755" s="31">
        <f>2365*2.2</f>
        <v>5203</v>
      </c>
      <c r="L2755" s="33">
        <v>16</v>
      </c>
      <c r="N2755" s="31">
        <v>2</v>
      </c>
      <c r="S2755" s="33">
        <v>14</v>
      </c>
      <c r="T2755" s="31">
        <v>0</v>
      </c>
      <c r="U2755" s="31">
        <v>0</v>
      </c>
      <c r="V2755" s="31">
        <v>0</v>
      </c>
      <c r="Y2755" s="31" t="s">
        <v>51</v>
      </c>
      <c r="Z2755" s="31" t="s">
        <v>3855</v>
      </c>
      <c r="AE2755" s="31" t="s">
        <v>4124</v>
      </c>
      <c r="AK2755" s="32">
        <v>77</v>
      </c>
      <c r="AO2755" s="73"/>
      <c r="AQ2755" s="32" t="s">
        <v>4125</v>
      </c>
      <c r="AR2755" s="32" t="s">
        <v>4126</v>
      </c>
      <c r="AU2755">
        <v>2754</v>
      </c>
    </row>
    <row r="2756" spans="1:47" x14ac:dyDescent="0.2">
      <c r="A2756" s="13">
        <v>6600</v>
      </c>
      <c r="B2756" s="42" t="s">
        <v>45</v>
      </c>
      <c r="C2756" s="57" t="s">
        <v>142</v>
      </c>
      <c r="D2756" s="29"/>
      <c r="E2756" s="57" t="s">
        <v>4122</v>
      </c>
      <c r="F2756" s="31" t="s">
        <v>76</v>
      </c>
      <c r="G2756" s="31" t="s">
        <v>49</v>
      </c>
      <c r="I2756" s="47" t="b">
        <v>0</v>
      </c>
      <c r="J2756" s="47" t="b">
        <v>0</v>
      </c>
      <c r="K2756" s="31">
        <f>358*2.2</f>
        <v>787.6</v>
      </c>
      <c r="Z2756" s="31" t="s">
        <v>3855</v>
      </c>
      <c r="AE2756" s="31" t="s">
        <v>4124</v>
      </c>
      <c r="AF2756" s="31">
        <v>90</v>
      </c>
      <c r="AK2756" s="32">
        <v>11</v>
      </c>
      <c r="AQ2756" s="32" t="s">
        <v>4066</v>
      </c>
      <c r="AR2756" s="31" t="s">
        <v>3602</v>
      </c>
      <c r="AU2756">
        <v>2755</v>
      </c>
    </row>
    <row r="2757" spans="1:47" x14ac:dyDescent="0.2">
      <c r="A2757" s="13">
        <v>6600</v>
      </c>
      <c r="B2757" s="42" t="s">
        <v>45</v>
      </c>
      <c r="C2757" s="57" t="s">
        <v>142</v>
      </c>
      <c r="D2757" s="29"/>
      <c r="E2757" s="57" t="s">
        <v>2191</v>
      </c>
      <c r="F2757" s="31" t="s">
        <v>76</v>
      </c>
      <c r="G2757" s="31" t="s">
        <v>49</v>
      </c>
      <c r="I2757" s="47" t="b">
        <v>0</v>
      </c>
      <c r="J2757" s="47" t="b">
        <v>0</v>
      </c>
      <c r="K2757" s="31">
        <f>455*2.2</f>
        <v>1001.0000000000001</v>
      </c>
      <c r="Z2757" s="31" t="s">
        <v>3855</v>
      </c>
      <c r="AE2757" s="31" t="s">
        <v>4124</v>
      </c>
      <c r="AF2757" s="31">
        <v>60</v>
      </c>
      <c r="AK2757" s="32">
        <v>16</v>
      </c>
      <c r="AQ2757" s="32" t="s">
        <v>4066</v>
      </c>
      <c r="AR2757" s="31" t="s">
        <v>3602</v>
      </c>
      <c r="AU2757">
        <v>2756</v>
      </c>
    </row>
    <row r="2758" spans="1:47" x14ac:dyDescent="0.2">
      <c r="A2758" s="13">
        <v>6600</v>
      </c>
      <c r="B2758" s="42" t="s">
        <v>45</v>
      </c>
      <c r="C2758" s="57" t="s">
        <v>142</v>
      </c>
      <c r="D2758" s="29"/>
      <c r="E2758" s="57" t="s">
        <v>3063</v>
      </c>
      <c r="F2758" s="31" t="s">
        <v>76</v>
      </c>
      <c r="G2758" s="31" t="s">
        <v>49</v>
      </c>
      <c r="I2758" s="47" t="b">
        <v>0</v>
      </c>
      <c r="J2758" s="47" t="b">
        <v>0</v>
      </c>
      <c r="K2758" s="31">
        <f>765*2.2</f>
        <v>1683.0000000000002</v>
      </c>
      <c r="Z2758" s="31" t="s">
        <v>3855</v>
      </c>
      <c r="AE2758" s="31" t="s">
        <v>4124</v>
      </c>
      <c r="AF2758" s="31">
        <v>70</v>
      </c>
      <c r="AK2758" s="32">
        <v>26</v>
      </c>
      <c r="AQ2758" s="32" t="s">
        <v>4066</v>
      </c>
      <c r="AR2758" s="31" t="s">
        <v>3602</v>
      </c>
      <c r="AU2758">
        <v>2757</v>
      </c>
    </row>
    <row r="2759" spans="1:47" x14ac:dyDescent="0.2">
      <c r="A2759" s="13">
        <v>6600</v>
      </c>
      <c r="B2759" s="42" t="s">
        <v>45</v>
      </c>
      <c r="C2759" s="57" t="s">
        <v>142</v>
      </c>
      <c r="D2759" s="29"/>
      <c r="E2759" s="57" t="s">
        <v>4120</v>
      </c>
      <c r="F2759" s="31" t="s">
        <v>76</v>
      </c>
      <c r="G2759" s="31" t="s">
        <v>49</v>
      </c>
      <c r="I2759" s="47" t="b">
        <v>0</v>
      </c>
      <c r="J2759" s="47" t="b">
        <v>0</v>
      </c>
      <c r="K2759" s="31">
        <f>787*2.2</f>
        <v>1731.4</v>
      </c>
      <c r="Z2759" s="31" t="s">
        <v>3855</v>
      </c>
      <c r="AE2759" s="31" t="s">
        <v>4124</v>
      </c>
      <c r="AF2759" s="31">
        <v>90</v>
      </c>
      <c r="AK2759" s="32">
        <v>24</v>
      </c>
      <c r="AQ2759" s="32" t="s">
        <v>4066</v>
      </c>
      <c r="AR2759" s="31" t="s">
        <v>3602</v>
      </c>
      <c r="AU2759">
        <v>2758</v>
      </c>
    </row>
    <row r="2760" spans="1:47" x14ac:dyDescent="0.2">
      <c r="A2760" s="13">
        <v>6600</v>
      </c>
      <c r="B2760" s="57"/>
      <c r="C2760" s="57" t="s">
        <v>1077</v>
      </c>
      <c r="D2760" s="29"/>
      <c r="E2760" s="57" t="s">
        <v>2210</v>
      </c>
      <c r="F2760" s="31" t="s">
        <v>76</v>
      </c>
      <c r="G2760" s="31" t="s">
        <v>49</v>
      </c>
      <c r="I2760" s="31" t="s">
        <v>3602</v>
      </c>
      <c r="K2760" s="31">
        <v>193.6</v>
      </c>
      <c r="AK2760" s="32">
        <v>4</v>
      </c>
      <c r="AQ2760" s="32" t="s">
        <v>4066</v>
      </c>
      <c r="AU2760">
        <v>2759</v>
      </c>
    </row>
    <row r="2761" spans="1:47" x14ac:dyDescent="0.2">
      <c r="A2761" s="13">
        <v>6600</v>
      </c>
      <c r="B2761" s="57"/>
      <c r="C2761" s="57" t="s">
        <v>1077</v>
      </c>
      <c r="D2761" s="29"/>
      <c r="E2761" s="57" t="s">
        <v>4127</v>
      </c>
      <c r="F2761" s="31" t="s">
        <v>76</v>
      </c>
      <c r="G2761" s="31" t="s">
        <v>49</v>
      </c>
      <c r="I2761" s="31" t="s">
        <v>3602</v>
      </c>
      <c r="K2761" s="31">
        <v>497.2</v>
      </c>
      <c r="AK2761" s="32">
        <v>11</v>
      </c>
      <c r="AQ2761" s="32" t="s">
        <v>4066</v>
      </c>
      <c r="AU2761">
        <v>2760</v>
      </c>
    </row>
    <row r="2762" spans="1:47" x14ac:dyDescent="0.2">
      <c r="A2762" s="13">
        <v>6600</v>
      </c>
      <c r="B2762" s="57"/>
      <c r="C2762" s="57" t="s">
        <v>1077</v>
      </c>
      <c r="D2762" s="29"/>
      <c r="E2762" s="57" t="s">
        <v>788</v>
      </c>
      <c r="F2762" s="31" t="s">
        <v>76</v>
      </c>
      <c r="G2762" s="31" t="s">
        <v>49</v>
      </c>
      <c r="I2762" s="31" t="s">
        <v>3602</v>
      </c>
      <c r="K2762" s="31">
        <v>774.4</v>
      </c>
      <c r="AK2762" s="32">
        <v>16</v>
      </c>
      <c r="AQ2762" s="32" t="s">
        <v>4066</v>
      </c>
      <c r="AU2762">
        <v>2761</v>
      </c>
    </row>
    <row r="2763" spans="1:47" x14ac:dyDescent="0.2">
      <c r="A2763" s="13">
        <v>6600</v>
      </c>
      <c r="B2763" s="57"/>
      <c r="C2763" s="57" t="s">
        <v>1077</v>
      </c>
      <c r="D2763" s="29"/>
      <c r="E2763" s="57" t="s">
        <v>175</v>
      </c>
      <c r="F2763" s="31" t="s">
        <v>76</v>
      </c>
      <c r="G2763" s="31" t="s">
        <v>49</v>
      </c>
      <c r="K2763" s="31">
        <v>968</v>
      </c>
      <c r="AK2763" s="32">
        <v>20</v>
      </c>
      <c r="AQ2763" s="32" t="s">
        <v>4066</v>
      </c>
      <c r="AU2763">
        <v>2762</v>
      </c>
    </row>
    <row r="2764" spans="1:47" x14ac:dyDescent="0.2">
      <c r="A2764" s="13">
        <v>6600</v>
      </c>
      <c r="B2764" s="57"/>
      <c r="C2764" s="57" t="s">
        <v>1077</v>
      </c>
      <c r="D2764" s="29"/>
      <c r="E2764" s="57" t="s">
        <v>3666</v>
      </c>
      <c r="F2764" s="31" t="s">
        <v>76</v>
      </c>
      <c r="G2764" s="31" t="s">
        <v>49</v>
      </c>
      <c r="I2764" s="31" t="s">
        <v>3602</v>
      </c>
      <c r="K2764" s="31">
        <v>1082.4000000000001</v>
      </c>
      <c r="AK2764" s="32">
        <v>24</v>
      </c>
      <c r="AQ2764" s="32" t="s">
        <v>4066</v>
      </c>
      <c r="AU2764">
        <v>2763</v>
      </c>
    </row>
    <row r="2765" spans="1:47" x14ac:dyDescent="0.2">
      <c r="A2765" s="13">
        <v>6600</v>
      </c>
      <c r="B2765" s="57"/>
      <c r="C2765" s="57" t="s">
        <v>1077</v>
      </c>
      <c r="D2765" s="29"/>
      <c r="E2765" s="57" t="s">
        <v>3298</v>
      </c>
      <c r="F2765" s="31" t="s">
        <v>76</v>
      </c>
      <c r="G2765" s="31" t="s">
        <v>49</v>
      </c>
      <c r="K2765" s="31">
        <v>1161.5999999999999</v>
      </c>
      <c r="AK2765" s="32">
        <v>24</v>
      </c>
      <c r="AQ2765" s="32" t="s">
        <v>4066</v>
      </c>
      <c r="AU2765">
        <v>2764</v>
      </c>
    </row>
    <row r="2766" spans="1:47" x14ac:dyDescent="0.2">
      <c r="A2766" s="13">
        <v>6600</v>
      </c>
      <c r="B2766" s="57"/>
      <c r="C2766" s="57" t="s">
        <v>1077</v>
      </c>
      <c r="D2766" s="29"/>
      <c r="E2766" s="57" t="s">
        <v>1400</v>
      </c>
      <c r="F2766" s="31" t="s">
        <v>3992</v>
      </c>
      <c r="G2766" s="31" t="s">
        <v>49</v>
      </c>
      <c r="I2766" s="31" t="s">
        <v>3602</v>
      </c>
      <c r="K2766" s="31">
        <v>1779.8</v>
      </c>
      <c r="AK2766" s="32">
        <v>40</v>
      </c>
      <c r="AQ2766" s="32" t="s">
        <v>4066</v>
      </c>
      <c r="AU2766">
        <v>2765</v>
      </c>
    </row>
    <row r="2767" spans="1:47" x14ac:dyDescent="0.2">
      <c r="A2767" s="13">
        <v>6600</v>
      </c>
      <c r="B2767" s="57"/>
      <c r="C2767" s="57" t="s">
        <v>1077</v>
      </c>
      <c r="D2767" s="29"/>
      <c r="E2767" s="57" t="s">
        <v>3498</v>
      </c>
      <c r="F2767" s="31" t="s">
        <v>3764</v>
      </c>
      <c r="G2767" s="31" t="s">
        <v>459</v>
      </c>
      <c r="I2767" s="31" t="s">
        <v>3602</v>
      </c>
      <c r="K2767" s="31">
        <v>2490.4</v>
      </c>
      <c r="AK2767" s="32">
        <v>56</v>
      </c>
      <c r="AQ2767" s="32" t="s">
        <v>4066</v>
      </c>
      <c r="AU2767">
        <v>2766</v>
      </c>
    </row>
    <row r="2768" spans="1:47" x14ac:dyDescent="0.2">
      <c r="A2768" s="13">
        <v>6600</v>
      </c>
      <c r="B2768" s="57"/>
      <c r="C2768" s="57" t="s">
        <v>1077</v>
      </c>
      <c r="D2768" s="29"/>
      <c r="E2768" s="57" t="s">
        <v>1764</v>
      </c>
      <c r="F2768" s="31" t="s">
        <v>76</v>
      </c>
      <c r="G2768" s="31" t="s">
        <v>49</v>
      </c>
      <c r="I2768" s="31" t="s">
        <v>3602</v>
      </c>
      <c r="K2768" s="31">
        <v>5372.4</v>
      </c>
      <c r="AK2768" s="32">
        <v>111</v>
      </c>
      <c r="AQ2768" s="32" t="s">
        <v>4066</v>
      </c>
      <c r="AU2768">
        <v>2767</v>
      </c>
    </row>
    <row r="2769" spans="1:47" x14ac:dyDescent="0.2">
      <c r="A2769" s="26">
        <v>6600</v>
      </c>
      <c r="B2769" s="27">
        <v>0.12847222222222224</v>
      </c>
      <c r="C2769" s="28"/>
      <c r="D2769" s="29"/>
      <c r="E2769" s="30" t="s">
        <v>869</v>
      </c>
      <c r="H2769" s="32">
        <v>0</v>
      </c>
      <c r="I2769" s="32" t="s">
        <v>2344</v>
      </c>
      <c r="AG2769" s="32">
        <v>0</v>
      </c>
      <c r="AH2769" s="32">
        <v>0</v>
      </c>
      <c r="AI2769" s="32">
        <v>0</v>
      </c>
      <c r="AK2769" s="32">
        <v>0</v>
      </c>
      <c r="AL2769" s="32">
        <f>35/60</f>
        <v>0.58333333333333337</v>
      </c>
      <c r="AP2769" s="32">
        <f>35/60</f>
        <v>0.58333333333333337</v>
      </c>
      <c r="AQ2769" s="32" t="s">
        <v>589</v>
      </c>
      <c r="AU2769">
        <v>2768</v>
      </c>
    </row>
    <row r="2770" spans="1:47" x14ac:dyDescent="0.2">
      <c r="A2770" s="26">
        <v>6600</v>
      </c>
      <c r="B2770" s="27">
        <v>0.83333333333333337</v>
      </c>
      <c r="C2770" s="28"/>
      <c r="D2770" s="29"/>
      <c r="E2770" s="30" t="s">
        <v>2087</v>
      </c>
      <c r="H2770" s="32">
        <v>0</v>
      </c>
      <c r="I2770" s="32"/>
      <c r="AG2770" s="32">
        <v>0</v>
      </c>
      <c r="AH2770" s="32">
        <v>0</v>
      </c>
      <c r="AI2770" s="32">
        <v>0</v>
      </c>
      <c r="AK2770" s="32">
        <v>0</v>
      </c>
      <c r="AL2770" s="32">
        <v>0</v>
      </c>
      <c r="AP2770" s="32">
        <v>5.25</v>
      </c>
      <c r="AQ2770" s="32" t="s">
        <v>1101</v>
      </c>
      <c r="AU2770">
        <v>2769</v>
      </c>
    </row>
    <row r="2771" spans="1:47" x14ac:dyDescent="0.2">
      <c r="A2771" s="26">
        <v>6600</v>
      </c>
      <c r="B2771" s="27">
        <v>0.85069444444444453</v>
      </c>
      <c r="C2771" s="28"/>
      <c r="D2771" s="29"/>
      <c r="E2771" s="30" t="s">
        <v>1282</v>
      </c>
      <c r="H2771" s="32">
        <v>0</v>
      </c>
      <c r="I2771" s="32" t="s">
        <v>4068</v>
      </c>
      <c r="AG2771" s="32">
        <v>0</v>
      </c>
      <c r="AH2771" s="32">
        <v>0</v>
      </c>
      <c r="AI2771" s="32">
        <v>0</v>
      </c>
      <c r="AK2771" s="32">
        <v>0</v>
      </c>
      <c r="AL2771" s="32">
        <f>3+35/60</f>
        <v>3.5833333333333335</v>
      </c>
      <c r="AP2771" s="32">
        <f>3+35/60</f>
        <v>3.5833333333333335</v>
      </c>
      <c r="AQ2771" s="32" t="s">
        <v>1101</v>
      </c>
      <c r="AU2771">
        <v>2770</v>
      </c>
    </row>
    <row r="2772" spans="1:47" x14ac:dyDescent="0.2">
      <c r="A2772" s="26">
        <v>6600</v>
      </c>
      <c r="B2772" s="27">
        <v>0.85069444444444453</v>
      </c>
      <c r="C2772" s="28"/>
      <c r="D2772" s="29"/>
      <c r="E2772" s="30" t="s">
        <v>464</v>
      </c>
      <c r="H2772" s="32">
        <v>0</v>
      </c>
      <c r="I2772" s="32" t="s">
        <v>4128</v>
      </c>
      <c r="AG2772" s="32">
        <v>0</v>
      </c>
      <c r="AH2772" s="32">
        <v>0</v>
      </c>
      <c r="AL2772" s="32">
        <f>3+1/6</f>
        <v>3.1666666666666665</v>
      </c>
      <c r="AO2772" s="32" t="s">
        <v>4067</v>
      </c>
      <c r="AP2772" s="32">
        <f>3+1/6</f>
        <v>3.1666666666666665</v>
      </c>
      <c r="AQ2772" s="32" t="s">
        <v>1522</v>
      </c>
      <c r="AU2772">
        <v>2771</v>
      </c>
    </row>
    <row r="2773" spans="1:47" x14ac:dyDescent="0.2">
      <c r="A2773" s="26">
        <v>6600</v>
      </c>
      <c r="B2773" s="27">
        <v>0.94791666666666663</v>
      </c>
      <c r="C2773" s="28"/>
      <c r="D2773" s="29"/>
      <c r="E2773" s="30" t="s">
        <v>2023</v>
      </c>
      <c r="H2773" s="32">
        <v>1</v>
      </c>
      <c r="I2773" s="32" t="s">
        <v>2024</v>
      </c>
      <c r="AI2773" s="32">
        <v>250</v>
      </c>
      <c r="AK2773" s="32">
        <v>10</v>
      </c>
      <c r="AM2773" s="32">
        <v>7500</v>
      </c>
      <c r="AO2773" s="32" t="s">
        <v>2025</v>
      </c>
      <c r="AQ2773" s="32">
        <v>416</v>
      </c>
      <c r="AU2773">
        <v>2772</v>
      </c>
    </row>
    <row r="2774" spans="1:47" x14ac:dyDescent="0.2">
      <c r="A2774" s="26">
        <v>6600</v>
      </c>
      <c r="B2774" s="27">
        <v>0.95833333333333337</v>
      </c>
      <c r="C2774" s="28"/>
      <c r="D2774" s="29"/>
      <c r="E2774" s="30" t="s">
        <v>2323</v>
      </c>
      <c r="H2774" s="32">
        <v>1</v>
      </c>
      <c r="I2774" s="32" t="s">
        <v>3564</v>
      </c>
      <c r="AG2774" s="32">
        <v>0</v>
      </c>
      <c r="AH2774" s="32">
        <v>0</v>
      </c>
      <c r="AJ2774" s="32">
        <v>0</v>
      </c>
      <c r="AK2774" s="32">
        <v>3</v>
      </c>
      <c r="AL2774" s="32">
        <v>0</v>
      </c>
      <c r="AO2774" s="32" t="s">
        <v>2325</v>
      </c>
      <c r="AQ2774" s="32">
        <v>418</v>
      </c>
      <c r="AU2774">
        <v>2773</v>
      </c>
    </row>
    <row r="2775" spans="1:47" x14ac:dyDescent="0.2">
      <c r="A2775" s="26">
        <v>6600</v>
      </c>
      <c r="B2775" s="27" t="s">
        <v>85</v>
      </c>
      <c r="C2775" s="28"/>
      <c r="D2775" s="29"/>
      <c r="E2775" s="30" t="s">
        <v>1531</v>
      </c>
      <c r="H2775" s="32">
        <v>0</v>
      </c>
      <c r="I2775" s="32" t="s">
        <v>4129</v>
      </c>
      <c r="AG2775" s="32">
        <v>0</v>
      </c>
      <c r="AH2775" s="32">
        <v>0</v>
      </c>
      <c r="AI2775" s="32">
        <v>0</v>
      </c>
      <c r="AK2775" s="32">
        <v>0</v>
      </c>
      <c r="AM2775" s="32">
        <f>498*22</f>
        <v>10956</v>
      </c>
      <c r="AO2775" s="32" t="s">
        <v>1533</v>
      </c>
      <c r="AQ2775" s="32" t="s">
        <v>1101</v>
      </c>
      <c r="AU2775">
        <v>2774</v>
      </c>
    </row>
    <row r="2776" spans="1:47" x14ac:dyDescent="0.2">
      <c r="A2776" s="26">
        <v>6600</v>
      </c>
      <c r="B2776" s="27" t="s">
        <v>45</v>
      </c>
      <c r="C2776" s="28"/>
      <c r="D2776" s="29"/>
      <c r="E2776" s="30" t="s">
        <v>1531</v>
      </c>
      <c r="H2776" s="32">
        <v>1</v>
      </c>
      <c r="I2776" s="32" t="s">
        <v>4130</v>
      </c>
      <c r="AM2776" s="32">
        <f>498*194</f>
        <v>96612</v>
      </c>
      <c r="AO2776" s="32" t="s">
        <v>1533</v>
      </c>
      <c r="AQ2776" s="32" t="s">
        <v>1101</v>
      </c>
      <c r="AU2776">
        <v>2775</v>
      </c>
    </row>
    <row r="2777" spans="1:47" x14ac:dyDescent="0.2">
      <c r="A2777" s="26">
        <v>6600</v>
      </c>
      <c r="B2777" s="27"/>
      <c r="C2777" s="28"/>
      <c r="D2777" s="29"/>
      <c r="E2777" s="102" t="s">
        <v>1421</v>
      </c>
      <c r="H2777" s="32">
        <v>1</v>
      </c>
      <c r="I2777" s="32" t="s">
        <v>1422</v>
      </c>
      <c r="AK2777" s="32">
        <v>24</v>
      </c>
      <c r="AO2777" s="73"/>
      <c r="AQ2777" s="32" t="s">
        <v>589</v>
      </c>
      <c r="AU2777">
        <v>2776</v>
      </c>
    </row>
    <row r="2778" spans="1:47" x14ac:dyDescent="0.2">
      <c r="A2778" s="13">
        <v>6601</v>
      </c>
      <c r="B2778" s="57" t="s">
        <v>85</v>
      </c>
      <c r="C2778" s="57" t="s">
        <v>1234</v>
      </c>
      <c r="D2778" s="29"/>
      <c r="E2778" s="57" t="s">
        <v>3726</v>
      </c>
      <c r="F2778" s="31" t="s">
        <v>3727</v>
      </c>
      <c r="G2778" s="31" t="s">
        <v>69</v>
      </c>
      <c r="I2778" s="31" t="s">
        <v>4070</v>
      </c>
      <c r="K2778" s="63"/>
      <c r="Z2778" s="47" t="s">
        <v>1809</v>
      </c>
      <c r="AQ2778" s="32" t="s">
        <v>4071</v>
      </c>
      <c r="AU2778">
        <v>2777</v>
      </c>
    </row>
    <row r="2779" spans="1:47" x14ac:dyDescent="0.2">
      <c r="A2779" s="13">
        <v>6601</v>
      </c>
      <c r="B2779" s="166"/>
      <c r="C2779" s="166" t="s">
        <v>142</v>
      </c>
      <c r="D2779" s="16"/>
      <c r="E2779" s="166" t="s">
        <v>3812</v>
      </c>
      <c r="F2779" s="19" t="s">
        <v>3764</v>
      </c>
      <c r="G2779" s="19" t="s">
        <v>481</v>
      </c>
      <c r="H2779" s="19"/>
      <c r="I2779" s="19" t="s">
        <v>4131</v>
      </c>
      <c r="J2779" s="19"/>
      <c r="K2779" s="19">
        <f>144*2.2</f>
        <v>316.8</v>
      </c>
      <c r="AE2779" s="31" t="s">
        <v>4124</v>
      </c>
      <c r="AF2779" s="31">
        <v>90</v>
      </c>
      <c r="AK2779" s="32">
        <v>6</v>
      </c>
      <c r="AQ2779" s="32" t="s">
        <v>4066</v>
      </c>
      <c r="AU2779">
        <v>2778</v>
      </c>
    </row>
    <row r="2780" spans="1:47" x14ac:dyDescent="0.2">
      <c r="A2780" s="13">
        <v>6601</v>
      </c>
      <c r="B2780" s="42" t="s">
        <v>45</v>
      </c>
      <c r="C2780" s="57" t="s">
        <v>142</v>
      </c>
      <c r="D2780" s="29"/>
      <c r="E2780" s="57" t="s">
        <v>2191</v>
      </c>
      <c r="F2780" s="31" t="s">
        <v>76</v>
      </c>
      <c r="G2780" s="31" t="s">
        <v>49</v>
      </c>
      <c r="I2780" s="31" t="s">
        <v>4132</v>
      </c>
      <c r="K2780" s="31">
        <f>380*2.2</f>
        <v>836.00000000000011</v>
      </c>
      <c r="L2780" s="33">
        <v>11</v>
      </c>
      <c r="M2780" s="31">
        <v>8</v>
      </c>
      <c r="S2780" s="33">
        <v>3</v>
      </c>
      <c r="T2780" s="31">
        <v>0</v>
      </c>
      <c r="U2780" s="31">
        <v>0</v>
      </c>
      <c r="V2780" s="31">
        <v>0</v>
      </c>
      <c r="Y2780" s="31" t="s">
        <v>51</v>
      </c>
      <c r="AE2780" s="31" t="s">
        <v>4124</v>
      </c>
      <c r="AF2780" s="31">
        <v>60</v>
      </c>
      <c r="AK2780" s="32">
        <v>14</v>
      </c>
      <c r="AQ2780" s="32" t="s">
        <v>4133</v>
      </c>
      <c r="AU2780">
        <v>2779</v>
      </c>
    </row>
    <row r="2781" spans="1:47" x14ac:dyDescent="0.2">
      <c r="A2781" s="13">
        <v>6601</v>
      </c>
      <c r="B2781" s="57"/>
      <c r="C2781" s="57" t="s">
        <v>1077</v>
      </c>
      <c r="D2781" s="29"/>
      <c r="E2781" s="57" t="s">
        <v>4134</v>
      </c>
      <c r="F2781" s="31" t="s">
        <v>4104</v>
      </c>
      <c r="G2781" s="31" t="s">
        <v>49</v>
      </c>
      <c r="I2781" s="31" t="s">
        <v>3602</v>
      </c>
      <c r="K2781" s="31">
        <v>2323.1999999999998</v>
      </c>
      <c r="AK2781" s="32">
        <v>50</v>
      </c>
      <c r="AQ2781" s="32" t="s">
        <v>4066</v>
      </c>
      <c r="AU2781">
        <v>2780</v>
      </c>
    </row>
    <row r="2782" spans="1:47" x14ac:dyDescent="0.2">
      <c r="A2782" s="26">
        <v>6601</v>
      </c>
      <c r="B2782" s="27">
        <v>0.1076388888888889</v>
      </c>
      <c r="C2782" s="28"/>
      <c r="D2782" s="29"/>
      <c r="E2782" s="30" t="s">
        <v>869</v>
      </c>
      <c r="H2782" s="32">
        <v>0</v>
      </c>
      <c r="I2782" s="32" t="s">
        <v>2344</v>
      </c>
      <c r="AG2782" s="32">
        <v>0</v>
      </c>
      <c r="AH2782" s="32">
        <v>0</v>
      </c>
      <c r="AI2782" s="32">
        <v>0</v>
      </c>
      <c r="AK2782" s="32">
        <v>0</v>
      </c>
      <c r="AL2782" s="32">
        <f>25/60</f>
        <v>0.41666666666666669</v>
      </c>
      <c r="AP2782" s="32">
        <f>25/60</f>
        <v>0.41666666666666669</v>
      </c>
      <c r="AQ2782" s="32" t="s">
        <v>589</v>
      </c>
      <c r="AU2782">
        <v>2781</v>
      </c>
    </row>
    <row r="2783" spans="1:47" x14ac:dyDescent="0.2">
      <c r="A2783" s="26">
        <v>6601</v>
      </c>
      <c r="B2783" s="27">
        <v>0.6875</v>
      </c>
      <c r="C2783" s="28"/>
      <c r="D2783" s="29"/>
      <c r="E2783" s="30" t="s">
        <v>869</v>
      </c>
      <c r="H2783" s="32">
        <v>0</v>
      </c>
      <c r="I2783" s="32" t="s">
        <v>2344</v>
      </c>
      <c r="AG2783" s="32">
        <v>0</v>
      </c>
      <c r="AH2783" s="32">
        <v>0</v>
      </c>
      <c r="AI2783" s="32">
        <v>0</v>
      </c>
      <c r="AK2783" s="32">
        <v>0</v>
      </c>
      <c r="AL2783" s="32">
        <f>5/60</f>
        <v>8.3333333333333329E-2</v>
      </c>
      <c r="AP2783" s="32">
        <f>5/60</f>
        <v>8.3333333333333329E-2</v>
      </c>
      <c r="AQ2783" s="32" t="s">
        <v>589</v>
      </c>
      <c r="AU2783">
        <v>2782</v>
      </c>
    </row>
    <row r="2784" spans="1:47" x14ac:dyDescent="0.2">
      <c r="A2784" s="26">
        <v>6601</v>
      </c>
      <c r="B2784" s="27">
        <v>0.86805555555555547</v>
      </c>
      <c r="C2784" s="28"/>
      <c r="D2784" s="29"/>
      <c r="E2784" s="30" t="s">
        <v>464</v>
      </c>
      <c r="H2784" s="32">
        <v>0</v>
      </c>
      <c r="I2784" s="32" t="s">
        <v>3590</v>
      </c>
      <c r="AG2784" s="32">
        <v>0</v>
      </c>
      <c r="AH2784" s="32">
        <v>0</v>
      </c>
      <c r="AL2784" s="32">
        <v>0.33300000000000002</v>
      </c>
      <c r="AO2784" s="32" t="s">
        <v>4067</v>
      </c>
      <c r="AP2784" s="32">
        <v>0.33300000000000002</v>
      </c>
      <c r="AQ2784" s="32" t="s">
        <v>1522</v>
      </c>
      <c r="AU2784">
        <v>2783</v>
      </c>
    </row>
    <row r="2785" spans="1:47" x14ac:dyDescent="0.2">
      <c r="A2785" s="26">
        <v>6601</v>
      </c>
      <c r="B2785" s="27" t="s">
        <v>45</v>
      </c>
      <c r="C2785" s="28"/>
      <c r="D2785" s="29"/>
      <c r="E2785" s="30" t="s">
        <v>1531</v>
      </c>
      <c r="H2785" s="32">
        <v>1</v>
      </c>
      <c r="I2785" s="32" t="s">
        <v>4135</v>
      </c>
      <c r="AM2785" s="32">
        <f>498*40</f>
        <v>19920</v>
      </c>
      <c r="AO2785" s="32" t="s">
        <v>1533</v>
      </c>
      <c r="AQ2785" s="32" t="s">
        <v>1101</v>
      </c>
      <c r="AU2785">
        <v>2784</v>
      </c>
    </row>
    <row r="2786" spans="1:47" x14ac:dyDescent="0.2">
      <c r="A2786" s="26">
        <v>6601</v>
      </c>
      <c r="B2786" s="27" t="s">
        <v>45</v>
      </c>
      <c r="C2786" s="28"/>
      <c r="D2786" s="29"/>
      <c r="E2786" s="150" t="s">
        <v>2286</v>
      </c>
      <c r="H2786" s="32">
        <v>0</v>
      </c>
      <c r="I2786" s="32" t="s">
        <v>1824</v>
      </c>
      <c r="AG2786" s="32">
        <v>0</v>
      </c>
      <c r="AH2786" s="32">
        <v>0</v>
      </c>
      <c r="AI2786" s="32">
        <v>0</v>
      </c>
      <c r="AK2786" s="32">
        <v>0</v>
      </c>
      <c r="AM2786" s="32">
        <v>2500</v>
      </c>
      <c r="AO2786" s="73" t="s">
        <v>75</v>
      </c>
      <c r="AQ2786" s="32" t="s">
        <v>589</v>
      </c>
      <c r="AU2786">
        <v>2785</v>
      </c>
    </row>
    <row r="2787" spans="1:47" x14ac:dyDescent="0.2">
      <c r="A2787" s="133">
        <v>6602</v>
      </c>
      <c r="B2787" s="39" t="s">
        <v>85</v>
      </c>
      <c r="C2787" s="39">
        <v>55</v>
      </c>
      <c r="D2787" s="29" t="b">
        <v>0</v>
      </c>
      <c r="E2787" s="39" t="s">
        <v>1006</v>
      </c>
      <c r="F2787" s="47" t="s">
        <v>4136</v>
      </c>
      <c r="G2787" s="47" t="s">
        <v>49</v>
      </c>
      <c r="H2787"/>
      <c r="I2787" s="47" t="b">
        <v>0</v>
      </c>
      <c r="J2787" s="47" t="b">
        <v>1</v>
      </c>
      <c r="K2787" s="47">
        <v>1356</v>
      </c>
      <c r="L2787" s="48">
        <v>12</v>
      </c>
      <c r="M2787" s="47">
        <v>5</v>
      </c>
      <c r="N2787" s="47">
        <v>0</v>
      </c>
      <c r="O2787" s="47">
        <v>0</v>
      </c>
      <c r="P2787" s="47">
        <v>0</v>
      </c>
      <c r="Q2787" s="47">
        <v>0</v>
      </c>
      <c r="R2787" s="47">
        <v>0</v>
      </c>
      <c r="S2787" s="48">
        <v>7</v>
      </c>
      <c r="T2787" s="47">
        <v>0</v>
      </c>
      <c r="U2787" s="47">
        <v>0</v>
      </c>
      <c r="V2787" s="47">
        <v>0</v>
      </c>
      <c r="W2787" s="47"/>
      <c r="X2787" s="47">
        <v>414</v>
      </c>
      <c r="Y2787" s="47"/>
      <c r="Z2787" s="47" t="s">
        <v>3618</v>
      </c>
      <c r="AA2787" s="49"/>
      <c r="AB2787" s="49"/>
      <c r="AC2787" s="49"/>
      <c r="AD2787" s="50"/>
      <c r="AE2787" s="47" t="s">
        <v>3798</v>
      </c>
      <c r="AF2787" s="47">
        <v>155</v>
      </c>
      <c r="AG2787"/>
      <c r="AH2787"/>
      <c r="AI2787"/>
      <c r="AJ2787"/>
      <c r="AK2787"/>
      <c r="AL2787"/>
      <c r="AM2787"/>
      <c r="AN2787"/>
      <c r="AO2787"/>
      <c r="AP2787"/>
      <c r="AQ2787" t="s">
        <v>2526</v>
      </c>
      <c r="AU2787">
        <v>2786</v>
      </c>
    </row>
    <row r="2788" spans="1:47" x14ac:dyDescent="0.2">
      <c r="A2788" s="133">
        <v>6602</v>
      </c>
      <c r="B2788" s="39" t="s">
        <v>85</v>
      </c>
      <c r="C2788" s="39" t="s">
        <v>142</v>
      </c>
      <c r="D2788" s="29"/>
      <c r="E2788" s="39" t="s">
        <v>4137</v>
      </c>
      <c r="F2788" s="47" t="s">
        <v>246</v>
      </c>
      <c r="G2788" s="47" t="s">
        <v>49</v>
      </c>
      <c r="H2788"/>
      <c r="I2788" s="47" t="b">
        <v>1</v>
      </c>
      <c r="J2788" s="47" t="b">
        <v>1</v>
      </c>
      <c r="K2788" s="47">
        <f>3120*2.2</f>
        <v>6864.0000000000009</v>
      </c>
      <c r="L2788" s="48">
        <v>30</v>
      </c>
      <c r="M2788" s="47"/>
      <c r="N2788" s="47">
        <v>8</v>
      </c>
      <c r="O2788" s="47"/>
      <c r="P2788" s="47"/>
      <c r="Q2788" s="47"/>
      <c r="R2788" s="47"/>
      <c r="S2788" s="48">
        <v>22</v>
      </c>
      <c r="T2788" s="47">
        <v>0</v>
      </c>
      <c r="U2788" s="47">
        <v>0</v>
      </c>
      <c r="V2788" s="47">
        <v>0</v>
      </c>
      <c r="W2788" s="47"/>
      <c r="X2788" s="47"/>
      <c r="Y2788" s="47" t="s">
        <v>51</v>
      </c>
      <c r="Z2788" s="31" t="s">
        <v>3724</v>
      </c>
      <c r="AA2788" s="49"/>
      <c r="AB2788" s="49"/>
      <c r="AC2788" s="49"/>
      <c r="AD2788" s="50"/>
      <c r="AE2788" s="31" t="s">
        <v>4124</v>
      </c>
      <c r="AF2788" s="47"/>
      <c r="AG2788"/>
      <c r="AH2788"/>
      <c r="AI2788"/>
      <c r="AJ2788"/>
      <c r="AK2788">
        <v>156</v>
      </c>
      <c r="AL2788"/>
      <c r="AM2788"/>
      <c r="AN2788"/>
      <c r="AO2788"/>
      <c r="AP2788"/>
      <c r="AQ2788" t="s">
        <v>4138</v>
      </c>
      <c r="AR2788" s="47" t="s">
        <v>4139</v>
      </c>
      <c r="AU2788">
        <v>2787</v>
      </c>
    </row>
    <row r="2789" spans="1:47" x14ac:dyDescent="0.2">
      <c r="A2789" s="13">
        <v>6602</v>
      </c>
      <c r="B2789" s="57" t="s">
        <v>85</v>
      </c>
      <c r="C2789" s="57" t="s">
        <v>142</v>
      </c>
      <c r="D2789" s="29"/>
      <c r="E2789" s="57" t="s">
        <v>3894</v>
      </c>
      <c r="F2789" s="31" t="s">
        <v>204</v>
      </c>
      <c r="G2789" s="31" t="s">
        <v>205</v>
      </c>
      <c r="I2789" s="47" t="b">
        <v>0</v>
      </c>
      <c r="J2789" s="47" t="b">
        <v>0</v>
      </c>
      <c r="K2789" s="31">
        <v>352</v>
      </c>
      <c r="Y2789" s="47" t="s">
        <v>51</v>
      </c>
      <c r="Z2789" s="31" t="s">
        <v>3724</v>
      </c>
      <c r="AE2789" s="31" t="s">
        <v>4124</v>
      </c>
      <c r="AF2789" s="31">
        <v>135</v>
      </c>
      <c r="AK2789" s="32">
        <v>8</v>
      </c>
      <c r="AQ2789" s="32" t="s">
        <v>4140</v>
      </c>
      <c r="AR2789" s="31" t="s">
        <v>4141</v>
      </c>
      <c r="AU2789">
        <v>2788</v>
      </c>
    </row>
    <row r="2790" spans="1:47" x14ac:dyDescent="0.2">
      <c r="A2790" s="13">
        <v>6602</v>
      </c>
      <c r="B2790" s="57" t="s">
        <v>85</v>
      </c>
      <c r="C2790" s="57" t="s">
        <v>142</v>
      </c>
      <c r="D2790" s="29"/>
      <c r="E2790" s="57" t="s">
        <v>4142</v>
      </c>
      <c r="F2790" s="31" t="s">
        <v>3637</v>
      </c>
      <c r="G2790" s="31" t="s">
        <v>69</v>
      </c>
      <c r="I2790" s="47" t="b">
        <v>0</v>
      </c>
      <c r="J2790" s="47" t="b">
        <v>0</v>
      </c>
      <c r="K2790" s="31">
        <v>352</v>
      </c>
      <c r="Y2790" s="47" t="s">
        <v>51</v>
      </c>
      <c r="Z2790" s="31" t="s">
        <v>3724</v>
      </c>
      <c r="AE2790" s="31" t="s">
        <v>4124</v>
      </c>
      <c r="AF2790" s="31">
        <v>130</v>
      </c>
      <c r="AK2790" s="32">
        <v>8</v>
      </c>
      <c r="AQ2790" s="32" t="s">
        <v>4140</v>
      </c>
      <c r="AR2790" s="31" t="s">
        <v>4143</v>
      </c>
      <c r="AU2790">
        <v>2789</v>
      </c>
    </row>
    <row r="2791" spans="1:47" x14ac:dyDescent="0.2">
      <c r="A2791" s="13">
        <v>6602</v>
      </c>
      <c r="B2791" s="57" t="s">
        <v>85</v>
      </c>
      <c r="C2791" s="57" t="s">
        <v>142</v>
      </c>
      <c r="D2791" s="29"/>
      <c r="E2791" s="57" t="s">
        <v>3876</v>
      </c>
      <c r="F2791" s="31" t="s">
        <v>76</v>
      </c>
      <c r="G2791" s="31" t="s">
        <v>49</v>
      </c>
      <c r="I2791" s="47" t="b">
        <v>0</v>
      </c>
      <c r="J2791" s="47" t="b">
        <v>0</v>
      </c>
      <c r="K2791" s="31">
        <v>2112</v>
      </c>
      <c r="Y2791" s="47" t="s">
        <v>51</v>
      </c>
      <c r="Z2791" s="31" t="s">
        <v>3724</v>
      </c>
      <c r="AE2791" s="31" t="s">
        <v>4124</v>
      </c>
      <c r="AF2791" s="31">
        <v>95</v>
      </c>
      <c r="AK2791" s="32">
        <v>48</v>
      </c>
      <c r="AQ2791" s="32" t="s">
        <v>4140</v>
      </c>
      <c r="AR2791" s="31"/>
      <c r="AU2791">
        <v>2790</v>
      </c>
    </row>
    <row r="2792" spans="1:47" x14ac:dyDescent="0.2">
      <c r="A2792" s="13">
        <v>6602</v>
      </c>
      <c r="B2792" s="57" t="s">
        <v>85</v>
      </c>
      <c r="C2792" s="57" t="s">
        <v>142</v>
      </c>
      <c r="D2792" s="29"/>
      <c r="E2792" s="57" t="s">
        <v>3884</v>
      </c>
      <c r="F2792" s="31" t="s">
        <v>76</v>
      </c>
      <c r="G2792" s="31" t="s">
        <v>49</v>
      </c>
      <c r="I2792" s="47" t="b">
        <v>0</v>
      </c>
      <c r="J2792" s="47" t="b">
        <v>0</v>
      </c>
      <c r="K2792" s="31">
        <v>4048</v>
      </c>
      <c r="Y2792" s="47" t="s">
        <v>51</v>
      </c>
      <c r="Z2792" s="31" t="s">
        <v>3724</v>
      </c>
      <c r="AE2792" s="31" t="s">
        <v>4124</v>
      </c>
      <c r="AF2792" s="31">
        <v>130</v>
      </c>
      <c r="AK2792" s="32">
        <v>92</v>
      </c>
      <c r="AQ2792" s="32" t="s">
        <v>4140</v>
      </c>
      <c r="AR2792" s="31"/>
      <c r="AU2792">
        <v>2791</v>
      </c>
    </row>
    <row r="2793" spans="1:47" x14ac:dyDescent="0.2">
      <c r="A2793" s="13">
        <v>6602</v>
      </c>
      <c r="B2793" s="57" t="s">
        <v>45</v>
      </c>
      <c r="C2793" s="57" t="s">
        <v>105</v>
      </c>
      <c r="D2793" s="29"/>
      <c r="E2793" s="57" t="s">
        <v>1310</v>
      </c>
      <c r="F2793" s="31" t="s">
        <v>76</v>
      </c>
      <c r="G2793" s="31" t="s">
        <v>49</v>
      </c>
      <c r="K2793" s="31">
        <v>193.6</v>
      </c>
      <c r="AE2793" s="31" t="s">
        <v>4094</v>
      </c>
      <c r="AF2793" s="31">
        <v>55</v>
      </c>
      <c r="AK2793" s="32">
        <v>8</v>
      </c>
      <c r="AQ2793" s="32" t="s">
        <v>4066</v>
      </c>
      <c r="AU2793">
        <v>2792</v>
      </c>
    </row>
    <row r="2794" spans="1:47" x14ac:dyDescent="0.2">
      <c r="A2794" s="13">
        <v>6602</v>
      </c>
      <c r="B2794" s="57" t="s">
        <v>45</v>
      </c>
      <c r="C2794" s="57" t="s">
        <v>105</v>
      </c>
      <c r="D2794" s="29"/>
      <c r="E2794" s="57" t="s">
        <v>3908</v>
      </c>
      <c r="F2794" s="31" t="s">
        <v>76</v>
      </c>
      <c r="G2794" s="31" t="s">
        <v>49</v>
      </c>
      <c r="I2794" s="31" t="s">
        <v>3602</v>
      </c>
      <c r="K2794" s="31">
        <v>193.6</v>
      </c>
      <c r="AE2794" s="31" t="s">
        <v>4094</v>
      </c>
      <c r="AF2794" s="31">
        <v>95</v>
      </c>
      <c r="AK2794" s="32">
        <v>8</v>
      </c>
      <c r="AQ2794" s="32" t="s">
        <v>4066</v>
      </c>
      <c r="AU2794">
        <v>2793</v>
      </c>
    </row>
    <row r="2795" spans="1:47" x14ac:dyDescent="0.2">
      <c r="A2795" s="13">
        <v>6602</v>
      </c>
      <c r="B2795" s="57" t="s">
        <v>45</v>
      </c>
      <c r="C2795" s="57" t="s">
        <v>105</v>
      </c>
      <c r="D2795" s="29"/>
      <c r="E2795" s="57" t="s">
        <v>4144</v>
      </c>
      <c r="F2795" s="31" t="s">
        <v>76</v>
      </c>
      <c r="G2795" s="31" t="s">
        <v>49</v>
      </c>
      <c r="I2795" s="31" t="s">
        <v>3602</v>
      </c>
      <c r="K2795" s="31">
        <v>211.2</v>
      </c>
      <c r="AE2795" s="31" t="s">
        <v>4094</v>
      </c>
      <c r="AF2795" s="31">
        <v>80</v>
      </c>
      <c r="AK2795" s="32">
        <v>4</v>
      </c>
      <c r="AQ2795" s="32" t="s">
        <v>4066</v>
      </c>
      <c r="AU2795">
        <v>2794</v>
      </c>
    </row>
    <row r="2796" spans="1:47" x14ac:dyDescent="0.2">
      <c r="A2796" s="13">
        <v>6602</v>
      </c>
      <c r="B2796" s="57" t="s">
        <v>45</v>
      </c>
      <c r="C2796" s="57" t="s">
        <v>105</v>
      </c>
      <c r="D2796" s="29"/>
      <c r="E2796" s="57" t="s">
        <v>1531</v>
      </c>
      <c r="F2796" s="31" t="s">
        <v>3764</v>
      </c>
      <c r="G2796" s="31" t="s">
        <v>481</v>
      </c>
      <c r="I2796" s="31" t="s">
        <v>3602</v>
      </c>
      <c r="K2796" s="31">
        <v>211.2</v>
      </c>
      <c r="AE2796" s="31" t="s">
        <v>4094</v>
      </c>
      <c r="AF2796" s="31">
        <v>100</v>
      </c>
      <c r="AK2796" s="32">
        <v>4</v>
      </c>
      <c r="AQ2796" s="32" t="s">
        <v>4066</v>
      </c>
      <c r="AU2796">
        <v>2795</v>
      </c>
    </row>
    <row r="2797" spans="1:47" x14ac:dyDescent="0.2">
      <c r="A2797" s="13">
        <v>6602</v>
      </c>
      <c r="B2797" s="57" t="s">
        <v>45</v>
      </c>
      <c r="C2797" s="57" t="s">
        <v>105</v>
      </c>
      <c r="D2797" s="29"/>
      <c r="E2797" s="57" t="s">
        <v>1400</v>
      </c>
      <c r="F2797" s="31" t="s">
        <v>3992</v>
      </c>
      <c r="G2797" s="31" t="s">
        <v>49</v>
      </c>
      <c r="I2797" s="31" t="s">
        <v>3602</v>
      </c>
      <c r="K2797" s="31">
        <v>242</v>
      </c>
      <c r="AE2797" s="31" t="s">
        <v>4094</v>
      </c>
      <c r="AF2797" s="31">
        <v>85</v>
      </c>
      <c r="AK2797" s="32">
        <v>10</v>
      </c>
      <c r="AQ2797" s="32" t="s">
        <v>4066</v>
      </c>
      <c r="AU2797">
        <v>2796</v>
      </c>
    </row>
    <row r="2798" spans="1:47" x14ac:dyDescent="0.2">
      <c r="A2798" s="13">
        <v>6602</v>
      </c>
      <c r="B2798" s="57" t="s">
        <v>45</v>
      </c>
      <c r="C2798" s="57" t="s">
        <v>105</v>
      </c>
      <c r="D2798" s="29"/>
      <c r="E2798" s="57" t="s">
        <v>3063</v>
      </c>
      <c r="F2798" s="31" t="s">
        <v>76</v>
      </c>
      <c r="G2798" s="31" t="s">
        <v>49</v>
      </c>
      <c r="I2798" s="31" t="s">
        <v>3602</v>
      </c>
      <c r="K2798" s="31">
        <v>633.6</v>
      </c>
      <c r="AE2798" s="31" t="s">
        <v>4094</v>
      </c>
      <c r="AF2798" s="31">
        <v>80</v>
      </c>
      <c r="AK2798" s="32">
        <v>12</v>
      </c>
      <c r="AQ2798" s="32" t="s">
        <v>4066</v>
      </c>
      <c r="AU2798">
        <v>2797</v>
      </c>
    </row>
    <row r="2799" spans="1:47" x14ac:dyDescent="0.2">
      <c r="A2799" s="13">
        <v>6602</v>
      </c>
      <c r="B2799" s="57" t="s">
        <v>45</v>
      </c>
      <c r="C2799" s="57" t="s">
        <v>142</v>
      </c>
      <c r="D2799" s="29"/>
      <c r="E2799" s="57" t="s">
        <v>4145</v>
      </c>
      <c r="F2799" s="31" t="s">
        <v>4146</v>
      </c>
      <c r="G2799" s="31" t="s">
        <v>69</v>
      </c>
      <c r="I2799" s="31" t="s">
        <v>4147</v>
      </c>
      <c r="K2799" s="31">
        <f>484*2.2</f>
        <v>1064.8000000000002</v>
      </c>
      <c r="L2799" s="33">
        <v>3</v>
      </c>
      <c r="S2799" s="33">
        <v>3</v>
      </c>
      <c r="T2799" s="31">
        <v>0</v>
      </c>
      <c r="U2799" s="31">
        <v>0</v>
      </c>
      <c r="V2799" s="31">
        <v>0</v>
      </c>
      <c r="Y2799" s="31" t="s">
        <v>51</v>
      </c>
      <c r="Z2799" s="31" t="s">
        <v>3855</v>
      </c>
      <c r="AE2799" s="31" t="s">
        <v>4124</v>
      </c>
      <c r="AK2799" s="32">
        <f>3+14</f>
        <v>17</v>
      </c>
      <c r="AQ2799" s="32" t="s">
        <v>4133</v>
      </c>
      <c r="AU2799">
        <v>2798</v>
      </c>
    </row>
    <row r="2800" spans="1:47" x14ac:dyDescent="0.2">
      <c r="A2800" s="13">
        <v>6602</v>
      </c>
      <c r="B2800" s="57"/>
      <c r="C2800" s="57" t="s">
        <v>1077</v>
      </c>
      <c r="D2800" s="29"/>
      <c r="E2800" s="57" t="s">
        <v>2475</v>
      </c>
      <c r="F2800" s="31" t="s">
        <v>3764</v>
      </c>
      <c r="G2800" s="31" t="s">
        <v>481</v>
      </c>
      <c r="I2800" s="31" t="s">
        <v>3602</v>
      </c>
      <c r="K2800" s="31">
        <v>193.6</v>
      </c>
      <c r="AK2800" s="32">
        <v>4</v>
      </c>
      <c r="AQ2800" s="32" t="s">
        <v>4066</v>
      </c>
      <c r="AU2800">
        <v>2799</v>
      </c>
    </row>
    <row r="2801" spans="1:47" x14ac:dyDescent="0.2">
      <c r="A2801" s="13">
        <v>6602</v>
      </c>
      <c r="B2801" s="57"/>
      <c r="C2801" s="57" t="s">
        <v>1077</v>
      </c>
      <c r="D2801" s="29"/>
      <c r="E2801" s="57" t="s">
        <v>4148</v>
      </c>
      <c r="F2801" s="31" t="s">
        <v>3764</v>
      </c>
      <c r="G2801" s="31" t="s">
        <v>481</v>
      </c>
      <c r="I2801" s="31" t="s">
        <v>3602</v>
      </c>
      <c r="K2801" s="31">
        <v>484</v>
      </c>
      <c r="AK2801" s="32">
        <v>10</v>
      </c>
      <c r="AQ2801" s="32" t="s">
        <v>4066</v>
      </c>
      <c r="AU2801">
        <v>2800</v>
      </c>
    </row>
    <row r="2802" spans="1:47" x14ac:dyDescent="0.2">
      <c r="A2802" s="13">
        <v>6602</v>
      </c>
      <c r="B2802" s="57"/>
      <c r="C2802" s="57" t="s">
        <v>1077</v>
      </c>
      <c r="D2802" s="29"/>
      <c r="E2802" s="57" t="s">
        <v>3498</v>
      </c>
      <c r="F2802" s="31" t="s">
        <v>3764</v>
      </c>
      <c r="G2802" s="31" t="s">
        <v>481</v>
      </c>
      <c r="I2802" s="31" t="s">
        <v>3602</v>
      </c>
      <c r="K2802" s="31">
        <v>580.79999999999995</v>
      </c>
      <c r="AK2802" s="32">
        <v>22</v>
      </c>
      <c r="AQ2802" s="32" t="s">
        <v>4066</v>
      </c>
      <c r="AU2802">
        <v>2801</v>
      </c>
    </row>
    <row r="2803" spans="1:47" x14ac:dyDescent="0.2">
      <c r="A2803" s="13">
        <v>6602</v>
      </c>
      <c r="B2803" s="57"/>
      <c r="C2803" s="57" t="s">
        <v>1077</v>
      </c>
      <c r="D2803" s="29"/>
      <c r="E2803" s="57" t="s">
        <v>4149</v>
      </c>
      <c r="F2803" s="31" t="s">
        <v>76</v>
      </c>
      <c r="G2803" s="31" t="s">
        <v>49</v>
      </c>
      <c r="I2803" s="31" t="s">
        <v>3602</v>
      </c>
      <c r="K2803" s="31">
        <v>774.4</v>
      </c>
      <c r="AK2803" s="32">
        <v>16</v>
      </c>
      <c r="AQ2803" s="32" t="s">
        <v>4066</v>
      </c>
      <c r="AU2803">
        <v>2802</v>
      </c>
    </row>
    <row r="2804" spans="1:47" x14ac:dyDescent="0.2">
      <c r="A2804" s="13">
        <v>6602</v>
      </c>
      <c r="B2804" s="57"/>
      <c r="C2804" s="57" t="s">
        <v>1077</v>
      </c>
      <c r="D2804" s="29"/>
      <c r="E2804" s="57" t="s">
        <v>4150</v>
      </c>
      <c r="F2804" s="31" t="s">
        <v>4151</v>
      </c>
      <c r="K2804" s="31">
        <v>1113.2</v>
      </c>
      <c r="AK2804" s="32">
        <v>23</v>
      </c>
      <c r="AQ2804" s="32" t="s">
        <v>4066</v>
      </c>
      <c r="AU2804">
        <v>2803</v>
      </c>
    </row>
    <row r="2805" spans="1:47" x14ac:dyDescent="0.2">
      <c r="A2805" s="13">
        <v>6602</v>
      </c>
      <c r="B2805" s="57"/>
      <c r="C2805" s="57" t="s">
        <v>1077</v>
      </c>
      <c r="D2805" s="29"/>
      <c r="E2805" s="57" t="s">
        <v>788</v>
      </c>
      <c r="F2805" s="31" t="s">
        <v>76</v>
      </c>
      <c r="G2805" s="31" t="s">
        <v>49</v>
      </c>
      <c r="I2805" s="31" t="s">
        <v>3602</v>
      </c>
      <c r="K2805" s="31">
        <v>1500.4</v>
      </c>
      <c r="AK2805" s="32">
        <v>31</v>
      </c>
      <c r="AQ2805" s="32" t="s">
        <v>4066</v>
      </c>
      <c r="AU2805">
        <v>2804</v>
      </c>
    </row>
    <row r="2806" spans="1:47" x14ac:dyDescent="0.2">
      <c r="A2806" s="26">
        <v>6602</v>
      </c>
      <c r="B2806" s="27">
        <v>2.4305555555555556E-2</v>
      </c>
      <c r="C2806" s="28"/>
      <c r="D2806" s="29"/>
      <c r="E2806" s="30" t="s">
        <v>464</v>
      </c>
      <c r="H2806" s="32">
        <v>0</v>
      </c>
      <c r="I2806" s="32" t="s">
        <v>4152</v>
      </c>
      <c r="AG2806" s="32">
        <v>0</v>
      </c>
      <c r="AH2806" s="32">
        <v>0</v>
      </c>
      <c r="AL2806" s="32">
        <v>3.75</v>
      </c>
      <c r="AO2806" s="32" t="s">
        <v>4067</v>
      </c>
      <c r="AP2806" s="32">
        <v>3.75</v>
      </c>
      <c r="AQ2806" s="32" t="s">
        <v>1522</v>
      </c>
      <c r="AU2806">
        <v>2805</v>
      </c>
    </row>
    <row r="2807" spans="1:47" x14ac:dyDescent="0.2">
      <c r="A2807" s="26">
        <v>6602</v>
      </c>
      <c r="B2807" s="27">
        <v>0.53263888888888888</v>
      </c>
      <c r="C2807" s="28"/>
      <c r="D2807" s="29"/>
      <c r="E2807" s="30" t="s">
        <v>869</v>
      </c>
      <c r="H2807" s="32">
        <v>0</v>
      </c>
      <c r="I2807" s="32" t="s">
        <v>4153</v>
      </c>
      <c r="AG2807" s="32">
        <v>0</v>
      </c>
      <c r="AH2807" s="32">
        <v>0</v>
      </c>
      <c r="AI2807" s="32">
        <v>0</v>
      </c>
      <c r="AK2807" s="32">
        <v>0</v>
      </c>
      <c r="AL2807" s="32">
        <v>0.66700000000000004</v>
      </c>
      <c r="AP2807" s="32">
        <v>0.66700000000000004</v>
      </c>
      <c r="AQ2807" s="32" t="s">
        <v>589</v>
      </c>
      <c r="AU2807">
        <v>2806</v>
      </c>
    </row>
    <row r="2808" spans="1:47" x14ac:dyDescent="0.2">
      <c r="A2808" s="26">
        <v>6602</v>
      </c>
      <c r="B2808" s="27">
        <v>0.53819444444444442</v>
      </c>
      <c r="C2808" s="28"/>
      <c r="D2808" s="29"/>
      <c r="E2808" s="30" t="s">
        <v>1282</v>
      </c>
      <c r="H2808" s="32">
        <v>0</v>
      </c>
      <c r="I2808" s="32" t="s">
        <v>4154</v>
      </c>
      <c r="AG2808" s="32">
        <v>0</v>
      </c>
      <c r="AH2808" s="32">
        <v>0</v>
      </c>
      <c r="AI2808" s="32">
        <v>0</v>
      </c>
      <c r="AK2808" s="32">
        <v>0</v>
      </c>
      <c r="AL2808" s="32">
        <v>0.25</v>
      </c>
      <c r="AP2808" s="32">
        <v>0.25</v>
      </c>
      <c r="AQ2808" s="32" t="s">
        <v>1101</v>
      </c>
      <c r="AU2808">
        <v>2807</v>
      </c>
    </row>
    <row r="2809" spans="1:47" x14ac:dyDescent="0.2">
      <c r="A2809" s="26">
        <v>6602</v>
      </c>
      <c r="B2809" s="27">
        <v>0.53819444444444442</v>
      </c>
      <c r="C2809" s="28"/>
      <c r="D2809" s="29"/>
      <c r="E2809" s="102" t="s">
        <v>1102</v>
      </c>
      <c r="H2809" s="32">
        <v>0</v>
      </c>
      <c r="I2809" s="32" t="s">
        <v>4155</v>
      </c>
      <c r="AG2809" s="32">
        <v>0</v>
      </c>
      <c r="AH2809" s="32">
        <v>0</v>
      </c>
      <c r="AI2809" s="32">
        <v>0</v>
      </c>
      <c r="AK2809" s="32">
        <v>0</v>
      </c>
      <c r="AL2809" s="32">
        <f>83/60</f>
        <v>1.3833333333333333</v>
      </c>
      <c r="AO2809" s="73" t="s">
        <v>1006</v>
      </c>
      <c r="AP2809" s="32">
        <f>83/60</f>
        <v>1.3833333333333333</v>
      </c>
      <c r="AQ2809" s="32" t="s">
        <v>589</v>
      </c>
      <c r="AU2809">
        <v>2808</v>
      </c>
    </row>
    <row r="2810" spans="1:47" x14ac:dyDescent="0.2">
      <c r="A2810" s="26">
        <v>6602</v>
      </c>
      <c r="B2810" s="27">
        <v>0.54166666666666663</v>
      </c>
      <c r="C2810" s="28"/>
      <c r="D2810" s="29"/>
      <c r="E2810" s="30" t="s">
        <v>1028</v>
      </c>
      <c r="H2810" s="32">
        <v>1</v>
      </c>
      <c r="I2810" s="32" t="s">
        <v>4156</v>
      </c>
      <c r="AG2810" s="32">
        <v>0</v>
      </c>
      <c r="AH2810" s="32">
        <v>0</v>
      </c>
      <c r="AI2810" s="32">
        <v>0</v>
      </c>
      <c r="AK2810" s="32">
        <v>1</v>
      </c>
      <c r="AL2810" s="32">
        <v>0</v>
      </c>
      <c r="AO2810" s="32" t="s">
        <v>1030</v>
      </c>
      <c r="AQ2810" s="32">
        <v>432</v>
      </c>
      <c r="AU2810">
        <v>2809</v>
      </c>
    </row>
    <row r="2811" spans="1:47" x14ac:dyDescent="0.2">
      <c r="A2811" s="26">
        <v>6602</v>
      </c>
      <c r="B2811" s="27">
        <v>0.54166666666666663</v>
      </c>
      <c r="C2811" s="28"/>
      <c r="D2811" s="29"/>
      <c r="E2811" s="30" t="s">
        <v>1144</v>
      </c>
      <c r="H2811" s="32">
        <v>0</v>
      </c>
      <c r="I2811" s="32" t="s">
        <v>4157</v>
      </c>
      <c r="AG2811" s="32">
        <v>0</v>
      </c>
      <c r="AH2811" s="32">
        <v>0</v>
      </c>
      <c r="AI2811" s="32">
        <v>0</v>
      </c>
      <c r="AK2811" s="32">
        <v>0</v>
      </c>
      <c r="AM2811" s="32">
        <v>995</v>
      </c>
      <c r="AO2811" s="32" t="s">
        <v>1006</v>
      </c>
      <c r="AQ2811" s="32">
        <v>421</v>
      </c>
      <c r="AU2811">
        <v>2810</v>
      </c>
    </row>
    <row r="2812" spans="1:47" x14ac:dyDescent="0.2">
      <c r="A2812" s="26">
        <v>6602</v>
      </c>
      <c r="B2812" s="27">
        <v>0.56041666666666667</v>
      </c>
      <c r="C2812" s="28"/>
      <c r="D2812" s="29"/>
      <c r="E2812" s="30" t="s">
        <v>3155</v>
      </c>
      <c r="H2812" s="32">
        <v>0</v>
      </c>
      <c r="I2812" s="32" t="s">
        <v>3156</v>
      </c>
      <c r="AG2812" s="32">
        <v>0</v>
      </c>
      <c r="AH2812" s="32">
        <v>0</v>
      </c>
      <c r="AI2812" s="32">
        <v>0</v>
      </c>
      <c r="AK2812" s="32">
        <v>0</v>
      </c>
      <c r="AP2812" s="32">
        <v>0.33300000000000002</v>
      </c>
      <c r="AQ2812" s="32" t="s">
        <v>1101</v>
      </c>
      <c r="AU2812">
        <v>2811</v>
      </c>
    </row>
    <row r="2813" spans="1:47" x14ac:dyDescent="0.2">
      <c r="A2813" s="26">
        <v>6602</v>
      </c>
      <c r="B2813" s="27">
        <v>0.58888888888888891</v>
      </c>
      <c r="C2813" s="28"/>
      <c r="D2813" s="29"/>
      <c r="E2813" s="30" t="s">
        <v>2964</v>
      </c>
      <c r="H2813" s="32">
        <v>0</v>
      </c>
      <c r="I2813" s="32" t="s">
        <v>4158</v>
      </c>
      <c r="AG2813" s="32">
        <v>0</v>
      </c>
      <c r="AH2813" s="32">
        <v>0</v>
      </c>
      <c r="AI2813" s="32">
        <v>0</v>
      </c>
      <c r="AK2813" s="32">
        <v>0</v>
      </c>
      <c r="AL2813" s="32">
        <v>0.15</v>
      </c>
      <c r="AP2813" s="32">
        <v>0.15</v>
      </c>
      <c r="AQ2813" s="32" t="s">
        <v>1101</v>
      </c>
      <c r="AU2813">
        <v>2812</v>
      </c>
    </row>
    <row r="2814" spans="1:47" x14ac:dyDescent="0.2">
      <c r="A2814" s="26">
        <v>6602</v>
      </c>
      <c r="B2814" s="27">
        <v>0.6875</v>
      </c>
      <c r="C2814" s="28"/>
      <c r="D2814" s="29"/>
      <c r="E2814" s="30" t="s">
        <v>1282</v>
      </c>
      <c r="H2814" s="32">
        <v>0</v>
      </c>
      <c r="I2814" s="32" t="s">
        <v>4159</v>
      </c>
      <c r="AG2814" s="32">
        <v>0</v>
      </c>
      <c r="AH2814" s="32">
        <v>0</v>
      </c>
      <c r="AI2814" s="32">
        <v>0</v>
      </c>
      <c r="AK2814" s="32">
        <v>0</v>
      </c>
      <c r="AL2814" s="32">
        <v>1.3332999999999999</v>
      </c>
      <c r="AP2814" s="32">
        <v>1.3332999999999999</v>
      </c>
      <c r="AQ2814" s="32" t="s">
        <v>1101</v>
      </c>
      <c r="AU2814">
        <v>2813</v>
      </c>
    </row>
    <row r="2815" spans="1:47" x14ac:dyDescent="0.2">
      <c r="A2815" s="26">
        <v>6602</v>
      </c>
      <c r="B2815" s="27" t="s">
        <v>85</v>
      </c>
      <c r="C2815" s="28"/>
      <c r="D2815" s="29"/>
      <c r="E2815" s="30" t="s">
        <v>1531</v>
      </c>
      <c r="H2815" s="32">
        <v>0</v>
      </c>
      <c r="I2815" s="32" t="s">
        <v>4160</v>
      </c>
      <c r="AG2815" s="32">
        <v>0</v>
      </c>
      <c r="AH2815" s="32">
        <v>0</v>
      </c>
      <c r="AI2815" s="32">
        <v>0</v>
      </c>
      <c r="AK2815" s="32">
        <v>0</v>
      </c>
      <c r="AM2815" s="32">
        <f>498*65</f>
        <v>32370</v>
      </c>
      <c r="AO2815" s="32" t="s">
        <v>1533</v>
      </c>
      <c r="AQ2815" s="32" t="s">
        <v>1101</v>
      </c>
      <c r="AU2815">
        <v>2814</v>
      </c>
    </row>
    <row r="2816" spans="1:47" x14ac:dyDescent="0.2">
      <c r="A2816" s="26">
        <v>6602</v>
      </c>
      <c r="B2816" s="27" t="s">
        <v>45</v>
      </c>
      <c r="C2816" s="28"/>
      <c r="D2816" s="29"/>
      <c r="E2816" s="30" t="s">
        <v>1531</v>
      </c>
      <c r="H2816" s="32">
        <v>1</v>
      </c>
      <c r="I2816" s="32" t="s">
        <v>4161</v>
      </c>
      <c r="AM2816" s="32">
        <f>498*75</f>
        <v>37350</v>
      </c>
      <c r="AO2816" s="32" t="s">
        <v>1533</v>
      </c>
      <c r="AQ2816" s="32" t="s">
        <v>1101</v>
      </c>
      <c r="AU2816">
        <v>2815</v>
      </c>
    </row>
    <row r="2817" spans="1:47" x14ac:dyDescent="0.2">
      <c r="A2817" s="44">
        <v>6603</v>
      </c>
      <c r="B2817" s="42" t="s">
        <v>85</v>
      </c>
      <c r="C2817" s="39" t="s">
        <v>253</v>
      </c>
      <c r="D2817" s="29"/>
      <c r="E2817" s="39" t="s">
        <v>4044</v>
      </c>
      <c r="F2817" s="31" t="s">
        <v>1900</v>
      </c>
      <c r="G2817" s="47" t="s">
        <v>69</v>
      </c>
      <c r="H2817"/>
      <c r="I2817" s="47" t="s">
        <v>4083</v>
      </c>
      <c r="L2817" s="33">
        <v>10</v>
      </c>
      <c r="T2817" s="31">
        <v>0</v>
      </c>
      <c r="AU2817">
        <v>2816</v>
      </c>
    </row>
    <row r="2818" spans="1:47" x14ac:dyDescent="0.2">
      <c r="A2818" s="13">
        <v>6603</v>
      </c>
      <c r="B2818" s="57" t="s">
        <v>85</v>
      </c>
      <c r="C2818" s="57" t="s">
        <v>1234</v>
      </c>
      <c r="D2818" s="29"/>
      <c r="E2818" s="57" t="s">
        <v>3726</v>
      </c>
      <c r="F2818" s="31" t="s">
        <v>3727</v>
      </c>
      <c r="G2818" s="31" t="s">
        <v>69</v>
      </c>
      <c r="I2818" s="31" t="s">
        <v>4070</v>
      </c>
      <c r="K2818" s="63"/>
      <c r="Z2818" s="47" t="s">
        <v>1809</v>
      </c>
      <c r="AQ2818" s="32" t="s">
        <v>4071</v>
      </c>
      <c r="AU2818">
        <v>2817</v>
      </c>
    </row>
    <row r="2819" spans="1:47" x14ac:dyDescent="0.2">
      <c r="A2819" s="13">
        <v>6603</v>
      </c>
      <c r="B2819" s="57" t="s">
        <v>45</v>
      </c>
      <c r="C2819" s="57" t="s">
        <v>105</v>
      </c>
      <c r="D2819" s="29"/>
      <c r="E2819" s="57" t="s">
        <v>1400</v>
      </c>
      <c r="F2819" s="31" t="s">
        <v>3992</v>
      </c>
      <c r="G2819" s="31" t="s">
        <v>49</v>
      </c>
      <c r="I2819" s="31" t="s">
        <v>3602</v>
      </c>
      <c r="K2819" s="31">
        <v>193.6</v>
      </c>
      <c r="AK2819" s="32">
        <v>8</v>
      </c>
      <c r="AQ2819" s="32" t="s">
        <v>4066</v>
      </c>
      <c r="AU2819">
        <v>2818</v>
      </c>
    </row>
    <row r="2820" spans="1:47" x14ac:dyDescent="0.2">
      <c r="A2820" s="13">
        <v>6603</v>
      </c>
      <c r="B2820" s="57" t="s">
        <v>45</v>
      </c>
      <c r="C2820" s="57" t="s">
        <v>105</v>
      </c>
      <c r="D2820" s="29"/>
      <c r="E2820" s="57" t="s">
        <v>4162</v>
      </c>
      <c r="F2820" s="31" t="s">
        <v>76</v>
      </c>
      <c r="G2820" s="31" t="s">
        <v>49</v>
      </c>
      <c r="K2820" s="31">
        <v>211.2</v>
      </c>
      <c r="AK2820" s="32">
        <v>4</v>
      </c>
      <c r="AQ2820" s="32" t="s">
        <v>4066</v>
      </c>
      <c r="AU2820">
        <v>2819</v>
      </c>
    </row>
    <row r="2821" spans="1:47" x14ac:dyDescent="0.2">
      <c r="A2821" s="13">
        <v>6603</v>
      </c>
      <c r="B2821" s="57" t="s">
        <v>45</v>
      </c>
      <c r="C2821" s="57" t="s">
        <v>105</v>
      </c>
      <c r="D2821" s="29"/>
      <c r="E2821" s="57" t="s">
        <v>3063</v>
      </c>
      <c r="F2821" s="31" t="s">
        <v>76</v>
      </c>
      <c r="G2821" s="31" t="s">
        <v>49</v>
      </c>
      <c r="I2821" s="31" t="s">
        <v>3602</v>
      </c>
      <c r="K2821" s="31">
        <v>211.2</v>
      </c>
      <c r="AK2821" s="32">
        <v>4</v>
      </c>
      <c r="AQ2821" s="32" t="s">
        <v>4066</v>
      </c>
      <c r="AU2821">
        <v>2820</v>
      </c>
    </row>
    <row r="2822" spans="1:47" x14ac:dyDescent="0.2">
      <c r="A2822" s="13">
        <v>6603</v>
      </c>
      <c r="B2822" s="57" t="s">
        <v>45</v>
      </c>
      <c r="C2822" s="57" t="s">
        <v>105</v>
      </c>
      <c r="D2822" s="29"/>
      <c r="E2822" s="57" t="s">
        <v>2191</v>
      </c>
      <c r="F2822" s="31" t="s">
        <v>76</v>
      </c>
      <c r="G2822" s="31" t="s">
        <v>49</v>
      </c>
      <c r="I2822" s="31" t="s">
        <v>3602</v>
      </c>
      <c r="K2822" s="31">
        <v>616</v>
      </c>
      <c r="AK2822" s="32">
        <v>16</v>
      </c>
      <c r="AQ2822" s="32" t="s">
        <v>4066</v>
      </c>
      <c r="AU2822">
        <v>2821</v>
      </c>
    </row>
    <row r="2823" spans="1:47" x14ac:dyDescent="0.2">
      <c r="A2823" s="44">
        <v>6603</v>
      </c>
      <c r="B2823" s="42" t="s">
        <v>45</v>
      </c>
      <c r="C2823" s="43" t="s">
        <v>142</v>
      </c>
      <c r="D2823" s="29"/>
      <c r="E2823" s="36" t="s">
        <v>4163</v>
      </c>
      <c r="F2823" s="31" t="s">
        <v>4164</v>
      </c>
      <c r="G2823" s="31" t="s">
        <v>73</v>
      </c>
      <c r="H2823" s="32"/>
      <c r="I2823" s="47" t="b">
        <v>1</v>
      </c>
      <c r="J2823" s="47" t="b">
        <v>1</v>
      </c>
      <c r="K2823" s="31">
        <f>2900*2.2</f>
        <v>6380.0000000000009</v>
      </c>
      <c r="L2823" s="33">
        <v>18</v>
      </c>
      <c r="N2823" s="31">
        <v>2</v>
      </c>
      <c r="S2823" s="33">
        <v>16</v>
      </c>
      <c r="T2823" s="31">
        <v>0</v>
      </c>
      <c r="U2823" s="31">
        <v>0</v>
      </c>
      <c r="V2823" s="31">
        <v>0</v>
      </c>
      <c r="Y2823" s="31" t="s">
        <v>51</v>
      </c>
      <c r="Z2823" s="31" t="s">
        <v>3855</v>
      </c>
      <c r="AA2823" s="34">
        <v>0.75</v>
      </c>
      <c r="AB2823" s="34">
        <v>0.11458333333333333</v>
      </c>
      <c r="AC2823" s="49">
        <v>0.93194444444444446</v>
      </c>
      <c r="AD2823" s="50">
        <v>8.75</v>
      </c>
      <c r="AE2823" s="31" t="s">
        <v>4124</v>
      </c>
      <c r="AQ2823" s="32" t="s">
        <v>4165</v>
      </c>
      <c r="AR2823" s="32" t="s">
        <v>4166</v>
      </c>
      <c r="AU2823">
        <v>2822</v>
      </c>
    </row>
    <row r="2824" spans="1:47" x14ac:dyDescent="0.2">
      <c r="A2824" s="13">
        <v>6603</v>
      </c>
      <c r="B2824" s="57" t="s">
        <v>45</v>
      </c>
      <c r="C2824" s="57" t="s">
        <v>142</v>
      </c>
      <c r="D2824" s="29"/>
      <c r="E2824" s="57" t="s">
        <v>1404</v>
      </c>
      <c r="F2824" s="31" t="s">
        <v>76</v>
      </c>
      <c r="G2824" s="31" t="s">
        <v>49</v>
      </c>
      <c r="I2824" s="47" t="b">
        <v>0</v>
      </c>
      <c r="J2824" s="47" t="b">
        <v>0</v>
      </c>
      <c r="K2824" s="31">
        <f>72*2.2</f>
        <v>158.4</v>
      </c>
      <c r="Z2824" s="31" t="s">
        <v>3855</v>
      </c>
      <c r="AE2824" s="31" t="s">
        <v>4124</v>
      </c>
      <c r="AF2824" s="31">
        <v>50</v>
      </c>
      <c r="AK2824" s="32">
        <v>5</v>
      </c>
      <c r="AQ2824" s="32" t="s">
        <v>4066</v>
      </c>
      <c r="AR2824" s="31"/>
      <c r="AU2824">
        <v>2823</v>
      </c>
    </row>
    <row r="2825" spans="1:47" x14ac:dyDescent="0.2">
      <c r="A2825" s="13">
        <v>6603</v>
      </c>
      <c r="B2825" s="57" t="s">
        <v>45</v>
      </c>
      <c r="C2825" s="57" t="s">
        <v>142</v>
      </c>
      <c r="D2825" s="29"/>
      <c r="E2825" s="57" t="s">
        <v>2191</v>
      </c>
      <c r="F2825" s="31" t="s">
        <v>76</v>
      </c>
      <c r="G2825" s="31" t="s">
        <v>49</v>
      </c>
      <c r="I2825" s="47" t="b">
        <v>0</v>
      </c>
      <c r="J2825" s="47" t="b">
        <v>0</v>
      </c>
      <c r="K2825" s="31">
        <f>140*2.2</f>
        <v>308</v>
      </c>
      <c r="Z2825" s="31" t="s">
        <v>3855</v>
      </c>
      <c r="AE2825" s="31" t="s">
        <v>4124</v>
      </c>
      <c r="AF2825" s="31">
        <v>60</v>
      </c>
      <c r="AK2825" s="32">
        <v>7</v>
      </c>
      <c r="AQ2825" s="32" t="s">
        <v>4066</v>
      </c>
      <c r="AR2825" s="31" t="s">
        <v>3602</v>
      </c>
      <c r="AU2825">
        <v>2824</v>
      </c>
    </row>
    <row r="2826" spans="1:47" x14ac:dyDescent="0.2">
      <c r="A2826" s="13">
        <v>6603</v>
      </c>
      <c r="B2826" s="57" t="s">
        <v>45</v>
      </c>
      <c r="C2826" s="57" t="s">
        <v>142</v>
      </c>
      <c r="D2826" s="29"/>
      <c r="E2826" s="57" t="s">
        <v>199</v>
      </c>
      <c r="F2826" s="31" t="s">
        <v>76</v>
      </c>
      <c r="G2826" s="31" t="s">
        <v>49</v>
      </c>
      <c r="I2826" s="47" t="b">
        <v>0</v>
      </c>
      <c r="J2826" s="47" t="b">
        <v>0</v>
      </c>
      <c r="K2826" s="31">
        <f>186*2.2</f>
        <v>409.20000000000005</v>
      </c>
      <c r="Z2826" s="31" t="s">
        <v>3855</v>
      </c>
      <c r="AE2826" s="31" t="s">
        <v>4124</v>
      </c>
      <c r="AF2826" s="31">
        <v>60</v>
      </c>
      <c r="AK2826" s="32">
        <v>5</v>
      </c>
      <c r="AQ2826" s="32" t="s">
        <v>4066</v>
      </c>
      <c r="AR2826" s="31"/>
      <c r="AU2826">
        <v>2825</v>
      </c>
    </row>
    <row r="2827" spans="1:47" x14ac:dyDescent="0.2">
      <c r="A2827" s="13">
        <v>6603</v>
      </c>
      <c r="B2827" s="57" t="s">
        <v>45</v>
      </c>
      <c r="C2827" s="57" t="s">
        <v>142</v>
      </c>
      <c r="D2827" s="29"/>
      <c r="E2827" s="57" t="s">
        <v>1531</v>
      </c>
      <c r="F2827" s="31" t="s">
        <v>3764</v>
      </c>
      <c r="G2827" s="31" t="s">
        <v>481</v>
      </c>
      <c r="I2827" s="47" t="b">
        <v>0</v>
      </c>
      <c r="J2827" s="47" t="b">
        <v>0</v>
      </c>
      <c r="K2827" s="31">
        <f>204*2.2</f>
        <v>448.8</v>
      </c>
      <c r="Z2827" s="31" t="s">
        <v>3855</v>
      </c>
      <c r="AE2827" s="31" t="s">
        <v>4124</v>
      </c>
      <c r="AF2827" s="31">
        <v>85</v>
      </c>
      <c r="AK2827" s="32">
        <v>8</v>
      </c>
      <c r="AQ2827" s="32" t="s">
        <v>4066</v>
      </c>
      <c r="AR2827" s="31" t="s">
        <v>3602</v>
      </c>
      <c r="AU2827">
        <v>2826</v>
      </c>
    </row>
    <row r="2828" spans="1:47" x14ac:dyDescent="0.2">
      <c r="A2828" s="13">
        <v>6603</v>
      </c>
      <c r="B2828" s="57" t="s">
        <v>45</v>
      </c>
      <c r="C2828" s="57" t="s">
        <v>142</v>
      </c>
      <c r="D2828" s="29"/>
      <c r="E2828" s="57" t="s">
        <v>788</v>
      </c>
      <c r="F2828" s="31" t="s">
        <v>76</v>
      </c>
      <c r="G2828" s="31" t="s">
        <v>49</v>
      </c>
      <c r="I2828" s="47" t="b">
        <v>0</v>
      </c>
      <c r="J2828" s="47" t="b">
        <v>0</v>
      </c>
      <c r="K2828" s="31">
        <f>276*2.2</f>
        <v>607.20000000000005</v>
      </c>
      <c r="Z2828" s="31" t="s">
        <v>3855</v>
      </c>
      <c r="AE2828" s="31" t="s">
        <v>4124</v>
      </c>
      <c r="AF2828" s="31">
        <v>55</v>
      </c>
      <c r="AK2828" s="32">
        <v>6</v>
      </c>
      <c r="AQ2828" s="32" t="s">
        <v>4066</v>
      </c>
      <c r="AR2828" s="31" t="s">
        <v>3602</v>
      </c>
      <c r="AU2828">
        <v>2827</v>
      </c>
    </row>
    <row r="2829" spans="1:47" x14ac:dyDescent="0.2">
      <c r="A2829" s="13">
        <v>6603</v>
      </c>
      <c r="B2829" s="57" t="s">
        <v>45</v>
      </c>
      <c r="C2829" s="57" t="s">
        <v>142</v>
      </c>
      <c r="D2829" s="29"/>
      <c r="E2829" s="57" t="s">
        <v>3063</v>
      </c>
      <c r="F2829" s="31" t="s">
        <v>76</v>
      </c>
      <c r="G2829" s="31" t="s">
        <v>49</v>
      </c>
      <c r="I2829" s="47" t="b">
        <v>0</v>
      </c>
      <c r="J2829" s="47" t="b">
        <v>0</v>
      </c>
      <c r="K2829" s="31">
        <f>282*2.2</f>
        <v>620.40000000000009</v>
      </c>
      <c r="Z2829" s="31" t="s">
        <v>3855</v>
      </c>
      <c r="AE2829" s="31" t="s">
        <v>4124</v>
      </c>
      <c r="AF2829" s="31">
        <v>70</v>
      </c>
      <c r="AK2829" s="32">
        <v>9</v>
      </c>
      <c r="AQ2829" s="32" t="s">
        <v>4066</v>
      </c>
      <c r="AR2829" s="31" t="s">
        <v>3602</v>
      </c>
      <c r="AU2829">
        <v>2828</v>
      </c>
    </row>
    <row r="2830" spans="1:47" x14ac:dyDescent="0.2">
      <c r="A2830" s="13">
        <v>6603</v>
      </c>
      <c r="B2830" s="57" t="s">
        <v>45</v>
      </c>
      <c r="C2830" s="57" t="s">
        <v>142</v>
      </c>
      <c r="D2830" s="29"/>
      <c r="E2830" s="57" t="s">
        <v>4122</v>
      </c>
      <c r="F2830" s="31" t="s">
        <v>76</v>
      </c>
      <c r="G2830" s="31" t="s">
        <v>49</v>
      </c>
      <c r="I2830" s="47" t="b">
        <v>0</v>
      </c>
      <c r="J2830" s="47" t="b">
        <v>0</v>
      </c>
      <c r="K2830" s="31">
        <f>576*2.2</f>
        <v>1267.2</v>
      </c>
      <c r="Z2830" s="31" t="s">
        <v>3855</v>
      </c>
      <c r="AE2830" s="31" t="s">
        <v>4124</v>
      </c>
      <c r="AF2830" s="31">
        <v>90</v>
      </c>
      <c r="AK2830" s="32">
        <v>24</v>
      </c>
      <c r="AQ2830" s="32" t="s">
        <v>4066</v>
      </c>
      <c r="AR2830" s="31" t="s">
        <v>3602</v>
      </c>
      <c r="AU2830">
        <v>2829</v>
      </c>
    </row>
    <row r="2831" spans="1:47" x14ac:dyDescent="0.2">
      <c r="A2831" s="13">
        <v>6603</v>
      </c>
      <c r="B2831" s="57" t="s">
        <v>45</v>
      </c>
      <c r="C2831" s="57" t="s">
        <v>142</v>
      </c>
      <c r="D2831" s="29"/>
      <c r="E2831" s="57" t="s">
        <v>3812</v>
      </c>
      <c r="F2831" s="31" t="s">
        <v>3764</v>
      </c>
      <c r="G2831" s="31" t="s">
        <v>481</v>
      </c>
      <c r="I2831" s="47" t="b">
        <v>0</v>
      </c>
      <c r="J2831" s="47" t="b">
        <v>0</v>
      </c>
      <c r="K2831" s="31">
        <f>740*2.2</f>
        <v>1628.0000000000002</v>
      </c>
      <c r="Z2831" s="31" t="s">
        <v>3855</v>
      </c>
      <c r="AE2831" s="31" t="s">
        <v>4124</v>
      </c>
      <c r="AF2831" s="31">
        <v>90</v>
      </c>
      <c r="AK2831" s="32">
        <v>26</v>
      </c>
      <c r="AQ2831" s="32" t="s">
        <v>4066</v>
      </c>
      <c r="AR2831" s="31" t="s">
        <v>3602</v>
      </c>
      <c r="AU2831">
        <v>2830</v>
      </c>
    </row>
    <row r="2832" spans="1:47" x14ac:dyDescent="0.2">
      <c r="A2832" s="13">
        <v>6603</v>
      </c>
      <c r="B2832" s="57"/>
      <c r="C2832" s="57" t="s">
        <v>1077</v>
      </c>
      <c r="D2832" s="29"/>
      <c r="E2832" s="57" t="s">
        <v>3498</v>
      </c>
      <c r="F2832" s="31" t="s">
        <v>3764</v>
      </c>
      <c r="G2832" s="31" t="s">
        <v>481</v>
      </c>
      <c r="I2832" s="31" t="s">
        <v>3602</v>
      </c>
      <c r="K2832" s="31">
        <v>1161.5999999999999</v>
      </c>
      <c r="AK2832" s="32">
        <v>24</v>
      </c>
      <c r="AQ2832" s="32" t="s">
        <v>4066</v>
      </c>
      <c r="AU2832">
        <v>2831</v>
      </c>
    </row>
    <row r="2833" spans="1:47" x14ac:dyDescent="0.2">
      <c r="A2833" s="13">
        <v>6603</v>
      </c>
      <c r="B2833" s="57"/>
      <c r="C2833" s="57" t="s">
        <v>1077</v>
      </c>
      <c r="D2833" s="29"/>
      <c r="E2833" s="57" t="s">
        <v>788</v>
      </c>
      <c r="F2833" s="31" t="s">
        <v>76</v>
      </c>
      <c r="G2833" s="31" t="s">
        <v>49</v>
      </c>
      <c r="I2833" s="31" t="s">
        <v>3602</v>
      </c>
      <c r="K2833" s="31">
        <v>3942.4</v>
      </c>
      <c r="AK2833" s="32">
        <v>74</v>
      </c>
      <c r="AQ2833" s="32" t="s">
        <v>4066</v>
      </c>
      <c r="AU2833">
        <v>2832</v>
      </c>
    </row>
    <row r="2834" spans="1:47" x14ac:dyDescent="0.2">
      <c r="A2834" s="26">
        <v>6603</v>
      </c>
      <c r="B2834" s="27">
        <v>0.4826388888888889</v>
      </c>
      <c r="C2834" s="28"/>
      <c r="D2834" s="29"/>
      <c r="E2834" s="30" t="s">
        <v>869</v>
      </c>
      <c r="H2834" s="32">
        <v>0</v>
      </c>
      <c r="I2834" s="32" t="s">
        <v>2344</v>
      </c>
      <c r="AG2834" s="32">
        <v>0</v>
      </c>
      <c r="AH2834" s="32">
        <v>0</v>
      </c>
      <c r="AI2834" s="32">
        <v>0</v>
      </c>
      <c r="AK2834" s="32">
        <v>0</v>
      </c>
      <c r="AL2834" s="32">
        <v>0.33300000000000002</v>
      </c>
      <c r="AP2834" s="32">
        <v>0.33300000000000002</v>
      </c>
      <c r="AQ2834" s="32" t="s">
        <v>589</v>
      </c>
      <c r="AU2834">
        <v>2833</v>
      </c>
    </row>
    <row r="2835" spans="1:47" x14ac:dyDescent="0.2">
      <c r="A2835" s="26">
        <v>6603</v>
      </c>
      <c r="B2835" s="27">
        <v>0.80902777777777779</v>
      </c>
      <c r="C2835" s="28"/>
      <c r="D2835" s="29"/>
      <c r="E2835" s="30" t="s">
        <v>1282</v>
      </c>
      <c r="H2835" s="32">
        <v>0</v>
      </c>
      <c r="I2835" s="32" t="s">
        <v>4167</v>
      </c>
      <c r="AG2835" s="32">
        <v>0</v>
      </c>
      <c r="AH2835" s="32">
        <v>0</v>
      </c>
      <c r="AI2835" s="32">
        <v>0</v>
      </c>
      <c r="AK2835" s="32">
        <v>0</v>
      </c>
      <c r="AL2835" s="32">
        <f>2+28/60</f>
        <v>2.4666666666666668</v>
      </c>
      <c r="AP2835" s="32">
        <f>2+28/60</f>
        <v>2.4666666666666668</v>
      </c>
      <c r="AQ2835" s="32" t="s">
        <v>1101</v>
      </c>
      <c r="AU2835">
        <v>2834</v>
      </c>
    </row>
    <row r="2836" spans="1:47" x14ac:dyDescent="0.2">
      <c r="A2836" s="26">
        <v>6603</v>
      </c>
      <c r="B2836" s="27">
        <v>0.80902777777777779</v>
      </c>
      <c r="C2836" s="28"/>
      <c r="D2836" s="29"/>
      <c r="E2836" s="30" t="s">
        <v>464</v>
      </c>
      <c r="H2836" s="32">
        <v>0</v>
      </c>
      <c r="I2836" s="32" t="s">
        <v>3590</v>
      </c>
      <c r="AG2836" s="32">
        <v>0</v>
      </c>
      <c r="AH2836" s="32">
        <v>0</v>
      </c>
      <c r="AL2836" s="32">
        <v>3.5</v>
      </c>
      <c r="AO2836" s="32" t="s">
        <v>4067</v>
      </c>
      <c r="AP2836" s="32">
        <v>3.5</v>
      </c>
      <c r="AQ2836" s="32" t="s">
        <v>1522</v>
      </c>
      <c r="AU2836">
        <v>2835</v>
      </c>
    </row>
    <row r="2837" spans="1:47" x14ac:dyDescent="0.2">
      <c r="A2837" s="26">
        <v>6603</v>
      </c>
      <c r="B2837" s="27">
        <v>0.85416666666666663</v>
      </c>
      <c r="C2837" s="28"/>
      <c r="D2837" s="29"/>
      <c r="E2837" s="30" t="s">
        <v>2087</v>
      </c>
      <c r="H2837" s="32">
        <v>0</v>
      </c>
      <c r="I2837" s="32"/>
      <c r="AG2837" s="32">
        <v>0</v>
      </c>
      <c r="AH2837" s="32">
        <v>0</v>
      </c>
      <c r="AI2837" s="32">
        <v>0</v>
      </c>
      <c r="AK2837" s="32">
        <v>0</v>
      </c>
      <c r="AL2837" s="32">
        <v>0</v>
      </c>
      <c r="AP2837" s="32">
        <v>0.5</v>
      </c>
      <c r="AQ2837" s="32" t="s">
        <v>1101</v>
      </c>
      <c r="AU2837">
        <v>2836</v>
      </c>
    </row>
    <row r="2838" spans="1:47" x14ac:dyDescent="0.2">
      <c r="A2838" s="26">
        <v>6603</v>
      </c>
      <c r="B2838" s="27" t="s">
        <v>45</v>
      </c>
      <c r="C2838" s="28"/>
      <c r="D2838" s="29"/>
      <c r="E2838" s="30" t="s">
        <v>1531</v>
      </c>
      <c r="H2838" s="32">
        <v>1</v>
      </c>
      <c r="I2838" s="32" t="s">
        <v>4168</v>
      </c>
      <c r="AM2838" s="32">
        <f>498*225</f>
        <v>112050</v>
      </c>
      <c r="AO2838" s="32" t="s">
        <v>1533</v>
      </c>
      <c r="AQ2838" s="32" t="s">
        <v>1101</v>
      </c>
      <c r="AU2838">
        <v>2837</v>
      </c>
    </row>
    <row r="2839" spans="1:47" x14ac:dyDescent="0.2">
      <c r="A2839" s="26">
        <v>6603</v>
      </c>
      <c r="B2839" s="27" t="s">
        <v>45</v>
      </c>
      <c r="C2839" s="28"/>
      <c r="D2839" s="29"/>
      <c r="E2839" s="150" t="s">
        <v>2286</v>
      </c>
      <c r="H2839" s="32">
        <v>0</v>
      </c>
      <c r="I2839" s="32" t="s">
        <v>1824</v>
      </c>
      <c r="AG2839" s="32">
        <v>0</v>
      </c>
      <c r="AH2839" s="32">
        <v>0</v>
      </c>
      <c r="AI2839" s="32">
        <v>0</v>
      </c>
      <c r="AK2839" s="32">
        <v>0</v>
      </c>
      <c r="AM2839" s="32">
        <v>7500</v>
      </c>
      <c r="AO2839" s="73" t="s">
        <v>75</v>
      </c>
      <c r="AQ2839" s="32" t="s">
        <v>589</v>
      </c>
      <c r="AU2839">
        <v>2838</v>
      </c>
    </row>
    <row r="2840" spans="1:47" x14ac:dyDescent="0.2">
      <c r="A2840" s="13">
        <v>6604</v>
      </c>
      <c r="B2840" s="57" t="s">
        <v>85</v>
      </c>
      <c r="C2840" s="57" t="s">
        <v>1077</v>
      </c>
      <c r="D2840" s="29"/>
      <c r="E2840" s="57" t="s">
        <v>179</v>
      </c>
      <c r="F2840" s="31" t="s">
        <v>76</v>
      </c>
      <c r="G2840" s="31" t="s">
        <v>49</v>
      </c>
      <c r="I2840" s="31" t="s">
        <v>4169</v>
      </c>
      <c r="K2840" s="31">
        <v>679.8</v>
      </c>
      <c r="S2840" s="33">
        <v>1</v>
      </c>
      <c r="Z2840" s="31" t="s">
        <v>3724</v>
      </c>
      <c r="AK2840" s="32">
        <v>32</v>
      </c>
      <c r="AQ2840" s="32" t="s">
        <v>4170</v>
      </c>
      <c r="AU2840">
        <v>2839</v>
      </c>
    </row>
    <row r="2841" spans="1:47" x14ac:dyDescent="0.2">
      <c r="A2841" s="44">
        <v>6604</v>
      </c>
      <c r="B2841" s="42" t="s">
        <v>45</v>
      </c>
      <c r="C2841" s="43" t="s">
        <v>4171</v>
      </c>
      <c r="D2841" s="29"/>
      <c r="E2841" s="36" t="s">
        <v>514</v>
      </c>
      <c r="H2841" s="32"/>
      <c r="I2841" s="32" t="s">
        <v>4172</v>
      </c>
      <c r="K2841" s="31">
        <f>800*2.2</f>
        <v>1760.0000000000002</v>
      </c>
      <c r="Z2841" s="31" t="s">
        <v>1846</v>
      </c>
      <c r="AE2841" s="47" t="s">
        <v>4173</v>
      </c>
      <c r="AU2841">
        <v>2840</v>
      </c>
    </row>
    <row r="2842" spans="1:47" x14ac:dyDescent="0.2">
      <c r="A2842" s="44">
        <v>6604</v>
      </c>
      <c r="B2842" s="42" t="s">
        <v>45</v>
      </c>
      <c r="C2842" s="43" t="s">
        <v>142</v>
      </c>
      <c r="D2842" s="29" t="s">
        <v>120</v>
      </c>
      <c r="E2842" s="36" t="s">
        <v>688</v>
      </c>
      <c r="F2842" s="31" t="s">
        <v>688</v>
      </c>
      <c r="H2842" s="32"/>
      <c r="I2842" s="32" t="s">
        <v>4174</v>
      </c>
      <c r="K2842" s="31">
        <v>0</v>
      </c>
      <c r="L2842" s="33">
        <v>2</v>
      </c>
      <c r="M2842" s="31">
        <v>2</v>
      </c>
      <c r="AE2842" s="31" t="s">
        <v>4124</v>
      </c>
      <c r="AQ2842" s="32" t="s">
        <v>4165</v>
      </c>
      <c r="AU2842">
        <v>2841</v>
      </c>
    </row>
    <row r="2843" spans="1:47" x14ac:dyDescent="0.2">
      <c r="A2843" s="44">
        <v>6604</v>
      </c>
      <c r="B2843" s="42" t="s">
        <v>45</v>
      </c>
      <c r="C2843" s="43" t="s">
        <v>1367</v>
      </c>
      <c r="D2843" s="29"/>
      <c r="E2843" s="36" t="s">
        <v>631</v>
      </c>
      <c r="H2843" s="32"/>
      <c r="I2843" s="32" t="s">
        <v>4175</v>
      </c>
      <c r="K2843" s="31">
        <f>300*2.2</f>
        <v>660</v>
      </c>
      <c r="L2843" s="33">
        <v>1</v>
      </c>
      <c r="Z2843" s="31" t="s">
        <v>1846</v>
      </c>
      <c r="AE2843" s="31" t="s">
        <v>4176</v>
      </c>
      <c r="AQ2843" s="32" t="s">
        <v>4098</v>
      </c>
      <c r="AU2843">
        <v>2842</v>
      </c>
    </row>
    <row r="2844" spans="1:47" x14ac:dyDescent="0.2">
      <c r="A2844" s="26">
        <v>6604</v>
      </c>
      <c r="B2844" s="27" t="s">
        <v>45</v>
      </c>
      <c r="C2844" s="28"/>
      <c r="D2844" s="29"/>
      <c r="E2844" s="30" t="s">
        <v>1531</v>
      </c>
      <c r="H2844" s="32">
        <v>0</v>
      </c>
      <c r="I2844" s="32" t="s">
        <v>1532</v>
      </c>
      <c r="AG2844" s="32">
        <v>0</v>
      </c>
      <c r="AH2844" s="32">
        <v>0</v>
      </c>
      <c r="AI2844" s="32">
        <v>0</v>
      </c>
      <c r="AK2844" s="32">
        <v>0</v>
      </c>
      <c r="AM2844" s="32">
        <f>498*20</f>
        <v>9960</v>
      </c>
      <c r="AO2844" s="32" t="s">
        <v>1533</v>
      </c>
      <c r="AQ2844" s="32" t="s">
        <v>1101</v>
      </c>
      <c r="AU2844">
        <v>2843</v>
      </c>
    </row>
    <row r="2845" spans="1:47" x14ac:dyDescent="0.2">
      <c r="A2845" s="13">
        <v>6605</v>
      </c>
      <c r="B2845" s="57" t="s">
        <v>45</v>
      </c>
      <c r="C2845" s="57" t="s">
        <v>1367</v>
      </c>
      <c r="D2845" s="29"/>
      <c r="E2845" s="57" t="s">
        <v>4177</v>
      </c>
      <c r="I2845" s="31" t="s">
        <v>4178</v>
      </c>
      <c r="K2845" s="31">
        <v>660</v>
      </c>
      <c r="Z2845" s="31" t="s">
        <v>1846</v>
      </c>
      <c r="AE2845" s="31" t="s">
        <v>4176</v>
      </c>
      <c r="AK2845" s="32">
        <v>6</v>
      </c>
      <c r="AQ2845" s="32" t="s">
        <v>4066</v>
      </c>
      <c r="AU2845">
        <v>2844</v>
      </c>
    </row>
    <row r="2846" spans="1:47" x14ac:dyDescent="0.2">
      <c r="A2846" s="13">
        <v>6605</v>
      </c>
      <c r="B2846" s="57" t="s">
        <v>45</v>
      </c>
      <c r="C2846" s="57" t="s">
        <v>4179</v>
      </c>
      <c r="D2846" s="29"/>
      <c r="E2846" s="57" t="s">
        <v>4180</v>
      </c>
      <c r="F2846" s="31" t="s">
        <v>76</v>
      </c>
      <c r="G2846" s="31" t="s">
        <v>49</v>
      </c>
      <c r="K2846" s="31">
        <v>303.60000000000002</v>
      </c>
      <c r="Z2846" s="31" t="s">
        <v>3814</v>
      </c>
      <c r="AE2846" s="31" t="s">
        <v>3089</v>
      </c>
      <c r="AF2846" s="31">
        <v>55</v>
      </c>
      <c r="AK2846" s="32">
        <v>6</v>
      </c>
      <c r="AQ2846" s="32" t="s">
        <v>4140</v>
      </c>
      <c r="AU2846">
        <v>2845</v>
      </c>
    </row>
    <row r="2847" spans="1:47" x14ac:dyDescent="0.2">
      <c r="A2847" s="13">
        <v>6605</v>
      </c>
      <c r="B2847" s="57" t="s">
        <v>45</v>
      </c>
      <c r="C2847" s="57" t="s">
        <v>4179</v>
      </c>
      <c r="D2847" s="29"/>
      <c r="E2847" s="57" t="s">
        <v>4181</v>
      </c>
      <c r="F2847" s="31" t="s">
        <v>76</v>
      </c>
      <c r="G2847" s="31" t="s">
        <v>49</v>
      </c>
      <c r="K2847" s="31">
        <v>413.6</v>
      </c>
      <c r="Z2847" s="31" t="s">
        <v>3814</v>
      </c>
      <c r="AE2847" s="31" t="s">
        <v>3089</v>
      </c>
      <c r="AK2847" s="32">
        <v>7</v>
      </c>
      <c r="AQ2847" s="32" t="s">
        <v>4140</v>
      </c>
      <c r="AU2847">
        <v>2846</v>
      </c>
    </row>
    <row r="2848" spans="1:47" x14ac:dyDescent="0.2">
      <c r="A2848" s="13">
        <v>6605</v>
      </c>
      <c r="B2848" s="57" t="s">
        <v>45</v>
      </c>
      <c r="C2848" s="57" t="s">
        <v>4179</v>
      </c>
      <c r="D2848" s="29"/>
      <c r="E2848" s="57" t="s">
        <v>3634</v>
      </c>
      <c r="F2848" s="31" t="s">
        <v>76</v>
      </c>
      <c r="G2848" s="31" t="s">
        <v>49</v>
      </c>
      <c r="K2848" s="31">
        <v>708.4</v>
      </c>
      <c r="Z2848" s="31" t="s">
        <v>3814</v>
      </c>
      <c r="AE2848" s="31" t="s">
        <v>3089</v>
      </c>
      <c r="AF2848" s="31">
        <v>60</v>
      </c>
      <c r="AK2848" s="32">
        <v>14</v>
      </c>
      <c r="AQ2848" s="32" t="s">
        <v>4140</v>
      </c>
      <c r="AU2848">
        <v>2847</v>
      </c>
    </row>
    <row r="2849" spans="1:47" x14ac:dyDescent="0.2">
      <c r="A2849" s="13">
        <v>6605</v>
      </c>
      <c r="B2849" s="57" t="s">
        <v>45</v>
      </c>
      <c r="C2849" s="57" t="s">
        <v>4179</v>
      </c>
      <c r="D2849" s="29"/>
      <c r="E2849" s="57" t="s">
        <v>3634</v>
      </c>
      <c r="F2849" s="31" t="s">
        <v>204</v>
      </c>
      <c r="G2849" s="31" t="s">
        <v>205</v>
      </c>
      <c r="K2849" s="31">
        <v>1333.2</v>
      </c>
      <c r="S2849" s="33">
        <v>3</v>
      </c>
      <c r="Z2849" s="31" t="s">
        <v>3814</v>
      </c>
      <c r="AE2849" s="31" t="s">
        <v>3089</v>
      </c>
      <c r="AF2849" s="31">
        <v>60</v>
      </c>
      <c r="AK2849" s="32">
        <v>24</v>
      </c>
      <c r="AQ2849" s="32" t="s">
        <v>4140</v>
      </c>
      <c r="AU2849">
        <v>2848</v>
      </c>
    </row>
    <row r="2850" spans="1:47" x14ac:dyDescent="0.2">
      <c r="A2850" s="13">
        <v>6605</v>
      </c>
      <c r="B2850" s="57" t="s">
        <v>45</v>
      </c>
      <c r="C2850" s="57" t="s">
        <v>4179</v>
      </c>
      <c r="D2850" s="29"/>
      <c r="E2850" s="57" t="s">
        <v>4182</v>
      </c>
      <c r="F2850" s="31" t="s">
        <v>76</v>
      </c>
      <c r="G2850" s="31" t="s">
        <v>49</v>
      </c>
      <c r="K2850" s="31">
        <v>2413.4</v>
      </c>
      <c r="Z2850" s="31" t="s">
        <v>3814</v>
      </c>
      <c r="AE2850" s="31" t="s">
        <v>3089</v>
      </c>
      <c r="AF2850" s="31">
        <v>65</v>
      </c>
      <c r="AK2850" s="32">
        <v>43</v>
      </c>
      <c r="AQ2850" s="32" t="s">
        <v>4140</v>
      </c>
      <c r="AU2850">
        <v>2849</v>
      </c>
    </row>
    <row r="2851" spans="1:47" x14ac:dyDescent="0.2">
      <c r="A2851" s="13">
        <v>6607</v>
      </c>
      <c r="B2851" s="57" t="s">
        <v>85</v>
      </c>
      <c r="C2851" s="57" t="s">
        <v>1234</v>
      </c>
      <c r="D2851" s="29"/>
      <c r="E2851" s="57" t="s">
        <v>3726</v>
      </c>
      <c r="F2851" s="31" t="s">
        <v>3727</v>
      </c>
      <c r="G2851" s="31" t="s">
        <v>69</v>
      </c>
      <c r="I2851" s="31" t="s">
        <v>4183</v>
      </c>
      <c r="K2851" s="63"/>
      <c r="Z2851" s="47" t="s">
        <v>1809</v>
      </c>
      <c r="AQ2851" s="32" t="s">
        <v>4184</v>
      </c>
      <c r="AU2851">
        <v>2850</v>
      </c>
    </row>
    <row r="2852" spans="1:47" x14ac:dyDescent="0.2">
      <c r="A2852" s="44">
        <v>6607</v>
      </c>
      <c r="B2852" s="42" t="s">
        <v>45</v>
      </c>
      <c r="C2852" s="43" t="s">
        <v>4185</v>
      </c>
      <c r="D2852" s="29"/>
      <c r="E2852" s="36" t="s">
        <v>631</v>
      </c>
      <c r="H2852" s="32"/>
      <c r="I2852" s="32" t="s">
        <v>4186</v>
      </c>
      <c r="Z2852" s="31" t="s">
        <v>1846</v>
      </c>
      <c r="AC2852" s="49"/>
      <c r="AD2852" s="50"/>
      <c r="AE2852" s="31" t="s">
        <v>4176</v>
      </c>
      <c r="AU2852">
        <v>2851</v>
      </c>
    </row>
    <row r="2853" spans="1:47" x14ac:dyDescent="0.2">
      <c r="A2853" s="44">
        <v>6608</v>
      </c>
      <c r="B2853" s="42"/>
      <c r="C2853" s="43" t="s">
        <v>86</v>
      </c>
      <c r="D2853" s="29"/>
      <c r="E2853" s="121" t="s">
        <v>4187</v>
      </c>
      <c r="G2853" s="31" t="s">
        <v>722</v>
      </c>
      <c r="H2853" s="32"/>
      <c r="I2853" s="32" t="s">
        <v>3787</v>
      </c>
      <c r="K2853" s="31">
        <f>840*2.2</f>
        <v>1848.0000000000002</v>
      </c>
      <c r="AU2853">
        <v>2852</v>
      </c>
    </row>
    <row r="2854" spans="1:47" x14ac:dyDescent="0.2">
      <c r="A2854" s="44">
        <v>6608</v>
      </c>
      <c r="B2854" s="42" t="s">
        <v>85</v>
      </c>
      <c r="C2854" s="174" t="s">
        <v>1234</v>
      </c>
      <c r="D2854" s="29"/>
      <c r="E2854" s="36" t="s">
        <v>4188</v>
      </c>
      <c r="F2854" s="31" t="s">
        <v>2761</v>
      </c>
      <c r="G2854" s="19" t="s">
        <v>69</v>
      </c>
      <c r="H2854" s="32"/>
      <c r="I2854" s="32" t="s">
        <v>4189</v>
      </c>
      <c r="L2854" s="33">
        <v>22</v>
      </c>
      <c r="AU2854">
        <v>2853</v>
      </c>
    </row>
    <row r="2855" spans="1:47" x14ac:dyDescent="0.2">
      <c r="A2855" s="44">
        <v>6608</v>
      </c>
      <c r="B2855" s="42" t="s">
        <v>85</v>
      </c>
      <c r="C2855" s="15" t="s">
        <v>3730</v>
      </c>
      <c r="D2855" s="29"/>
      <c r="E2855" s="121" t="s">
        <v>4190</v>
      </c>
      <c r="F2855" s="19" t="s">
        <v>4191</v>
      </c>
      <c r="G2855" s="19" t="s">
        <v>69</v>
      </c>
      <c r="H2855" s="32"/>
      <c r="I2855" s="171" t="s">
        <v>4192</v>
      </c>
      <c r="K2855" s="31">
        <f>72*2.2</f>
        <v>158.4</v>
      </c>
      <c r="L2855" s="33">
        <v>3</v>
      </c>
      <c r="S2855" s="33">
        <v>3</v>
      </c>
      <c r="T2855" s="31">
        <v>0</v>
      </c>
      <c r="U2855" s="31">
        <v>0</v>
      </c>
      <c r="V2855" s="31">
        <v>0</v>
      </c>
      <c r="Y2855" s="19" t="s">
        <v>51</v>
      </c>
      <c r="Z2855" s="19" t="s">
        <v>1809</v>
      </c>
      <c r="AE2855" s="47" t="s">
        <v>1653</v>
      </c>
      <c r="AF2855" s="31">
        <v>100</v>
      </c>
      <c r="AO2855" s="73"/>
      <c r="AQ2855" s="18" t="s">
        <v>4046</v>
      </c>
      <c r="AU2855">
        <v>2854</v>
      </c>
    </row>
    <row r="2856" spans="1:47" x14ac:dyDescent="0.2">
      <c r="A2856" s="13">
        <v>6608</v>
      </c>
      <c r="B2856" s="57" t="s">
        <v>85</v>
      </c>
      <c r="C2856" s="57" t="s">
        <v>142</v>
      </c>
      <c r="D2856" s="29"/>
      <c r="E2856" s="57" t="s">
        <v>4193</v>
      </c>
      <c r="F2856" s="31" t="s">
        <v>4194</v>
      </c>
      <c r="G2856" s="31" t="s">
        <v>205</v>
      </c>
      <c r="H2856" s="32"/>
      <c r="I2856" s="47" t="b">
        <v>1</v>
      </c>
      <c r="J2856" s="47" t="b">
        <v>1</v>
      </c>
      <c r="K2856" s="31">
        <f>3480*2.2</f>
        <v>7656.0000000000009</v>
      </c>
      <c r="L2856" s="33">
        <v>27</v>
      </c>
      <c r="Q2856" s="31">
        <v>4</v>
      </c>
      <c r="S2856" s="33">
        <v>27</v>
      </c>
      <c r="T2856" s="31">
        <v>1</v>
      </c>
      <c r="U2856" s="31">
        <v>0</v>
      </c>
      <c r="V2856" s="31">
        <v>0</v>
      </c>
      <c r="Y2856" s="31" t="s">
        <v>120</v>
      </c>
      <c r="Z2856" s="31" t="s">
        <v>3724</v>
      </c>
      <c r="AE2856" s="31" t="s">
        <v>4124</v>
      </c>
      <c r="AK2856" s="32">
        <v>174</v>
      </c>
      <c r="AQ2856" s="32" t="s">
        <v>4165</v>
      </c>
      <c r="AR2856" s="32" t="s">
        <v>4195</v>
      </c>
      <c r="AU2856">
        <v>2855</v>
      </c>
    </row>
    <row r="2857" spans="1:47" x14ac:dyDescent="0.2">
      <c r="A2857" s="13">
        <v>6608</v>
      </c>
      <c r="B2857" s="57" t="s">
        <v>85</v>
      </c>
      <c r="C2857" s="57" t="s">
        <v>142</v>
      </c>
      <c r="D2857" s="29"/>
      <c r="E2857" s="57" t="s">
        <v>3894</v>
      </c>
      <c r="F2857" s="31" t="s">
        <v>204</v>
      </c>
      <c r="G2857" s="31" t="s">
        <v>205</v>
      </c>
      <c r="I2857" s="47" t="b">
        <v>0</v>
      </c>
      <c r="J2857" s="47" t="b">
        <v>0</v>
      </c>
      <c r="K2857" s="31">
        <f>800*2.2</f>
        <v>1760.0000000000002</v>
      </c>
      <c r="Z2857" s="31" t="s">
        <v>3724</v>
      </c>
      <c r="AE2857" s="31" t="s">
        <v>4124</v>
      </c>
      <c r="AF2857" s="31">
        <v>135</v>
      </c>
      <c r="AK2857" s="32">
        <v>40</v>
      </c>
      <c r="AQ2857" s="32" t="s">
        <v>4196</v>
      </c>
      <c r="AU2857">
        <v>2856</v>
      </c>
    </row>
    <row r="2858" spans="1:47" x14ac:dyDescent="0.2">
      <c r="A2858" s="13">
        <v>6608</v>
      </c>
      <c r="B2858" s="57" t="s">
        <v>85</v>
      </c>
      <c r="C2858" s="57" t="s">
        <v>142</v>
      </c>
      <c r="D2858" s="29"/>
      <c r="E2858" s="57" t="s">
        <v>4197</v>
      </c>
      <c r="F2858" s="31" t="s">
        <v>204</v>
      </c>
      <c r="G2858" s="31" t="s">
        <v>205</v>
      </c>
      <c r="I2858" s="47" t="b">
        <v>0</v>
      </c>
      <c r="J2858" s="47" t="b">
        <v>0</v>
      </c>
      <c r="K2858" s="31">
        <f>2120*2.2</f>
        <v>4664</v>
      </c>
      <c r="Z2858" s="31" t="s">
        <v>3724</v>
      </c>
      <c r="AE2858" s="31" t="s">
        <v>4124</v>
      </c>
      <c r="AF2858" s="31">
        <v>135</v>
      </c>
      <c r="AK2858" s="32">
        <v>106</v>
      </c>
      <c r="AQ2858" s="32" t="s">
        <v>4196</v>
      </c>
      <c r="AU2858">
        <v>2857</v>
      </c>
    </row>
    <row r="2859" spans="1:47" x14ac:dyDescent="0.2">
      <c r="A2859" s="13">
        <v>6608</v>
      </c>
      <c r="B2859" s="57" t="s">
        <v>85</v>
      </c>
      <c r="C2859" s="57" t="s">
        <v>142</v>
      </c>
      <c r="D2859" s="29"/>
      <c r="E2859" s="57" t="s">
        <v>4198</v>
      </c>
      <c r="F2859" s="31" t="s">
        <v>3637</v>
      </c>
      <c r="G2859" s="31" t="s">
        <v>69</v>
      </c>
      <c r="I2859" s="47" t="b">
        <v>0</v>
      </c>
      <c r="J2859" s="47" t="b">
        <v>0</v>
      </c>
      <c r="K2859" s="31">
        <f>80*2.2</f>
        <v>176</v>
      </c>
      <c r="S2859" s="33">
        <v>1</v>
      </c>
      <c r="Z2859" s="31" t="s">
        <v>3724</v>
      </c>
      <c r="AE2859" s="31" t="s">
        <v>4124</v>
      </c>
      <c r="AF2859" s="31">
        <v>100</v>
      </c>
      <c r="AK2859" s="32">
        <v>4</v>
      </c>
      <c r="AQ2859" s="32" t="s">
        <v>4196</v>
      </c>
      <c r="AR2859" s="19" t="s">
        <v>4199</v>
      </c>
      <c r="AU2859">
        <v>2858</v>
      </c>
    </row>
    <row r="2860" spans="1:47" x14ac:dyDescent="0.2">
      <c r="A2860" s="13">
        <v>6608</v>
      </c>
      <c r="B2860" s="57" t="s">
        <v>85</v>
      </c>
      <c r="C2860" s="57" t="s">
        <v>142</v>
      </c>
      <c r="D2860" s="29"/>
      <c r="E2860" s="57" t="s">
        <v>4200</v>
      </c>
      <c r="F2860" s="31" t="s">
        <v>3637</v>
      </c>
      <c r="G2860" s="31" t="s">
        <v>69</v>
      </c>
      <c r="I2860" s="47" t="b">
        <v>0</v>
      </c>
      <c r="J2860" s="47" t="b">
        <v>0</v>
      </c>
      <c r="K2860" s="31">
        <f>160*2.2</f>
        <v>352</v>
      </c>
      <c r="S2860" s="33">
        <v>1</v>
      </c>
      <c r="Z2860" s="31" t="s">
        <v>3724</v>
      </c>
      <c r="AE2860" s="31" t="s">
        <v>4124</v>
      </c>
      <c r="AK2860" s="32">
        <v>8</v>
      </c>
      <c r="AQ2860" s="32" t="s">
        <v>4196</v>
      </c>
      <c r="AR2860" s="31" t="s">
        <v>4201</v>
      </c>
      <c r="AU2860">
        <v>2859</v>
      </c>
    </row>
    <row r="2861" spans="1:47" x14ac:dyDescent="0.2">
      <c r="A2861" s="13">
        <v>6608</v>
      </c>
      <c r="B2861" s="57" t="s">
        <v>85</v>
      </c>
      <c r="C2861" s="57" t="s">
        <v>142</v>
      </c>
      <c r="D2861" s="29"/>
      <c r="E2861" s="57" t="s">
        <v>4202</v>
      </c>
      <c r="F2861" s="31" t="s">
        <v>3637</v>
      </c>
      <c r="G2861" s="31" t="s">
        <v>69</v>
      </c>
      <c r="I2861" s="47" t="b">
        <v>0</v>
      </c>
      <c r="J2861" s="47" t="b">
        <v>0</v>
      </c>
      <c r="K2861" s="31">
        <f>160*2.2</f>
        <v>352</v>
      </c>
      <c r="S2861" s="33">
        <v>1</v>
      </c>
      <c r="Z2861" s="31" t="s">
        <v>3724</v>
      </c>
      <c r="AE2861" s="31" t="s">
        <v>4124</v>
      </c>
      <c r="AF2861" s="31">
        <v>110</v>
      </c>
      <c r="AK2861" s="32">
        <v>8</v>
      </c>
      <c r="AQ2861" s="32" t="s">
        <v>4196</v>
      </c>
      <c r="AR2861" s="31" t="s">
        <v>4201</v>
      </c>
      <c r="AU2861">
        <v>2860</v>
      </c>
    </row>
    <row r="2862" spans="1:47" x14ac:dyDescent="0.2">
      <c r="A2862" s="13">
        <v>6608</v>
      </c>
      <c r="B2862" s="57" t="s">
        <v>85</v>
      </c>
      <c r="C2862" s="57" t="s">
        <v>142</v>
      </c>
      <c r="D2862" s="29"/>
      <c r="E2862" s="57" t="s">
        <v>3936</v>
      </c>
      <c r="F2862" s="31" t="s">
        <v>3637</v>
      </c>
      <c r="G2862" s="31" t="s">
        <v>69</v>
      </c>
      <c r="I2862" s="47" t="b">
        <v>0</v>
      </c>
      <c r="J2862" s="47" t="b">
        <v>0</v>
      </c>
      <c r="K2862" s="31">
        <f>160*2.2</f>
        <v>352</v>
      </c>
      <c r="S2862" s="33">
        <v>1</v>
      </c>
      <c r="Z2862" s="31" t="s">
        <v>3724</v>
      </c>
      <c r="AE2862" s="31" t="s">
        <v>4124</v>
      </c>
      <c r="AF2862" s="31">
        <v>95</v>
      </c>
      <c r="AK2862" s="32">
        <v>8</v>
      </c>
      <c r="AQ2862" s="32" t="s">
        <v>4196</v>
      </c>
      <c r="AR2862" s="31" t="s">
        <v>4201</v>
      </c>
      <c r="AU2862">
        <v>2861</v>
      </c>
    </row>
    <row r="2863" spans="1:47" x14ac:dyDescent="0.2">
      <c r="A2863" s="13">
        <v>6608</v>
      </c>
      <c r="B2863" s="57" t="s">
        <v>45</v>
      </c>
      <c r="C2863" s="57" t="s">
        <v>142</v>
      </c>
      <c r="D2863" s="29"/>
      <c r="E2863" s="57" t="s">
        <v>4203</v>
      </c>
      <c r="F2863" s="31" t="s">
        <v>2717</v>
      </c>
      <c r="G2863" s="31" t="s">
        <v>69</v>
      </c>
      <c r="I2863" s="31" t="s">
        <v>4204</v>
      </c>
      <c r="K2863" s="31">
        <f>195*2.2</f>
        <v>429.00000000000006</v>
      </c>
      <c r="S2863" s="33">
        <v>1</v>
      </c>
      <c r="T2863" s="31">
        <v>0</v>
      </c>
      <c r="U2863" s="31">
        <v>0</v>
      </c>
      <c r="V2863" s="31">
        <v>0</v>
      </c>
      <c r="Y2863" s="31" t="s">
        <v>51</v>
      </c>
      <c r="Z2863" s="31" t="s">
        <v>3855</v>
      </c>
      <c r="AE2863" s="31" t="s">
        <v>4124</v>
      </c>
      <c r="AF2863" s="31">
        <v>50</v>
      </c>
      <c r="AK2863" s="32">
        <v>4</v>
      </c>
      <c r="AQ2863" s="32" t="s">
        <v>4205</v>
      </c>
      <c r="AU2863">
        <v>2862</v>
      </c>
    </row>
    <row r="2864" spans="1:47" x14ac:dyDescent="0.2">
      <c r="A2864" s="13">
        <v>6608</v>
      </c>
      <c r="B2864" s="57" t="s">
        <v>85</v>
      </c>
      <c r="C2864" s="57" t="s">
        <v>332</v>
      </c>
      <c r="D2864" s="29"/>
      <c r="E2864" s="57" t="s">
        <v>4206</v>
      </c>
      <c r="F2864" s="31" t="s">
        <v>3992</v>
      </c>
      <c r="G2864" s="31" t="s">
        <v>49</v>
      </c>
      <c r="I2864" s="127" t="s">
        <v>4207</v>
      </c>
      <c r="J2864" s="127"/>
      <c r="K2864" s="127">
        <v>2210.0537634408606</v>
      </c>
      <c r="Z2864" s="31" t="s">
        <v>3724</v>
      </c>
      <c r="AK2864" s="32">
        <v>37</v>
      </c>
      <c r="AQ2864" s="32" t="s">
        <v>4196</v>
      </c>
      <c r="AU2864">
        <v>2863</v>
      </c>
    </row>
    <row r="2865" spans="1:47" x14ac:dyDescent="0.2">
      <c r="A2865" s="13">
        <v>6608</v>
      </c>
      <c r="B2865" s="57" t="s">
        <v>85</v>
      </c>
      <c r="C2865" s="57" t="s">
        <v>332</v>
      </c>
      <c r="D2865" s="29"/>
      <c r="E2865" s="57" t="s">
        <v>4197</v>
      </c>
      <c r="F2865" s="31" t="s">
        <v>4208</v>
      </c>
      <c r="G2865" s="31" t="s">
        <v>205</v>
      </c>
      <c r="I2865" s="127" t="s">
        <v>4207</v>
      </c>
      <c r="J2865" s="127"/>
      <c r="K2865" s="127">
        <v>3344.9462365591403</v>
      </c>
      <c r="Z2865" s="31" t="s">
        <v>3724</v>
      </c>
      <c r="AK2865" s="32">
        <v>56</v>
      </c>
      <c r="AQ2865" s="32" t="s">
        <v>4196</v>
      </c>
      <c r="AU2865">
        <v>2864</v>
      </c>
    </row>
    <row r="2866" spans="1:47" x14ac:dyDescent="0.2">
      <c r="A2866" s="13">
        <v>6608</v>
      </c>
      <c r="B2866" s="57" t="s">
        <v>85</v>
      </c>
      <c r="C2866" s="57" t="s">
        <v>1077</v>
      </c>
      <c r="D2866" s="29"/>
      <c r="E2866" s="57" t="s">
        <v>4209</v>
      </c>
      <c r="F2866" s="31" t="s">
        <v>76</v>
      </c>
      <c r="G2866" s="31" t="s">
        <v>49</v>
      </c>
      <c r="I2866" s="31" t="s">
        <v>3602</v>
      </c>
      <c r="K2866" s="31">
        <v>2094.4</v>
      </c>
      <c r="Z2866" s="31" t="s">
        <v>3724</v>
      </c>
      <c r="AK2866" s="32">
        <v>58</v>
      </c>
      <c r="AQ2866" s="32" t="s">
        <v>4210</v>
      </c>
      <c r="AU2866">
        <v>2865</v>
      </c>
    </row>
    <row r="2867" spans="1:47" x14ac:dyDescent="0.2">
      <c r="A2867" s="13">
        <v>6608</v>
      </c>
      <c r="B2867" s="57" t="s">
        <v>85</v>
      </c>
      <c r="C2867" s="57" t="s">
        <v>1077</v>
      </c>
      <c r="D2867" s="29"/>
      <c r="E2867" s="57" t="s">
        <v>4211</v>
      </c>
      <c r="F2867" s="31" t="s">
        <v>76</v>
      </c>
      <c r="G2867" s="31" t="s">
        <v>49</v>
      </c>
      <c r="I2867" s="31" t="s">
        <v>3602</v>
      </c>
      <c r="K2867" s="31">
        <v>2244</v>
      </c>
      <c r="Z2867" s="31" t="s">
        <v>3724</v>
      </c>
      <c r="AK2867" s="32">
        <v>120</v>
      </c>
      <c r="AQ2867" s="32" t="s">
        <v>4210</v>
      </c>
      <c r="AU2867">
        <v>2866</v>
      </c>
    </row>
    <row r="2868" spans="1:47" x14ac:dyDescent="0.2">
      <c r="A2868" s="13">
        <v>6608</v>
      </c>
      <c r="B2868" s="57" t="s">
        <v>85</v>
      </c>
      <c r="C2868" s="57" t="s">
        <v>1077</v>
      </c>
      <c r="D2868" s="29"/>
      <c r="E2868" s="57" t="s">
        <v>4212</v>
      </c>
      <c r="F2868" s="31" t="s">
        <v>76</v>
      </c>
      <c r="G2868" s="31" t="s">
        <v>49</v>
      </c>
      <c r="I2868" s="31" t="s">
        <v>3602</v>
      </c>
      <c r="K2868" s="31">
        <v>4743.2</v>
      </c>
      <c r="Z2868" s="31" t="s">
        <v>3724</v>
      </c>
      <c r="AK2868" s="32">
        <v>98</v>
      </c>
      <c r="AQ2868" s="32" t="s">
        <v>4210</v>
      </c>
      <c r="AU2868">
        <v>2867</v>
      </c>
    </row>
    <row r="2869" spans="1:47" x14ac:dyDescent="0.2">
      <c r="A2869" s="44">
        <v>6608</v>
      </c>
      <c r="B2869" s="42" t="s">
        <v>85</v>
      </c>
      <c r="C2869" s="43" t="s">
        <v>4213</v>
      </c>
      <c r="D2869" s="29"/>
      <c r="E2869" s="36" t="s">
        <v>4214</v>
      </c>
      <c r="F2869" s="31" t="s">
        <v>4215</v>
      </c>
      <c r="G2869" s="31" t="s">
        <v>205</v>
      </c>
      <c r="H2869" s="32"/>
      <c r="I2869" s="32" t="s">
        <v>4216</v>
      </c>
      <c r="K2869" s="31">
        <f>3480*2.2</f>
        <v>7656.0000000000009</v>
      </c>
      <c r="S2869" s="33">
        <v>23</v>
      </c>
      <c r="T2869" s="31">
        <v>1</v>
      </c>
      <c r="Y2869" s="31" t="s">
        <v>120</v>
      </c>
      <c r="Z2869" s="31" t="s">
        <v>3724</v>
      </c>
      <c r="AE2869" s="31" t="s">
        <v>4217</v>
      </c>
      <c r="AQ2869" s="32" t="s">
        <v>4218</v>
      </c>
      <c r="AU2869">
        <v>2868</v>
      </c>
    </row>
    <row r="2870" spans="1:47" x14ac:dyDescent="0.2">
      <c r="A2870" s="26">
        <v>6608</v>
      </c>
      <c r="B2870" s="27">
        <v>0.55555555555555558</v>
      </c>
      <c r="C2870" s="28"/>
      <c r="D2870" s="29"/>
      <c r="E2870" s="102" t="s">
        <v>1102</v>
      </c>
      <c r="H2870" s="32">
        <v>0</v>
      </c>
      <c r="I2870" s="32" t="s">
        <v>1103</v>
      </c>
      <c r="AG2870" s="32">
        <v>0</v>
      </c>
      <c r="AH2870" s="32">
        <v>0</v>
      </c>
      <c r="AI2870" s="32">
        <v>0</v>
      </c>
      <c r="AK2870" s="32">
        <v>0</v>
      </c>
      <c r="AL2870" s="32">
        <f>5/6</f>
        <v>0.83333333333333337</v>
      </c>
      <c r="AO2870" s="73" t="s">
        <v>1006</v>
      </c>
      <c r="AP2870" s="32">
        <f>5/6</f>
        <v>0.83333333333333337</v>
      </c>
      <c r="AQ2870" s="32" t="s">
        <v>589</v>
      </c>
      <c r="AU2870">
        <v>2869</v>
      </c>
    </row>
    <row r="2871" spans="1:47" x14ac:dyDescent="0.2">
      <c r="A2871" s="26">
        <v>6608</v>
      </c>
      <c r="B2871" s="27">
        <v>0.5625</v>
      </c>
      <c r="C2871" s="28"/>
      <c r="D2871" s="29"/>
      <c r="E2871" s="30" t="s">
        <v>4219</v>
      </c>
      <c r="H2871" s="32">
        <v>1</v>
      </c>
      <c r="I2871" s="32"/>
      <c r="AL2871" s="32">
        <v>0.25</v>
      </c>
      <c r="AO2871" s="32" t="s">
        <v>858</v>
      </c>
      <c r="AP2871" s="32">
        <v>0.25</v>
      </c>
      <c r="AQ2871" s="32" t="s">
        <v>1101</v>
      </c>
      <c r="AU2871">
        <v>2870</v>
      </c>
    </row>
    <row r="2872" spans="1:47" x14ac:dyDescent="0.2">
      <c r="A2872" s="26">
        <v>6608</v>
      </c>
      <c r="B2872" s="27">
        <v>0.58333333333333337</v>
      </c>
      <c r="C2872" s="28"/>
      <c r="D2872" s="29"/>
      <c r="E2872" s="30" t="s">
        <v>2964</v>
      </c>
      <c r="H2872" s="32">
        <v>0</v>
      </c>
      <c r="I2872" s="32" t="s">
        <v>4158</v>
      </c>
      <c r="AG2872" s="32">
        <v>0</v>
      </c>
      <c r="AH2872" s="32">
        <v>0</v>
      </c>
      <c r="AI2872" s="32">
        <v>0</v>
      </c>
      <c r="AK2872" s="32">
        <v>0</v>
      </c>
      <c r="AL2872" s="32">
        <v>0.75</v>
      </c>
      <c r="AP2872" s="32">
        <v>0.75</v>
      </c>
      <c r="AQ2872" s="32" t="s">
        <v>1101</v>
      </c>
      <c r="AU2872">
        <v>2871</v>
      </c>
    </row>
    <row r="2873" spans="1:47" x14ac:dyDescent="0.2">
      <c r="A2873" s="26">
        <v>6608</v>
      </c>
      <c r="B2873" s="27">
        <v>0.58333333333333337</v>
      </c>
      <c r="C2873" s="28"/>
      <c r="D2873" s="29"/>
      <c r="E2873" s="30" t="s">
        <v>869</v>
      </c>
      <c r="H2873" s="32">
        <v>0</v>
      </c>
      <c r="I2873" s="32" t="s">
        <v>2344</v>
      </c>
      <c r="AG2873" s="32">
        <v>0</v>
      </c>
      <c r="AH2873" s="32">
        <v>0</v>
      </c>
      <c r="AI2873" s="32">
        <v>0</v>
      </c>
      <c r="AK2873" s="32">
        <v>0</v>
      </c>
      <c r="AL2873" s="32">
        <v>0.33300000000000002</v>
      </c>
      <c r="AP2873" s="32">
        <v>0.33300000000000002</v>
      </c>
      <c r="AQ2873" s="32" t="s">
        <v>589</v>
      </c>
      <c r="AU2873">
        <v>2872</v>
      </c>
    </row>
    <row r="2874" spans="1:47" x14ac:dyDescent="0.2">
      <c r="A2874" s="26">
        <v>6608</v>
      </c>
      <c r="B2874" s="27">
        <v>0.80902777777777779</v>
      </c>
      <c r="C2874" s="28"/>
      <c r="D2874" s="29"/>
      <c r="E2874" s="30" t="s">
        <v>464</v>
      </c>
      <c r="H2874" s="32">
        <v>0</v>
      </c>
      <c r="I2874" s="32" t="s">
        <v>4220</v>
      </c>
      <c r="AG2874" s="32">
        <v>0</v>
      </c>
      <c r="AH2874" s="32">
        <v>0</v>
      </c>
      <c r="AL2874" s="32">
        <f>17/60</f>
        <v>0.28333333333333333</v>
      </c>
      <c r="AO2874" s="32" t="s">
        <v>4067</v>
      </c>
      <c r="AP2874" s="32">
        <f>17/60</f>
        <v>0.28333333333333333</v>
      </c>
      <c r="AQ2874" s="32" t="s">
        <v>1522</v>
      </c>
      <c r="AU2874">
        <v>2873</v>
      </c>
    </row>
    <row r="2875" spans="1:47" x14ac:dyDescent="0.2">
      <c r="A2875" s="37">
        <v>6609</v>
      </c>
      <c r="B2875" s="38" t="s">
        <v>85</v>
      </c>
      <c r="C2875" s="39" t="s">
        <v>1234</v>
      </c>
      <c r="D2875" s="29"/>
      <c r="E2875" s="38" t="s">
        <v>631</v>
      </c>
      <c r="F2875" s="32" t="s">
        <v>626</v>
      </c>
      <c r="G2875" s="47" t="s">
        <v>627</v>
      </c>
      <c r="H2875"/>
      <c r="I2875" s="32"/>
      <c r="J2875" s="47"/>
      <c r="K2875" s="47"/>
      <c r="L2875" s="48"/>
      <c r="M2875" s="47"/>
      <c r="N2875" s="47"/>
      <c r="O2875" s="47"/>
      <c r="P2875" s="47"/>
      <c r="Q2875" s="47"/>
      <c r="R2875" s="47"/>
      <c r="S2875" s="48"/>
      <c r="T2875" s="47"/>
      <c r="U2875" s="47"/>
      <c r="V2875" s="47"/>
      <c r="W2875" s="47"/>
      <c r="X2875" s="47"/>
      <c r="Y2875" s="47"/>
      <c r="Z2875" s="47"/>
      <c r="AA2875" s="49"/>
      <c r="AB2875" s="49"/>
      <c r="AC2875" s="49"/>
      <c r="AD2875" s="50"/>
      <c r="AE2875" s="47"/>
      <c r="AF2875" s="47"/>
      <c r="AG2875"/>
      <c r="AH2875"/>
      <c r="AI2875"/>
      <c r="AJ2875"/>
      <c r="AK2875"/>
      <c r="AL2875"/>
      <c r="AM2875"/>
      <c r="AN2875"/>
      <c r="AO2875"/>
      <c r="AP2875"/>
      <c r="AQ2875" t="s">
        <v>3840</v>
      </c>
      <c r="AU2875">
        <v>2874</v>
      </c>
    </row>
    <row r="2876" spans="1:47" x14ac:dyDescent="0.2">
      <c r="A2876" s="37">
        <v>6609</v>
      </c>
      <c r="B2876" s="38" t="s">
        <v>85</v>
      </c>
      <c r="C2876" s="39" t="s">
        <v>1234</v>
      </c>
      <c r="D2876" s="29"/>
      <c r="E2876" s="36" t="s">
        <v>4188</v>
      </c>
      <c r="F2876" s="31" t="s">
        <v>2761</v>
      </c>
      <c r="G2876" s="47" t="s">
        <v>69</v>
      </c>
      <c r="H2876"/>
      <c r="I2876" s="32" t="s">
        <v>4221</v>
      </c>
      <c r="J2876" s="47"/>
      <c r="K2876" s="47"/>
      <c r="L2876" s="48">
        <v>17</v>
      </c>
      <c r="M2876" s="47"/>
      <c r="N2876" s="47"/>
      <c r="O2876" s="47"/>
      <c r="P2876" s="47"/>
      <c r="Q2876" s="47"/>
      <c r="R2876" s="47"/>
      <c r="S2876" s="48"/>
      <c r="T2876" s="47"/>
      <c r="U2876" s="47"/>
      <c r="V2876" s="47"/>
      <c r="W2876" s="47"/>
      <c r="X2876" s="47"/>
      <c r="Y2876" s="47"/>
      <c r="Z2876" s="47"/>
      <c r="AA2876" s="49"/>
      <c r="AB2876" s="49"/>
      <c r="AC2876" s="49"/>
      <c r="AD2876" s="50"/>
      <c r="AE2876" s="47"/>
      <c r="AF2876" s="47"/>
      <c r="AG2876"/>
      <c r="AH2876"/>
      <c r="AI2876"/>
      <c r="AJ2876"/>
      <c r="AK2876"/>
      <c r="AL2876"/>
      <c r="AM2876"/>
      <c r="AN2876"/>
      <c r="AO2876"/>
      <c r="AP2876"/>
      <c r="AQ2876"/>
      <c r="AU2876">
        <v>2875</v>
      </c>
    </row>
    <row r="2877" spans="1:47" x14ac:dyDescent="0.2">
      <c r="A2877" s="13">
        <v>6609</v>
      </c>
      <c r="B2877" s="57" t="s">
        <v>85</v>
      </c>
      <c r="C2877" s="57" t="s">
        <v>1234</v>
      </c>
      <c r="D2877" s="29"/>
      <c r="E2877" s="57" t="s">
        <v>3726</v>
      </c>
      <c r="F2877" s="31" t="s">
        <v>3727</v>
      </c>
      <c r="G2877" s="31" t="s">
        <v>69</v>
      </c>
      <c r="I2877" s="31" t="s">
        <v>4183</v>
      </c>
      <c r="K2877" s="63"/>
      <c r="Z2877" s="47" t="s">
        <v>1809</v>
      </c>
      <c r="AQ2877" s="32" t="s">
        <v>4184</v>
      </c>
      <c r="AU2877">
        <v>2876</v>
      </c>
    </row>
    <row r="2878" spans="1:47" x14ac:dyDescent="0.2">
      <c r="A2878" s="13">
        <v>6609</v>
      </c>
      <c r="B2878" s="42" t="s">
        <v>85</v>
      </c>
      <c r="C2878" s="15" t="s">
        <v>3730</v>
      </c>
      <c r="D2878" s="29"/>
      <c r="E2878" s="121" t="s">
        <v>4190</v>
      </c>
      <c r="F2878" s="19" t="s">
        <v>4222</v>
      </c>
      <c r="G2878" s="19" t="s">
        <v>69</v>
      </c>
      <c r="H2878" s="32"/>
      <c r="I2878" s="18" t="s">
        <v>4223</v>
      </c>
      <c r="K2878" s="31">
        <f>264*2.2</f>
        <v>580.80000000000007</v>
      </c>
      <c r="L2878" s="33">
        <v>7</v>
      </c>
      <c r="S2878" s="33">
        <v>7</v>
      </c>
      <c r="T2878" s="31">
        <v>0</v>
      </c>
      <c r="U2878" s="31">
        <v>0</v>
      </c>
      <c r="V2878" s="31">
        <v>0</v>
      </c>
      <c r="Y2878" s="19" t="s">
        <v>51</v>
      </c>
      <c r="Z2878" s="19" t="s">
        <v>1809</v>
      </c>
      <c r="AE2878" s="47" t="s">
        <v>1653</v>
      </c>
      <c r="AF2878" s="31">
        <v>100</v>
      </c>
      <c r="AO2878" s="73"/>
      <c r="AQ2878" s="18" t="s">
        <v>4046</v>
      </c>
      <c r="AU2878">
        <v>2877</v>
      </c>
    </row>
    <row r="2879" spans="1:47" x14ac:dyDescent="0.2">
      <c r="A2879" s="13">
        <v>6609</v>
      </c>
      <c r="B2879" s="57" t="s">
        <v>45</v>
      </c>
      <c r="C2879" s="57" t="s">
        <v>4224</v>
      </c>
      <c r="D2879" s="29"/>
      <c r="E2879" s="57" t="s">
        <v>3895</v>
      </c>
      <c r="F2879" s="31" t="s">
        <v>76</v>
      </c>
      <c r="G2879" s="31" t="s">
        <v>49</v>
      </c>
      <c r="I2879" s="31" t="s">
        <v>4225</v>
      </c>
      <c r="K2879" s="31">
        <v>264</v>
      </c>
      <c r="S2879" s="33">
        <v>1</v>
      </c>
      <c r="AK2879" s="53">
        <v>12</v>
      </c>
      <c r="AQ2879" s="32" t="s">
        <v>4196</v>
      </c>
      <c r="AU2879">
        <v>2878</v>
      </c>
    </row>
    <row r="2880" spans="1:47" x14ac:dyDescent="0.2">
      <c r="A2880" s="13">
        <v>6609</v>
      </c>
      <c r="B2880" s="57"/>
      <c r="C2880" s="57" t="s">
        <v>1077</v>
      </c>
      <c r="D2880" s="29"/>
      <c r="E2880" s="57" t="s">
        <v>4226</v>
      </c>
      <c r="F2880" s="31" t="s">
        <v>4227</v>
      </c>
      <c r="G2880" s="31" t="s">
        <v>69</v>
      </c>
      <c r="I2880" s="31" t="s">
        <v>4228</v>
      </c>
      <c r="K2880" s="31">
        <v>990</v>
      </c>
      <c r="AK2880" s="32">
        <v>10</v>
      </c>
      <c r="AQ2880" s="32" t="s">
        <v>4210</v>
      </c>
      <c r="AU2880">
        <v>2879</v>
      </c>
    </row>
    <row r="2881" spans="1:47" x14ac:dyDescent="0.2">
      <c r="A2881" s="13">
        <v>6610</v>
      </c>
      <c r="B2881" s="57" t="s">
        <v>45</v>
      </c>
      <c r="C2881" s="57" t="s">
        <v>142</v>
      </c>
      <c r="D2881" s="29"/>
      <c r="E2881" s="57" t="s">
        <v>1404</v>
      </c>
      <c r="F2881" s="31" t="s">
        <v>3637</v>
      </c>
      <c r="G2881" s="31" t="s">
        <v>69</v>
      </c>
      <c r="I2881" s="31" t="s">
        <v>4229</v>
      </c>
      <c r="K2881" s="31">
        <f>4*50*2.2</f>
        <v>440.00000000000006</v>
      </c>
      <c r="S2881" s="33">
        <v>1</v>
      </c>
      <c r="T2881" s="31">
        <v>0</v>
      </c>
      <c r="U2881" s="31">
        <v>0</v>
      </c>
      <c r="V2881" s="31">
        <v>0</v>
      </c>
      <c r="Y2881" s="31" t="s">
        <v>51</v>
      </c>
      <c r="Z2881" s="31" t="s">
        <v>3855</v>
      </c>
      <c r="AE2881" s="31" t="s">
        <v>4124</v>
      </c>
      <c r="AK2881" s="32">
        <v>4</v>
      </c>
      <c r="AQ2881" s="32" t="s">
        <v>4230</v>
      </c>
      <c r="AU2881">
        <v>2880</v>
      </c>
    </row>
    <row r="2882" spans="1:47" x14ac:dyDescent="0.2">
      <c r="A2882" s="26">
        <v>6610</v>
      </c>
      <c r="B2882" s="27">
        <v>0.14930555555555555</v>
      </c>
      <c r="C2882" s="28"/>
      <c r="D2882" s="29"/>
      <c r="E2882" s="30" t="s">
        <v>1282</v>
      </c>
      <c r="H2882" s="32">
        <v>0</v>
      </c>
      <c r="I2882" s="32" t="s">
        <v>2244</v>
      </c>
      <c r="AG2882" s="32">
        <v>0</v>
      </c>
      <c r="AH2882" s="32">
        <v>0</v>
      </c>
      <c r="AI2882" s="32">
        <v>0</v>
      </c>
      <c r="AK2882" s="32">
        <v>0</v>
      </c>
      <c r="AL2882" s="32">
        <f>25/60</f>
        <v>0.41666666666666669</v>
      </c>
      <c r="AP2882" s="32">
        <f>25/60</f>
        <v>0.41666666666666669</v>
      </c>
      <c r="AQ2882" s="32" t="s">
        <v>1101</v>
      </c>
      <c r="AU2882">
        <v>2881</v>
      </c>
    </row>
    <row r="2883" spans="1:47" x14ac:dyDescent="0.2">
      <c r="A2883" s="26">
        <v>6610</v>
      </c>
      <c r="B2883" s="27">
        <v>0.15277777777777776</v>
      </c>
      <c r="C2883" s="28"/>
      <c r="D2883" s="29"/>
      <c r="E2883" s="30" t="s">
        <v>464</v>
      </c>
      <c r="H2883" s="32">
        <v>0</v>
      </c>
      <c r="I2883" s="32" t="s">
        <v>4231</v>
      </c>
      <c r="AG2883" s="32">
        <v>0</v>
      </c>
      <c r="AH2883" s="32">
        <v>0</v>
      </c>
      <c r="AI2883" s="32">
        <v>0</v>
      </c>
      <c r="AK2883" s="32">
        <v>0</v>
      </c>
      <c r="AL2883" s="32">
        <v>0.33300000000000002</v>
      </c>
      <c r="AO2883" s="32" t="s">
        <v>4067</v>
      </c>
      <c r="AP2883" s="32">
        <v>0.33300000000000002</v>
      </c>
      <c r="AQ2883" s="32" t="s">
        <v>1522</v>
      </c>
      <c r="AU2883">
        <v>2882</v>
      </c>
    </row>
    <row r="2884" spans="1:47" x14ac:dyDescent="0.2">
      <c r="A2884" s="26">
        <v>6610</v>
      </c>
      <c r="B2884" s="27">
        <v>0.74305555555555547</v>
      </c>
      <c r="C2884" s="28"/>
      <c r="D2884" s="29"/>
      <c r="E2884" s="30" t="s">
        <v>869</v>
      </c>
      <c r="H2884" s="32">
        <v>0</v>
      </c>
      <c r="I2884" s="32" t="s">
        <v>2344</v>
      </c>
      <c r="AG2884" s="32">
        <v>0</v>
      </c>
      <c r="AH2884" s="32">
        <v>0</v>
      </c>
      <c r="AI2884" s="32">
        <v>0</v>
      </c>
      <c r="AK2884" s="32">
        <v>0</v>
      </c>
      <c r="AL2884" s="32">
        <v>0.25</v>
      </c>
      <c r="AP2884" s="32">
        <v>0.25</v>
      </c>
      <c r="AQ2884" s="32" t="s">
        <v>589</v>
      </c>
      <c r="AU2884">
        <v>2883</v>
      </c>
    </row>
    <row r="2885" spans="1:47" x14ac:dyDescent="0.2">
      <c r="A2885" s="26">
        <v>6610</v>
      </c>
      <c r="B2885" s="27"/>
      <c r="C2885" s="28"/>
      <c r="D2885" s="29"/>
      <c r="E2885" s="30" t="s">
        <v>1144</v>
      </c>
      <c r="H2885" s="32">
        <v>0</v>
      </c>
      <c r="I2885" s="32" t="s">
        <v>4232</v>
      </c>
      <c r="AG2885" s="32">
        <v>0</v>
      </c>
      <c r="AH2885" s="32">
        <v>0</v>
      </c>
      <c r="AI2885" s="32">
        <v>0</v>
      </c>
      <c r="AK2885" s="32">
        <v>0</v>
      </c>
      <c r="AM2885" s="32">
        <v>441</v>
      </c>
      <c r="AO2885" s="32" t="s">
        <v>1006</v>
      </c>
      <c r="AQ2885" s="32">
        <v>422</v>
      </c>
      <c r="AU2885">
        <v>2884</v>
      </c>
    </row>
    <row r="2886" spans="1:47" x14ac:dyDescent="0.2">
      <c r="A2886" s="44">
        <v>6611</v>
      </c>
      <c r="B2886" s="42">
        <v>0.63541666666666663</v>
      </c>
      <c r="C2886" s="43" t="s">
        <v>1077</v>
      </c>
      <c r="D2886" s="29"/>
      <c r="E2886" s="36" t="s">
        <v>4233</v>
      </c>
      <c r="F2886" s="31" t="s">
        <v>4234</v>
      </c>
      <c r="G2886" s="31" t="s">
        <v>722</v>
      </c>
      <c r="H2886" s="32"/>
      <c r="I2886" s="32" t="s">
        <v>4235</v>
      </c>
      <c r="K2886" s="31">
        <f>3160*2.2</f>
        <v>6952.0000000000009</v>
      </c>
      <c r="L2886" s="33">
        <v>21</v>
      </c>
      <c r="S2886" s="33">
        <v>21</v>
      </c>
      <c r="T2886" s="31">
        <v>0</v>
      </c>
      <c r="Z2886" s="31" t="s">
        <v>3724</v>
      </c>
      <c r="AA2886" s="34">
        <v>0.52083333333333337</v>
      </c>
      <c r="AC2886" s="34">
        <v>0.63541666666666663</v>
      </c>
      <c r="AG2886" s="32">
        <v>1</v>
      </c>
      <c r="AH2886" s="32">
        <v>17</v>
      </c>
      <c r="AI2886" s="32">
        <v>250000</v>
      </c>
      <c r="AQ2886" s="32" t="s">
        <v>4236</v>
      </c>
      <c r="AU2886">
        <v>2885</v>
      </c>
    </row>
    <row r="2887" spans="1:47" x14ac:dyDescent="0.2">
      <c r="A2887" s="13">
        <v>6611</v>
      </c>
      <c r="B2887" s="57" t="s">
        <v>85</v>
      </c>
      <c r="C2887" s="57" t="s">
        <v>1077</v>
      </c>
      <c r="D2887" s="29"/>
      <c r="E2887" s="57" t="s">
        <v>4237</v>
      </c>
      <c r="F2887" s="31" t="s">
        <v>76</v>
      </c>
      <c r="I2887" s="31" t="s">
        <v>4238</v>
      </c>
      <c r="K2887" s="31">
        <v>7937.6</v>
      </c>
      <c r="S2887" s="33">
        <v>21</v>
      </c>
      <c r="T2887" s="31">
        <v>0</v>
      </c>
      <c r="Z2887" s="31" t="s">
        <v>3724</v>
      </c>
      <c r="AK2887" s="32">
        <v>273</v>
      </c>
      <c r="AQ2887" s="32" t="s">
        <v>4239</v>
      </c>
      <c r="AU2887">
        <v>2886</v>
      </c>
    </row>
    <row r="2888" spans="1:47" x14ac:dyDescent="0.2">
      <c r="A2888" s="26">
        <v>6611</v>
      </c>
      <c r="B2888" s="27">
        <v>0.39583333333333331</v>
      </c>
      <c r="C2888" s="28"/>
      <c r="D2888" s="29"/>
      <c r="E2888" s="30" t="s">
        <v>869</v>
      </c>
      <c r="H2888" s="32">
        <v>0</v>
      </c>
      <c r="I2888" s="32" t="s">
        <v>2344</v>
      </c>
      <c r="AG2888" s="32">
        <v>0</v>
      </c>
      <c r="AH2888" s="32">
        <v>0</v>
      </c>
      <c r="AI2888" s="32">
        <v>0</v>
      </c>
      <c r="AK2888" s="32">
        <v>0</v>
      </c>
      <c r="AL2888" s="32">
        <f>5/6</f>
        <v>0.83333333333333337</v>
      </c>
      <c r="AP2888" s="32">
        <f>5/6</f>
        <v>0.83333333333333337</v>
      </c>
      <c r="AQ2888" s="32" t="s">
        <v>589</v>
      </c>
      <c r="AU2888">
        <v>2887</v>
      </c>
    </row>
    <row r="2889" spans="1:47" x14ac:dyDescent="0.2">
      <c r="A2889" s="26">
        <v>6611</v>
      </c>
      <c r="B2889" s="27">
        <v>0.63194444444444442</v>
      </c>
      <c r="C2889" s="28"/>
      <c r="D2889" s="29"/>
      <c r="E2889" s="30" t="s">
        <v>869</v>
      </c>
      <c r="H2889" s="32">
        <v>0</v>
      </c>
      <c r="I2889" s="32" t="s">
        <v>4240</v>
      </c>
      <c r="AG2889" s="32">
        <v>0</v>
      </c>
      <c r="AH2889" s="32">
        <v>0</v>
      </c>
      <c r="AI2889" s="32">
        <v>0</v>
      </c>
      <c r="AK2889" s="32">
        <v>0</v>
      </c>
      <c r="AL2889" s="32">
        <v>1.5</v>
      </c>
      <c r="AP2889" s="32">
        <v>1.5</v>
      </c>
      <c r="AQ2889" s="32" t="s">
        <v>589</v>
      </c>
      <c r="AU2889">
        <v>2888</v>
      </c>
    </row>
    <row r="2890" spans="1:47" x14ac:dyDescent="0.2">
      <c r="A2890" s="26">
        <v>6611</v>
      </c>
      <c r="B2890" s="27">
        <v>0.64583333333333337</v>
      </c>
      <c r="C2890" s="28"/>
      <c r="D2890" s="29"/>
      <c r="E2890" s="30" t="s">
        <v>4219</v>
      </c>
      <c r="H2890" s="32">
        <v>1</v>
      </c>
      <c r="AG2890" s="32">
        <v>0</v>
      </c>
      <c r="AH2890" s="32">
        <v>0</v>
      </c>
      <c r="AI2890" s="32">
        <v>0</v>
      </c>
      <c r="AK2890" s="32">
        <v>0</v>
      </c>
      <c r="AL2890" s="32">
        <v>0.5</v>
      </c>
      <c r="AO2890" s="32" t="s">
        <v>858</v>
      </c>
      <c r="AP2890" s="32">
        <v>0.5</v>
      </c>
      <c r="AQ2890" s="32" t="s">
        <v>1101</v>
      </c>
      <c r="AU2890">
        <v>2889</v>
      </c>
    </row>
    <row r="2891" spans="1:47" x14ac:dyDescent="0.2">
      <c r="A2891" s="26">
        <v>6611</v>
      </c>
      <c r="B2891" s="27" t="s">
        <v>85</v>
      </c>
      <c r="C2891" s="28"/>
      <c r="D2891" s="29"/>
      <c r="E2891" s="30" t="s">
        <v>858</v>
      </c>
      <c r="H2891" s="32">
        <v>1</v>
      </c>
      <c r="I2891" s="32"/>
      <c r="AG2891" s="32">
        <v>0</v>
      </c>
      <c r="AH2891" s="32">
        <v>17</v>
      </c>
      <c r="AI2891" s="32">
        <v>201000</v>
      </c>
      <c r="AQ2891" s="32">
        <v>438</v>
      </c>
      <c r="AU2891">
        <v>2890</v>
      </c>
    </row>
    <row r="2892" spans="1:47" x14ac:dyDescent="0.2">
      <c r="A2892" s="26">
        <v>6611</v>
      </c>
      <c r="B2892" s="27" t="s">
        <v>85</v>
      </c>
      <c r="C2892" s="28"/>
      <c r="D2892" s="29"/>
      <c r="E2892" s="72" t="s">
        <v>872</v>
      </c>
      <c r="H2892" s="32">
        <v>1</v>
      </c>
      <c r="I2892" s="32" t="s">
        <v>4241</v>
      </c>
      <c r="AI2892" s="32">
        <v>9300</v>
      </c>
      <c r="AK2892" s="32">
        <v>19</v>
      </c>
      <c r="AO2892" s="73" t="s">
        <v>858</v>
      </c>
      <c r="AQ2892" s="32">
        <v>439</v>
      </c>
      <c r="AU2892">
        <v>2891</v>
      </c>
    </row>
    <row r="2893" spans="1:47" x14ac:dyDescent="0.2">
      <c r="A2893" s="26">
        <v>6614</v>
      </c>
      <c r="B2893" s="27">
        <v>0.51249999999999996</v>
      </c>
      <c r="C2893" s="28"/>
      <c r="D2893" s="29"/>
      <c r="E2893" s="30" t="s">
        <v>3689</v>
      </c>
      <c r="H2893" s="32">
        <v>1</v>
      </c>
      <c r="I2893" s="32" t="s">
        <v>4242</v>
      </c>
      <c r="AG2893" s="32">
        <v>2</v>
      </c>
      <c r="AI2893" s="32">
        <v>90000</v>
      </c>
      <c r="AK2893" s="32">
        <v>6</v>
      </c>
      <c r="AQ2893" s="32">
        <v>456</v>
      </c>
      <c r="AU2893">
        <v>2892</v>
      </c>
    </row>
    <row r="2894" spans="1:47" x14ac:dyDescent="0.2">
      <c r="A2894" s="133">
        <v>6615</v>
      </c>
      <c r="B2894" s="39" t="s">
        <v>45</v>
      </c>
      <c r="C2894" s="39">
        <v>100</v>
      </c>
      <c r="D2894" s="29" t="b">
        <v>0</v>
      </c>
      <c r="E2894" s="39" t="s">
        <v>405</v>
      </c>
      <c r="F2894" s="47" t="s">
        <v>4243</v>
      </c>
      <c r="G2894" s="47" t="s">
        <v>49</v>
      </c>
      <c r="H2894"/>
      <c r="I2894" s="47" t="b">
        <v>0</v>
      </c>
      <c r="J2894" s="47" t="b">
        <v>1</v>
      </c>
      <c r="K2894" s="47">
        <v>962</v>
      </c>
      <c r="L2894" s="48">
        <v>6</v>
      </c>
      <c r="M2894" s="47">
        <v>0</v>
      </c>
      <c r="N2894" s="47">
        <v>0</v>
      </c>
      <c r="O2894" s="47">
        <v>3</v>
      </c>
      <c r="P2894" s="47">
        <v>0</v>
      </c>
      <c r="Q2894" s="47">
        <v>0</v>
      </c>
      <c r="R2894" s="47">
        <v>0</v>
      </c>
      <c r="S2894" s="48">
        <v>3</v>
      </c>
      <c r="T2894" s="47">
        <v>1</v>
      </c>
      <c r="U2894" s="47">
        <v>0</v>
      </c>
      <c r="V2894" s="47">
        <v>0</v>
      </c>
      <c r="W2894" s="47">
        <v>1000</v>
      </c>
      <c r="X2894" s="47">
        <v>415</v>
      </c>
      <c r="Y2894" s="47"/>
      <c r="Z2894" s="47" t="s">
        <v>2524</v>
      </c>
      <c r="AA2894" s="49"/>
      <c r="AB2894" s="49"/>
      <c r="AC2894" s="49"/>
      <c r="AD2894" s="50"/>
      <c r="AE2894" s="47" t="s">
        <v>1312</v>
      </c>
      <c r="AF2894" s="47">
        <v>60</v>
      </c>
      <c r="AG2894"/>
      <c r="AH2894"/>
      <c r="AI2894"/>
      <c r="AJ2894"/>
      <c r="AK2894"/>
      <c r="AL2894"/>
      <c r="AM2894"/>
      <c r="AN2894"/>
      <c r="AO2894"/>
      <c r="AP2894"/>
      <c r="AQ2894" t="s">
        <v>2526</v>
      </c>
      <c r="AU2894">
        <v>2893</v>
      </c>
    </row>
    <row r="2895" spans="1:47" x14ac:dyDescent="0.2">
      <c r="A2895" s="13">
        <v>6615</v>
      </c>
      <c r="B2895" s="57" t="s">
        <v>45</v>
      </c>
      <c r="C2895" s="57" t="s">
        <v>1077</v>
      </c>
      <c r="D2895" s="29"/>
      <c r="E2895" s="57" t="s">
        <v>3666</v>
      </c>
      <c r="F2895" s="31" t="s">
        <v>76</v>
      </c>
      <c r="G2895" s="31" t="s">
        <v>49</v>
      </c>
      <c r="I2895" s="31" t="s">
        <v>3602</v>
      </c>
      <c r="K2895" s="31">
        <v>1623.6</v>
      </c>
      <c r="Z2895" s="31" t="s">
        <v>3814</v>
      </c>
      <c r="AK2895" s="32">
        <v>36</v>
      </c>
      <c r="AQ2895" s="32" t="s">
        <v>4210</v>
      </c>
      <c r="AU2895">
        <v>2894</v>
      </c>
    </row>
    <row r="2896" spans="1:47" x14ac:dyDescent="0.2">
      <c r="A2896" s="13">
        <v>6615</v>
      </c>
      <c r="B2896" s="57" t="s">
        <v>45</v>
      </c>
      <c r="C2896" s="57" t="s">
        <v>1367</v>
      </c>
      <c r="D2896" s="29"/>
      <c r="E2896" s="57" t="s">
        <v>512</v>
      </c>
      <c r="F2896" s="31" t="s">
        <v>76</v>
      </c>
      <c r="G2896" s="31" t="s">
        <v>49</v>
      </c>
      <c r="I2896" s="31" t="s">
        <v>4244</v>
      </c>
      <c r="K2896" s="31">
        <v>4400</v>
      </c>
      <c r="AK2896" s="32">
        <v>46</v>
      </c>
      <c r="AQ2896" s="32" t="s">
        <v>4210</v>
      </c>
      <c r="AU2896">
        <v>2895</v>
      </c>
    </row>
    <row r="2897" spans="1:47" x14ac:dyDescent="0.2">
      <c r="A2897" s="13">
        <v>6615</v>
      </c>
      <c r="B2897" s="57"/>
      <c r="C2897" s="57" t="s">
        <v>1077</v>
      </c>
      <c r="D2897" s="29"/>
      <c r="E2897" s="57" t="s">
        <v>1924</v>
      </c>
      <c r="F2897" s="31" t="s">
        <v>3764</v>
      </c>
      <c r="G2897" s="31" t="s">
        <v>481</v>
      </c>
      <c r="I2897" s="31" t="s">
        <v>3602</v>
      </c>
      <c r="K2897" s="31">
        <v>457.6</v>
      </c>
      <c r="AK2897" s="32">
        <v>8</v>
      </c>
      <c r="AQ2897" s="32" t="s">
        <v>4210</v>
      </c>
      <c r="AU2897">
        <v>2896</v>
      </c>
    </row>
    <row r="2898" spans="1:47" x14ac:dyDescent="0.2">
      <c r="A2898" s="13">
        <v>6615</v>
      </c>
      <c r="B2898" s="57"/>
      <c r="C2898" s="57" t="s">
        <v>1077</v>
      </c>
      <c r="D2898" s="29"/>
      <c r="E2898" s="57" t="s">
        <v>4245</v>
      </c>
      <c r="F2898" s="31" t="s">
        <v>4104</v>
      </c>
      <c r="G2898" s="31" t="s">
        <v>49</v>
      </c>
      <c r="I2898" s="31" t="s">
        <v>4228</v>
      </c>
      <c r="K2898" s="31">
        <v>968</v>
      </c>
      <c r="AK2898" s="32">
        <v>20</v>
      </c>
      <c r="AQ2898" s="32" t="s">
        <v>4210</v>
      </c>
      <c r="AU2898">
        <v>2897</v>
      </c>
    </row>
    <row r="2899" spans="1:47" x14ac:dyDescent="0.2">
      <c r="A2899" s="13">
        <v>6615</v>
      </c>
      <c r="B2899" s="57"/>
      <c r="C2899" s="57" t="s">
        <v>1077</v>
      </c>
      <c r="D2899" s="29"/>
      <c r="E2899" s="57" t="s">
        <v>4246</v>
      </c>
      <c r="F2899" s="31" t="s">
        <v>4104</v>
      </c>
      <c r="G2899" s="31" t="s">
        <v>49</v>
      </c>
      <c r="I2899" s="31" t="s">
        <v>4228</v>
      </c>
      <c r="K2899" s="31">
        <v>1201.2</v>
      </c>
      <c r="AK2899" s="32">
        <v>18</v>
      </c>
      <c r="AQ2899" s="32" t="s">
        <v>4210</v>
      </c>
      <c r="AU2899">
        <v>2898</v>
      </c>
    </row>
    <row r="2900" spans="1:47" x14ac:dyDescent="0.2">
      <c r="A2900" s="26">
        <v>6615</v>
      </c>
      <c r="B2900" s="27">
        <v>0.31736111111111115</v>
      </c>
      <c r="C2900" s="28"/>
      <c r="D2900" s="29"/>
      <c r="E2900" s="30" t="s">
        <v>869</v>
      </c>
      <c r="H2900" s="32">
        <v>0</v>
      </c>
      <c r="I2900" s="32" t="s">
        <v>2344</v>
      </c>
      <c r="AG2900" s="32">
        <v>0</v>
      </c>
      <c r="AH2900" s="32">
        <v>0</v>
      </c>
      <c r="AI2900" s="32">
        <v>0</v>
      </c>
      <c r="AK2900" s="32">
        <v>0</v>
      </c>
      <c r="AL2900" s="32">
        <v>0.25</v>
      </c>
      <c r="AP2900" s="32">
        <v>0.25</v>
      </c>
      <c r="AQ2900" s="32" t="s">
        <v>589</v>
      </c>
      <c r="AU2900">
        <v>2899</v>
      </c>
    </row>
    <row r="2901" spans="1:47" x14ac:dyDescent="0.2">
      <c r="A2901" s="26">
        <v>6615</v>
      </c>
      <c r="B2901" s="27">
        <v>0.80902777777777779</v>
      </c>
      <c r="C2901" s="28"/>
      <c r="D2901" s="29"/>
      <c r="E2901" s="30" t="s">
        <v>464</v>
      </c>
      <c r="H2901" s="32">
        <v>0</v>
      </c>
      <c r="I2901" s="32" t="s">
        <v>4247</v>
      </c>
      <c r="AG2901" s="32">
        <v>0</v>
      </c>
      <c r="AH2901" s="32">
        <v>0</v>
      </c>
      <c r="AL2901" s="32">
        <f>155/60</f>
        <v>2.5833333333333335</v>
      </c>
      <c r="AO2901" s="32" t="s">
        <v>4067</v>
      </c>
      <c r="AP2901" s="32">
        <f>155/60</f>
        <v>2.5833333333333335</v>
      </c>
      <c r="AQ2901" s="32" t="s">
        <v>1522</v>
      </c>
      <c r="AU2901">
        <v>2900</v>
      </c>
    </row>
    <row r="2902" spans="1:47" x14ac:dyDescent="0.2">
      <c r="A2902" s="26">
        <v>6615</v>
      </c>
      <c r="B2902" s="27">
        <v>0.8125</v>
      </c>
      <c r="C2902" s="28"/>
      <c r="D2902" s="29"/>
      <c r="E2902" s="30" t="s">
        <v>1282</v>
      </c>
      <c r="H2902" s="32">
        <v>0</v>
      </c>
      <c r="I2902" s="32" t="s">
        <v>4248</v>
      </c>
      <c r="AG2902" s="32">
        <v>0</v>
      </c>
      <c r="AH2902" s="32">
        <v>0</v>
      </c>
      <c r="AI2902" s="32">
        <v>0</v>
      </c>
      <c r="AK2902" s="32">
        <v>0</v>
      </c>
      <c r="AL2902" s="32">
        <f>3+33/60</f>
        <v>3.55</v>
      </c>
      <c r="AP2902" s="32">
        <f>3+33/60</f>
        <v>3.55</v>
      </c>
      <c r="AQ2902" s="32" t="s">
        <v>1101</v>
      </c>
      <c r="AU2902">
        <v>2901</v>
      </c>
    </row>
    <row r="2903" spans="1:47" x14ac:dyDescent="0.2">
      <c r="A2903" s="26">
        <v>6615</v>
      </c>
      <c r="B2903" s="27">
        <v>0.83333333333333337</v>
      </c>
      <c r="C2903" s="28"/>
      <c r="D2903" s="29"/>
      <c r="E2903" s="30" t="s">
        <v>4219</v>
      </c>
      <c r="H2903" s="32">
        <v>0</v>
      </c>
      <c r="I2903" s="32" t="s">
        <v>4249</v>
      </c>
      <c r="AL2903" s="32">
        <v>0.5</v>
      </c>
      <c r="AO2903" s="32" t="s">
        <v>858</v>
      </c>
      <c r="AP2903" s="32">
        <v>0.5</v>
      </c>
      <c r="AQ2903" s="32" t="s">
        <v>1101</v>
      </c>
      <c r="AU2903">
        <v>2902</v>
      </c>
    </row>
    <row r="2904" spans="1:47" x14ac:dyDescent="0.2">
      <c r="A2904" s="13">
        <v>6616</v>
      </c>
      <c r="B2904" s="57" t="s">
        <v>45</v>
      </c>
      <c r="C2904" s="57" t="s">
        <v>1077</v>
      </c>
      <c r="D2904" s="29"/>
      <c r="E2904" s="57" t="s">
        <v>2210</v>
      </c>
      <c r="F2904" s="31" t="s">
        <v>3764</v>
      </c>
      <c r="G2904" s="31" t="s">
        <v>481</v>
      </c>
      <c r="I2904" s="31" t="s">
        <v>3602</v>
      </c>
      <c r="K2904" s="31">
        <v>902</v>
      </c>
      <c r="Z2904" s="31" t="s">
        <v>3814</v>
      </c>
      <c r="AK2904" s="32">
        <v>20</v>
      </c>
      <c r="AQ2904" s="32" t="s">
        <v>4210</v>
      </c>
      <c r="AU2904">
        <v>2903</v>
      </c>
    </row>
    <row r="2905" spans="1:47" x14ac:dyDescent="0.2">
      <c r="A2905" s="44">
        <v>6617</v>
      </c>
      <c r="B2905" s="42" t="s">
        <v>85</v>
      </c>
      <c r="C2905" s="43" t="s">
        <v>142</v>
      </c>
      <c r="D2905" s="29"/>
      <c r="E2905" s="36" t="s">
        <v>1109</v>
      </c>
      <c r="F2905" s="31" t="s">
        <v>150</v>
      </c>
      <c r="G2905" s="31" t="s">
        <v>49</v>
      </c>
      <c r="H2905" s="32"/>
      <c r="I2905" s="32" t="s">
        <v>4250</v>
      </c>
      <c r="K2905" s="31">
        <f>190*20*2.2</f>
        <v>8360</v>
      </c>
      <c r="L2905" s="33">
        <v>27</v>
      </c>
      <c r="N2905" s="31">
        <v>3</v>
      </c>
      <c r="S2905" s="33">
        <v>24</v>
      </c>
      <c r="T2905" s="31">
        <v>0</v>
      </c>
      <c r="U2905" s="31">
        <v>0</v>
      </c>
      <c r="V2905" s="31">
        <v>1</v>
      </c>
      <c r="Y2905" s="31" t="s">
        <v>51</v>
      </c>
      <c r="Z2905" s="31" t="s">
        <v>3724</v>
      </c>
      <c r="AE2905" s="31" t="s">
        <v>4124</v>
      </c>
      <c r="AF2905" s="31">
        <v>65</v>
      </c>
      <c r="AK2905" s="32">
        <v>190</v>
      </c>
      <c r="AQ2905" s="32" t="s">
        <v>4251</v>
      </c>
      <c r="AR2905" s="32" t="s">
        <v>4252</v>
      </c>
      <c r="AU2905">
        <v>2904</v>
      </c>
    </row>
    <row r="2906" spans="1:47" x14ac:dyDescent="0.2">
      <c r="A2906" s="13">
        <v>6617</v>
      </c>
      <c r="B2906" s="57" t="s">
        <v>85</v>
      </c>
      <c r="C2906" s="57" t="s">
        <v>1234</v>
      </c>
      <c r="D2906" s="29"/>
      <c r="E2906" s="57" t="s">
        <v>3726</v>
      </c>
      <c r="F2906" s="31" t="s">
        <v>3727</v>
      </c>
      <c r="G2906" s="31" t="s">
        <v>69</v>
      </c>
      <c r="I2906" s="31" t="s">
        <v>4183</v>
      </c>
      <c r="K2906" s="63"/>
      <c r="Z2906" s="47" t="s">
        <v>1809</v>
      </c>
      <c r="AQ2906" s="32" t="s">
        <v>4184</v>
      </c>
      <c r="AU2906">
        <v>2905</v>
      </c>
    </row>
    <row r="2907" spans="1:47" x14ac:dyDescent="0.2">
      <c r="A2907" s="13">
        <v>6617</v>
      </c>
      <c r="B2907" s="57" t="s">
        <v>85</v>
      </c>
      <c r="C2907" s="15" t="s">
        <v>3730</v>
      </c>
      <c r="D2907" s="29"/>
      <c r="E2907" s="39" t="s">
        <v>4044</v>
      </c>
      <c r="F2907" s="19" t="s">
        <v>4253</v>
      </c>
      <c r="G2907" s="19" t="s">
        <v>69</v>
      </c>
      <c r="I2907" s="19" t="s">
        <v>4254</v>
      </c>
      <c r="K2907" s="19">
        <f>48*2.2</f>
        <v>105.60000000000001</v>
      </c>
      <c r="S2907" s="33">
        <v>2</v>
      </c>
      <c r="T2907" s="31">
        <v>0</v>
      </c>
      <c r="U2907" s="31">
        <v>0</v>
      </c>
      <c r="V2907" s="31">
        <v>0</v>
      </c>
      <c r="Y2907" s="19" t="s">
        <v>51</v>
      </c>
      <c r="Z2907" s="17" t="s">
        <v>1809</v>
      </c>
      <c r="AE2907" s="47" t="s">
        <v>1653</v>
      </c>
      <c r="AF2907" s="31">
        <v>60</v>
      </c>
      <c r="AO2907" s="73"/>
      <c r="AQ2907" s="18" t="s">
        <v>4255</v>
      </c>
      <c r="AU2907">
        <v>2906</v>
      </c>
    </row>
    <row r="2908" spans="1:47" x14ac:dyDescent="0.2">
      <c r="A2908" s="44">
        <v>6617</v>
      </c>
      <c r="B2908" s="42" t="s">
        <v>45</v>
      </c>
      <c r="C2908" s="43" t="s">
        <v>142</v>
      </c>
      <c r="D2908" s="29"/>
      <c r="E2908" s="36" t="s">
        <v>2191</v>
      </c>
      <c r="F2908" s="31" t="s">
        <v>150</v>
      </c>
      <c r="G2908" s="31" t="s">
        <v>49</v>
      </c>
      <c r="H2908" s="32"/>
      <c r="I2908" s="32" t="s">
        <v>4256</v>
      </c>
      <c r="K2908" s="31">
        <f>1226*2.2</f>
        <v>2697.2000000000003</v>
      </c>
      <c r="L2908" s="33">
        <v>11</v>
      </c>
      <c r="N2908" s="31">
        <v>4</v>
      </c>
      <c r="S2908" s="33">
        <v>7</v>
      </c>
      <c r="T2908" s="31">
        <v>0</v>
      </c>
      <c r="U2908" s="31">
        <v>3</v>
      </c>
      <c r="V2908" s="31">
        <v>1</v>
      </c>
      <c r="Y2908" s="31" t="s">
        <v>51</v>
      </c>
      <c r="Z2908" s="31" t="s">
        <v>3855</v>
      </c>
      <c r="AE2908" s="31" t="s">
        <v>4124</v>
      </c>
      <c r="AF2908" s="31">
        <v>60</v>
      </c>
      <c r="AK2908" s="32">
        <v>24</v>
      </c>
      <c r="AQ2908" s="32" t="s">
        <v>4257</v>
      </c>
      <c r="AU2908">
        <v>2907</v>
      </c>
    </row>
    <row r="2909" spans="1:47" x14ac:dyDescent="0.2">
      <c r="A2909" s="13">
        <v>6617</v>
      </c>
      <c r="B2909" s="57" t="s">
        <v>45</v>
      </c>
      <c r="C2909" s="57" t="s">
        <v>105</v>
      </c>
      <c r="D2909" s="29"/>
      <c r="E2909" s="57" t="s">
        <v>1404</v>
      </c>
      <c r="F2909" s="31" t="s">
        <v>3637</v>
      </c>
      <c r="G2909" s="31" t="s">
        <v>69</v>
      </c>
      <c r="I2909" s="31" t="s">
        <v>4228</v>
      </c>
      <c r="K2909" s="31">
        <v>158.4</v>
      </c>
      <c r="AK2909" s="32">
        <v>3</v>
      </c>
      <c r="AQ2909" s="32" t="s">
        <v>4210</v>
      </c>
      <c r="AU2909">
        <v>2908</v>
      </c>
    </row>
    <row r="2910" spans="1:47" x14ac:dyDescent="0.2">
      <c r="A2910" s="13">
        <v>6617</v>
      </c>
      <c r="B2910" s="57" t="s">
        <v>45</v>
      </c>
      <c r="C2910" s="57" t="s">
        <v>105</v>
      </c>
      <c r="D2910" s="29"/>
      <c r="E2910" s="57" t="s">
        <v>3063</v>
      </c>
      <c r="F2910" s="31" t="s">
        <v>76</v>
      </c>
      <c r="G2910" s="31" t="s">
        <v>49</v>
      </c>
      <c r="I2910" s="31" t="s">
        <v>3602</v>
      </c>
      <c r="K2910" s="31">
        <v>193.6</v>
      </c>
      <c r="AK2910" s="32">
        <v>8</v>
      </c>
      <c r="AQ2910" s="32" t="s">
        <v>4210</v>
      </c>
      <c r="AU2910">
        <v>2909</v>
      </c>
    </row>
    <row r="2911" spans="1:47" x14ac:dyDescent="0.2">
      <c r="A2911" s="13">
        <v>6617</v>
      </c>
      <c r="B2911" s="57" t="s">
        <v>45</v>
      </c>
      <c r="C2911" s="57" t="s">
        <v>105</v>
      </c>
      <c r="D2911" s="29"/>
      <c r="E2911" s="57" t="s">
        <v>4258</v>
      </c>
      <c r="F2911" s="31" t="s">
        <v>83</v>
      </c>
      <c r="G2911" s="31" t="s">
        <v>69</v>
      </c>
      <c r="I2911" s="31" t="s">
        <v>4228</v>
      </c>
      <c r="K2911" s="31">
        <v>211.2</v>
      </c>
      <c r="AK2911" s="32">
        <v>4</v>
      </c>
      <c r="AQ2911" s="32" t="s">
        <v>4210</v>
      </c>
      <c r="AU2911">
        <v>2910</v>
      </c>
    </row>
    <row r="2912" spans="1:47" x14ac:dyDescent="0.2">
      <c r="A2912" s="13">
        <v>6617</v>
      </c>
      <c r="B2912" s="57" t="s">
        <v>45</v>
      </c>
      <c r="C2912" s="57" t="s">
        <v>105</v>
      </c>
      <c r="D2912" s="29"/>
      <c r="E2912" s="57" t="s">
        <v>199</v>
      </c>
      <c r="F2912" s="31" t="s">
        <v>76</v>
      </c>
      <c r="G2912" s="31" t="s">
        <v>49</v>
      </c>
      <c r="I2912" s="31" t="s">
        <v>3602</v>
      </c>
      <c r="K2912" s="31">
        <v>211.2</v>
      </c>
      <c r="AK2912" s="32">
        <v>4</v>
      </c>
      <c r="AQ2912" s="32" t="s">
        <v>4210</v>
      </c>
      <c r="AU2912">
        <v>2911</v>
      </c>
    </row>
    <row r="2913" spans="1:47" x14ac:dyDescent="0.2">
      <c r="A2913" s="13">
        <v>6617</v>
      </c>
      <c r="B2913" s="57" t="s">
        <v>45</v>
      </c>
      <c r="C2913" s="57" t="s">
        <v>4224</v>
      </c>
      <c r="D2913" s="29"/>
      <c r="E2913" s="57" t="s">
        <v>1088</v>
      </c>
      <c r="F2913" s="31" t="s">
        <v>76</v>
      </c>
      <c r="G2913" s="31" t="s">
        <v>49</v>
      </c>
      <c r="I2913" s="31" t="s">
        <v>4225</v>
      </c>
      <c r="K2913" s="31">
        <v>264</v>
      </c>
      <c r="S2913" s="33">
        <v>1</v>
      </c>
      <c r="AK2913" s="32">
        <v>12</v>
      </c>
      <c r="AQ2913" s="32" t="s">
        <v>4196</v>
      </c>
      <c r="AU2913">
        <v>2912</v>
      </c>
    </row>
    <row r="2914" spans="1:47" x14ac:dyDescent="0.2">
      <c r="A2914" s="13">
        <v>6617</v>
      </c>
      <c r="B2914" s="57" t="s">
        <v>45</v>
      </c>
      <c r="C2914" s="57" t="s">
        <v>1077</v>
      </c>
      <c r="D2914" s="29"/>
      <c r="E2914" s="57" t="s">
        <v>1924</v>
      </c>
      <c r="F2914" s="31" t="s">
        <v>3764</v>
      </c>
      <c r="G2914" s="31" t="s">
        <v>481</v>
      </c>
      <c r="I2914" s="31" t="s">
        <v>3602</v>
      </c>
      <c r="K2914" s="31">
        <v>453.2</v>
      </c>
      <c r="Z2914" s="31" t="s">
        <v>3814</v>
      </c>
      <c r="AK2914" s="32">
        <v>6</v>
      </c>
      <c r="AQ2914" s="32" t="s">
        <v>4210</v>
      </c>
      <c r="AU2914">
        <v>2913</v>
      </c>
    </row>
    <row r="2915" spans="1:47" x14ac:dyDescent="0.2">
      <c r="A2915" s="13">
        <v>6617</v>
      </c>
      <c r="B2915" s="57" t="s">
        <v>45</v>
      </c>
      <c r="C2915" s="57" t="s">
        <v>1077</v>
      </c>
      <c r="D2915" s="29"/>
      <c r="E2915" s="57" t="s">
        <v>1048</v>
      </c>
      <c r="F2915" s="31" t="s">
        <v>76</v>
      </c>
      <c r="G2915" s="31" t="s">
        <v>49</v>
      </c>
      <c r="I2915" s="31" t="s">
        <v>3602</v>
      </c>
      <c r="K2915" s="31">
        <v>508.2</v>
      </c>
      <c r="Z2915" s="31" t="s">
        <v>3814</v>
      </c>
      <c r="AK2915" s="32">
        <v>6</v>
      </c>
      <c r="AQ2915" s="32" t="s">
        <v>4210</v>
      </c>
      <c r="AU2915">
        <v>2914</v>
      </c>
    </row>
    <row r="2916" spans="1:47" x14ac:dyDescent="0.2">
      <c r="A2916" s="13">
        <v>6617</v>
      </c>
      <c r="B2916" s="57" t="s">
        <v>45</v>
      </c>
      <c r="C2916" s="57" t="s">
        <v>1077</v>
      </c>
      <c r="D2916" s="29"/>
      <c r="E2916" s="57" t="s">
        <v>3666</v>
      </c>
      <c r="F2916" s="31" t="s">
        <v>76</v>
      </c>
      <c r="G2916" s="31" t="s">
        <v>49</v>
      </c>
      <c r="I2916" s="31" t="s">
        <v>3602</v>
      </c>
      <c r="K2916" s="31">
        <v>1194.5999999999999</v>
      </c>
      <c r="Z2916" s="31" t="s">
        <v>3814</v>
      </c>
      <c r="AK2916" s="32">
        <v>25</v>
      </c>
      <c r="AQ2916" s="32" t="s">
        <v>4210</v>
      </c>
      <c r="AU2916">
        <v>2915</v>
      </c>
    </row>
    <row r="2917" spans="1:47" x14ac:dyDescent="0.2">
      <c r="A2917" s="13">
        <v>6617</v>
      </c>
      <c r="B2917" s="57"/>
      <c r="C2917" s="57" t="s">
        <v>1077</v>
      </c>
      <c r="D2917" s="29"/>
      <c r="E2917" s="57" t="s">
        <v>188</v>
      </c>
      <c r="F2917" s="31" t="s">
        <v>4104</v>
      </c>
      <c r="G2917" s="31" t="s">
        <v>49</v>
      </c>
      <c r="I2917" s="31" t="s">
        <v>4228</v>
      </c>
      <c r="K2917" s="31">
        <v>360.8</v>
      </c>
      <c r="AK2917" s="32">
        <v>8</v>
      </c>
      <c r="AQ2917" s="32" t="s">
        <v>4210</v>
      </c>
      <c r="AU2917">
        <v>2916</v>
      </c>
    </row>
    <row r="2918" spans="1:47" x14ac:dyDescent="0.2">
      <c r="A2918" s="13">
        <v>6617</v>
      </c>
      <c r="B2918" s="57"/>
      <c r="C2918" s="57" t="s">
        <v>1077</v>
      </c>
      <c r="D2918" s="29"/>
      <c r="E2918" s="57" t="s">
        <v>3625</v>
      </c>
      <c r="F2918" s="31" t="s">
        <v>76</v>
      </c>
      <c r="G2918" s="31" t="s">
        <v>49</v>
      </c>
      <c r="I2918" s="31" t="s">
        <v>4244</v>
      </c>
      <c r="K2918" s="31">
        <v>721.6</v>
      </c>
      <c r="AK2918" s="32">
        <v>16</v>
      </c>
      <c r="AQ2918" s="32" t="s">
        <v>4210</v>
      </c>
      <c r="AU2918">
        <v>2917</v>
      </c>
    </row>
    <row r="2919" spans="1:47" x14ac:dyDescent="0.2">
      <c r="A2919" s="13">
        <v>6617</v>
      </c>
      <c r="B2919" s="57"/>
      <c r="C2919" s="57" t="s">
        <v>1077</v>
      </c>
      <c r="D2919" s="29"/>
      <c r="E2919" s="57" t="s">
        <v>4259</v>
      </c>
      <c r="F2919" s="31" t="s">
        <v>4104</v>
      </c>
      <c r="G2919" s="31" t="s">
        <v>49</v>
      </c>
      <c r="I2919" s="31" t="s">
        <v>4228</v>
      </c>
      <c r="K2919" s="31">
        <v>811.8</v>
      </c>
      <c r="AK2919" s="32">
        <v>18</v>
      </c>
      <c r="AQ2919" s="32" t="s">
        <v>4210</v>
      </c>
      <c r="AU2919">
        <v>2918</v>
      </c>
    </row>
    <row r="2920" spans="1:47" x14ac:dyDescent="0.2">
      <c r="A2920" s="13">
        <v>6617</v>
      </c>
      <c r="B2920" s="57"/>
      <c r="C2920" s="57" t="s">
        <v>1077</v>
      </c>
      <c r="D2920" s="29"/>
      <c r="E2920" s="57" t="s">
        <v>3603</v>
      </c>
      <c r="F2920" s="31" t="s">
        <v>76</v>
      </c>
      <c r="G2920" s="31" t="s">
        <v>49</v>
      </c>
      <c r="I2920" s="31" t="s">
        <v>4244</v>
      </c>
      <c r="K2920" s="31">
        <v>1623.6</v>
      </c>
      <c r="AK2920" s="32">
        <v>26</v>
      </c>
      <c r="AQ2920" s="32" t="s">
        <v>4210</v>
      </c>
      <c r="AU2920">
        <v>2919</v>
      </c>
    </row>
    <row r="2921" spans="1:47" x14ac:dyDescent="0.2">
      <c r="A2921" s="13">
        <v>6617</v>
      </c>
      <c r="B2921" s="57"/>
      <c r="C2921" s="57" t="s">
        <v>1077</v>
      </c>
      <c r="D2921" s="29"/>
      <c r="E2921" s="57" t="s">
        <v>512</v>
      </c>
      <c r="F2921" s="31" t="s">
        <v>76</v>
      </c>
      <c r="G2921" s="31" t="s">
        <v>49</v>
      </c>
      <c r="I2921" s="31" t="s">
        <v>4244</v>
      </c>
      <c r="K2921" s="31">
        <v>3247.2</v>
      </c>
      <c r="AK2921" s="32">
        <v>72</v>
      </c>
      <c r="AQ2921" s="32" t="s">
        <v>4210</v>
      </c>
      <c r="AU2921">
        <v>2920</v>
      </c>
    </row>
    <row r="2922" spans="1:47" x14ac:dyDescent="0.2">
      <c r="A2922" s="26">
        <v>6617</v>
      </c>
      <c r="B2922" s="27">
        <v>0.91319444444444453</v>
      </c>
      <c r="C2922" s="28"/>
      <c r="D2922" s="29"/>
      <c r="E2922" s="30" t="s">
        <v>1282</v>
      </c>
      <c r="H2922" s="32">
        <v>0</v>
      </c>
      <c r="I2922" s="32" t="s">
        <v>4260</v>
      </c>
      <c r="AG2922" s="32">
        <v>0</v>
      </c>
      <c r="AH2922" s="32">
        <v>0</v>
      </c>
      <c r="AI2922" s="32">
        <v>0</v>
      </c>
      <c r="AK2922" s="32">
        <v>0</v>
      </c>
      <c r="AL2922" s="32">
        <v>2.75</v>
      </c>
      <c r="AP2922" s="32">
        <v>2.75</v>
      </c>
      <c r="AQ2922" s="32" t="s">
        <v>1101</v>
      </c>
      <c r="AU2922">
        <v>2921</v>
      </c>
    </row>
    <row r="2923" spans="1:47" x14ac:dyDescent="0.2">
      <c r="A2923" s="26">
        <v>6617</v>
      </c>
      <c r="B2923" s="27">
        <v>0.9159722222222223</v>
      </c>
      <c r="C2923" s="28"/>
      <c r="D2923" s="29"/>
      <c r="E2923" s="30" t="s">
        <v>464</v>
      </c>
      <c r="H2923" s="32">
        <v>0</v>
      </c>
      <c r="I2923" s="32" t="s">
        <v>4261</v>
      </c>
      <c r="AG2923" s="32">
        <v>0</v>
      </c>
      <c r="AH2923" s="32">
        <v>0</v>
      </c>
      <c r="AL2923" s="32">
        <f>2+17/60</f>
        <v>2.2833333333333332</v>
      </c>
      <c r="AO2923" s="32" t="s">
        <v>4067</v>
      </c>
      <c r="AP2923" s="32">
        <f>2+17/60</f>
        <v>2.2833333333333332</v>
      </c>
      <c r="AQ2923" s="32" t="s">
        <v>1522</v>
      </c>
      <c r="AU2923">
        <v>2922</v>
      </c>
    </row>
    <row r="2924" spans="1:47" x14ac:dyDescent="0.2">
      <c r="A2924" s="26">
        <v>6617</v>
      </c>
      <c r="B2924" s="27">
        <v>0.99305555555555547</v>
      </c>
      <c r="C2924" s="28"/>
      <c r="D2924" s="29"/>
      <c r="E2924" s="30" t="s">
        <v>1124</v>
      </c>
      <c r="H2924" s="32">
        <v>1</v>
      </c>
      <c r="I2924" s="32"/>
      <c r="AG2924" s="32">
        <v>1</v>
      </c>
      <c r="AH2924" s="32">
        <v>9</v>
      </c>
      <c r="AK2924" s="32">
        <v>5</v>
      </c>
      <c r="AL2924" s="32">
        <f>35/60</f>
        <v>0.58333333333333337</v>
      </c>
      <c r="AO2924" s="46" t="s">
        <v>1126</v>
      </c>
      <c r="AP2924" s="32">
        <f>35/60</f>
        <v>0.58333333333333337</v>
      </c>
      <c r="AQ2924" s="32" t="s">
        <v>589</v>
      </c>
      <c r="AU2924">
        <v>2923</v>
      </c>
    </row>
    <row r="2925" spans="1:47" x14ac:dyDescent="0.2">
      <c r="A2925" s="26">
        <v>6617</v>
      </c>
      <c r="B2925" s="27" t="s">
        <v>45</v>
      </c>
      <c r="C2925" s="28"/>
      <c r="D2925" s="29"/>
      <c r="E2925" s="30" t="s">
        <v>1531</v>
      </c>
      <c r="H2925" s="32">
        <v>0</v>
      </c>
      <c r="I2925" s="32" t="s">
        <v>1532</v>
      </c>
      <c r="AG2925" s="32">
        <v>0</v>
      </c>
      <c r="AH2925" s="32">
        <v>0</v>
      </c>
      <c r="AI2925" s="32">
        <v>0</v>
      </c>
      <c r="AK2925" s="32">
        <v>0</v>
      </c>
      <c r="AM2925" s="32">
        <f>498*10</f>
        <v>4980</v>
      </c>
      <c r="AO2925" s="32" t="s">
        <v>1533</v>
      </c>
      <c r="AQ2925" s="32" t="s">
        <v>1101</v>
      </c>
      <c r="AU2925">
        <v>2924</v>
      </c>
    </row>
    <row r="2926" spans="1:47" x14ac:dyDescent="0.2">
      <c r="A2926" s="133">
        <v>6618</v>
      </c>
      <c r="B2926" s="39" t="s">
        <v>85</v>
      </c>
      <c r="C2926" s="39">
        <v>55</v>
      </c>
      <c r="D2926" s="29" t="b">
        <v>0</v>
      </c>
      <c r="E2926" s="39" t="s">
        <v>907</v>
      </c>
      <c r="F2926" s="47" t="s">
        <v>4136</v>
      </c>
      <c r="G2926" s="47" t="s">
        <v>49</v>
      </c>
      <c r="H2926"/>
      <c r="I2926" s="47" t="b">
        <v>0</v>
      </c>
      <c r="J2926" s="47" t="b">
        <v>1</v>
      </c>
      <c r="K2926" s="47">
        <v>2838</v>
      </c>
      <c r="L2926" s="48">
        <v>12</v>
      </c>
      <c r="M2926" s="47">
        <v>0</v>
      </c>
      <c r="N2926" s="47">
        <v>0</v>
      </c>
      <c r="O2926" s="47">
        <v>0</v>
      </c>
      <c r="P2926" s="47">
        <v>12</v>
      </c>
      <c r="Q2926" s="47">
        <v>0</v>
      </c>
      <c r="R2926" s="47">
        <v>0</v>
      </c>
      <c r="S2926" s="48">
        <v>12</v>
      </c>
      <c r="T2926" s="47">
        <v>0</v>
      </c>
      <c r="U2926" s="47">
        <v>5</v>
      </c>
      <c r="V2926" s="47">
        <v>1</v>
      </c>
      <c r="W2926" s="47">
        <v>13500</v>
      </c>
      <c r="X2926" s="47">
        <v>416</v>
      </c>
      <c r="Y2926" s="47"/>
      <c r="Z2926" s="47" t="s">
        <v>3618</v>
      </c>
      <c r="AA2926" s="49"/>
      <c r="AB2926" s="49"/>
      <c r="AC2926" s="49"/>
      <c r="AD2926" s="50"/>
      <c r="AE2926" s="47" t="s">
        <v>3798</v>
      </c>
      <c r="AF2926" s="47">
        <v>135</v>
      </c>
      <c r="AG2926"/>
      <c r="AH2926"/>
      <c r="AI2926"/>
      <c r="AJ2926"/>
      <c r="AK2926"/>
      <c r="AL2926"/>
      <c r="AM2926"/>
      <c r="AN2926"/>
      <c r="AO2926"/>
      <c r="AP2926"/>
      <c r="AQ2926" t="s">
        <v>2526</v>
      </c>
      <c r="AU2926">
        <v>2925</v>
      </c>
    </row>
    <row r="2927" spans="1:47" x14ac:dyDescent="0.2">
      <c r="A2927" s="13">
        <v>6618</v>
      </c>
      <c r="B2927" s="57" t="s">
        <v>85</v>
      </c>
      <c r="C2927" s="57" t="s">
        <v>142</v>
      </c>
      <c r="D2927" s="29"/>
      <c r="E2927" s="57" t="s">
        <v>4262</v>
      </c>
      <c r="F2927" s="31" t="s">
        <v>4263</v>
      </c>
      <c r="G2927" s="31" t="s">
        <v>69</v>
      </c>
      <c r="I2927" s="175" t="s">
        <v>4264</v>
      </c>
      <c r="K2927" s="31">
        <v>352</v>
      </c>
      <c r="S2927" s="33">
        <v>1</v>
      </c>
      <c r="Z2927" s="31" t="s">
        <v>3724</v>
      </c>
      <c r="AE2927" s="31" t="s">
        <v>4124</v>
      </c>
      <c r="AK2927" s="130">
        <v>8</v>
      </c>
      <c r="AQ2927" s="32" t="s">
        <v>4196</v>
      </c>
      <c r="AU2927">
        <v>2926</v>
      </c>
    </row>
    <row r="2928" spans="1:47" x14ac:dyDescent="0.2">
      <c r="A2928" s="13">
        <v>6618</v>
      </c>
      <c r="B2928" s="57" t="s">
        <v>85</v>
      </c>
      <c r="C2928" s="57" t="s">
        <v>142</v>
      </c>
      <c r="D2928" s="29"/>
      <c r="E2928" s="57" t="s">
        <v>4265</v>
      </c>
      <c r="F2928" s="31" t="s">
        <v>3637</v>
      </c>
      <c r="G2928" s="31" t="s">
        <v>69</v>
      </c>
      <c r="I2928" s="31" t="s">
        <v>4266</v>
      </c>
      <c r="K2928" s="31">
        <f>182*20*2.2</f>
        <v>8008.0000000000009</v>
      </c>
      <c r="S2928" s="33">
        <v>24</v>
      </c>
      <c r="T2928" s="31">
        <v>0</v>
      </c>
      <c r="U2928" s="31">
        <v>0</v>
      </c>
      <c r="V2928" s="31">
        <v>0</v>
      </c>
      <c r="Y2928" s="31" t="s">
        <v>51</v>
      </c>
      <c r="Z2928" s="31" t="s">
        <v>3724</v>
      </c>
      <c r="AA2928" s="34">
        <v>0.58333333333333337</v>
      </c>
      <c r="AB2928" s="34">
        <v>0.66666666666666663</v>
      </c>
      <c r="AC2928" s="49">
        <f>AVERAGE(AA2928:AB2928)</f>
        <v>0.625</v>
      </c>
      <c r="AD2928" s="50">
        <f>(AB2928-AA2928)*24</f>
        <v>1.9999999999999982</v>
      </c>
      <c r="AE2928" s="31" t="s">
        <v>4124</v>
      </c>
      <c r="AF2928" s="31">
        <v>90</v>
      </c>
      <c r="AK2928" s="32">
        <v>182</v>
      </c>
      <c r="AQ2928" s="32" t="s">
        <v>4267</v>
      </c>
      <c r="AU2928">
        <v>2927</v>
      </c>
    </row>
    <row r="2929" spans="1:47" x14ac:dyDescent="0.2">
      <c r="A2929" s="13">
        <v>6618</v>
      </c>
      <c r="B2929" s="57" t="s">
        <v>85</v>
      </c>
      <c r="C2929" s="57" t="s">
        <v>1234</v>
      </c>
      <c r="D2929" s="29"/>
      <c r="E2929" s="57" t="s">
        <v>3726</v>
      </c>
      <c r="F2929" s="31" t="s">
        <v>3727</v>
      </c>
      <c r="G2929" s="31" t="s">
        <v>69</v>
      </c>
      <c r="I2929" s="31" t="s">
        <v>4183</v>
      </c>
      <c r="K2929" s="63"/>
      <c r="Z2929" s="47" t="s">
        <v>1809</v>
      </c>
      <c r="AQ2929" s="32" t="s">
        <v>4184</v>
      </c>
      <c r="AU2929">
        <v>2928</v>
      </c>
    </row>
    <row r="2930" spans="1:47" x14ac:dyDescent="0.2">
      <c r="A2930" s="13">
        <v>6618</v>
      </c>
      <c r="B2930" s="57" t="s">
        <v>85</v>
      </c>
      <c r="C2930" s="15" t="s">
        <v>3730</v>
      </c>
      <c r="D2930" s="29"/>
      <c r="E2930" s="166" t="s">
        <v>4268</v>
      </c>
      <c r="G2930" s="31" t="s">
        <v>69</v>
      </c>
      <c r="I2930" s="19" t="s">
        <v>4269</v>
      </c>
      <c r="K2930" s="19">
        <f>96*2.2</f>
        <v>211.20000000000002</v>
      </c>
      <c r="S2930" s="33">
        <v>4</v>
      </c>
      <c r="T2930" s="31">
        <v>0</v>
      </c>
      <c r="U2930" s="31">
        <v>0</v>
      </c>
      <c r="V2930" s="31">
        <v>0</v>
      </c>
      <c r="Y2930" s="19" t="s">
        <v>120</v>
      </c>
      <c r="Z2930" s="17" t="s">
        <v>1809</v>
      </c>
      <c r="AE2930" s="47" t="s">
        <v>1653</v>
      </c>
      <c r="AF2930" s="31">
        <v>65</v>
      </c>
      <c r="AO2930" s="73"/>
      <c r="AQ2930" s="18" t="s">
        <v>4270</v>
      </c>
      <c r="AU2930">
        <v>2929</v>
      </c>
    </row>
    <row r="2931" spans="1:47" x14ac:dyDescent="0.2">
      <c r="A2931" s="13">
        <v>6618</v>
      </c>
      <c r="B2931" s="57" t="s">
        <v>45</v>
      </c>
      <c r="C2931" s="38" t="s">
        <v>3610</v>
      </c>
      <c r="D2931" s="29"/>
      <c r="E2931" s="57" t="s">
        <v>788</v>
      </c>
      <c r="F2931" s="31" t="s">
        <v>76</v>
      </c>
      <c r="G2931" s="31" t="s">
        <v>49</v>
      </c>
      <c r="I2931" s="31" t="s">
        <v>4271</v>
      </c>
      <c r="K2931" s="31">
        <f>6*50*2.2</f>
        <v>660</v>
      </c>
      <c r="L2931" s="33">
        <v>1</v>
      </c>
      <c r="S2931" s="33">
        <v>1</v>
      </c>
      <c r="T2931" s="31">
        <v>0</v>
      </c>
      <c r="U2931" s="31">
        <v>0</v>
      </c>
      <c r="V2931" s="31">
        <v>0</v>
      </c>
      <c r="W2931" s="47">
        <f>2800*39.37/12</f>
        <v>9186.3333333333339</v>
      </c>
      <c r="Y2931" s="31" t="s">
        <v>51</v>
      </c>
      <c r="Z2931" s="31" t="s">
        <v>1846</v>
      </c>
      <c r="AD2931" s="35">
        <v>2.15</v>
      </c>
      <c r="AE2931" s="31" t="s">
        <v>4173</v>
      </c>
      <c r="AF2931" s="31">
        <v>70</v>
      </c>
      <c r="AK2931" s="32">
        <v>6</v>
      </c>
      <c r="AQ2931" s="32" t="s">
        <v>4272</v>
      </c>
      <c r="AU2931">
        <v>2930</v>
      </c>
    </row>
    <row r="2932" spans="1:47" x14ac:dyDescent="0.2">
      <c r="A2932" s="13">
        <v>6618</v>
      </c>
      <c r="B2932" s="57" t="s">
        <v>45</v>
      </c>
      <c r="C2932" s="38" t="s">
        <v>3610</v>
      </c>
      <c r="D2932" s="29"/>
      <c r="E2932" s="57" t="s">
        <v>1764</v>
      </c>
      <c r="F2932" s="31" t="s">
        <v>76</v>
      </c>
      <c r="G2932" s="31" t="s">
        <v>49</v>
      </c>
      <c r="I2932" s="31" t="s">
        <v>4273</v>
      </c>
      <c r="K2932" s="31">
        <f>8*50*2.2</f>
        <v>880.00000000000011</v>
      </c>
      <c r="L2932" s="33">
        <v>1</v>
      </c>
      <c r="S2932" s="33">
        <v>1</v>
      </c>
      <c r="T2932" s="31">
        <v>0</v>
      </c>
      <c r="U2932" s="31">
        <v>0</v>
      </c>
      <c r="V2932" s="31">
        <v>0</v>
      </c>
      <c r="W2932" s="47">
        <f>3500*39.37/12</f>
        <v>11482.916666666666</v>
      </c>
      <c r="Y2932" s="31" t="s">
        <v>51</v>
      </c>
      <c r="Z2932" s="31" t="s">
        <v>1846</v>
      </c>
      <c r="AD2932" s="35">
        <v>2</v>
      </c>
      <c r="AE2932" s="31" t="s">
        <v>4173</v>
      </c>
      <c r="AF2932" s="31">
        <v>95</v>
      </c>
      <c r="AK2932" s="32">
        <v>8</v>
      </c>
      <c r="AQ2932" s="32" t="s">
        <v>4272</v>
      </c>
      <c r="AU2932">
        <v>2931</v>
      </c>
    </row>
    <row r="2933" spans="1:47" x14ac:dyDescent="0.2">
      <c r="A2933" s="13">
        <v>6618</v>
      </c>
      <c r="B2933" s="57" t="s">
        <v>45</v>
      </c>
      <c r="C2933" s="38" t="s">
        <v>3610</v>
      </c>
      <c r="D2933" s="29"/>
      <c r="E2933" s="57" t="s">
        <v>175</v>
      </c>
      <c r="F2933" s="31" t="s">
        <v>76</v>
      </c>
      <c r="G2933" s="31" t="s">
        <v>49</v>
      </c>
      <c r="I2933" s="31" t="s">
        <v>4274</v>
      </c>
      <c r="K2933" s="31">
        <f>30*10*2.2</f>
        <v>660</v>
      </c>
      <c r="L2933" s="33">
        <v>2</v>
      </c>
      <c r="N2933" s="31">
        <v>1</v>
      </c>
      <c r="S2933" s="33">
        <v>1</v>
      </c>
      <c r="T2933" s="31">
        <v>0</v>
      </c>
      <c r="U2933" s="31">
        <v>0</v>
      </c>
      <c r="V2933" s="31">
        <v>0</v>
      </c>
      <c r="W2933" s="47">
        <f>2800*39.37/12</f>
        <v>9186.3333333333339</v>
      </c>
      <c r="Y2933" s="31" t="s">
        <v>51</v>
      </c>
      <c r="Z2933" s="31" t="s">
        <v>1846</v>
      </c>
      <c r="AD2933" s="35">
        <v>1.5</v>
      </c>
      <c r="AE2933" s="31" t="s">
        <v>4173</v>
      </c>
      <c r="AF2933" s="31">
        <v>55</v>
      </c>
      <c r="AK2933" s="32">
        <v>30</v>
      </c>
      <c r="AQ2933" s="32" t="s">
        <v>4275</v>
      </c>
      <c r="AU2933">
        <v>2932</v>
      </c>
    </row>
    <row r="2934" spans="1:47" x14ac:dyDescent="0.2">
      <c r="A2934" s="13">
        <v>6618</v>
      </c>
      <c r="B2934" s="57" t="s">
        <v>45</v>
      </c>
      <c r="C2934" s="57" t="s">
        <v>1367</v>
      </c>
      <c r="D2934" s="29"/>
      <c r="E2934" s="57" t="s">
        <v>175</v>
      </c>
      <c r="F2934" s="31" t="s">
        <v>76</v>
      </c>
      <c r="G2934" s="31" t="s">
        <v>49</v>
      </c>
      <c r="I2934" s="31" t="s">
        <v>4276</v>
      </c>
      <c r="K2934" s="31">
        <f>2310-660</f>
        <v>1650</v>
      </c>
      <c r="AK2934" s="32">
        <f>48-30</f>
        <v>18</v>
      </c>
      <c r="AQ2934" s="32" t="s">
        <v>4210</v>
      </c>
      <c r="AU2934">
        <v>2933</v>
      </c>
    </row>
    <row r="2935" spans="1:47" x14ac:dyDescent="0.2">
      <c r="A2935" s="13">
        <v>6618</v>
      </c>
      <c r="B2935" s="57" t="s">
        <v>45</v>
      </c>
      <c r="C2935" s="57" t="s">
        <v>1367</v>
      </c>
      <c r="D2935" s="29"/>
      <c r="E2935" s="57" t="s">
        <v>1048</v>
      </c>
      <c r="F2935" s="31" t="s">
        <v>76</v>
      </c>
      <c r="G2935" s="31" t="s">
        <v>49</v>
      </c>
      <c r="I2935" s="31" t="s">
        <v>3602</v>
      </c>
      <c r="K2935" s="31">
        <v>5830</v>
      </c>
      <c r="AK2935" s="32">
        <v>65</v>
      </c>
      <c r="AQ2935" s="32" t="s">
        <v>4210</v>
      </c>
      <c r="AU2935">
        <v>2934</v>
      </c>
    </row>
    <row r="2936" spans="1:47" x14ac:dyDescent="0.2">
      <c r="A2936" s="13">
        <v>6618</v>
      </c>
      <c r="B2936" s="57"/>
      <c r="C2936" s="57" t="s">
        <v>1077</v>
      </c>
      <c r="D2936" s="29"/>
      <c r="E2936" s="57" t="s">
        <v>4277</v>
      </c>
      <c r="F2936" s="31" t="s">
        <v>3637</v>
      </c>
      <c r="G2936" s="31" t="s">
        <v>69</v>
      </c>
      <c r="I2936" s="31" t="s">
        <v>4228</v>
      </c>
      <c r="K2936" s="31">
        <v>360.8</v>
      </c>
      <c r="AK2936" s="32">
        <v>8</v>
      </c>
      <c r="AQ2936" s="32" t="s">
        <v>4210</v>
      </c>
      <c r="AU2936">
        <v>2935</v>
      </c>
    </row>
    <row r="2937" spans="1:47" x14ac:dyDescent="0.2">
      <c r="A2937" s="13">
        <v>6618</v>
      </c>
      <c r="B2937" s="57"/>
      <c r="C2937" s="57" t="s">
        <v>1077</v>
      </c>
      <c r="D2937" s="29"/>
      <c r="E2937" s="57" t="s">
        <v>4278</v>
      </c>
      <c r="F2937" s="31" t="s">
        <v>688</v>
      </c>
      <c r="I2937" s="31" t="s">
        <v>3602</v>
      </c>
      <c r="K2937" s="31">
        <v>451</v>
      </c>
      <c r="AK2937" s="32">
        <v>10</v>
      </c>
      <c r="AQ2937" s="32" t="s">
        <v>4210</v>
      </c>
      <c r="AU2937">
        <v>2936</v>
      </c>
    </row>
    <row r="2938" spans="1:47" x14ac:dyDescent="0.2">
      <c r="A2938" s="13">
        <v>6618</v>
      </c>
      <c r="B2938" s="57"/>
      <c r="C2938" s="57" t="s">
        <v>1077</v>
      </c>
      <c r="D2938" s="29"/>
      <c r="E2938" s="57" t="s">
        <v>4279</v>
      </c>
      <c r="F2938" s="31" t="s">
        <v>4104</v>
      </c>
      <c r="G2938" s="31" t="s">
        <v>49</v>
      </c>
      <c r="I2938" s="31" t="s">
        <v>4228</v>
      </c>
      <c r="K2938" s="31">
        <v>4452.8</v>
      </c>
      <c r="AK2938" s="32">
        <v>92</v>
      </c>
      <c r="AQ2938" s="32" t="s">
        <v>4210</v>
      </c>
      <c r="AU2938">
        <v>2937</v>
      </c>
    </row>
    <row r="2939" spans="1:47" x14ac:dyDescent="0.2">
      <c r="A2939" s="26">
        <v>6618</v>
      </c>
      <c r="B2939" s="27">
        <v>0.66319444444444442</v>
      </c>
      <c r="C2939" s="28"/>
      <c r="D2939" s="29"/>
      <c r="E2939" s="30" t="s">
        <v>1124</v>
      </c>
      <c r="H2939" s="32">
        <v>1</v>
      </c>
      <c r="I2939" s="32" t="s">
        <v>4280</v>
      </c>
      <c r="AG2939" s="32">
        <v>1</v>
      </c>
      <c r="AH2939" s="32">
        <v>3</v>
      </c>
      <c r="AK2939" s="32">
        <v>9</v>
      </c>
      <c r="AL2939" s="32">
        <v>0.33300000000000002</v>
      </c>
      <c r="AO2939" s="46" t="s">
        <v>1126</v>
      </c>
      <c r="AP2939" s="32">
        <v>0.33300000000000002</v>
      </c>
      <c r="AQ2939" s="32" t="s">
        <v>589</v>
      </c>
      <c r="AU2939">
        <v>2938</v>
      </c>
    </row>
    <row r="2940" spans="1:47" x14ac:dyDescent="0.2">
      <c r="A2940" s="26">
        <v>6618</v>
      </c>
      <c r="B2940" s="27">
        <v>0.66666666666666663</v>
      </c>
      <c r="C2940" s="28"/>
      <c r="D2940" s="29"/>
      <c r="E2940" s="30" t="s">
        <v>869</v>
      </c>
      <c r="H2940" s="32">
        <v>0</v>
      </c>
      <c r="I2940" s="32" t="s">
        <v>2344</v>
      </c>
      <c r="AG2940" s="32">
        <v>0</v>
      </c>
      <c r="AH2940" s="32">
        <v>0</v>
      </c>
      <c r="AI2940" s="32">
        <v>0</v>
      </c>
      <c r="AK2940" s="32">
        <v>0</v>
      </c>
      <c r="AL2940" s="32">
        <v>0.25</v>
      </c>
      <c r="AP2940" s="32">
        <v>0.25</v>
      </c>
      <c r="AQ2940" s="32" t="s">
        <v>589</v>
      </c>
      <c r="AU2940">
        <v>2939</v>
      </c>
    </row>
    <row r="2941" spans="1:47" x14ac:dyDescent="0.2">
      <c r="A2941" s="26">
        <v>6618</v>
      </c>
      <c r="B2941" s="27">
        <v>0.80555555555555547</v>
      </c>
      <c r="C2941" s="28"/>
      <c r="D2941" s="29"/>
      <c r="E2941" s="30" t="s">
        <v>1124</v>
      </c>
      <c r="H2941" s="32">
        <v>1</v>
      </c>
      <c r="I2941" s="32"/>
      <c r="AG2941" s="32">
        <v>0</v>
      </c>
      <c r="AH2941" s="32">
        <v>0</v>
      </c>
      <c r="AK2941" s="32">
        <v>10</v>
      </c>
      <c r="AL2941" s="32">
        <v>1.25</v>
      </c>
      <c r="AO2941" s="46" t="s">
        <v>1126</v>
      </c>
      <c r="AP2941" s="32">
        <v>1.25</v>
      </c>
      <c r="AQ2941" s="32" t="s">
        <v>589</v>
      </c>
      <c r="AU2941">
        <v>2940</v>
      </c>
    </row>
    <row r="2942" spans="1:47" x14ac:dyDescent="0.2">
      <c r="A2942" s="26">
        <v>6618</v>
      </c>
      <c r="B2942" s="27">
        <v>0.80555555555555547</v>
      </c>
      <c r="C2942" s="28"/>
      <c r="D2942" s="29"/>
      <c r="E2942" s="30" t="s">
        <v>1282</v>
      </c>
      <c r="H2942" s="32">
        <v>0</v>
      </c>
      <c r="I2942" s="32" t="s">
        <v>4281</v>
      </c>
      <c r="AG2942" s="32">
        <v>0</v>
      </c>
      <c r="AH2942" s="32">
        <v>0</v>
      </c>
      <c r="AI2942" s="32">
        <v>0</v>
      </c>
      <c r="AK2942" s="32">
        <v>0</v>
      </c>
      <c r="AL2942" s="32">
        <f>4+1/3</f>
        <v>4.333333333333333</v>
      </c>
      <c r="AP2942" s="32">
        <f>4+1/3</f>
        <v>4.333333333333333</v>
      </c>
      <c r="AQ2942" s="32" t="s">
        <v>1101</v>
      </c>
      <c r="AU2942">
        <v>2941</v>
      </c>
    </row>
    <row r="2943" spans="1:47" x14ac:dyDescent="0.2">
      <c r="A2943" s="26">
        <v>6618</v>
      </c>
      <c r="B2943" s="27">
        <v>0.83333333333333337</v>
      </c>
      <c r="C2943" s="28"/>
      <c r="D2943" s="29"/>
      <c r="E2943" s="30" t="s">
        <v>464</v>
      </c>
      <c r="H2943" s="32">
        <v>0</v>
      </c>
      <c r="I2943" s="32" t="s">
        <v>4282</v>
      </c>
      <c r="AG2943" s="32">
        <v>0</v>
      </c>
      <c r="AH2943" s="32">
        <v>0</v>
      </c>
      <c r="AL2943" s="32">
        <v>1</v>
      </c>
      <c r="AO2943" s="32" t="s">
        <v>4067</v>
      </c>
      <c r="AP2943" s="32">
        <v>1</v>
      </c>
      <c r="AQ2943" s="32" t="s">
        <v>1522</v>
      </c>
      <c r="AU2943">
        <v>2942</v>
      </c>
    </row>
    <row r="2944" spans="1:47" x14ac:dyDescent="0.2">
      <c r="A2944" s="37">
        <v>6620</v>
      </c>
      <c r="B2944" s="38" t="s">
        <v>85</v>
      </c>
      <c r="C2944" s="39" t="s">
        <v>1234</v>
      </c>
      <c r="D2944" s="29"/>
      <c r="E2944" s="38" t="s">
        <v>631</v>
      </c>
      <c r="F2944" s="32" t="s">
        <v>626</v>
      </c>
      <c r="G2944" s="47" t="s">
        <v>627</v>
      </c>
      <c r="H2944"/>
      <c r="I2944" s="32"/>
      <c r="J2944" s="47"/>
      <c r="K2944" s="47"/>
      <c r="L2944" s="48"/>
      <c r="M2944" s="47"/>
      <c r="N2944" s="47"/>
      <c r="O2944" s="47"/>
      <c r="P2944" s="47"/>
      <c r="Q2944" s="47"/>
      <c r="R2944" s="47"/>
      <c r="S2944" s="48"/>
      <c r="T2944" s="47"/>
      <c r="U2944" s="47"/>
      <c r="V2944" s="47"/>
      <c r="W2944" s="47"/>
      <c r="X2944" s="47"/>
      <c r="Y2944" s="47"/>
      <c r="Z2944" s="47"/>
      <c r="AA2944" s="49"/>
      <c r="AB2944" s="49"/>
      <c r="AC2944" s="49"/>
      <c r="AD2944" s="50"/>
      <c r="AE2944" s="47"/>
      <c r="AF2944" s="47"/>
      <c r="AG2944"/>
      <c r="AH2944"/>
      <c r="AI2944"/>
      <c r="AJ2944"/>
      <c r="AK2944"/>
      <c r="AL2944"/>
      <c r="AM2944"/>
      <c r="AN2944"/>
      <c r="AO2944"/>
      <c r="AP2944"/>
      <c r="AQ2944" t="s">
        <v>4283</v>
      </c>
      <c r="AU2944">
        <v>2943</v>
      </c>
    </row>
    <row r="2945" spans="1:47" x14ac:dyDescent="0.2">
      <c r="A2945" s="13">
        <v>6620</v>
      </c>
      <c r="B2945" s="57"/>
      <c r="C2945" s="57" t="s">
        <v>1077</v>
      </c>
      <c r="D2945" s="29"/>
      <c r="E2945" s="57" t="s">
        <v>175</v>
      </c>
      <c r="F2945" s="31" t="s">
        <v>76</v>
      </c>
      <c r="G2945" s="31" t="s">
        <v>49</v>
      </c>
      <c r="I2945" s="31" t="s">
        <v>4244</v>
      </c>
      <c r="K2945" s="31">
        <v>316.8</v>
      </c>
      <c r="AK2945" s="32">
        <v>32</v>
      </c>
      <c r="AQ2945" s="32" t="s">
        <v>4210</v>
      </c>
      <c r="AU2945">
        <v>2944</v>
      </c>
    </row>
    <row r="2946" spans="1:47" x14ac:dyDescent="0.2">
      <c r="A2946" s="13">
        <v>6621</v>
      </c>
      <c r="B2946" s="57" t="s">
        <v>45</v>
      </c>
      <c r="C2946" s="57" t="s">
        <v>105</v>
      </c>
      <c r="D2946" s="29"/>
      <c r="E2946" s="57" t="s">
        <v>2191</v>
      </c>
      <c r="F2946" s="31" t="s">
        <v>76</v>
      </c>
      <c r="G2946" s="31" t="s">
        <v>49</v>
      </c>
      <c r="I2946" s="31" t="s">
        <v>3602</v>
      </c>
      <c r="K2946" s="31">
        <v>422.4</v>
      </c>
      <c r="AK2946" s="32">
        <v>8</v>
      </c>
      <c r="AQ2946" s="32" t="s">
        <v>4210</v>
      </c>
      <c r="AU2946">
        <v>2945</v>
      </c>
    </row>
    <row r="2947" spans="1:47" x14ac:dyDescent="0.2">
      <c r="A2947" s="13">
        <v>6621</v>
      </c>
      <c r="B2947" s="42" t="s">
        <v>45</v>
      </c>
      <c r="C2947" s="57" t="s">
        <v>142</v>
      </c>
      <c r="D2947" s="29"/>
      <c r="E2947" s="57" t="s">
        <v>3063</v>
      </c>
      <c r="F2947" s="31" t="s">
        <v>76</v>
      </c>
      <c r="G2947" s="31" t="s">
        <v>49</v>
      </c>
      <c r="I2947" s="31" t="s">
        <v>4284</v>
      </c>
      <c r="K2947" s="31">
        <f>(4+3)*50*2.2</f>
        <v>770.00000000000011</v>
      </c>
      <c r="S2947" s="33">
        <v>1</v>
      </c>
      <c r="T2947" s="31">
        <v>0</v>
      </c>
      <c r="U2947" s="31">
        <v>0</v>
      </c>
      <c r="V2947" s="31">
        <v>0</v>
      </c>
      <c r="Y2947" s="31" t="s">
        <v>51</v>
      </c>
      <c r="Z2947" s="31" t="s">
        <v>3855</v>
      </c>
      <c r="AE2947" s="31" t="s">
        <v>4124</v>
      </c>
      <c r="AF2947" s="31">
        <v>70</v>
      </c>
      <c r="AK2947" s="32">
        <f>4+3</f>
        <v>7</v>
      </c>
      <c r="AQ2947" s="32" t="s">
        <v>4285</v>
      </c>
      <c r="AU2947">
        <v>2946</v>
      </c>
    </row>
    <row r="2948" spans="1:47" x14ac:dyDescent="0.2">
      <c r="A2948" s="13">
        <v>6621</v>
      </c>
      <c r="B2948" s="42" t="s">
        <v>45</v>
      </c>
      <c r="C2948" s="57" t="s">
        <v>142</v>
      </c>
      <c r="D2948" s="29"/>
      <c r="E2948" s="57" t="s">
        <v>2191</v>
      </c>
      <c r="F2948" s="31" t="s">
        <v>76</v>
      </c>
      <c r="G2948" s="31" t="s">
        <v>49</v>
      </c>
      <c r="I2948" s="31" t="s">
        <v>4284</v>
      </c>
      <c r="K2948" s="31">
        <f>(15+15)*50*2.2</f>
        <v>3300.0000000000005</v>
      </c>
      <c r="S2948" s="33">
        <v>5</v>
      </c>
      <c r="T2948" s="31">
        <v>0</v>
      </c>
      <c r="U2948" s="31">
        <v>0</v>
      </c>
      <c r="V2948" s="31">
        <v>0</v>
      </c>
      <c r="Y2948" s="31" t="s">
        <v>51</v>
      </c>
      <c r="Z2948" s="31" t="s">
        <v>3855</v>
      </c>
      <c r="AE2948" s="31" t="s">
        <v>4124</v>
      </c>
      <c r="AF2948" s="31">
        <v>60</v>
      </c>
      <c r="AK2948" s="32">
        <f>15+15</f>
        <v>30</v>
      </c>
      <c r="AQ2948" s="32" t="s">
        <v>4285</v>
      </c>
      <c r="AU2948">
        <v>2947</v>
      </c>
    </row>
    <row r="2949" spans="1:47" x14ac:dyDescent="0.2">
      <c r="A2949" s="26">
        <v>6621</v>
      </c>
      <c r="B2949" s="27">
        <v>0.85069444444444453</v>
      </c>
      <c r="C2949" s="28"/>
      <c r="D2949" s="29"/>
      <c r="E2949" s="30" t="s">
        <v>1282</v>
      </c>
      <c r="H2949" s="32">
        <v>0</v>
      </c>
      <c r="I2949" s="32" t="s">
        <v>4286</v>
      </c>
      <c r="AG2949" s="32">
        <v>0</v>
      </c>
      <c r="AH2949" s="32">
        <v>0</v>
      </c>
      <c r="AI2949" s="32">
        <v>0</v>
      </c>
      <c r="AK2949" s="32">
        <v>0</v>
      </c>
      <c r="AL2949" s="32">
        <f>1+1/3</f>
        <v>1.3333333333333333</v>
      </c>
      <c r="AP2949" s="32">
        <f>1+1/3</f>
        <v>1.3333333333333333</v>
      </c>
      <c r="AQ2949" s="32" t="s">
        <v>1101</v>
      </c>
      <c r="AU2949">
        <v>2948</v>
      </c>
    </row>
    <row r="2950" spans="1:47" x14ac:dyDescent="0.2">
      <c r="A2950" s="26">
        <v>6621</v>
      </c>
      <c r="B2950" s="27">
        <v>0.85416666666666663</v>
      </c>
      <c r="C2950" s="28"/>
      <c r="D2950" s="29"/>
      <c r="E2950" s="30" t="s">
        <v>464</v>
      </c>
      <c r="H2950" s="32">
        <v>0</v>
      </c>
      <c r="I2950" s="32" t="s">
        <v>4287</v>
      </c>
      <c r="AG2950" s="32">
        <v>0</v>
      </c>
      <c r="AH2950" s="32">
        <v>0</v>
      </c>
      <c r="AL2950" s="32">
        <f>5/6</f>
        <v>0.83333333333333337</v>
      </c>
      <c r="AO2950" s="32" t="s">
        <v>4067</v>
      </c>
      <c r="AP2950" s="32">
        <f>5/6</f>
        <v>0.83333333333333337</v>
      </c>
      <c r="AQ2950" s="32" t="s">
        <v>1522</v>
      </c>
      <c r="AU2950">
        <v>2949</v>
      </c>
    </row>
    <row r="2951" spans="1:47" x14ac:dyDescent="0.2">
      <c r="A2951" s="26">
        <v>6621</v>
      </c>
      <c r="B2951" s="27">
        <v>0.91666666666666663</v>
      </c>
      <c r="C2951" s="28"/>
      <c r="D2951" s="29"/>
      <c r="E2951" s="30" t="s">
        <v>3063</v>
      </c>
      <c r="H2951" s="32">
        <v>1</v>
      </c>
      <c r="I2951" s="32" t="s">
        <v>4288</v>
      </c>
      <c r="AK2951" s="32">
        <v>5</v>
      </c>
      <c r="AQ2951" s="32">
        <v>374</v>
      </c>
      <c r="AU2951">
        <v>2950</v>
      </c>
    </row>
    <row r="2952" spans="1:47" x14ac:dyDescent="0.2">
      <c r="A2952" s="133">
        <v>6622</v>
      </c>
      <c r="B2952" s="39" t="s">
        <v>45</v>
      </c>
      <c r="C2952" s="39">
        <v>100</v>
      </c>
      <c r="D2952" s="29" t="b">
        <v>0</v>
      </c>
      <c r="E2952" s="39" t="s">
        <v>788</v>
      </c>
      <c r="F2952" s="47" t="s">
        <v>4243</v>
      </c>
      <c r="G2952" s="47" t="s">
        <v>49</v>
      </c>
      <c r="H2952"/>
      <c r="I2952" s="47" t="b">
        <v>0</v>
      </c>
      <c r="J2952" s="47" t="b">
        <v>1</v>
      </c>
      <c r="K2952" s="47">
        <v>1708</v>
      </c>
      <c r="L2952" s="48">
        <v>6</v>
      </c>
      <c r="M2952" s="47">
        <v>0</v>
      </c>
      <c r="N2952" s="47">
        <v>1</v>
      </c>
      <c r="O2952" s="47">
        <v>0</v>
      </c>
      <c r="P2952" s="47">
        <v>0</v>
      </c>
      <c r="Q2952" s="47">
        <v>0</v>
      </c>
      <c r="R2952" s="47">
        <v>0</v>
      </c>
      <c r="S2952" s="48">
        <v>5</v>
      </c>
      <c r="T2952" s="47">
        <v>0</v>
      </c>
      <c r="U2952" s="47">
        <v>0</v>
      </c>
      <c r="V2952" s="47">
        <v>0</v>
      </c>
      <c r="W2952" s="47">
        <v>1000</v>
      </c>
      <c r="X2952" s="47">
        <v>417</v>
      </c>
      <c r="Y2952" s="47"/>
      <c r="Z2952" s="47" t="s">
        <v>2524</v>
      </c>
      <c r="AA2952" s="49"/>
      <c r="AB2952" s="49"/>
      <c r="AC2952" s="49"/>
      <c r="AD2952" s="50"/>
      <c r="AE2952" s="47" t="s">
        <v>1312</v>
      </c>
      <c r="AF2952" s="31">
        <v>65</v>
      </c>
      <c r="AG2952"/>
      <c r="AH2952"/>
      <c r="AI2952"/>
      <c r="AJ2952"/>
      <c r="AK2952"/>
      <c r="AL2952"/>
      <c r="AM2952"/>
      <c r="AN2952"/>
      <c r="AO2952"/>
      <c r="AP2952"/>
      <c r="AQ2952" t="s">
        <v>2526</v>
      </c>
      <c r="AU2952">
        <v>2951</v>
      </c>
    </row>
    <row r="2953" spans="1:47" x14ac:dyDescent="0.2">
      <c r="A2953" s="133">
        <v>6622</v>
      </c>
      <c r="B2953" s="39" t="s">
        <v>45</v>
      </c>
      <c r="C2953" s="39">
        <v>216</v>
      </c>
      <c r="D2953" s="29" t="b">
        <v>1</v>
      </c>
      <c r="E2953" s="39" t="s">
        <v>788</v>
      </c>
      <c r="F2953" s="47" t="s">
        <v>4289</v>
      </c>
      <c r="G2953" s="47" t="s">
        <v>49</v>
      </c>
      <c r="H2953"/>
      <c r="I2953" s="47" t="b">
        <v>0</v>
      </c>
      <c r="J2953" s="47" t="b">
        <v>1</v>
      </c>
      <c r="K2953" s="47">
        <v>0</v>
      </c>
      <c r="L2953" s="48">
        <v>1</v>
      </c>
      <c r="M2953" s="47">
        <v>0</v>
      </c>
      <c r="N2953" s="47">
        <v>1</v>
      </c>
      <c r="O2953" s="47">
        <v>0</v>
      </c>
      <c r="P2953" s="47">
        <v>0</v>
      </c>
      <c r="Q2953" s="47">
        <v>0</v>
      </c>
      <c r="R2953" s="47">
        <v>0</v>
      </c>
      <c r="S2953" s="48">
        <v>0</v>
      </c>
      <c r="T2953" s="47">
        <v>0</v>
      </c>
      <c r="U2953" s="47">
        <v>0</v>
      </c>
      <c r="V2953" s="47">
        <v>0</v>
      </c>
      <c r="W2953" s="47"/>
      <c r="X2953" s="47">
        <v>418</v>
      </c>
      <c r="Y2953" s="47"/>
      <c r="Z2953" s="47" t="s">
        <v>2466</v>
      </c>
      <c r="AA2953" s="49"/>
      <c r="AB2953" s="49"/>
      <c r="AC2953" s="49"/>
      <c r="AD2953" s="50"/>
      <c r="AE2953" s="47" t="s">
        <v>1312</v>
      </c>
      <c r="AF2953" s="31">
        <v>65</v>
      </c>
      <c r="AG2953"/>
      <c r="AH2953"/>
      <c r="AI2953"/>
      <c r="AJ2953"/>
      <c r="AK2953"/>
      <c r="AL2953"/>
      <c r="AM2953"/>
      <c r="AN2953"/>
      <c r="AO2953"/>
      <c r="AP2953"/>
      <c r="AQ2953" t="s">
        <v>2526</v>
      </c>
      <c r="AU2953">
        <v>2952</v>
      </c>
    </row>
    <row r="2954" spans="1:47" x14ac:dyDescent="0.2">
      <c r="A2954" s="133">
        <v>6622</v>
      </c>
      <c r="B2954" s="39" t="s">
        <v>45</v>
      </c>
      <c r="C2954" s="39" t="s">
        <v>142</v>
      </c>
      <c r="D2954" s="29"/>
      <c r="E2954" s="39" t="s">
        <v>4290</v>
      </c>
      <c r="F2954" s="47" t="s">
        <v>246</v>
      </c>
      <c r="G2954" s="47" t="s">
        <v>49</v>
      </c>
      <c r="H2954"/>
      <c r="I2954" s="31" t="s">
        <v>4291</v>
      </c>
      <c r="J2954" s="47"/>
      <c r="K2954" s="47">
        <f>(37*25+14*50)*2.2</f>
        <v>3575.0000000000005</v>
      </c>
      <c r="L2954" s="48">
        <v>7</v>
      </c>
      <c r="M2954" s="47"/>
      <c r="N2954" s="47"/>
      <c r="O2954" s="47"/>
      <c r="P2954" s="47"/>
      <c r="Q2954" s="47"/>
      <c r="R2954" s="47"/>
      <c r="S2954" s="48">
        <v>7</v>
      </c>
      <c r="T2954" s="47">
        <v>0</v>
      </c>
      <c r="U2954" s="47">
        <v>1</v>
      </c>
      <c r="V2954" s="47">
        <v>0</v>
      </c>
      <c r="W2954" s="47"/>
      <c r="X2954" s="47"/>
      <c r="Y2954" s="47" t="s">
        <v>51</v>
      </c>
      <c r="Z2954" s="31" t="s">
        <v>3855</v>
      </c>
      <c r="AA2954" s="49"/>
      <c r="AB2954" s="49"/>
      <c r="AC2954" s="49"/>
      <c r="AD2954" s="50"/>
      <c r="AE2954" s="31" t="s">
        <v>4124</v>
      </c>
      <c r="AF2954" s="47"/>
      <c r="AG2954"/>
      <c r="AH2954"/>
      <c r="AI2954"/>
      <c r="AJ2954"/>
      <c r="AK2954">
        <f>37+14</f>
        <v>51</v>
      </c>
      <c r="AL2954"/>
      <c r="AM2954"/>
      <c r="AN2954"/>
      <c r="AO2954"/>
      <c r="AP2954"/>
      <c r="AQ2954" s="32" t="s">
        <v>4292</v>
      </c>
      <c r="AU2954">
        <v>2953</v>
      </c>
    </row>
    <row r="2955" spans="1:47" x14ac:dyDescent="0.2">
      <c r="A2955" s="133">
        <v>6622</v>
      </c>
      <c r="B2955" s="39"/>
      <c r="C2955" s="39" t="s">
        <v>253</v>
      </c>
      <c r="D2955" s="29"/>
      <c r="E2955" s="39" t="s">
        <v>1109</v>
      </c>
      <c r="F2955" s="47" t="s">
        <v>150</v>
      </c>
      <c r="G2955" s="47"/>
      <c r="H2955"/>
      <c r="I2955" s="47"/>
      <c r="J2955" s="47"/>
      <c r="K2955" s="47"/>
      <c r="L2955" s="48"/>
      <c r="M2955" s="47"/>
      <c r="N2955" s="47"/>
      <c r="O2955" s="47"/>
      <c r="P2955" s="47"/>
      <c r="Q2955" s="47"/>
      <c r="R2955" s="47"/>
      <c r="S2955" s="48"/>
      <c r="T2955" s="47"/>
      <c r="U2955" s="47"/>
      <c r="V2955" s="47"/>
      <c r="W2955" s="47"/>
      <c r="X2955" s="47"/>
      <c r="Y2955" s="47"/>
      <c r="Z2955" s="47"/>
      <c r="AA2955" s="49"/>
      <c r="AB2955" s="49"/>
      <c r="AC2955" s="49"/>
      <c r="AD2955" s="50"/>
      <c r="AE2955" s="47"/>
      <c r="AF2955" s="47"/>
      <c r="AG2955"/>
      <c r="AH2955"/>
      <c r="AI2955"/>
      <c r="AJ2955"/>
      <c r="AK2955"/>
      <c r="AL2955"/>
      <c r="AM2955"/>
      <c r="AN2955"/>
      <c r="AO2955"/>
      <c r="AP2955"/>
      <c r="AQ2955" t="s">
        <v>4293</v>
      </c>
      <c r="AU2955">
        <v>2954</v>
      </c>
    </row>
    <row r="2956" spans="1:47" x14ac:dyDescent="0.2">
      <c r="A2956" s="26">
        <v>6622</v>
      </c>
      <c r="B2956" s="27">
        <v>0.81597222222222221</v>
      </c>
      <c r="C2956" s="28"/>
      <c r="D2956" s="29"/>
      <c r="E2956" s="30" t="s">
        <v>1282</v>
      </c>
      <c r="H2956" s="32">
        <v>0</v>
      </c>
      <c r="I2956" s="32" t="s">
        <v>4294</v>
      </c>
      <c r="AG2956" s="32">
        <v>0</v>
      </c>
      <c r="AH2956" s="32">
        <v>0</v>
      </c>
      <c r="AK2956" s="32">
        <v>0</v>
      </c>
      <c r="AL2956" s="32">
        <f>2+53/60</f>
        <v>2.8833333333333333</v>
      </c>
      <c r="AP2956" s="32">
        <f>2+53/60</f>
        <v>2.8833333333333333</v>
      </c>
      <c r="AQ2956" s="32" t="s">
        <v>1101</v>
      </c>
      <c r="AU2956">
        <v>2955</v>
      </c>
    </row>
    <row r="2957" spans="1:47" x14ac:dyDescent="0.2">
      <c r="A2957" s="26">
        <v>6622</v>
      </c>
      <c r="B2957" s="27">
        <v>0.81597222222222221</v>
      </c>
      <c r="C2957" s="28"/>
      <c r="D2957" s="29"/>
      <c r="E2957" s="30" t="s">
        <v>464</v>
      </c>
      <c r="H2957" s="32">
        <v>0</v>
      </c>
      <c r="I2957" s="32" t="s">
        <v>4220</v>
      </c>
      <c r="AG2957" s="32">
        <v>0</v>
      </c>
      <c r="AH2957" s="32">
        <v>0</v>
      </c>
      <c r="AL2957" s="32">
        <f>65/60</f>
        <v>1.0833333333333333</v>
      </c>
      <c r="AO2957" s="32" t="s">
        <v>4067</v>
      </c>
      <c r="AP2957" s="32">
        <f>65/60</f>
        <v>1.0833333333333333</v>
      </c>
      <c r="AQ2957" s="32" t="s">
        <v>1522</v>
      </c>
      <c r="AU2957">
        <v>2956</v>
      </c>
    </row>
    <row r="2958" spans="1:47" x14ac:dyDescent="0.2">
      <c r="A2958" s="26">
        <v>6622</v>
      </c>
      <c r="B2958" s="27">
        <v>0.91666666666666663</v>
      </c>
      <c r="C2958" s="28"/>
      <c r="D2958" s="29"/>
      <c r="E2958" s="30" t="s">
        <v>3063</v>
      </c>
      <c r="H2958" s="32">
        <v>1</v>
      </c>
      <c r="I2958" s="18" t="s">
        <v>4295</v>
      </c>
      <c r="AQ2958" s="32">
        <v>374</v>
      </c>
      <c r="AU2958">
        <v>2957</v>
      </c>
    </row>
    <row r="2959" spans="1:47" x14ac:dyDescent="0.2">
      <c r="A2959" s="26">
        <v>6622</v>
      </c>
      <c r="B2959" s="27" t="s">
        <v>45</v>
      </c>
      <c r="C2959" s="28"/>
      <c r="D2959" s="29"/>
      <c r="E2959" s="30" t="s">
        <v>1531</v>
      </c>
      <c r="H2959" s="32">
        <v>0</v>
      </c>
      <c r="I2959" s="32" t="s">
        <v>1706</v>
      </c>
      <c r="AG2959" s="32">
        <v>0</v>
      </c>
      <c r="AH2959" s="32">
        <v>0</v>
      </c>
      <c r="AI2959" s="32">
        <v>0</v>
      </c>
      <c r="AK2959" s="32">
        <v>0</v>
      </c>
      <c r="AM2959" s="32">
        <f>498*105</f>
        <v>52290</v>
      </c>
      <c r="AO2959" s="32" t="s">
        <v>1533</v>
      </c>
      <c r="AQ2959" s="32" t="s">
        <v>1101</v>
      </c>
      <c r="AU2959">
        <v>2958</v>
      </c>
    </row>
    <row r="2960" spans="1:47" x14ac:dyDescent="0.2">
      <c r="A2960" s="26">
        <v>6622</v>
      </c>
      <c r="B2960" s="27" t="s">
        <v>45</v>
      </c>
      <c r="C2960" s="28"/>
      <c r="D2960" s="29"/>
      <c r="E2960" s="150" t="s">
        <v>2286</v>
      </c>
      <c r="H2960" s="32">
        <v>0</v>
      </c>
      <c r="I2960" s="32" t="s">
        <v>1824</v>
      </c>
      <c r="AG2960" s="32">
        <v>0</v>
      </c>
      <c r="AH2960" s="32">
        <v>0</v>
      </c>
      <c r="AI2960" s="32">
        <v>0</v>
      </c>
      <c r="AK2960" s="32">
        <v>0</v>
      </c>
      <c r="AM2960" s="32">
        <v>5000</v>
      </c>
      <c r="AO2960" s="73" t="s">
        <v>75</v>
      </c>
      <c r="AQ2960" s="32" t="s">
        <v>589</v>
      </c>
      <c r="AU2960">
        <v>2959</v>
      </c>
    </row>
    <row r="2961" spans="1:47" x14ac:dyDescent="0.2">
      <c r="A2961" s="133">
        <v>6623</v>
      </c>
      <c r="B2961" s="39" t="s">
        <v>85</v>
      </c>
      <c r="C2961" s="39" t="s">
        <v>4213</v>
      </c>
      <c r="D2961" s="29" t="b">
        <v>1</v>
      </c>
      <c r="E2961" s="39" t="s">
        <v>3816</v>
      </c>
      <c r="F2961" s="31" t="s">
        <v>4296</v>
      </c>
      <c r="G2961" s="31" t="s">
        <v>73</v>
      </c>
      <c r="H2961" s="32"/>
      <c r="I2961" s="32" t="s">
        <v>4297</v>
      </c>
      <c r="K2961" s="31">
        <f>176*20*2.2</f>
        <v>7744.0000000000009</v>
      </c>
      <c r="L2961" s="33">
        <v>27</v>
      </c>
      <c r="S2961" s="33">
        <v>22</v>
      </c>
      <c r="T2961" s="31">
        <v>0</v>
      </c>
      <c r="U2961" s="31">
        <v>0</v>
      </c>
      <c r="V2961" s="31">
        <v>0</v>
      </c>
      <c r="Y2961" s="31" t="s">
        <v>51</v>
      </c>
      <c r="Z2961" s="31" t="s">
        <v>3724</v>
      </c>
      <c r="AA2961" s="34">
        <v>0.4513888888888889</v>
      </c>
      <c r="AE2961" s="31" t="s">
        <v>4217</v>
      </c>
      <c r="AK2961" s="32">
        <v>176</v>
      </c>
      <c r="AO2961" s="73"/>
      <c r="AQ2961" s="32" t="s">
        <v>4298</v>
      </c>
      <c r="AU2961">
        <v>2960</v>
      </c>
    </row>
    <row r="2962" spans="1:47" x14ac:dyDescent="0.2">
      <c r="A2962" s="133">
        <v>6623</v>
      </c>
      <c r="B2962" s="39" t="s">
        <v>85</v>
      </c>
      <c r="C2962" s="39">
        <v>55</v>
      </c>
      <c r="D2962" s="29" t="s">
        <v>120</v>
      </c>
      <c r="E2962" s="39" t="s">
        <v>3909</v>
      </c>
      <c r="F2962" s="47" t="s">
        <v>4299</v>
      </c>
      <c r="G2962" s="47" t="s">
        <v>274</v>
      </c>
      <c r="H2962"/>
      <c r="I2962" s="47" t="b">
        <v>0</v>
      </c>
      <c r="J2962" s="47" t="b">
        <v>1</v>
      </c>
      <c r="K2962" s="47">
        <v>0</v>
      </c>
      <c r="L2962" s="48">
        <v>12</v>
      </c>
      <c r="M2962" s="47">
        <v>12</v>
      </c>
      <c r="N2962" s="47">
        <v>0</v>
      </c>
      <c r="O2962" s="47">
        <v>0</v>
      </c>
      <c r="P2962" s="47">
        <v>0</v>
      </c>
      <c r="Q2962" s="47">
        <v>0</v>
      </c>
      <c r="R2962" s="47">
        <v>0</v>
      </c>
      <c r="S2962" s="48">
        <v>0</v>
      </c>
      <c r="T2962" s="47">
        <v>0</v>
      </c>
      <c r="U2962" s="47">
        <v>0</v>
      </c>
      <c r="V2962" s="47">
        <v>0</v>
      </c>
      <c r="W2962" s="47"/>
      <c r="X2962" s="47">
        <v>421</v>
      </c>
      <c r="Y2962" s="47"/>
      <c r="Z2962" s="47" t="s">
        <v>3618</v>
      </c>
      <c r="AA2962" s="49"/>
      <c r="AB2962" s="49"/>
      <c r="AC2962" s="49"/>
      <c r="AD2962" s="50"/>
      <c r="AE2962" s="47" t="s">
        <v>3798</v>
      </c>
      <c r="AF2962" s="47">
        <v>200</v>
      </c>
      <c r="AG2962"/>
      <c r="AH2962"/>
      <c r="AI2962"/>
      <c r="AJ2962"/>
      <c r="AK2962"/>
      <c r="AL2962"/>
      <c r="AM2962"/>
      <c r="AN2962"/>
      <c r="AO2962"/>
      <c r="AP2962"/>
      <c r="AQ2962" t="s">
        <v>2526</v>
      </c>
      <c r="AU2962">
        <v>2961</v>
      </c>
    </row>
    <row r="2963" spans="1:47" x14ac:dyDescent="0.2">
      <c r="A2963" s="13">
        <v>6623</v>
      </c>
      <c r="B2963" s="57" t="s">
        <v>85</v>
      </c>
      <c r="C2963" s="57" t="s">
        <v>4300</v>
      </c>
      <c r="D2963" s="29"/>
      <c r="E2963" s="57" t="s">
        <v>3793</v>
      </c>
      <c r="F2963" s="31" t="s">
        <v>4301</v>
      </c>
      <c r="K2963" s="31">
        <v>2200</v>
      </c>
      <c r="S2963" s="33">
        <v>9</v>
      </c>
      <c r="Z2963" s="31" t="s">
        <v>3724</v>
      </c>
      <c r="AE2963" s="31" t="s">
        <v>4302</v>
      </c>
      <c r="AF2963" s="31">
        <v>75</v>
      </c>
      <c r="AK2963" s="32">
        <v>48</v>
      </c>
      <c r="AQ2963" s="32" t="s">
        <v>4303</v>
      </c>
      <c r="AU2963">
        <v>2962</v>
      </c>
    </row>
    <row r="2964" spans="1:47" x14ac:dyDescent="0.2">
      <c r="A2964" s="13">
        <v>6623</v>
      </c>
      <c r="B2964" s="57" t="s">
        <v>85</v>
      </c>
      <c r="C2964" s="57" t="s">
        <v>1234</v>
      </c>
      <c r="D2964" s="29"/>
      <c r="E2964" s="57" t="s">
        <v>4304</v>
      </c>
      <c r="F2964" s="31" t="s">
        <v>3727</v>
      </c>
      <c r="G2964" s="31" t="s">
        <v>69</v>
      </c>
      <c r="I2964" s="31" t="s">
        <v>4305</v>
      </c>
      <c r="K2964" s="31">
        <f>3707-384-211</f>
        <v>3112</v>
      </c>
      <c r="AK2964" s="32">
        <v>124</v>
      </c>
      <c r="AQ2964" s="32" t="s">
        <v>4306</v>
      </c>
      <c r="AU2964">
        <v>2963</v>
      </c>
    </row>
    <row r="2965" spans="1:47" x14ac:dyDescent="0.2">
      <c r="A2965" s="13">
        <v>6623</v>
      </c>
      <c r="B2965" s="57" t="s">
        <v>85</v>
      </c>
      <c r="C2965" s="15" t="s">
        <v>3730</v>
      </c>
      <c r="D2965" s="29"/>
      <c r="E2965" s="57" t="s">
        <v>3804</v>
      </c>
      <c r="F2965" s="31" t="s">
        <v>4307</v>
      </c>
      <c r="G2965" s="31" t="s">
        <v>69</v>
      </c>
      <c r="I2965" s="31" t="s">
        <v>4308</v>
      </c>
      <c r="K2965" s="31">
        <f>192*2</f>
        <v>384</v>
      </c>
      <c r="S2965" s="33">
        <v>2</v>
      </c>
      <c r="T2965" s="31">
        <v>0</v>
      </c>
      <c r="U2965" s="31">
        <v>0</v>
      </c>
      <c r="V2965" s="31">
        <v>0</v>
      </c>
      <c r="Y2965" s="31" t="s">
        <v>51</v>
      </c>
      <c r="Z2965" s="31" t="s">
        <v>1809</v>
      </c>
      <c r="AE2965" s="47" t="s">
        <v>1653</v>
      </c>
      <c r="AF2965" s="31">
        <v>70</v>
      </c>
      <c r="AO2965" s="73"/>
      <c r="AQ2965" s="18" t="s">
        <v>4270</v>
      </c>
      <c r="AU2965">
        <v>2964</v>
      </c>
    </row>
    <row r="2966" spans="1:47" x14ac:dyDescent="0.2">
      <c r="A2966" s="13">
        <v>6623</v>
      </c>
      <c r="B2966" s="57" t="s">
        <v>85</v>
      </c>
      <c r="C2966" s="15" t="s">
        <v>3730</v>
      </c>
      <c r="D2966" s="29"/>
      <c r="E2966" s="57" t="s">
        <v>4309</v>
      </c>
      <c r="F2966" s="31" t="s">
        <v>107</v>
      </c>
      <c r="G2966" s="31" t="s">
        <v>69</v>
      </c>
      <c r="I2966" s="31" t="s">
        <v>4310</v>
      </c>
      <c r="K2966" s="31">
        <f>96*2.2</f>
        <v>211.20000000000002</v>
      </c>
      <c r="S2966" s="33">
        <v>3</v>
      </c>
      <c r="T2966" s="31">
        <v>0</v>
      </c>
      <c r="U2966" s="31">
        <v>0</v>
      </c>
      <c r="V2966" s="31">
        <v>0</v>
      </c>
      <c r="Y2966" s="31" t="s">
        <v>51</v>
      </c>
      <c r="Z2966" s="31" t="s">
        <v>1809</v>
      </c>
      <c r="AE2966" s="47" t="s">
        <v>1653</v>
      </c>
      <c r="AF2966" s="31">
        <v>85</v>
      </c>
      <c r="AO2966" s="73"/>
      <c r="AQ2966" s="18" t="s">
        <v>4270</v>
      </c>
      <c r="AU2966">
        <v>2965</v>
      </c>
    </row>
    <row r="2967" spans="1:47" x14ac:dyDescent="0.2">
      <c r="A2967" s="133">
        <v>6623</v>
      </c>
      <c r="B2967" s="39" t="s">
        <v>45</v>
      </c>
      <c r="C2967" s="39">
        <v>100</v>
      </c>
      <c r="D2967" s="29" t="b">
        <v>0</v>
      </c>
      <c r="E2967" s="39" t="s">
        <v>788</v>
      </c>
      <c r="F2967" s="47" t="s">
        <v>4243</v>
      </c>
      <c r="G2967" s="47" t="s">
        <v>49</v>
      </c>
      <c r="H2967"/>
      <c r="I2967" s="47" t="b">
        <v>0</v>
      </c>
      <c r="J2967" s="47" t="b">
        <v>1</v>
      </c>
      <c r="K2967" s="47">
        <v>2192</v>
      </c>
      <c r="L2967" s="48">
        <v>12</v>
      </c>
      <c r="M2967" s="47">
        <v>0</v>
      </c>
      <c r="N2967" s="47">
        <v>0</v>
      </c>
      <c r="O2967" s="47">
        <v>6</v>
      </c>
      <c r="P2967" s="47">
        <v>0</v>
      </c>
      <c r="Q2967" s="47">
        <v>0</v>
      </c>
      <c r="R2967" s="47">
        <v>0</v>
      </c>
      <c r="S2967" s="48">
        <v>6</v>
      </c>
      <c r="T2967" s="47">
        <v>0</v>
      </c>
      <c r="U2967" s="47">
        <v>0</v>
      </c>
      <c r="V2967" s="47">
        <v>1</v>
      </c>
      <c r="W2967" s="47">
        <v>1000</v>
      </c>
      <c r="X2967" s="47">
        <v>419</v>
      </c>
      <c r="Y2967" s="47"/>
      <c r="Z2967" s="47" t="s">
        <v>2524</v>
      </c>
      <c r="AA2967" s="49"/>
      <c r="AB2967" s="49"/>
      <c r="AC2967" s="49"/>
      <c r="AD2967" s="50"/>
      <c r="AE2967" s="47" t="s">
        <v>1312</v>
      </c>
      <c r="AF2967" s="31">
        <v>65</v>
      </c>
      <c r="AG2967"/>
      <c r="AH2967"/>
      <c r="AI2967"/>
      <c r="AJ2967"/>
      <c r="AK2967"/>
      <c r="AL2967"/>
      <c r="AM2967"/>
      <c r="AN2967"/>
      <c r="AO2967"/>
      <c r="AP2967"/>
      <c r="AQ2967" t="s">
        <v>2526</v>
      </c>
      <c r="AU2967">
        <v>2966</v>
      </c>
    </row>
    <row r="2968" spans="1:47" x14ac:dyDescent="0.2">
      <c r="A2968" s="133">
        <v>6623</v>
      </c>
      <c r="B2968" s="39" t="s">
        <v>45</v>
      </c>
      <c r="C2968" s="39">
        <v>216</v>
      </c>
      <c r="D2968" s="29" t="b">
        <v>1</v>
      </c>
      <c r="E2968" s="39" t="s">
        <v>881</v>
      </c>
      <c r="F2968" s="47" t="s">
        <v>4311</v>
      </c>
      <c r="G2968" s="47"/>
      <c r="H2968"/>
      <c r="I2968" s="47" t="b">
        <v>0</v>
      </c>
      <c r="J2968" s="47" t="b">
        <v>1</v>
      </c>
      <c r="K2968" s="47">
        <v>0</v>
      </c>
      <c r="L2968" s="48">
        <v>2</v>
      </c>
      <c r="M2968" s="47">
        <v>2</v>
      </c>
      <c r="N2968" s="47">
        <v>0</v>
      </c>
      <c r="O2968" s="47">
        <v>0</v>
      </c>
      <c r="P2968" s="47">
        <v>0</v>
      </c>
      <c r="Q2968" s="47">
        <v>0</v>
      </c>
      <c r="R2968" s="47">
        <v>0</v>
      </c>
      <c r="S2968" s="48">
        <v>0</v>
      </c>
      <c r="T2968" s="47">
        <v>0</v>
      </c>
      <c r="U2968" s="47">
        <v>0</v>
      </c>
      <c r="V2968" s="47">
        <v>0</v>
      </c>
      <c r="W2968" s="47"/>
      <c r="X2968" s="47">
        <v>420</v>
      </c>
      <c r="Y2968" s="47"/>
      <c r="Z2968" s="47" t="s">
        <v>2466</v>
      </c>
      <c r="AA2968" s="49"/>
      <c r="AB2968" s="49"/>
      <c r="AC2968" s="49"/>
      <c r="AD2968" s="50"/>
      <c r="AE2968" s="47" t="s">
        <v>1312</v>
      </c>
      <c r="AF2968" s="47"/>
      <c r="AG2968"/>
      <c r="AH2968"/>
      <c r="AI2968"/>
      <c r="AJ2968"/>
      <c r="AK2968"/>
      <c r="AL2968"/>
      <c r="AM2968"/>
      <c r="AN2968"/>
      <c r="AO2968"/>
      <c r="AP2968"/>
      <c r="AQ2968" t="s">
        <v>2526</v>
      </c>
      <c r="AU2968">
        <v>2967</v>
      </c>
    </row>
    <row r="2969" spans="1:47" x14ac:dyDescent="0.2">
      <c r="A2969" s="133">
        <v>6623</v>
      </c>
      <c r="B2969" s="39" t="s">
        <v>45</v>
      </c>
      <c r="C2969" s="39" t="s">
        <v>142</v>
      </c>
      <c r="D2969" s="29"/>
      <c r="E2969" s="39" t="s">
        <v>4312</v>
      </c>
      <c r="F2969" s="47" t="s">
        <v>246</v>
      </c>
      <c r="G2969" s="47" t="s">
        <v>49</v>
      </c>
      <c r="H2969"/>
      <c r="I2969" s="47" t="b">
        <v>1</v>
      </c>
      <c r="J2969" s="47" t="b">
        <v>1</v>
      </c>
      <c r="K2969" s="47">
        <f>1855*2.2</f>
        <v>4081.0000000000005</v>
      </c>
      <c r="L2969" s="48">
        <v>12</v>
      </c>
      <c r="M2969" s="47"/>
      <c r="N2969" s="47">
        <v>1</v>
      </c>
      <c r="O2969" s="47">
        <v>1</v>
      </c>
      <c r="P2969" s="47"/>
      <c r="Q2969" s="47"/>
      <c r="R2969" s="47"/>
      <c r="S2969" s="48">
        <v>10</v>
      </c>
      <c r="T2969" s="47">
        <v>0</v>
      </c>
      <c r="U2969" s="47">
        <v>1</v>
      </c>
      <c r="V2969" s="47">
        <v>0</v>
      </c>
      <c r="W2969" s="47"/>
      <c r="X2969" s="47"/>
      <c r="Y2969" s="47" t="s">
        <v>51</v>
      </c>
      <c r="Z2969" s="31" t="s">
        <v>3855</v>
      </c>
      <c r="AA2969" s="49"/>
      <c r="AB2969" s="49"/>
      <c r="AC2969" s="49"/>
      <c r="AD2969" s="50"/>
      <c r="AE2969" s="31" t="s">
        <v>4124</v>
      </c>
      <c r="AF2969" s="47"/>
      <c r="AG2969"/>
      <c r="AH2969"/>
      <c r="AI2969"/>
      <c r="AJ2969"/>
      <c r="AK2969">
        <f>18+23+15</f>
        <v>56</v>
      </c>
      <c r="AL2969"/>
      <c r="AM2969"/>
      <c r="AN2969"/>
      <c r="AO2969"/>
      <c r="AP2969"/>
      <c r="AQ2969" t="s">
        <v>4313</v>
      </c>
      <c r="AR2969" s="47" t="s">
        <v>4314</v>
      </c>
      <c r="AU2969">
        <v>2968</v>
      </c>
    </row>
    <row r="2970" spans="1:47" x14ac:dyDescent="0.2">
      <c r="A2970" s="13">
        <v>6623</v>
      </c>
      <c r="B2970" s="39" t="s">
        <v>45</v>
      </c>
      <c r="C2970" s="57" t="s">
        <v>142</v>
      </c>
      <c r="D2970" s="29"/>
      <c r="E2970" s="57" t="s">
        <v>4017</v>
      </c>
      <c r="F2970" s="31" t="s">
        <v>76</v>
      </c>
      <c r="G2970" s="47" t="s">
        <v>49</v>
      </c>
      <c r="I2970" s="47" t="b">
        <v>0</v>
      </c>
      <c r="J2970" s="47" t="b">
        <v>0</v>
      </c>
      <c r="K2970" s="31">
        <f>564*2.2</f>
        <v>1240.8000000000002</v>
      </c>
      <c r="Z2970" s="31" t="s">
        <v>3855</v>
      </c>
      <c r="AE2970" s="31" t="s">
        <v>4124</v>
      </c>
      <c r="AF2970" s="31">
        <v>90</v>
      </c>
      <c r="AK2970" s="32">
        <v>18</v>
      </c>
      <c r="AQ2970" s="32" t="s">
        <v>4315</v>
      </c>
      <c r="AR2970" s="31" t="s">
        <v>3602</v>
      </c>
      <c r="AU2970">
        <v>2969</v>
      </c>
    </row>
    <row r="2971" spans="1:47" x14ac:dyDescent="0.2">
      <c r="A2971" s="13">
        <v>6623</v>
      </c>
      <c r="B2971" s="39" t="s">
        <v>45</v>
      </c>
      <c r="C2971" s="57" t="s">
        <v>142</v>
      </c>
      <c r="D2971" s="29"/>
      <c r="E2971" s="57" t="s">
        <v>4122</v>
      </c>
      <c r="F2971" s="31" t="s">
        <v>76</v>
      </c>
      <c r="G2971" s="47" t="s">
        <v>49</v>
      </c>
      <c r="I2971" s="47" t="b">
        <v>0</v>
      </c>
      <c r="J2971" s="47" t="b">
        <v>0</v>
      </c>
      <c r="K2971" s="31">
        <f>750*2.2</f>
        <v>1650.0000000000002</v>
      </c>
      <c r="Z2971" s="31" t="s">
        <v>3855</v>
      </c>
      <c r="AE2971" s="31" t="s">
        <v>4124</v>
      </c>
      <c r="AF2971" s="31">
        <v>90</v>
      </c>
      <c r="AK2971" s="32">
        <v>23</v>
      </c>
      <c r="AQ2971" s="32" t="s">
        <v>4315</v>
      </c>
      <c r="AR2971" s="31" t="s">
        <v>3602</v>
      </c>
      <c r="AU2971">
        <v>2970</v>
      </c>
    </row>
    <row r="2972" spans="1:47" x14ac:dyDescent="0.2">
      <c r="A2972" s="13">
        <v>6623</v>
      </c>
      <c r="B2972" s="39" t="s">
        <v>45</v>
      </c>
      <c r="C2972" s="57" t="s">
        <v>142</v>
      </c>
      <c r="D2972" s="29"/>
      <c r="E2972" s="57" t="s">
        <v>3063</v>
      </c>
      <c r="F2972" s="31" t="s">
        <v>76</v>
      </c>
      <c r="G2972" s="47" t="s">
        <v>49</v>
      </c>
      <c r="I2972" s="47" t="b">
        <v>0</v>
      </c>
      <c r="J2972" s="47" t="b">
        <v>0</v>
      </c>
      <c r="K2972" s="31">
        <f>492*2.2</f>
        <v>1082.4000000000001</v>
      </c>
      <c r="Z2972" s="31" t="s">
        <v>3855</v>
      </c>
      <c r="AE2972" s="31" t="s">
        <v>4124</v>
      </c>
      <c r="AF2972" s="31">
        <v>70</v>
      </c>
      <c r="AK2972" s="32">
        <v>15</v>
      </c>
      <c r="AQ2972" s="32" t="s">
        <v>4315</v>
      </c>
      <c r="AR2972" s="31" t="s">
        <v>3602</v>
      </c>
      <c r="AU2972">
        <v>2971</v>
      </c>
    </row>
    <row r="2973" spans="1:47" x14ac:dyDescent="0.2">
      <c r="A2973" s="13">
        <v>6623</v>
      </c>
      <c r="B2973" s="57" t="s">
        <v>45</v>
      </c>
      <c r="C2973" s="57" t="s">
        <v>1367</v>
      </c>
      <c r="D2973" s="29"/>
      <c r="E2973" s="57" t="s">
        <v>3679</v>
      </c>
      <c r="F2973" s="31" t="s">
        <v>76</v>
      </c>
      <c r="G2973" s="47" t="s">
        <v>49</v>
      </c>
      <c r="I2973" s="31" t="s">
        <v>3602</v>
      </c>
      <c r="K2973" s="31">
        <v>686.4</v>
      </c>
      <c r="AK2973" s="32">
        <v>6</v>
      </c>
      <c r="AQ2973" s="32" t="s">
        <v>4315</v>
      </c>
      <c r="AU2973">
        <v>2972</v>
      </c>
    </row>
    <row r="2974" spans="1:47" x14ac:dyDescent="0.2">
      <c r="A2974" s="13">
        <v>6623</v>
      </c>
      <c r="B2974" s="57" t="s">
        <v>45</v>
      </c>
      <c r="C2974" s="57" t="s">
        <v>1367</v>
      </c>
      <c r="D2974" s="29"/>
      <c r="E2974" s="57" t="s">
        <v>788</v>
      </c>
      <c r="F2974" s="31" t="s">
        <v>76</v>
      </c>
      <c r="G2974" s="47" t="s">
        <v>49</v>
      </c>
      <c r="I2974" s="31" t="s">
        <v>3602</v>
      </c>
      <c r="K2974" s="31">
        <v>990</v>
      </c>
      <c r="AK2974" s="32">
        <v>18</v>
      </c>
      <c r="AQ2974" s="32" t="s">
        <v>4315</v>
      </c>
      <c r="AU2974">
        <v>2973</v>
      </c>
    </row>
    <row r="2975" spans="1:47" x14ac:dyDescent="0.2">
      <c r="A2975" s="13">
        <v>6623</v>
      </c>
      <c r="B2975" s="57" t="s">
        <v>45</v>
      </c>
      <c r="C2975" s="38" t="s">
        <v>3610</v>
      </c>
      <c r="D2975" s="29"/>
      <c r="E2975" s="57" t="s">
        <v>1764</v>
      </c>
      <c r="F2975" s="31" t="s">
        <v>76</v>
      </c>
      <c r="G2975" s="47" t="s">
        <v>49</v>
      </c>
      <c r="I2975" s="31" t="s">
        <v>4316</v>
      </c>
      <c r="K2975" s="31">
        <f>6*50*2.2</f>
        <v>660</v>
      </c>
      <c r="L2975" s="33">
        <v>1</v>
      </c>
      <c r="S2975" s="33">
        <v>1</v>
      </c>
      <c r="T2975" s="31">
        <v>0</v>
      </c>
      <c r="U2975" s="31">
        <v>0</v>
      </c>
      <c r="V2975" s="31">
        <v>0</v>
      </c>
      <c r="W2975" s="47">
        <f>2300*39.37/12</f>
        <v>7545.916666666667</v>
      </c>
      <c r="Y2975" s="31" t="s">
        <v>51</v>
      </c>
      <c r="Z2975" s="31" t="s">
        <v>1846</v>
      </c>
      <c r="AD2975" s="35">
        <f>3+5/60</f>
        <v>3.0833333333333335</v>
      </c>
      <c r="AE2975" s="31" t="s">
        <v>4173</v>
      </c>
      <c r="AF2975" s="32">
        <v>95</v>
      </c>
      <c r="AK2975" s="32">
        <v>6</v>
      </c>
      <c r="AQ2975" s="32" t="s">
        <v>4317</v>
      </c>
      <c r="AU2975">
        <v>2974</v>
      </c>
    </row>
    <row r="2976" spans="1:47" x14ac:dyDescent="0.2">
      <c r="A2976" s="13">
        <v>6623</v>
      </c>
      <c r="B2976" s="57" t="s">
        <v>45</v>
      </c>
      <c r="C2976" s="38" t="s">
        <v>3610</v>
      </c>
      <c r="D2976" s="29"/>
      <c r="E2976" s="57" t="s">
        <v>175</v>
      </c>
      <c r="F2976" s="31" t="s">
        <v>76</v>
      </c>
      <c r="G2976" s="47" t="s">
        <v>49</v>
      </c>
      <c r="I2976" s="31" t="s">
        <v>4318</v>
      </c>
      <c r="K2976" s="31">
        <f>2*30*10*2.2</f>
        <v>1320</v>
      </c>
      <c r="L2976" s="33">
        <v>2</v>
      </c>
      <c r="S2976" s="33">
        <v>2</v>
      </c>
      <c r="T2976" s="31">
        <v>0</v>
      </c>
      <c r="U2976" s="31">
        <v>1</v>
      </c>
      <c r="V2976" s="31">
        <v>0</v>
      </c>
      <c r="W2976" s="47">
        <f>((2600+3400)/2)*39.37/12</f>
        <v>9842.4999999999982</v>
      </c>
      <c r="Y2976" s="31" t="s">
        <v>51</v>
      </c>
      <c r="Z2976" s="31" t="s">
        <v>1846</v>
      </c>
      <c r="AD2976" s="35">
        <v>3</v>
      </c>
      <c r="AE2976" s="31" t="s">
        <v>4173</v>
      </c>
      <c r="AF2976" s="32">
        <v>55</v>
      </c>
      <c r="AK2976" s="32">
        <f>2*30</f>
        <v>60</v>
      </c>
      <c r="AQ2976" s="32" t="s">
        <v>4317</v>
      </c>
      <c r="AU2976">
        <v>2975</v>
      </c>
    </row>
    <row r="2977" spans="1:47" x14ac:dyDescent="0.2">
      <c r="A2977" s="13">
        <v>6623</v>
      </c>
      <c r="B2977" s="57" t="s">
        <v>45</v>
      </c>
      <c r="C2977" s="57" t="s">
        <v>4319</v>
      </c>
      <c r="D2977" s="29"/>
      <c r="E2977" s="57" t="s">
        <v>3953</v>
      </c>
      <c r="F2977" s="31" t="s">
        <v>4320</v>
      </c>
      <c r="G2977" s="31" t="s">
        <v>69</v>
      </c>
      <c r="K2977" s="31">
        <v>1650</v>
      </c>
      <c r="S2977" s="33">
        <v>4</v>
      </c>
      <c r="Z2977" s="31" t="s">
        <v>3855</v>
      </c>
      <c r="AK2977" s="32">
        <v>22</v>
      </c>
      <c r="AQ2977" s="32" t="s">
        <v>4303</v>
      </c>
      <c r="AU2977">
        <v>2976</v>
      </c>
    </row>
    <row r="2978" spans="1:47" x14ac:dyDescent="0.2">
      <c r="A2978" s="13">
        <v>6623</v>
      </c>
      <c r="B2978" s="57" t="s">
        <v>45</v>
      </c>
      <c r="C2978" s="57" t="s">
        <v>1367</v>
      </c>
      <c r="D2978" s="29"/>
      <c r="E2978" s="57" t="s">
        <v>1048</v>
      </c>
      <c r="F2978" s="31" t="s">
        <v>76</v>
      </c>
      <c r="G2978" s="31" t="s">
        <v>49</v>
      </c>
      <c r="I2978" s="31" t="s">
        <v>3602</v>
      </c>
      <c r="K2978" s="31">
        <v>6160</v>
      </c>
      <c r="AK2978" s="32">
        <v>67</v>
      </c>
      <c r="AQ2978" s="32" t="s">
        <v>4315</v>
      </c>
      <c r="AU2978">
        <v>2977</v>
      </c>
    </row>
    <row r="2979" spans="1:47" x14ac:dyDescent="0.2">
      <c r="A2979" s="13">
        <v>6623</v>
      </c>
      <c r="B2979" s="57"/>
      <c r="C2979" s="57" t="s">
        <v>1077</v>
      </c>
      <c r="D2979" s="29"/>
      <c r="E2979" s="57" t="s">
        <v>1048</v>
      </c>
      <c r="F2979" s="31" t="s">
        <v>76</v>
      </c>
      <c r="G2979" s="31" t="s">
        <v>49</v>
      </c>
      <c r="I2979" s="31" t="s">
        <v>3602</v>
      </c>
      <c r="K2979" s="31">
        <v>336.6</v>
      </c>
      <c r="AK2979" s="32">
        <v>3</v>
      </c>
      <c r="AQ2979" s="32" t="s">
        <v>4315</v>
      </c>
      <c r="AU2979">
        <v>2978</v>
      </c>
    </row>
    <row r="2980" spans="1:47" x14ac:dyDescent="0.2">
      <c r="A2980" s="13">
        <v>6623</v>
      </c>
      <c r="B2980" s="57"/>
      <c r="C2980" s="57" t="s">
        <v>1077</v>
      </c>
      <c r="D2980" s="29"/>
      <c r="E2980" s="57" t="s">
        <v>190</v>
      </c>
      <c r="F2980" s="31" t="s">
        <v>76</v>
      </c>
      <c r="G2980" s="31" t="s">
        <v>49</v>
      </c>
      <c r="I2980" s="31" t="s">
        <v>4244</v>
      </c>
      <c r="K2980" s="31">
        <v>565.4</v>
      </c>
      <c r="AK2980" s="32">
        <v>7</v>
      </c>
      <c r="AQ2980" s="32" t="s">
        <v>4315</v>
      </c>
      <c r="AU2980">
        <v>2979</v>
      </c>
    </row>
    <row r="2981" spans="1:47" x14ac:dyDescent="0.2">
      <c r="A2981" s="13">
        <v>6623</v>
      </c>
      <c r="B2981" s="57"/>
      <c r="C2981" s="57" t="s">
        <v>1077</v>
      </c>
      <c r="D2981" s="29"/>
      <c r="E2981" s="57" t="s">
        <v>3626</v>
      </c>
      <c r="F2981" s="31" t="s">
        <v>76</v>
      </c>
      <c r="G2981" s="31" t="s">
        <v>49</v>
      </c>
      <c r="I2981" s="31" t="s">
        <v>4244</v>
      </c>
      <c r="K2981" s="31">
        <v>567.6</v>
      </c>
      <c r="AK2981" s="32">
        <v>8</v>
      </c>
      <c r="AQ2981" s="32" t="s">
        <v>4315</v>
      </c>
      <c r="AU2981">
        <v>2980</v>
      </c>
    </row>
    <row r="2982" spans="1:47" x14ac:dyDescent="0.2">
      <c r="A2982" s="13">
        <v>6623</v>
      </c>
      <c r="B2982" s="57"/>
      <c r="C2982" s="57" t="s">
        <v>1077</v>
      </c>
      <c r="D2982" s="29"/>
      <c r="E2982" s="57" t="s">
        <v>4321</v>
      </c>
      <c r="F2982" s="31" t="s">
        <v>4104</v>
      </c>
      <c r="G2982" s="31" t="s">
        <v>49</v>
      </c>
      <c r="K2982" s="31">
        <v>721.6</v>
      </c>
      <c r="AK2982" s="32">
        <v>16</v>
      </c>
      <c r="AQ2982" s="32" t="s">
        <v>4315</v>
      </c>
      <c r="AU2982">
        <v>2981</v>
      </c>
    </row>
    <row r="2983" spans="1:47" x14ac:dyDescent="0.2">
      <c r="A2983" s="13">
        <v>6623</v>
      </c>
      <c r="B2983" s="57"/>
      <c r="C2983" s="57" t="s">
        <v>1077</v>
      </c>
      <c r="D2983" s="29"/>
      <c r="E2983" s="57" t="s">
        <v>4321</v>
      </c>
      <c r="F2983" s="31" t="s">
        <v>4104</v>
      </c>
      <c r="G2983" s="31" t="s">
        <v>49</v>
      </c>
      <c r="K2983" s="31">
        <v>992.2</v>
      </c>
      <c r="AK2983" s="32">
        <v>22</v>
      </c>
      <c r="AQ2983" s="32" t="s">
        <v>4315</v>
      </c>
      <c r="AU2983">
        <v>2982</v>
      </c>
    </row>
    <row r="2984" spans="1:47" x14ac:dyDescent="0.2">
      <c r="A2984" s="13">
        <v>6623</v>
      </c>
      <c r="B2984" s="57"/>
      <c r="C2984" s="57" t="s">
        <v>1077</v>
      </c>
      <c r="D2984" s="29"/>
      <c r="E2984" s="57" t="s">
        <v>3666</v>
      </c>
      <c r="F2984" s="31" t="s">
        <v>76</v>
      </c>
      <c r="G2984" s="31" t="s">
        <v>49</v>
      </c>
      <c r="I2984" s="31" t="s">
        <v>3602</v>
      </c>
      <c r="K2984" s="31">
        <v>1106.5999999999999</v>
      </c>
      <c r="AK2984" s="32">
        <v>19</v>
      </c>
      <c r="AQ2984" s="32" t="s">
        <v>4315</v>
      </c>
      <c r="AU2984">
        <v>2983</v>
      </c>
    </row>
    <row r="2985" spans="1:47" x14ac:dyDescent="0.2">
      <c r="A2985" s="13">
        <v>6623</v>
      </c>
      <c r="B2985" s="57"/>
      <c r="C2985" s="57" t="s">
        <v>1077</v>
      </c>
      <c r="D2985" s="29"/>
      <c r="E2985" s="57" t="s">
        <v>1764</v>
      </c>
      <c r="F2985" s="31" t="s">
        <v>76</v>
      </c>
      <c r="G2985" s="31" t="s">
        <v>49</v>
      </c>
      <c r="I2985" s="31" t="s">
        <v>3602</v>
      </c>
      <c r="K2985" s="31">
        <v>2129.6</v>
      </c>
      <c r="AK2985" s="32">
        <v>61</v>
      </c>
      <c r="AQ2985" s="32" t="s">
        <v>4315</v>
      </c>
      <c r="AU2985">
        <v>2984</v>
      </c>
    </row>
    <row r="2986" spans="1:47" x14ac:dyDescent="0.2">
      <c r="A2986" s="26">
        <v>6623</v>
      </c>
      <c r="B2986" s="27">
        <v>4.5138888888888888E-2</v>
      </c>
      <c r="C2986" s="28"/>
      <c r="D2986" s="29"/>
      <c r="E2986" s="30" t="s">
        <v>869</v>
      </c>
      <c r="H2986" s="32">
        <v>0</v>
      </c>
      <c r="I2986" s="32" t="s">
        <v>4322</v>
      </c>
      <c r="AG2986" s="32">
        <v>0</v>
      </c>
      <c r="AH2986" s="32">
        <v>0</v>
      </c>
      <c r="AI2986" s="32">
        <v>0</v>
      </c>
      <c r="AK2986" s="32">
        <v>0</v>
      </c>
      <c r="AL2986" s="32">
        <f>1/6</f>
        <v>0.16666666666666666</v>
      </c>
      <c r="AP2986" s="32">
        <f>1/6</f>
        <v>0.16666666666666666</v>
      </c>
      <c r="AQ2986" s="32" t="s">
        <v>589</v>
      </c>
      <c r="AU2986">
        <v>2985</v>
      </c>
    </row>
    <row r="2987" spans="1:47" x14ac:dyDescent="0.2">
      <c r="A2987" s="26">
        <v>6623</v>
      </c>
      <c r="B2987" s="27">
        <v>0.40277777777777773</v>
      </c>
      <c r="C2987" s="28"/>
      <c r="D2987" s="29"/>
      <c r="E2987" s="30" t="s">
        <v>869</v>
      </c>
      <c r="H2987" s="32">
        <v>0</v>
      </c>
      <c r="I2987" s="32" t="s">
        <v>2461</v>
      </c>
      <c r="AG2987" s="32">
        <v>0</v>
      </c>
      <c r="AH2987" s="32">
        <v>0</v>
      </c>
      <c r="AI2987" s="32">
        <v>0</v>
      </c>
      <c r="AK2987" s="32">
        <v>0</v>
      </c>
      <c r="AL2987" s="32">
        <f>19/60</f>
        <v>0.31666666666666665</v>
      </c>
      <c r="AP2987" s="32">
        <f>19/60</f>
        <v>0.31666666666666665</v>
      </c>
      <c r="AQ2987" s="32" t="s">
        <v>589</v>
      </c>
      <c r="AU2987">
        <v>2986</v>
      </c>
    </row>
    <row r="2988" spans="1:47" x14ac:dyDescent="0.2">
      <c r="A2988" s="26">
        <v>6623</v>
      </c>
      <c r="B2988" s="27">
        <v>0.5</v>
      </c>
      <c r="C2988" s="28"/>
      <c r="D2988" s="29"/>
      <c r="E2988" s="30" t="s">
        <v>2323</v>
      </c>
      <c r="H2988" s="32">
        <v>1</v>
      </c>
      <c r="I2988" s="32" t="s">
        <v>4323</v>
      </c>
      <c r="AG2988" s="32">
        <v>0</v>
      </c>
      <c r="AH2988" s="32">
        <v>0</v>
      </c>
      <c r="AJ2988" s="32">
        <v>10000</v>
      </c>
      <c r="AK2988" s="32">
        <v>10</v>
      </c>
      <c r="AL2988" s="32">
        <v>0</v>
      </c>
      <c r="AO2988" s="32" t="s">
        <v>2325</v>
      </c>
      <c r="AQ2988" s="32">
        <v>418</v>
      </c>
      <c r="AU2988">
        <v>2987</v>
      </c>
    </row>
    <row r="2989" spans="1:47" x14ac:dyDescent="0.2">
      <c r="A2989" s="26">
        <v>6623</v>
      </c>
      <c r="B2989" s="27">
        <v>0.8125</v>
      </c>
      <c r="C2989" s="28"/>
      <c r="D2989" s="29"/>
      <c r="E2989" s="30" t="s">
        <v>1282</v>
      </c>
      <c r="H2989" s="32">
        <v>0</v>
      </c>
      <c r="I2989" s="32" t="s">
        <v>4324</v>
      </c>
      <c r="AG2989" s="32">
        <v>0</v>
      </c>
      <c r="AH2989" s="32">
        <v>0</v>
      </c>
      <c r="AK2989" s="32">
        <v>0</v>
      </c>
      <c r="AL2989" s="32">
        <f>5+20/60</f>
        <v>5.333333333333333</v>
      </c>
      <c r="AP2989" s="32">
        <f>5+20/60</f>
        <v>5.333333333333333</v>
      </c>
      <c r="AQ2989" s="32" t="s">
        <v>1101</v>
      </c>
      <c r="AU2989">
        <v>2988</v>
      </c>
    </row>
    <row r="2990" spans="1:47" x14ac:dyDescent="0.2">
      <c r="A2990" s="26">
        <v>6623</v>
      </c>
      <c r="B2990" s="27">
        <v>0.81458333333333333</v>
      </c>
      <c r="C2990" s="28"/>
      <c r="D2990" s="29"/>
      <c r="E2990" s="30" t="s">
        <v>464</v>
      </c>
      <c r="H2990" s="32">
        <v>0</v>
      </c>
      <c r="I2990" s="32" t="s">
        <v>4325</v>
      </c>
      <c r="AG2990" s="32">
        <v>0</v>
      </c>
      <c r="AH2990" s="32">
        <v>0</v>
      </c>
      <c r="AL2990" s="32">
        <f>6+2/60</f>
        <v>6.0333333333333332</v>
      </c>
      <c r="AO2990" s="32" t="s">
        <v>4067</v>
      </c>
      <c r="AP2990" s="32">
        <f>6+2/60</f>
        <v>6.0333333333333332</v>
      </c>
      <c r="AQ2990" s="32" t="s">
        <v>1522</v>
      </c>
      <c r="AU2990">
        <v>2989</v>
      </c>
    </row>
    <row r="2991" spans="1:47" x14ac:dyDescent="0.2">
      <c r="A2991" s="26">
        <v>6623</v>
      </c>
      <c r="B2991" s="27">
        <v>0.89583333333333337</v>
      </c>
      <c r="C2991" s="28"/>
      <c r="D2991" s="29"/>
      <c r="E2991" s="30" t="s">
        <v>2087</v>
      </c>
      <c r="H2991" s="32">
        <v>0</v>
      </c>
      <c r="I2991" s="32"/>
      <c r="AG2991" s="32">
        <v>0</v>
      </c>
      <c r="AH2991" s="32">
        <v>0</v>
      </c>
      <c r="AI2991" s="32">
        <v>0</v>
      </c>
      <c r="AK2991" s="32">
        <v>0</v>
      </c>
      <c r="AL2991" s="32">
        <v>0</v>
      </c>
      <c r="AP2991" s="32">
        <v>0.5</v>
      </c>
      <c r="AQ2991" s="32" t="s">
        <v>1101</v>
      </c>
      <c r="AU2991">
        <v>2990</v>
      </c>
    </row>
    <row r="2992" spans="1:47" x14ac:dyDescent="0.2">
      <c r="A2992" s="26">
        <v>6623</v>
      </c>
      <c r="B2992" s="27">
        <v>0.91666666666666663</v>
      </c>
      <c r="C2992" s="28"/>
      <c r="D2992" s="29"/>
      <c r="E2992" s="30" t="s">
        <v>4219</v>
      </c>
      <c r="H2992" s="32">
        <v>1</v>
      </c>
      <c r="I2992" s="32"/>
      <c r="AL2992" s="32">
        <v>0.33300000000000002</v>
      </c>
      <c r="AO2992" s="32" t="s">
        <v>858</v>
      </c>
      <c r="AP2992" s="32">
        <v>0.33300000000000002</v>
      </c>
      <c r="AQ2992" s="32" t="s">
        <v>1101</v>
      </c>
      <c r="AU2992">
        <v>2991</v>
      </c>
    </row>
    <row r="2993" spans="1:47" x14ac:dyDescent="0.2">
      <c r="A2993" s="26">
        <v>6623</v>
      </c>
      <c r="B2993" s="27" t="s">
        <v>45</v>
      </c>
      <c r="C2993" s="28"/>
      <c r="D2993" s="29"/>
      <c r="E2993" s="30" t="s">
        <v>1531</v>
      </c>
      <c r="H2993" s="32">
        <v>0</v>
      </c>
      <c r="I2993" s="32" t="s">
        <v>1706</v>
      </c>
      <c r="AG2993" s="32">
        <v>0</v>
      </c>
      <c r="AH2993" s="32">
        <v>0</v>
      </c>
      <c r="AI2993" s="32">
        <v>0</v>
      </c>
      <c r="AK2993" s="32">
        <v>0</v>
      </c>
      <c r="AM2993" s="32">
        <f>498*78</f>
        <v>38844</v>
      </c>
      <c r="AO2993" s="32" t="s">
        <v>1533</v>
      </c>
      <c r="AQ2993" s="32" t="s">
        <v>1101</v>
      </c>
      <c r="AU2993">
        <v>2992</v>
      </c>
    </row>
    <row r="2994" spans="1:47" x14ac:dyDescent="0.2">
      <c r="A2994" s="26">
        <v>6623</v>
      </c>
      <c r="B2994" s="27" t="s">
        <v>45</v>
      </c>
      <c r="C2994" s="28"/>
      <c r="D2994" s="29"/>
      <c r="E2994" s="150" t="s">
        <v>2286</v>
      </c>
      <c r="H2994" s="32">
        <v>0</v>
      </c>
      <c r="I2994" s="32" t="s">
        <v>1824</v>
      </c>
      <c r="AG2994" s="32">
        <v>0</v>
      </c>
      <c r="AH2994" s="32">
        <v>0</v>
      </c>
      <c r="AI2994" s="32">
        <v>0</v>
      </c>
      <c r="AK2994" s="32">
        <v>0</v>
      </c>
      <c r="AM2994" s="32">
        <v>2500</v>
      </c>
      <c r="AO2994" s="73" t="s">
        <v>75</v>
      </c>
      <c r="AQ2994" s="32" t="s">
        <v>589</v>
      </c>
      <c r="AU2994">
        <v>2993</v>
      </c>
    </row>
    <row r="2995" spans="1:47" x14ac:dyDescent="0.2">
      <c r="A2995" s="133">
        <v>6624</v>
      </c>
      <c r="B2995" s="39" t="s">
        <v>85</v>
      </c>
      <c r="C2995" s="39">
        <v>55</v>
      </c>
      <c r="D2995" s="29" t="b">
        <v>0</v>
      </c>
      <c r="E2995" s="39" t="s">
        <v>4326</v>
      </c>
      <c r="F2995" s="47" t="s">
        <v>4327</v>
      </c>
      <c r="G2995" s="47" t="s">
        <v>49</v>
      </c>
      <c r="H2995"/>
      <c r="I2995" s="47" t="b">
        <v>1</v>
      </c>
      <c r="J2995" s="47" t="b">
        <v>1</v>
      </c>
      <c r="K2995" s="47">
        <v>2176</v>
      </c>
      <c r="L2995" s="48">
        <v>10</v>
      </c>
      <c r="M2995" s="47">
        <v>0</v>
      </c>
      <c r="N2995" s="47">
        <v>1</v>
      </c>
      <c r="O2995" s="47">
        <v>0</v>
      </c>
      <c r="P2995" s="47">
        <v>4</v>
      </c>
      <c r="Q2995" s="47">
        <v>0</v>
      </c>
      <c r="R2995" s="47">
        <v>0</v>
      </c>
      <c r="S2995" s="48">
        <v>9</v>
      </c>
      <c r="T2995" s="47">
        <v>0</v>
      </c>
      <c r="U2995" s="47">
        <v>0</v>
      </c>
      <c r="V2995" s="47">
        <v>0</v>
      </c>
      <c r="W2995" s="47">
        <v>12722</v>
      </c>
      <c r="X2995" s="47">
        <v>422</v>
      </c>
      <c r="Y2995" s="47"/>
      <c r="Z2995" s="47" t="s">
        <v>3618</v>
      </c>
      <c r="AA2995" s="49"/>
      <c r="AB2995" s="49"/>
      <c r="AC2995" s="49"/>
      <c r="AD2995" s="50"/>
      <c r="AE2995" s="47" t="s">
        <v>3798</v>
      </c>
      <c r="AF2995" s="47">
        <v>155</v>
      </c>
      <c r="AG2995"/>
      <c r="AH2995"/>
      <c r="AI2995"/>
      <c r="AJ2995"/>
      <c r="AK2995"/>
      <c r="AL2995"/>
      <c r="AM2995"/>
      <c r="AN2995"/>
      <c r="AO2995"/>
      <c r="AP2995"/>
      <c r="AQ2995" t="s">
        <v>2526</v>
      </c>
      <c r="AU2995">
        <v>2994</v>
      </c>
    </row>
    <row r="2996" spans="1:47" ht="13.5" customHeight="1" x14ac:dyDescent="0.2">
      <c r="A2996" s="133">
        <v>6624</v>
      </c>
      <c r="B2996" s="39" t="s">
        <v>85</v>
      </c>
      <c r="C2996" s="39">
        <v>55</v>
      </c>
      <c r="D2996" s="29" t="b">
        <v>0</v>
      </c>
      <c r="E2996" s="39" t="s">
        <v>1764</v>
      </c>
      <c r="F2996" s="47" t="s">
        <v>4328</v>
      </c>
      <c r="G2996" s="47" t="s">
        <v>49</v>
      </c>
      <c r="H2996"/>
      <c r="I2996" s="47" t="b">
        <v>0</v>
      </c>
      <c r="J2996" s="47" t="b">
        <v>0</v>
      </c>
      <c r="K2996" s="47">
        <v>936</v>
      </c>
      <c r="L2996" s="48">
        <v>5</v>
      </c>
      <c r="M2996" s="47">
        <v>0</v>
      </c>
      <c r="N2996" s="47">
        <v>1</v>
      </c>
      <c r="O2996" s="47">
        <v>0</v>
      </c>
      <c r="P2996" s="47">
        <v>4</v>
      </c>
      <c r="Q2996" s="47">
        <v>0</v>
      </c>
      <c r="R2996" s="47">
        <v>0</v>
      </c>
      <c r="S2996" s="48">
        <v>4</v>
      </c>
      <c r="T2996" s="47">
        <v>0</v>
      </c>
      <c r="U2996" s="47">
        <v>0</v>
      </c>
      <c r="V2996" s="47">
        <v>0</v>
      </c>
      <c r="W2996" s="47">
        <v>13000</v>
      </c>
      <c r="X2996" s="47">
        <v>423</v>
      </c>
      <c r="Y2996" s="47"/>
      <c r="Z2996" s="47" t="s">
        <v>3618</v>
      </c>
      <c r="AA2996" s="49"/>
      <c r="AB2996" s="49"/>
      <c r="AC2996" s="49"/>
      <c r="AD2996" s="50"/>
      <c r="AE2996" s="47" t="s">
        <v>3798</v>
      </c>
      <c r="AF2996" s="47">
        <v>95</v>
      </c>
      <c r="AG2996"/>
      <c r="AH2996"/>
      <c r="AI2996"/>
      <c r="AJ2996"/>
      <c r="AK2996"/>
      <c r="AL2996"/>
      <c r="AM2996"/>
      <c r="AN2996"/>
      <c r="AO2996"/>
      <c r="AP2996"/>
      <c r="AQ2996" t="s">
        <v>2526</v>
      </c>
      <c r="AU2996">
        <v>2995</v>
      </c>
    </row>
    <row r="2997" spans="1:47" x14ac:dyDescent="0.2">
      <c r="A2997" s="133">
        <v>6624</v>
      </c>
      <c r="B2997" s="39" t="s">
        <v>85</v>
      </c>
      <c r="C2997" s="39">
        <v>55</v>
      </c>
      <c r="D2997" s="29" t="b">
        <v>0</v>
      </c>
      <c r="E2997" s="39" t="s">
        <v>1006</v>
      </c>
      <c r="F2997" s="47" t="s">
        <v>4329</v>
      </c>
      <c r="G2997" s="47" t="s">
        <v>49</v>
      </c>
      <c r="H2997"/>
      <c r="I2997" s="47" t="b">
        <v>0</v>
      </c>
      <c r="J2997" s="47" t="b">
        <v>0</v>
      </c>
      <c r="K2997" s="47">
        <v>1240</v>
      </c>
      <c r="L2997" s="48">
        <v>5</v>
      </c>
      <c r="M2997" s="47">
        <v>0</v>
      </c>
      <c r="N2997" s="47">
        <v>0</v>
      </c>
      <c r="O2997" s="47">
        <v>0</v>
      </c>
      <c r="P2997" s="47">
        <v>0</v>
      </c>
      <c r="Q2997" s="47">
        <v>0</v>
      </c>
      <c r="R2997" s="47">
        <v>0</v>
      </c>
      <c r="S2997" s="48">
        <v>5</v>
      </c>
      <c r="T2997" s="47">
        <v>0</v>
      </c>
      <c r="U2997" s="47">
        <v>0</v>
      </c>
      <c r="V2997" s="47">
        <v>0</v>
      </c>
      <c r="W2997" s="47">
        <v>12500</v>
      </c>
      <c r="X2997" s="47">
        <v>424</v>
      </c>
      <c r="Y2997" s="47"/>
      <c r="Z2997" s="47" t="s">
        <v>3618</v>
      </c>
      <c r="AA2997" s="49"/>
      <c r="AB2997" s="49"/>
      <c r="AC2997" s="49"/>
      <c r="AD2997" s="50"/>
      <c r="AE2997" s="47" t="s">
        <v>3798</v>
      </c>
      <c r="AF2997" s="47">
        <v>155</v>
      </c>
      <c r="AG2997"/>
      <c r="AH2997"/>
      <c r="AI2997"/>
      <c r="AJ2997"/>
      <c r="AK2997"/>
      <c r="AL2997"/>
      <c r="AM2997"/>
      <c r="AN2997"/>
      <c r="AO2997"/>
      <c r="AP2997"/>
      <c r="AQ2997" t="s">
        <v>2526</v>
      </c>
      <c r="AU2997">
        <v>2996</v>
      </c>
    </row>
    <row r="2998" spans="1:47" x14ac:dyDescent="0.2">
      <c r="A2998" s="13">
        <v>6624</v>
      </c>
      <c r="B2998" s="57" t="s">
        <v>85</v>
      </c>
      <c r="C2998" s="57" t="s">
        <v>1234</v>
      </c>
      <c r="D2998" s="29"/>
      <c r="E2998" s="57" t="s">
        <v>4304</v>
      </c>
      <c r="F2998" s="31" t="s">
        <v>3727</v>
      </c>
      <c r="G2998" s="31" t="s">
        <v>69</v>
      </c>
      <c r="I2998" s="31" t="s">
        <v>4330</v>
      </c>
      <c r="K2998" s="31">
        <f>1280.4-211</f>
        <v>1069.4000000000001</v>
      </c>
      <c r="AK2998" s="32">
        <v>48</v>
      </c>
      <c r="AQ2998" s="32" t="s">
        <v>4306</v>
      </c>
      <c r="AU2998">
        <v>2997</v>
      </c>
    </row>
    <row r="2999" spans="1:47" x14ac:dyDescent="0.2">
      <c r="A2999" s="13">
        <v>6624</v>
      </c>
      <c r="B2999" s="57" t="s">
        <v>85</v>
      </c>
      <c r="C2999" s="15" t="s">
        <v>3730</v>
      </c>
      <c r="D2999" s="29"/>
      <c r="E2999" s="57" t="s">
        <v>4331</v>
      </c>
      <c r="F2999" s="31" t="s">
        <v>107</v>
      </c>
      <c r="G2999" s="31" t="s">
        <v>69</v>
      </c>
      <c r="I2999" s="31" t="s">
        <v>4332</v>
      </c>
      <c r="K2999" s="31">
        <f>96*2.2</f>
        <v>211.20000000000002</v>
      </c>
      <c r="S2999" s="33">
        <v>4</v>
      </c>
      <c r="T2999" s="31">
        <v>0</v>
      </c>
      <c r="U2999" s="31">
        <v>0</v>
      </c>
      <c r="V2999" s="31">
        <v>0</v>
      </c>
      <c r="Y2999" s="31" t="s">
        <v>51</v>
      </c>
      <c r="Z2999" s="31" t="s">
        <v>1809</v>
      </c>
      <c r="AE2999" s="47" t="s">
        <v>1653</v>
      </c>
      <c r="AO2999" s="73"/>
      <c r="AQ2999" s="18" t="s">
        <v>4270</v>
      </c>
      <c r="AU2999">
        <v>2998</v>
      </c>
    </row>
    <row r="3000" spans="1:47" ht="13.5" customHeight="1" x14ac:dyDescent="0.2">
      <c r="A3000" s="133">
        <v>6624</v>
      </c>
      <c r="B3000" s="39" t="s">
        <v>45</v>
      </c>
      <c r="C3000" s="39">
        <v>100</v>
      </c>
      <c r="D3000" s="29" t="b">
        <v>0</v>
      </c>
      <c r="E3000" s="39" t="s">
        <v>4333</v>
      </c>
      <c r="F3000" s="47" t="s">
        <v>4334</v>
      </c>
      <c r="G3000" s="47" t="s">
        <v>49</v>
      </c>
      <c r="H3000"/>
      <c r="I3000" s="47" t="b">
        <v>1</v>
      </c>
      <c r="J3000" s="47" t="b">
        <v>1</v>
      </c>
      <c r="K3000" s="47">
        <v>2856</v>
      </c>
      <c r="L3000" s="48">
        <v>10</v>
      </c>
      <c r="M3000" s="47">
        <v>0</v>
      </c>
      <c r="N3000" s="47">
        <v>0</v>
      </c>
      <c r="O3000" s="47">
        <v>0</v>
      </c>
      <c r="P3000" s="47">
        <v>0</v>
      </c>
      <c r="Q3000" s="47">
        <v>0</v>
      </c>
      <c r="R3000" s="47">
        <v>0</v>
      </c>
      <c r="S3000" s="48">
        <v>10</v>
      </c>
      <c r="T3000" s="47">
        <v>1</v>
      </c>
      <c r="U3000" s="47">
        <v>0</v>
      </c>
      <c r="V3000" s="47">
        <v>0</v>
      </c>
      <c r="W3000" s="47">
        <v>1040</v>
      </c>
      <c r="X3000" s="47">
        <v>425</v>
      </c>
      <c r="Y3000" s="47"/>
      <c r="Z3000" s="47" t="s">
        <v>2524</v>
      </c>
      <c r="AA3000" s="49"/>
      <c r="AB3000" s="49"/>
      <c r="AC3000" s="49"/>
      <c r="AD3000" s="50"/>
      <c r="AE3000" s="47" t="s">
        <v>1312</v>
      </c>
      <c r="AF3000" s="47">
        <v>135</v>
      </c>
      <c r="AG3000"/>
      <c r="AH3000"/>
      <c r="AI3000"/>
      <c r="AJ3000"/>
      <c r="AK3000"/>
      <c r="AL3000"/>
      <c r="AM3000"/>
      <c r="AN3000"/>
      <c r="AO3000"/>
      <c r="AP3000"/>
      <c r="AQ3000" t="s">
        <v>2526</v>
      </c>
      <c r="AU3000">
        <v>2999</v>
      </c>
    </row>
    <row r="3001" spans="1:47" x14ac:dyDescent="0.2">
      <c r="A3001" s="133">
        <v>6624</v>
      </c>
      <c r="B3001" s="39" t="s">
        <v>45</v>
      </c>
      <c r="C3001" s="39">
        <v>100</v>
      </c>
      <c r="D3001" s="29" t="b">
        <v>0</v>
      </c>
      <c r="E3001" s="39" t="s">
        <v>1764</v>
      </c>
      <c r="F3001" s="47" t="s">
        <v>4335</v>
      </c>
      <c r="G3001" s="47" t="s">
        <v>49</v>
      </c>
      <c r="H3001"/>
      <c r="I3001" s="47" t="b">
        <v>0</v>
      </c>
      <c r="J3001" s="47" t="b">
        <v>0</v>
      </c>
      <c r="K3001" s="47">
        <v>650</v>
      </c>
      <c r="L3001" s="48">
        <v>2</v>
      </c>
      <c r="M3001" s="47">
        <v>0</v>
      </c>
      <c r="N3001" s="47">
        <v>0</v>
      </c>
      <c r="O3001" s="47">
        <v>0</v>
      </c>
      <c r="P3001" s="47">
        <v>0</v>
      </c>
      <c r="Q3001" s="47">
        <v>0</v>
      </c>
      <c r="R3001" s="47">
        <v>0</v>
      </c>
      <c r="S3001" s="48">
        <v>2</v>
      </c>
      <c r="T3001" s="47">
        <v>1</v>
      </c>
      <c r="U3001" s="47">
        <v>0</v>
      </c>
      <c r="V3001" s="47">
        <v>0</v>
      </c>
      <c r="W3001" s="47">
        <v>1800</v>
      </c>
      <c r="X3001" s="47">
        <v>426</v>
      </c>
      <c r="Y3001" s="47"/>
      <c r="Z3001" s="47" t="s">
        <v>2524</v>
      </c>
      <c r="AA3001" s="49"/>
      <c r="AB3001" s="49"/>
      <c r="AC3001" s="49"/>
      <c r="AD3001" s="50"/>
      <c r="AE3001" s="47" t="s">
        <v>1312</v>
      </c>
      <c r="AF3001" s="31">
        <v>85</v>
      </c>
      <c r="AG3001"/>
      <c r="AH3001"/>
      <c r="AI3001"/>
      <c r="AJ3001"/>
      <c r="AK3001"/>
      <c r="AL3001"/>
      <c r="AM3001"/>
      <c r="AN3001"/>
      <c r="AO3001"/>
      <c r="AP3001"/>
      <c r="AQ3001" t="s">
        <v>2526</v>
      </c>
      <c r="AU3001">
        <v>3000</v>
      </c>
    </row>
    <row r="3002" spans="1:47" x14ac:dyDescent="0.2">
      <c r="A3002" s="133">
        <v>6624</v>
      </c>
      <c r="B3002" s="39" t="s">
        <v>45</v>
      </c>
      <c r="C3002" s="39">
        <v>100</v>
      </c>
      <c r="D3002" s="29" t="b">
        <v>0</v>
      </c>
      <c r="E3002" s="39" t="s">
        <v>1006</v>
      </c>
      <c r="F3002" s="47" t="s">
        <v>4336</v>
      </c>
      <c r="G3002" s="47" t="s">
        <v>49</v>
      </c>
      <c r="H3002"/>
      <c r="I3002" s="47" t="b">
        <v>0</v>
      </c>
      <c r="J3002" s="47" t="b">
        <v>0</v>
      </c>
      <c r="K3002" s="47">
        <v>2206</v>
      </c>
      <c r="L3002" s="48">
        <v>8</v>
      </c>
      <c r="M3002" s="47">
        <v>0</v>
      </c>
      <c r="N3002" s="47">
        <v>0</v>
      </c>
      <c r="O3002" s="47">
        <v>0</v>
      </c>
      <c r="P3002" s="47">
        <v>0</v>
      </c>
      <c r="Q3002" s="47">
        <v>0</v>
      </c>
      <c r="R3002" s="47">
        <v>0</v>
      </c>
      <c r="S3002" s="48">
        <v>8</v>
      </c>
      <c r="T3002" s="47">
        <v>0</v>
      </c>
      <c r="U3002" s="47">
        <v>0</v>
      </c>
      <c r="V3002" s="47">
        <v>0</v>
      </c>
      <c r="W3002" s="47">
        <v>850</v>
      </c>
      <c r="X3002" s="47">
        <v>427</v>
      </c>
      <c r="Y3002" s="47"/>
      <c r="Z3002" s="47" t="s">
        <v>2524</v>
      </c>
      <c r="AA3002" s="49"/>
      <c r="AB3002" s="49"/>
      <c r="AC3002" s="49"/>
      <c r="AD3002" s="50"/>
      <c r="AE3002" s="47" t="s">
        <v>1312</v>
      </c>
      <c r="AF3002" s="47">
        <v>135</v>
      </c>
      <c r="AG3002"/>
      <c r="AH3002"/>
      <c r="AI3002"/>
      <c r="AJ3002"/>
      <c r="AK3002"/>
      <c r="AL3002"/>
      <c r="AM3002"/>
      <c r="AN3002"/>
      <c r="AO3002"/>
      <c r="AP3002"/>
      <c r="AQ3002" t="s">
        <v>2526</v>
      </c>
      <c r="AU3002">
        <v>3001</v>
      </c>
    </row>
    <row r="3003" spans="1:47" x14ac:dyDescent="0.2">
      <c r="A3003" s="133">
        <v>6624</v>
      </c>
      <c r="B3003" s="39" t="s">
        <v>45</v>
      </c>
      <c r="C3003" s="39">
        <v>216</v>
      </c>
      <c r="D3003" s="29" t="b">
        <v>1</v>
      </c>
      <c r="E3003" s="39" t="s">
        <v>1764</v>
      </c>
      <c r="F3003" s="47" t="s">
        <v>4311</v>
      </c>
      <c r="G3003" s="47"/>
      <c r="H3003"/>
      <c r="I3003" s="47" t="b">
        <v>0</v>
      </c>
      <c r="J3003" s="47" t="b">
        <v>1</v>
      </c>
      <c r="K3003" s="47">
        <v>0</v>
      </c>
      <c r="L3003" s="48">
        <v>3</v>
      </c>
      <c r="M3003" s="47">
        <v>3</v>
      </c>
      <c r="N3003" s="47">
        <v>0</v>
      </c>
      <c r="O3003" s="47">
        <v>0</v>
      </c>
      <c r="P3003" s="47">
        <v>0</v>
      </c>
      <c r="Q3003" s="47">
        <v>0</v>
      </c>
      <c r="R3003" s="47">
        <v>0</v>
      </c>
      <c r="S3003" s="48">
        <v>0</v>
      </c>
      <c r="T3003" s="47">
        <v>0</v>
      </c>
      <c r="U3003" s="47">
        <v>0</v>
      </c>
      <c r="V3003" s="47">
        <v>0</v>
      </c>
      <c r="W3003" s="47"/>
      <c r="X3003" s="47">
        <v>428</v>
      </c>
      <c r="Y3003" s="47"/>
      <c r="Z3003" s="47" t="s">
        <v>2466</v>
      </c>
      <c r="AA3003" s="49"/>
      <c r="AB3003" s="49"/>
      <c r="AC3003" s="49"/>
      <c r="AD3003" s="50"/>
      <c r="AE3003" s="47" t="s">
        <v>1312</v>
      </c>
      <c r="AF3003" s="31">
        <v>85</v>
      </c>
      <c r="AG3003"/>
      <c r="AH3003"/>
      <c r="AI3003"/>
      <c r="AJ3003"/>
      <c r="AK3003"/>
      <c r="AL3003"/>
      <c r="AM3003"/>
      <c r="AN3003"/>
      <c r="AO3003"/>
      <c r="AP3003"/>
      <c r="AQ3003" t="s">
        <v>2526</v>
      </c>
      <c r="AU3003">
        <v>3002</v>
      </c>
    </row>
    <row r="3004" spans="1:47" x14ac:dyDescent="0.2">
      <c r="A3004" s="133">
        <v>6624</v>
      </c>
      <c r="B3004" s="39" t="s">
        <v>45</v>
      </c>
      <c r="C3004" s="39" t="s">
        <v>142</v>
      </c>
      <c r="D3004" s="29"/>
      <c r="E3004" s="39" t="s">
        <v>4337</v>
      </c>
      <c r="F3004" s="47" t="s">
        <v>246</v>
      </c>
      <c r="G3004" s="47" t="s">
        <v>49</v>
      </c>
      <c r="H3004"/>
      <c r="I3004" s="47" t="b">
        <v>1</v>
      </c>
      <c r="J3004" s="47" t="b">
        <v>1</v>
      </c>
      <c r="K3004" s="47">
        <f>(750+600+600+450)*2.2</f>
        <v>5280</v>
      </c>
      <c r="L3004" s="48">
        <v>8</v>
      </c>
      <c r="M3004" s="47"/>
      <c r="N3004" s="47"/>
      <c r="O3004" s="47"/>
      <c r="P3004" s="47"/>
      <c r="Q3004" s="47">
        <v>1</v>
      </c>
      <c r="R3004" s="47"/>
      <c r="S3004" s="48">
        <v>8</v>
      </c>
      <c r="T3004" s="47">
        <v>0</v>
      </c>
      <c r="U3004" s="47">
        <v>0</v>
      </c>
      <c r="V3004" s="47">
        <v>1</v>
      </c>
      <c r="W3004" s="47"/>
      <c r="X3004" s="47"/>
      <c r="Y3004" s="47" t="s">
        <v>51</v>
      </c>
      <c r="Z3004" s="31" t="s">
        <v>3855</v>
      </c>
      <c r="AA3004" s="49"/>
      <c r="AB3004" s="49"/>
      <c r="AC3004" s="49"/>
      <c r="AD3004" s="50"/>
      <c r="AE3004" s="31" t="s">
        <v>4124</v>
      </c>
      <c r="AF3004" s="47"/>
      <c r="AG3004"/>
      <c r="AH3004"/>
      <c r="AI3004"/>
      <c r="AJ3004"/>
      <c r="AK3004">
        <v>69</v>
      </c>
      <c r="AL3004"/>
      <c r="AM3004"/>
      <c r="AN3004"/>
      <c r="AO3004"/>
      <c r="AP3004"/>
      <c r="AQ3004" t="s">
        <v>4313</v>
      </c>
      <c r="AR3004" s="47" t="s">
        <v>4338</v>
      </c>
      <c r="AU3004">
        <v>3003</v>
      </c>
    </row>
    <row r="3005" spans="1:47" x14ac:dyDescent="0.2">
      <c r="A3005" s="13">
        <v>6624</v>
      </c>
      <c r="B3005" s="39" t="s">
        <v>45</v>
      </c>
      <c r="C3005" s="57" t="s">
        <v>142</v>
      </c>
      <c r="D3005" s="29"/>
      <c r="E3005" s="57" t="s">
        <v>4017</v>
      </c>
      <c r="F3005" s="31" t="s">
        <v>76</v>
      </c>
      <c r="G3005" s="31" t="s">
        <v>49</v>
      </c>
      <c r="I3005" s="47" t="b">
        <v>0</v>
      </c>
      <c r="J3005" s="47" t="b">
        <v>0</v>
      </c>
      <c r="K3005" s="31">
        <f>(18*25+6*50)*2.2</f>
        <v>1650.0000000000002</v>
      </c>
      <c r="Z3005" s="31" t="s">
        <v>3855</v>
      </c>
      <c r="AE3005" s="31" t="s">
        <v>4124</v>
      </c>
      <c r="AF3005" s="31">
        <v>90</v>
      </c>
      <c r="AK3005" s="32">
        <v>24</v>
      </c>
      <c r="AQ3005" s="32" t="s">
        <v>4315</v>
      </c>
      <c r="AR3005" s="31" t="s">
        <v>3602</v>
      </c>
      <c r="AU3005">
        <v>3004</v>
      </c>
    </row>
    <row r="3006" spans="1:47" x14ac:dyDescent="0.2">
      <c r="A3006" s="13">
        <v>6624</v>
      </c>
      <c r="B3006" s="39" t="s">
        <v>45</v>
      </c>
      <c r="C3006" s="57" t="s">
        <v>142</v>
      </c>
      <c r="D3006" s="29"/>
      <c r="E3006" s="57" t="s">
        <v>3063</v>
      </c>
      <c r="F3006" s="31" t="s">
        <v>76</v>
      </c>
      <c r="G3006" s="31" t="s">
        <v>49</v>
      </c>
      <c r="I3006" s="47" t="b">
        <v>0</v>
      </c>
      <c r="J3006" s="47" t="b">
        <v>0</v>
      </c>
      <c r="K3006" s="31">
        <f>(6*25+9*50)*2.2</f>
        <v>1320</v>
      </c>
      <c r="Z3006" s="31" t="s">
        <v>3855</v>
      </c>
      <c r="AE3006" s="31" t="s">
        <v>4124</v>
      </c>
      <c r="AF3006" s="31">
        <v>70</v>
      </c>
      <c r="AK3006" s="32">
        <v>9</v>
      </c>
      <c r="AQ3006" s="32" t="s">
        <v>4315</v>
      </c>
      <c r="AR3006" s="31" t="s">
        <v>3602</v>
      </c>
      <c r="AU3006">
        <v>3005</v>
      </c>
    </row>
    <row r="3007" spans="1:47" x14ac:dyDescent="0.2">
      <c r="A3007" s="13">
        <v>6624</v>
      </c>
      <c r="B3007" s="39" t="s">
        <v>45</v>
      </c>
      <c r="C3007" s="57" t="s">
        <v>142</v>
      </c>
      <c r="D3007" s="29"/>
      <c r="E3007" s="57" t="s">
        <v>2191</v>
      </c>
      <c r="F3007" s="31" t="s">
        <v>76</v>
      </c>
      <c r="G3007" s="31" t="s">
        <v>49</v>
      </c>
      <c r="I3007" s="47" t="b">
        <v>0</v>
      </c>
      <c r="J3007" s="47" t="b">
        <v>0</v>
      </c>
      <c r="K3007" s="31">
        <f>(12*25+6*50)*2.2</f>
        <v>1320</v>
      </c>
      <c r="Z3007" s="31" t="s">
        <v>3855</v>
      </c>
      <c r="AE3007" s="31" t="s">
        <v>4124</v>
      </c>
      <c r="AF3007" s="31">
        <v>60</v>
      </c>
      <c r="AK3007" s="32">
        <v>18</v>
      </c>
      <c r="AQ3007" s="32" t="s">
        <v>4315</v>
      </c>
      <c r="AR3007" s="31" t="s">
        <v>3602</v>
      </c>
      <c r="AU3007">
        <v>3006</v>
      </c>
    </row>
    <row r="3008" spans="1:47" x14ac:dyDescent="0.2">
      <c r="A3008" s="13">
        <v>6624</v>
      </c>
      <c r="B3008" s="39" t="s">
        <v>45</v>
      </c>
      <c r="C3008" s="57" t="s">
        <v>142</v>
      </c>
      <c r="D3008" s="29"/>
      <c r="E3008" s="57" t="s">
        <v>1404</v>
      </c>
      <c r="F3008" s="31" t="s">
        <v>3637</v>
      </c>
      <c r="G3008" s="31" t="s">
        <v>69</v>
      </c>
      <c r="I3008" s="47" t="b">
        <v>0</v>
      </c>
      <c r="J3008" s="47" t="b">
        <v>0</v>
      </c>
      <c r="K3008" s="31">
        <f>(6*25+6*50)*2.2</f>
        <v>990.00000000000011</v>
      </c>
      <c r="Q3008" s="31">
        <v>1</v>
      </c>
      <c r="S3008" s="33">
        <v>1</v>
      </c>
      <c r="Z3008" s="31" t="s">
        <v>3855</v>
      </c>
      <c r="AE3008" s="31" t="s">
        <v>4124</v>
      </c>
      <c r="AF3008" s="31">
        <v>50</v>
      </c>
      <c r="AK3008" s="32">
        <v>14</v>
      </c>
      <c r="AQ3008" s="32" t="s">
        <v>4315</v>
      </c>
      <c r="AU3008">
        <v>3007</v>
      </c>
    </row>
    <row r="3009" spans="1:47" x14ac:dyDescent="0.2">
      <c r="A3009" s="133">
        <v>6624</v>
      </c>
      <c r="B3009" s="39" t="s">
        <v>45</v>
      </c>
      <c r="C3009" s="39" t="s">
        <v>1077</v>
      </c>
      <c r="D3009" s="29"/>
      <c r="E3009" s="39" t="s">
        <v>631</v>
      </c>
      <c r="F3009" s="47" t="s">
        <v>626</v>
      </c>
      <c r="G3009" s="47" t="s">
        <v>627</v>
      </c>
      <c r="H3009"/>
      <c r="I3009" s="47" t="s">
        <v>4339</v>
      </c>
      <c r="J3009" s="47"/>
      <c r="K3009" s="47"/>
      <c r="L3009" s="48"/>
      <c r="M3009" s="47"/>
      <c r="N3009" s="47"/>
      <c r="O3009" s="47"/>
      <c r="P3009" s="47"/>
      <c r="Q3009" s="47"/>
      <c r="R3009" s="47"/>
      <c r="S3009" s="48"/>
      <c r="T3009" s="47"/>
      <c r="U3009" s="47"/>
      <c r="V3009" s="47"/>
      <c r="W3009" s="47"/>
      <c r="X3009" s="47"/>
      <c r="Y3009" s="47"/>
      <c r="Z3009" s="31" t="s">
        <v>3814</v>
      </c>
      <c r="AA3009" s="49"/>
      <c r="AB3009" s="49"/>
      <c r="AC3009" s="49"/>
      <c r="AD3009" s="50"/>
      <c r="AE3009" s="47"/>
      <c r="AF3009" s="47"/>
      <c r="AG3009"/>
      <c r="AH3009"/>
      <c r="AI3009"/>
      <c r="AJ3009"/>
      <c r="AK3009"/>
      <c r="AL3009"/>
      <c r="AM3009"/>
      <c r="AN3009"/>
      <c r="AO3009"/>
      <c r="AP3009"/>
      <c r="AQ3009" t="s">
        <v>4098</v>
      </c>
      <c r="AU3009">
        <v>3008</v>
      </c>
    </row>
    <row r="3010" spans="1:47" x14ac:dyDescent="0.2">
      <c r="A3010" s="13">
        <v>6624</v>
      </c>
      <c r="B3010" s="57" t="s">
        <v>45</v>
      </c>
      <c r="C3010" s="57" t="s">
        <v>105</v>
      </c>
      <c r="D3010" s="29"/>
      <c r="E3010" s="57" t="s">
        <v>4340</v>
      </c>
      <c r="F3010" s="31" t="s">
        <v>76</v>
      </c>
      <c r="G3010" s="31" t="s">
        <v>49</v>
      </c>
      <c r="I3010" s="31" t="s">
        <v>4341</v>
      </c>
      <c r="K3010" s="31">
        <v>193.6</v>
      </c>
      <c r="AK3010" s="32">
        <v>8</v>
      </c>
      <c r="AQ3010" s="32" t="s">
        <v>4315</v>
      </c>
      <c r="AU3010">
        <v>3009</v>
      </c>
    </row>
    <row r="3011" spans="1:47" x14ac:dyDescent="0.2">
      <c r="A3011" s="13">
        <v>6624</v>
      </c>
      <c r="B3011" s="57" t="s">
        <v>45</v>
      </c>
      <c r="C3011" s="57" t="s">
        <v>1234</v>
      </c>
      <c r="D3011" s="29"/>
      <c r="E3011" s="57" t="s">
        <v>631</v>
      </c>
      <c r="F3011" s="31" t="s">
        <v>3764</v>
      </c>
      <c r="G3011" s="31" t="s">
        <v>459</v>
      </c>
      <c r="I3011" s="31" t="s">
        <v>4342</v>
      </c>
      <c r="K3011" s="31">
        <v>264</v>
      </c>
      <c r="Z3011" s="31" t="s">
        <v>1809</v>
      </c>
      <c r="AK3011" s="32">
        <v>4</v>
      </c>
      <c r="AQ3011" s="32" t="s">
        <v>4306</v>
      </c>
      <c r="AU3011">
        <v>3010</v>
      </c>
    </row>
    <row r="3012" spans="1:47" x14ac:dyDescent="0.2">
      <c r="A3012" s="13">
        <v>6624</v>
      </c>
      <c r="B3012" s="57" t="s">
        <v>45</v>
      </c>
      <c r="C3012" s="57" t="s">
        <v>1367</v>
      </c>
      <c r="D3012" s="29"/>
      <c r="E3012" s="57" t="s">
        <v>4343</v>
      </c>
      <c r="F3012" s="31" t="s">
        <v>76</v>
      </c>
      <c r="G3012" s="31" t="s">
        <v>49</v>
      </c>
      <c r="I3012" s="31" t="s">
        <v>4341</v>
      </c>
      <c r="K3012" s="31">
        <v>330</v>
      </c>
      <c r="AK3012" s="32">
        <v>6</v>
      </c>
      <c r="AQ3012" s="32" t="s">
        <v>4315</v>
      </c>
      <c r="AU3012">
        <v>3011</v>
      </c>
    </row>
    <row r="3013" spans="1:47" x14ac:dyDescent="0.2">
      <c r="A3013" s="13">
        <v>6624</v>
      </c>
      <c r="B3013" s="57" t="s">
        <v>45</v>
      </c>
      <c r="C3013" s="57" t="s">
        <v>1367</v>
      </c>
      <c r="D3013" s="29"/>
      <c r="E3013" s="57" t="s">
        <v>175</v>
      </c>
      <c r="F3013" s="31" t="s">
        <v>204</v>
      </c>
      <c r="G3013" s="31" t="s">
        <v>205</v>
      </c>
      <c r="K3013" s="31">
        <v>341</v>
      </c>
      <c r="AK3013" s="32">
        <v>6</v>
      </c>
      <c r="AQ3013" s="32" t="s">
        <v>4315</v>
      </c>
      <c r="AU3013">
        <v>3012</v>
      </c>
    </row>
    <row r="3014" spans="1:47" x14ac:dyDescent="0.2">
      <c r="A3014" s="13">
        <v>6624</v>
      </c>
      <c r="B3014" s="57" t="s">
        <v>45</v>
      </c>
      <c r="C3014" s="57" t="s">
        <v>1367</v>
      </c>
      <c r="D3014" s="29"/>
      <c r="E3014" s="57" t="s">
        <v>653</v>
      </c>
      <c r="F3014" s="31" t="s">
        <v>76</v>
      </c>
      <c r="G3014" s="31" t="s">
        <v>49</v>
      </c>
      <c r="I3014" s="31" t="s">
        <v>4341</v>
      </c>
      <c r="K3014" s="31">
        <v>440</v>
      </c>
      <c r="AK3014" s="32">
        <v>4</v>
      </c>
      <c r="AQ3014" s="32" t="s">
        <v>4315</v>
      </c>
      <c r="AU3014">
        <v>3013</v>
      </c>
    </row>
    <row r="3015" spans="1:47" x14ac:dyDescent="0.2">
      <c r="A3015" s="13">
        <v>6624</v>
      </c>
      <c r="B3015" s="57" t="s">
        <v>45</v>
      </c>
      <c r="C3015" s="38" t="s">
        <v>3610</v>
      </c>
      <c r="D3015" s="29"/>
      <c r="E3015" s="57" t="s">
        <v>4344</v>
      </c>
      <c r="F3015" s="31" t="s">
        <v>4345</v>
      </c>
      <c r="G3015" s="31" t="s">
        <v>73</v>
      </c>
      <c r="I3015" s="47" t="b">
        <v>1</v>
      </c>
      <c r="J3015" s="47" t="b">
        <v>1</v>
      </c>
      <c r="K3015" s="135">
        <f>(8*50+30*10+6*50)*2.2</f>
        <v>2200</v>
      </c>
      <c r="L3015" s="33">
        <v>4</v>
      </c>
      <c r="N3015" s="31">
        <v>1</v>
      </c>
      <c r="S3015" s="33">
        <v>3</v>
      </c>
      <c r="T3015" s="31">
        <v>0</v>
      </c>
      <c r="U3015" s="31">
        <v>0</v>
      </c>
      <c r="V3015" s="31">
        <v>1</v>
      </c>
      <c r="W3015" s="47">
        <f>((2500+3000+3000)/3)*39.37/12</f>
        <v>9295.6944444444434</v>
      </c>
      <c r="Y3015" s="31" t="s">
        <v>51</v>
      </c>
      <c r="Z3015" s="31" t="s">
        <v>1846</v>
      </c>
      <c r="AD3015" s="35">
        <f>3+35/60</f>
        <v>3.5833333333333335</v>
      </c>
      <c r="AE3015" s="31" t="s">
        <v>4173</v>
      </c>
      <c r="AK3015" s="130">
        <f>8+30+6</f>
        <v>44</v>
      </c>
      <c r="AQ3015" s="32" t="s">
        <v>4346</v>
      </c>
      <c r="AR3015" s="32" t="s">
        <v>4347</v>
      </c>
      <c r="AU3015">
        <v>3014</v>
      </c>
    </row>
    <row r="3016" spans="1:47" x14ac:dyDescent="0.2">
      <c r="A3016" s="13">
        <v>6624</v>
      </c>
      <c r="B3016" s="57" t="s">
        <v>45</v>
      </c>
      <c r="C3016" s="38" t="s">
        <v>3610</v>
      </c>
      <c r="D3016" s="29"/>
      <c r="E3016" s="57" t="s">
        <v>4348</v>
      </c>
      <c r="F3016" s="31" t="s">
        <v>4349</v>
      </c>
      <c r="G3016" s="31" t="s">
        <v>481</v>
      </c>
      <c r="I3016" s="47" t="b">
        <v>0</v>
      </c>
      <c r="J3016" s="47" t="b">
        <v>0</v>
      </c>
      <c r="K3016" s="135">
        <f>8*50*2.2</f>
        <v>880.00000000000011</v>
      </c>
      <c r="S3016" s="33">
        <v>1</v>
      </c>
      <c r="W3016" s="47">
        <f>3000*39.37/12</f>
        <v>9842.4999999999982</v>
      </c>
      <c r="Y3016" s="31" t="s">
        <v>51</v>
      </c>
      <c r="Z3016" s="31" t="s">
        <v>1846</v>
      </c>
      <c r="AD3016" s="35">
        <f>3+35/60</f>
        <v>3.5833333333333335</v>
      </c>
      <c r="AE3016" s="31" t="s">
        <v>4173</v>
      </c>
      <c r="AF3016" s="31">
        <v>95</v>
      </c>
      <c r="AK3016" s="130">
        <v>8</v>
      </c>
      <c r="AQ3016" s="32" t="s">
        <v>4350</v>
      </c>
      <c r="AR3016" s="32" t="s">
        <v>4351</v>
      </c>
      <c r="AU3016">
        <v>3015</v>
      </c>
    </row>
    <row r="3017" spans="1:47" x14ac:dyDescent="0.2">
      <c r="A3017" s="13">
        <v>6624</v>
      </c>
      <c r="B3017" s="57" t="s">
        <v>45</v>
      </c>
      <c r="C3017" s="38" t="s">
        <v>3610</v>
      </c>
      <c r="D3017" s="29"/>
      <c r="E3017" s="57" t="s">
        <v>3298</v>
      </c>
      <c r="F3017" s="31" t="s">
        <v>204</v>
      </c>
      <c r="G3017" s="31" t="s">
        <v>205</v>
      </c>
      <c r="I3017" s="47" t="b">
        <v>0</v>
      </c>
      <c r="J3017" s="47" t="b">
        <v>0</v>
      </c>
      <c r="K3017" s="31">
        <f>30*10*2.2</f>
        <v>660</v>
      </c>
      <c r="S3017" s="33">
        <v>1</v>
      </c>
      <c r="W3017" s="47">
        <f>2500*39.37/12</f>
        <v>8202.0833333333339</v>
      </c>
      <c r="Y3017" s="31" t="s">
        <v>51</v>
      </c>
      <c r="Z3017" s="31" t="s">
        <v>1846</v>
      </c>
      <c r="AD3017" s="35">
        <v>1.75</v>
      </c>
      <c r="AE3017" s="31" t="s">
        <v>4173</v>
      </c>
      <c r="AF3017" s="31">
        <v>60</v>
      </c>
      <c r="AK3017" s="32">
        <v>30</v>
      </c>
      <c r="AQ3017" s="32" t="s">
        <v>4346</v>
      </c>
      <c r="AR3017" s="32" t="s">
        <v>4352</v>
      </c>
      <c r="AU3017">
        <v>3016</v>
      </c>
    </row>
    <row r="3018" spans="1:47" x14ac:dyDescent="0.2">
      <c r="A3018" s="13">
        <v>6624</v>
      </c>
      <c r="B3018" s="57" t="s">
        <v>45</v>
      </c>
      <c r="C3018" s="38" t="s">
        <v>3610</v>
      </c>
      <c r="D3018" s="29"/>
      <c r="E3018" s="57" t="s">
        <v>352</v>
      </c>
      <c r="F3018" s="31" t="s">
        <v>4353</v>
      </c>
      <c r="G3018" s="31" t="s">
        <v>73</v>
      </c>
      <c r="I3018" s="47" t="b">
        <v>0</v>
      </c>
      <c r="J3018" s="47" t="b">
        <v>0</v>
      </c>
      <c r="K3018" s="31">
        <v>660</v>
      </c>
      <c r="S3018" s="33">
        <v>1</v>
      </c>
      <c r="W3018" s="47">
        <f>3000*39.37/12</f>
        <v>9842.4999999999982</v>
      </c>
      <c r="Y3018" s="31" t="s">
        <v>51</v>
      </c>
      <c r="Z3018" s="31" t="s">
        <v>1846</v>
      </c>
      <c r="AD3018" s="35">
        <v>2.5</v>
      </c>
      <c r="AE3018" s="31" t="s">
        <v>4173</v>
      </c>
      <c r="AF3018" s="31">
        <v>80</v>
      </c>
      <c r="AK3018" s="32">
        <v>6</v>
      </c>
      <c r="AQ3018" s="32" t="s">
        <v>4346</v>
      </c>
      <c r="AR3018" s="32" t="s">
        <v>4354</v>
      </c>
      <c r="AU3018">
        <v>3017</v>
      </c>
    </row>
    <row r="3019" spans="1:47" x14ac:dyDescent="0.2">
      <c r="A3019" s="13">
        <v>6624</v>
      </c>
      <c r="B3019" s="57" t="s">
        <v>45</v>
      </c>
      <c r="C3019" s="57" t="s">
        <v>1367</v>
      </c>
      <c r="D3019" s="29"/>
      <c r="E3019" s="57" t="s">
        <v>3679</v>
      </c>
      <c r="F3019" s="31" t="s">
        <v>76</v>
      </c>
      <c r="G3019" s="31" t="s">
        <v>49</v>
      </c>
      <c r="I3019" s="31" t="s">
        <v>3602</v>
      </c>
      <c r="K3019" s="31">
        <v>3850</v>
      </c>
      <c r="AK3019" s="32">
        <v>35</v>
      </c>
      <c r="AQ3019" s="32" t="s">
        <v>4315</v>
      </c>
      <c r="AU3019">
        <v>3018</v>
      </c>
    </row>
    <row r="3020" spans="1:47" x14ac:dyDescent="0.2">
      <c r="A3020" s="13">
        <v>6624</v>
      </c>
      <c r="B3020" s="57" t="s">
        <v>45</v>
      </c>
      <c r="C3020" s="57" t="s">
        <v>4179</v>
      </c>
      <c r="D3020" s="29"/>
      <c r="E3020" s="57" t="s">
        <v>4197</v>
      </c>
      <c r="F3020" s="31" t="s">
        <v>4208</v>
      </c>
      <c r="G3020" s="31" t="s">
        <v>205</v>
      </c>
      <c r="K3020" s="31">
        <v>12045</v>
      </c>
      <c r="S3020" s="33">
        <v>28</v>
      </c>
      <c r="Z3020" s="31" t="s">
        <v>3814</v>
      </c>
      <c r="AQ3020" s="32" t="s">
        <v>4303</v>
      </c>
      <c r="AU3020">
        <v>3019</v>
      </c>
    </row>
    <row r="3021" spans="1:47" x14ac:dyDescent="0.2">
      <c r="A3021" s="13">
        <v>6624</v>
      </c>
      <c r="B3021" s="57"/>
      <c r="C3021" s="57" t="s">
        <v>1077</v>
      </c>
      <c r="D3021" s="29"/>
      <c r="E3021" s="57" t="s">
        <v>1048</v>
      </c>
      <c r="F3021" s="31" t="s">
        <v>76</v>
      </c>
      <c r="G3021" s="31" t="s">
        <v>49</v>
      </c>
      <c r="I3021" s="31" t="s">
        <v>3602</v>
      </c>
      <c r="K3021" s="31">
        <v>1049.4000000000001</v>
      </c>
      <c r="AK3021" s="32">
        <v>18</v>
      </c>
      <c r="AQ3021" s="32" t="s">
        <v>4315</v>
      </c>
      <c r="AU3021">
        <v>3020</v>
      </c>
    </row>
    <row r="3022" spans="1:47" x14ac:dyDescent="0.2">
      <c r="A3022" s="13">
        <v>6624</v>
      </c>
      <c r="B3022" s="57"/>
      <c r="C3022" s="57" t="s">
        <v>1077</v>
      </c>
      <c r="D3022" s="29"/>
      <c r="E3022" s="57" t="s">
        <v>1764</v>
      </c>
      <c r="F3022" s="31" t="s">
        <v>76</v>
      </c>
      <c r="G3022" s="31" t="s">
        <v>49</v>
      </c>
      <c r="I3022" s="31" t="s">
        <v>3602</v>
      </c>
      <c r="K3022" s="31">
        <v>1082.4000000000001</v>
      </c>
      <c r="AK3022" s="32">
        <v>24</v>
      </c>
      <c r="AQ3022" s="32" t="s">
        <v>4315</v>
      </c>
      <c r="AU3022">
        <v>3021</v>
      </c>
    </row>
    <row r="3023" spans="1:47" x14ac:dyDescent="0.2">
      <c r="A3023" s="13">
        <v>6624</v>
      </c>
      <c r="B3023" s="57"/>
      <c r="C3023" s="57" t="s">
        <v>1077</v>
      </c>
      <c r="D3023" s="29"/>
      <c r="E3023" s="57" t="s">
        <v>3603</v>
      </c>
      <c r="F3023" s="31" t="s">
        <v>76</v>
      </c>
      <c r="G3023" s="31" t="s">
        <v>49</v>
      </c>
      <c r="K3023" s="31">
        <v>4870.8</v>
      </c>
      <c r="AK3023" s="32">
        <v>108</v>
      </c>
      <c r="AQ3023" s="32" t="s">
        <v>4315</v>
      </c>
      <c r="AU3023">
        <v>3022</v>
      </c>
    </row>
    <row r="3024" spans="1:47" x14ac:dyDescent="0.2">
      <c r="A3024" s="26">
        <v>6624</v>
      </c>
      <c r="B3024" s="27">
        <v>0.50069444444444444</v>
      </c>
      <c r="C3024" s="28"/>
      <c r="D3024" s="29"/>
      <c r="E3024" s="30" t="s">
        <v>4355</v>
      </c>
      <c r="H3024" s="32">
        <v>1</v>
      </c>
      <c r="I3024" s="32" t="s">
        <v>4356</v>
      </c>
      <c r="AG3024" s="32">
        <v>0</v>
      </c>
      <c r="AH3024" s="32">
        <v>0</v>
      </c>
      <c r="AI3024" s="32">
        <v>20233</v>
      </c>
      <c r="AK3024" s="32">
        <v>12</v>
      </c>
      <c r="AL3024" s="32">
        <f>29/60</f>
        <v>0.48333333333333334</v>
      </c>
      <c r="AO3024" s="32" t="s">
        <v>1006</v>
      </c>
      <c r="AP3024" s="32">
        <f>29/60</f>
        <v>0.48333333333333334</v>
      </c>
      <c r="AQ3024" s="91" t="s">
        <v>4357</v>
      </c>
      <c r="AU3024">
        <v>3023</v>
      </c>
    </row>
    <row r="3025" spans="1:47" x14ac:dyDescent="0.2">
      <c r="A3025" s="26">
        <v>6624</v>
      </c>
      <c r="B3025" s="27">
        <v>0.57430555555555551</v>
      </c>
      <c r="C3025" s="28"/>
      <c r="D3025" s="29"/>
      <c r="E3025" s="30" t="s">
        <v>464</v>
      </c>
      <c r="H3025" s="32">
        <v>0</v>
      </c>
      <c r="I3025" s="32" t="s">
        <v>3590</v>
      </c>
      <c r="AG3025" s="32">
        <v>0</v>
      </c>
      <c r="AH3025" s="32">
        <v>0</v>
      </c>
      <c r="AL3025" s="32">
        <f>48/60</f>
        <v>0.8</v>
      </c>
      <c r="AO3025" s="32" t="s">
        <v>4067</v>
      </c>
      <c r="AP3025" s="32">
        <f>48/60</f>
        <v>0.8</v>
      </c>
      <c r="AQ3025" s="32" t="s">
        <v>1522</v>
      </c>
      <c r="AU3025">
        <v>3024</v>
      </c>
    </row>
    <row r="3026" spans="1:47" x14ac:dyDescent="0.2">
      <c r="A3026" s="26">
        <v>6624</v>
      </c>
      <c r="B3026" s="27">
        <v>0.82638888888888884</v>
      </c>
      <c r="C3026" s="28"/>
      <c r="D3026" s="29"/>
      <c r="E3026" s="30" t="s">
        <v>464</v>
      </c>
      <c r="H3026" s="32">
        <v>0</v>
      </c>
      <c r="I3026" s="32" t="s">
        <v>4358</v>
      </c>
      <c r="AG3026" s="32">
        <v>0</v>
      </c>
      <c r="AH3026" s="32">
        <v>0</v>
      </c>
      <c r="AL3026" s="32">
        <v>4.6669999999999998</v>
      </c>
      <c r="AO3026" s="32" t="s">
        <v>4067</v>
      </c>
      <c r="AP3026" s="32">
        <v>4.6669999999999998</v>
      </c>
      <c r="AQ3026" s="32" t="s">
        <v>1522</v>
      </c>
      <c r="AU3026">
        <v>3025</v>
      </c>
    </row>
    <row r="3027" spans="1:47" x14ac:dyDescent="0.2">
      <c r="A3027" s="26">
        <v>6624</v>
      </c>
      <c r="B3027" s="27">
        <v>0.83333333333333337</v>
      </c>
      <c r="C3027" s="28"/>
      <c r="D3027" s="29"/>
      <c r="E3027" s="30" t="s">
        <v>1282</v>
      </c>
      <c r="H3027" s="32">
        <v>0</v>
      </c>
      <c r="I3027" s="32" t="s">
        <v>4359</v>
      </c>
      <c r="AG3027" s="32">
        <v>0</v>
      </c>
      <c r="AH3027" s="32">
        <v>0</v>
      </c>
      <c r="AI3027" s="32">
        <v>0</v>
      </c>
      <c r="AK3027" s="32">
        <v>0</v>
      </c>
      <c r="AL3027" s="32">
        <f>5+5/60</f>
        <v>5.083333333333333</v>
      </c>
      <c r="AP3027" s="32">
        <f>4+5/60</f>
        <v>4.083333333333333</v>
      </c>
      <c r="AQ3027" s="32" t="s">
        <v>1101</v>
      </c>
      <c r="AU3027">
        <v>3026</v>
      </c>
    </row>
    <row r="3028" spans="1:47" x14ac:dyDescent="0.2">
      <c r="A3028" s="26">
        <v>6624</v>
      </c>
      <c r="B3028" s="27">
        <v>0.84722222222222221</v>
      </c>
      <c r="C3028" s="28"/>
      <c r="D3028" s="29"/>
      <c r="E3028" s="30" t="s">
        <v>1144</v>
      </c>
      <c r="H3028" s="32">
        <v>1</v>
      </c>
      <c r="I3028" s="32" t="s">
        <v>4360</v>
      </c>
      <c r="AG3028" s="32">
        <v>0</v>
      </c>
      <c r="AH3028" s="32">
        <v>0</v>
      </c>
      <c r="AI3028" s="32">
        <f>224886+26300+20232+367</f>
        <v>271785</v>
      </c>
      <c r="AK3028" s="32">
        <v>9</v>
      </c>
      <c r="AL3028" s="32">
        <v>1.33</v>
      </c>
      <c r="AO3028" s="32" t="s">
        <v>1006</v>
      </c>
      <c r="AP3028" s="32">
        <v>1.33</v>
      </c>
      <c r="AQ3028" s="32" t="s">
        <v>4361</v>
      </c>
      <c r="AU3028">
        <v>3027</v>
      </c>
    </row>
    <row r="3029" spans="1:47" x14ac:dyDescent="0.2">
      <c r="A3029" s="26">
        <v>6624</v>
      </c>
      <c r="B3029" s="27">
        <v>0.85416666666666663</v>
      </c>
      <c r="C3029" s="28"/>
      <c r="D3029" s="29"/>
      <c r="E3029" s="30" t="s">
        <v>4219</v>
      </c>
      <c r="H3029" s="32">
        <v>1</v>
      </c>
      <c r="I3029" s="32" t="s">
        <v>4362</v>
      </c>
      <c r="AL3029" s="32">
        <v>1.75</v>
      </c>
      <c r="AO3029" s="32" t="s">
        <v>858</v>
      </c>
      <c r="AP3029" s="32">
        <v>1.75</v>
      </c>
      <c r="AQ3029" s="32" t="s">
        <v>1101</v>
      </c>
      <c r="AU3029">
        <v>3028</v>
      </c>
    </row>
    <row r="3030" spans="1:47" x14ac:dyDescent="0.2">
      <c r="A3030" s="26">
        <v>6624</v>
      </c>
      <c r="B3030" s="27">
        <v>0.85416666666666663</v>
      </c>
      <c r="C3030" s="28"/>
      <c r="D3030" s="29"/>
      <c r="E3030" s="30" t="s">
        <v>869</v>
      </c>
      <c r="H3030" s="32">
        <v>0</v>
      </c>
      <c r="I3030" s="32" t="s">
        <v>4363</v>
      </c>
      <c r="AG3030" s="32">
        <v>0</v>
      </c>
      <c r="AH3030" s="32">
        <v>0</v>
      </c>
      <c r="AI3030" s="32">
        <v>0</v>
      </c>
      <c r="AK3030" s="32">
        <v>0</v>
      </c>
      <c r="AL3030" s="32">
        <f>47/60</f>
        <v>0.78333333333333333</v>
      </c>
      <c r="AP3030" s="32">
        <f>47/60</f>
        <v>0.78333333333333333</v>
      </c>
      <c r="AQ3030" s="32" t="s">
        <v>589</v>
      </c>
      <c r="AU3030">
        <v>3029</v>
      </c>
    </row>
    <row r="3031" spans="1:47" x14ac:dyDescent="0.2">
      <c r="A3031" s="26">
        <v>6624</v>
      </c>
      <c r="B3031" s="27">
        <v>0.88888888888888884</v>
      </c>
      <c r="C3031" s="28"/>
      <c r="D3031" s="29"/>
      <c r="E3031" s="30" t="s">
        <v>2964</v>
      </c>
      <c r="H3031" s="32">
        <v>0</v>
      </c>
      <c r="I3031" s="32" t="s">
        <v>4158</v>
      </c>
      <c r="AG3031" s="32">
        <v>0</v>
      </c>
      <c r="AH3031" s="32">
        <v>0</v>
      </c>
      <c r="AI3031" s="32">
        <v>0</v>
      </c>
      <c r="AK3031" s="32">
        <v>0</v>
      </c>
      <c r="AL3031" s="32">
        <f>2/3</f>
        <v>0.66666666666666663</v>
      </c>
      <c r="AP3031" s="32">
        <f>2/3</f>
        <v>0.66666666666666663</v>
      </c>
      <c r="AQ3031" s="32" t="s">
        <v>1101</v>
      </c>
      <c r="AU3031">
        <v>3030</v>
      </c>
    </row>
    <row r="3032" spans="1:47" x14ac:dyDescent="0.2">
      <c r="A3032" s="26">
        <v>6624</v>
      </c>
      <c r="B3032" s="27">
        <v>0.97569444444444453</v>
      </c>
      <c r="C3032" s="28"/>
      <c r="D3032" s="29"/>
      <c r="E3032" s="30" t="s">
        <v>631</v>
      </c>
      <c r="H3032" s="32">
        <v>1</v>
      </c>
      <c r="I3032" s="32" t="s">
        <v>4364</v>
      </c>
      <c r="AG3032" s="32">
        <v>0</v>
      </c>
      <c r="AH3032" s="32">
        <v>0</v>
      </c>
      <c r="AK3032" s="32">
        <v>2</v>
      </c>
      <c r="AL3032" s="32">
        <f>25/60</f>
        <v>0.41666666666666669</v>
      </c>
      <c r="AO3032" s="32" t="s">
        <v>633</v>
      </c>
      <c r="AP3032" s="32">
        <f>25/60</f>
        <v>0.41666666666666669</v>
      </c>
      <c r="AQ3032" s="32">
        <v>464</v>
      </c>
      <c r="AU3032">
        <v>3031</v>
      </c>
    </row>
    <row r="3033" spans="1:47" x14ac:dyDescent="0.2">
      <c r="A3033" s="26">
        <v>6624</v>
      </c>
      <c r="B3033" s="27" t="s">
        <v>45</v>
      </c>
      <c r="C3033" s="28"/>
      <c r="D3033" s="29"/>
      <c r="E3033" s="30" t="s">
        <v>3063</v>
      </c>
      <c r="H3033" s="32">
        <v>1</v>
      </c>
      <c r="I3033" s="32" t="s">
        <v>4365</v>
      </c>
      <c r="AK3033" s="32">
        <v>6</v>
      </c>
      <c r="AQ3033" s="32">
        <v>374</v>
      </c>
      <c r="AU3033">
        <v>3032</v>
      </c>
    </row>
    <row r="3034" spans="1:47" x14ac:dyDescent="0.2">
      <c r="A3034" s="26">
        <v>6624</v>
      </c>
      <c r="B3034" s="27" t="s">
        <v>45</v>
      </c>
      <c r="C3034" s="28"/>
      <c r="D3034" s="29"/>
      <c r="E3034" s="30" t="s">
        <v>1531</v>
      </c>
      <c r="H3034" s="32">
        <v>0</v>
      </c>
      <c r="I3034" s="32" t="s">
        <v>2553</v>
      </c>
      <c r="AG3034" s="32">
        <v>0</v>
      </c>
      <c r="AH3034" s="32">
        <v>0</v>
      </c>
      <c r="AI3034" s="32">
        <v>0</v>
      </c>
      <c r="AK3034" s="32">
        <v>0</v>
      </c>
      <c r="AM3034" s="32">
        <f>498*168</f>
        <v>83664</v>
      </c>
      <c r="AO3034" s="32" t="s">
        <v>1533</v>
      </c>
      <c r="AQ3034" s="32" t="s">
        <v>1101</v>
      </c>
      <c r="AU3034">
        <v>3033</v>
      </c>
    </row>
    <row r="3035" spans="1:47" x14ac:dyDescent="0.2">
      <c r="A3035" s="26">
        <v>6624</v>
      </c>
      <c r="B3035" s="27" t="s">
        <v>45</v>
      </c>
      <c r="C3035" s="28"/>
      <c r="D3035" s="29"/>
      <c r="E3035" s="150" t="s">
        <v>2286</v>
      </c>
      <c r="H3035" s="32">
        <v>0</v>
      </c>
      <c r="I3035" s="32" t="s">
        <v>1824</v>
      </c>
      <c r="AG3035" s="32">
        <v>0</v>
      </c>
      <c r="AH3035" s="32">
        <v>0</v>
      </c>
      <c r="AI3035" s="32">
        <v>0</v>
      </c>
      <c r="AK3035" s="32">
        <v>0</v>
      </c>
      <c r="AM3035" s="32">
        <v>6000</v>
      </c>
      <c r="AO3035" s="73" t="s">
        <v>75</v>
      </c>
      <c r="AQ3035" s="32" t="s">
        <v>589</v>
      </c>
      <c r="AU3035">
        <v>3034</v>
      </c>
    </row>
    <row r="3036" spans="1:47" x14ac:dyDescent="0.2">
      <c r="A3036" s="26">
        <v>6624</v>
      </c>
      <c r="B3036" s="27"/>
      <c r="C3036" s="28"/>
      <c r="D3036" s="29"/>
      <c r="E3036" s="30" t="s">
        <v>2087</v>
      </c>
      <c r="H3036" s="32">
        <v>1</v>
      </c>
      <c r="I3036" s="32" t="s">
        <v>4366</v>
      </c>
      <c r="AG3036" s="32">
        <v>0</v>
      </c>
      <c r="AH3036" s="32">
        <v>0</v>
      </c>
      <c r="AK3036" s="32">
        <v>1</v>
      </c>
      <c r="AL3036" s="32">
        <v>0</v>
      </c>
      <c r="AQ3036" s="32">
        <v>418</v>
      </c>
      <c r="AU3036">
        <v>3035</v>
      </c>
    </row>
    <row r="3037" spans="1:47" x14ac:dyDescent="0.2">
      <c r="A3037" s="26">
        <v>6624</v>
      </c>
      <c r="B3037" s="27"/>
      <c r="C3037" s="28"/>
      <c r="D3037" s="29"/>
      <c r="E3037" s="30" t="s">
        <v>4367</v>
      </c>
      <c r="H3037" s="32">
        <v>1</v>
      </c>
      <c r="I3037" s="32" t="s">
        <v>4368</v>
      </c>
      <c r="AG3037" s="32">
        <v>1</v>
      </c>
      <c r="AH3037" s="32">
        <v>0</v>
      </c>
      <c r="AI3037" s="32">
        <v>1082</v>
      </c>
      <c r="AK3037" s="32">
        <v>1</v>
      </c>
      <c r="AL3037" s="32">
        <v>0</v>
      </c>
      <c r="AO3037" s="32" t="s">
        <v>2999</v>
      </c>
      <c r="AQ3037" s="91">
        <v>431</v>
      </c>
      <c r="AU3037">
        <v>3036</v>
      </c>
    </row>
    <row r="3038" spans="1:47" x14ac:dyDescent="0.2">
      <c r="A3038" s="26">
        <v>6624</v>
      </c>
      <c r="B3038" s="27"/>
      <c r="C3038" s="28"/>
      <c r="D3038" s="29"/>
      <c r="E3038" s="102" t="s">
        <v>1421</v>
      </c>
      <c r="H3038" s="32">
        <v>1</v>
      </c>
      <c r="I3038" s="32" t="s">
        <v>1422</v>
      </c>
      <c r="AK3038" s="32">
        <v>11</v>
      </c>
      <c r="AO3038" s="73"/>
      <c r="AQ3038" s="32" t="s">
        <v>589</v>
      </c>
      <c r="AU3038">
        <v>3037</v>
      </c>
    </row>
    <row r="3039" spans="1:47" x14ac:dyDescent="0.2">
      <c r="A3039" s="133">
        <v>6625</v>
      </c>
      <c r="B3039" s="39" t="s">
        <v>85</v>
      </c>
      <c r="C3039" s="39">
        <v>55</v>
      </c>
      <c r="D3039" s="29" t="b">
        <v>0</v>
      </c>
      <c r="E3039" s="39" t="s">
        <v>1006</v>
      </c>
      <c r="F3039" s="47" t="s">
        <v>4369</v>
      </c>
      <c r="G3039" s="47" t="s">
        <v>49</v>
      </c>
      <c r="H3039"/>
      <c r="I3039" s="47" t="b">
        <v>0</v>
      </c>
      <c r="J3039" s="47" t="b">
        <v>1</v>
      </c>
      <c r="K3039" s="47">
        <v>2486</v>
      </c>
      <c r="L3039" s="48">
        <v>12</v>
      </c>
      <c r="M3039" s="47">
        <v>0</v>
      </c>
      <c r="N3039" s="47">
        <v>1</v>
      </c>
      <c r="O3039" s="47">
        <v>0</v>
      </c>
      <c r="P3039" s="47">
        <v>11</v>
      </c>
      <c r="Q3039" s="47">
        <v>0</v>
      </c>
      <c r="R3039" s="47">
        <v>0</v>
      </c>
      <c r="S3039" s="48">
        <v>11</v>
      </c>
      <c r="T3039" s="47">
        <v>1</v>
      </c>
      <c r="U3039" s="47">
        <v>0</v>
      </c>
      <c r="V3039" s="47">
        <v>0</v>
      </c>
      <c r="W3039" s="47">
        <v>15000</v>
      </c>
      <c r="X3039" s="47">
        <v>430</v>
      </c>
      <c r="Y3039" s="47"/>
      <c r="Z3039" s="47" t="s">
        <v>3618</v>
      </c>
      <c r="AA3039" s="49"/>
      <c r="AB3039" s="49"/>
      <c r="AC3039" s="49"/>
      <c r="AD3039" s="50"/>
      <c r="AE3039" s="47" t="s">
        <v>3798</v>
      </c>
      <c r="AF3039" s="47">
        <v>155</v>
      </c>
      <c r="AG3039"/>
      <c r="AH3039"/>
      <c r="AI3039"/>
      <c r="AJ3039"/>
      <c r="AK3039"/>
      <c r="AL3039"/>
      <c r="AM3039"/>
      <c r="AN3039"/>
      <c r="AO3039"/>
      <c r="AP3039"/>
      <c r="AQ3039" t="s">
        <v>2526</v>
      </c>
      <c r="AU3039">
        <v>3038</v>
      </c>
    </row>
    <row r="3040" spans="1:47" x14ac:dyDescent="0.2">
      <c r="A3040" s="13">
        <v>6625</v>
      </c>
      <c r="B3040" s="57" t="s">
        <v>85</v>
      </c>
      <c r="C3040" s="57" t="s">
        <v>1234</v>
      </c>
      <c r="D3040" s="29"/>
      <c r="E3040" s="57" t="s">
        <v>4304</v>
      </c>
      <c r="F3040" s="31" t="s">
        <v>3727</v>
      </c>
      <c r="G3040" s="31" t="s">
        <v>69</v>
      </c>
      <c r="I3040" s="31" t="s">
        <v>4330</v>
      </c>
      <c r="K3040" s="31">
        <f>1421.2+616-634-110</f>
        <v>1293.2</v>
      </c>
      <c r="AK3040" s="32">
        <f>56+24</f>
        <v>80</v>
      </c>
      <c r="AQ3040" s="32" t="s">
        <v>4306</v>
      </c>
      <c r="AU3040">
        <v>3039</v>
      </c>
    </row>
    <row r="3041" spans="1:47" x14ac:dyDescent="0.2">
      <c r="A3041" s="13">
        <v>6625</v>
      </c>
      <c r="B3041" s="57" t="s">
        <v>85</v>
      </c>
      <c r="C3041" s="15" t="s">
        <v>3730</v>
      </c>
      <c r="D3041" s="29"/>
      <c r="E3041" s="57" t="s">
        <v>4370</v>
      </c>
      <c r="F3041" s="31" t="s">
        <v>4371</v>
      </c>
      <c r="G3041" s="31" t="s">
        <v>69</v>
      </c>
      <c r="I3041" s="31" t="s">
        <v>4372</v>
      </c>
      <c r="K3041" s="31">
        <f>288*2.2</f>
        <v>633.6</v>
      </c>
      <c r="S3041" s="33">
        <v>3</v>
      </c>
      <c r="T3041" s="31">
        <v>0</v>
      </c>
      <c r="U3041" s="31">
        <v>0</v>
      </c>
      <c r="V3041" s="31">
        <v>0</v>
      </c>
      <c r="Y3041" s="31" t="s">
        <v>120</v>
      </c>
      <c r="Z3041" s="31" t="s">
        <v>1809</v>
      </c>
      <c r="AE3041" s="47" t="s">
        <v>1653</v>
      </c>
      <c r="AF3041" s="31">
        <v>75</v>
      </c>
      <c r="AO3041" s="73"/>
      <c r="AQ3041" s="18" t="s">
        <v>4270</v>
      </c>
      <c r="AU3041">
        <v>3040</v>
      </c>
    </row>
    <row r="3042" spans="1:47" x14ac:dyDescent="0.2">
      <c r="A3042" s="13">
        <v>6625</v>
      </c>
      <c r="B3042" s="57" t="s">
        <v>85</v>
      </c>
      <c r="C3042" s="15" t="s">
        <v>3730</v>
      </c>
      <c r="D3042" s="29"/>
      <c r="E3042" s="39" t="s">
        <v>4044</v>
      </c>
      <c r="F3042" s="31" t="s">
        <v>4373</v>
      </c>
      <c r="G3042" s="31" t="s">
        <v>69</v>
      </c>
      <c r="I3042" s="31" t="s">
        <v>4374</v>
      </c>
      <c r="K3042" s="31">
        <f>50*2.2</f>
        <v>110.00000000000001</v>
      </c>
      <c r="S3042" s="33">
        <v>2</v>
      </c>
      <c r="T3042" s="31">
        <v>0</v>
      </c>
      <c r="U3042" s="31">
        <v>0</v>
      </c>
      <c r="V3042" s="31">
        <v>0</v>
      </c>
      <c r="Y3042" s="31" t="s">
        <v>51</v>
      </c>
      <c r="Z3042" s="31" t="s">
        <v>1809</v>
      </c>
      <c r="AE3042" s="47" t="s">
        <v>1653</v>
      </c>
      <c r="AF3042" s="31">
        <v>60</v>
      </c>
      <c r="AO3042" s="73"/>
      <c r="AQ3042" s="18" t="s">
        <v>4270</v>
      </c>
      <c r="AU3042">
        <v>3041</v>
      </c>
    </row>
    <row r="3043" spans="1:47" x14ac:dyDescent="0.2">
      <c r="A3043" s="13">
        <v>6625</v>
      </c>
      <c r="B3043" s="57" t="s">
        <v>85</v>
      </c>
      <c r="C3043" s="57" t="s">
        <v>4375</v>
      </c>
      <c r="D3043" s="29"/>
      <c r="E3043" s="57" t="s">
        <v>4376</v>
      </c>
      <c r="F3043" s="31" t="s">
        <v>76</v>
      </c>
      <c r="G3043" s="31" t="s">
        <v>49</v>
      </c>
      <c r="K3043" s="31">
        <v>1894.2</v>
      </c>
      <c r="S3043" s="33">
        <v>9</v>
      </c>
      <c r="Z3043" s="31" t="s">
        <v>3724</v>
      </c>
      <c r="AE3043" s="31" t="s">
        <v>3089</v>
      </c>
      <c r="AF3043" s="31">
        <v>50</v>
      </c>
      <c r="AK3043" s="32">
        <v>42</v>
      </c>
      <c r="AQ3043" s="32" t="s">
        <v>4303</v>
      </c>
      <c r="AU3043">
        <v>3042</v>
      </c>
    </row>
    <row r="3044" spans="1:47" x14ac:dyDescent="0.2">
      <c r="A3044" s="13">
        <v>6625</v>
      </c>
      <c r="B3044" s="57" t="s">
        <v>85</v>
      </c>
      <c r="C3044" s="57" t="s">
        <v>4300</v>
      </c>
      <c r="D3044" s="29"/>
      <c r="E3044" s="57" t="s">
        <v>3643</v>
      </c>
      <c r="F3044" s="33" t="s">
        <v>4377</v>
      </c>
      <c r="G3044" s="31" t="s">
        <v>69</v>
      </c>
      <c r="K3044" s="31">
        <v>2164.8000000000002</v>
      </c>
      <c r="S3044" s="33">
        <v>9</v>
      </c>
      <c r="Z3044" s="31" t="s">
        <v>3724</v>
      </c>
      <c r="AE3044" s="31" t="s">
        <v>4302</v>
      </c>
      <c r="AK3044" s="32">
        <v>48</v>
      </c>
      <c r="AQ3044" s="32" t="s">
        <v>4303</v>
      </c>
      <c r="AU3044">
        <v>3043</v>
      </c>
    </row>
    <row r="3045" spans="1:47" x14ac:dyDescent="0.2">
      <c r="A3045" s="13">
        <v>6625</v>
      </c>
      <c r="B3045" s="57" t="s">
        <v>85</v>
      </c>
      <c r="C3045" s="57" t="s">
        <v>4378</v>
      </c>
      <c r="D3045" s="29"/>
      <c r="E3045" s="57" t="s">
        <v>4379</v>
      </c>
      <c r="F3045" s="31" t="s">
        <v>4301</v>
      </c>
      <c r="G3045" s="31" t="s">
        <v>49</v>
      </c>
      <c r="K3045" s="31">
        <v>2164.8000000000002</v>
      </c>
      <c r="S3045" s="33">
        <v>9</v>
      </c>
      <c r="Z3045" s="31" t="s">
        <v>3724</v>
      </c>
      <c r="AE3045" s="31" t="s">
        <v>4302</v>
      </c>
      <c r="AF3045" s="31">
        <v>85</v>
      </c>
      <c r="AK3045" s="32">
        <v>48</v>
      </c>
      <c r="AQ3045" s="32" t="s">
        <v>4303</v>
      </c>
      <c r="AU3045">
        <v>3044</v>
      </c>
    </row>
    <row r="3046" spans="1:47" x14ac:dyDescent="0.2">
      <c r="A3046" s="133">
        <v>6625</v>
      </c>
      <c r="B3046" s="39" t="s">
        <v>45</v>
      </c>
      <c r="C3046" s="39">
        <v>100</v>
      </c>
      <c r="D3046" s="29" t="b">
        <v>1</v>
      </c>
      <c r="E3046" s="39" t="s">
        <v>858</v>
      </c>
      <c r="F3046" s="47" t="s">
        <v>4311</v>
      </c>
      <c r="G3046" s="47"/>
      <c r="H3046"/>
      <c r="I3046" s="47" t="b">
        <v>0</v>
      </c>
      <c r="J3046" s="47" t="b">
        <v>1</v>
      </c>
      <c r="K3046" s="47">
        <v>0</v>
      </c>
      <c r="L3046" s="48">
        <v>13</v>
      </c>
      <c r="M3046" s="47">
        <v>13</v>
      </c>
      <c r="N3046" s="47">
        <v>0</v>
      </c>
      <c r="O3046" s="47">
        <v>0</v>
      </c>
      <c r="P3046" s="47">
        <v>0</v>
      </c>
      <c r="Q3046" s="47">
        <v>0</v>
      </c>
      <c r="R3046" s="47">
        <v>0</v>
      </c>
      <c r="S3046" s="48">
        <v>0</v>
      </c>
      <c r="T3046" s="47">
        <v>0</v>
      </c>
      <c r="U3046" s="47">
        <v>11</v>
      </c>
      <c r="V3046" s="47">
        <v>2</v>
      </c>
      <c r="W3046" s="47"/>
      <c r="X3046" s="47">
        <v>429</v>
      </c>
      <c r="Y3046" s="47"/>
      <c r="Z3046" s="47" t="s">
        <v>2524</v>
      </c>
      <c r="AA3046" s="49"/>
      <c r="AB3046" s="49"/>
      <c r="AC3046" s="49"/>
      <c r="AD3046" s="50"/>
      <c r="AE3046" s="47" t="s">
        <v>1312</v>
      </c>
      <c r="AF3046" s="47">
        <v>105</v>
      </c>
      <c r="AG3046"/>
      <c r="AH3046"/>
      <c r="AI3046"/>
      <c r="AJ3046"/>
      <c r="AK3046"/>
      <c r="AL3046"/>
      <c r="AM3046"/>
      <c r="AN3046"/>
      <c r="AO3046"/>
      <c r="AP3046"/>
      <c r="AQ3046" t="s">
        <v>2526</v>
      </c>
      <c r="AU3046">
        <v>3045</v>
      </c>
    </row>
    <row r="3047" spans="1:47" x14ac:dyDescent="0.2">
      <c r="A3047" s="133">
        <v>6625</v>
      </c>
      <c r="B3047" s="39" t="s">
        <v>45</v>
      </c>
      <c r="C3047" s="39">
        <v>216</v>
      </c>
      <c r="D3047" s="29" t="b">
        <v>0</v>
      </c>
      <c r="E3047" s="39" t="s">
        <v>1764</v>
      </c>
      <c r="F3047" s="47" t="s">
        <v>4380</v>
      </c>
      <c r="G3047" s="47" t="s">
        <v>49</v>
      </c>
      <c r="H3047"/>
      <c r="I3047" s="47" t="b">
        <v>0</v>
      </c>
      <c r="J3047" s="47" t="b">
        <v>1</v>
      </c>
      <c r="K3047" s="47">
        <v>2912</v>
      </c>
      <c r="L3047" s="48">
        <v>2</v>
      </c>
      <c r="M3047" s="47">
        <v>0</v>
      </c>
      <c r="N3047" s="47">
        <v>0</v>
      </c>
      <c r="O3047" s="47">
        <v>0</v>
      </c>
      <c r="P3047" s="47">
        <v>0</v>
      </c>
      <c r="Q3047" s="47">
        <v>0</v>
      </c>
      <c r="R3047" s="47">
        <v>0</v>
      </c>
      <c r="S3047" s="48">
        <v>2</v>
      </c>
      <c r="T3047" s="47">
        <v>0</v>
      </c>
      <c r="U3047" s="47">
        <v>0</v>
      </c>
      <c r="V3047" s="47">
        <v>0</v>
      </c>
      <c r="W3047" s="47">
        <v>5600</v>
      </c>
      <c r="X3047" s="47">
        <v>431</v>
      </c>
      <c r="Y3047" s="47"/>
      <c r="Z3047" s="47" t="s">
        <v>2466</v>
      </c>
      <c r="AA3047" s="49"/>
      <c r="AB3047" s="49"/>
      <c r="AC3047" s="49"/>
      <c r="AD3047" s="50"/>
      <c r="AE3047" s="47" t="s">
        <v>1312</v>
      </c>
      <c r="AF3047" s="31">
        <v>85</v>
      </c>
      <c r="AG3047"/>
      <c r="AH3047"/>
      <c r="AI3047"/>
      <c r="AJ3047"/>
      <c r="AK3047"/>
      <c r="AL3047"/>
      <c r="AM3047"/>
      <c r="AN3047"/>
      <c r="AO3047"/>
      <c r="AP3047"/>
      <c r="AQ3047" t="s">
        <v>2526</v>
      </c>
      <c r="AU3047">
        <v>3046</v>
      </c>
    </row>
    <row r="3048" spans="1:47" x14ac:dyDescent="0.2">
      <c r="A3048" s="13">
        <v>6625</v>
      </c>
      <c r="B3048" s="57" t="s">
        <v>45</v>
      </c>
      <c r="C3048" s="57" t="s">
        <v>105</v>
      </c>
      <c r="D3048" s="29"/>
      <c r="E3048" s="57" t="s">
        <v>4340</v>
      </c>
      <c r="F3048" s="31" t="s">
        <v>76</v>
      </c>
      <c r="G3048" s="31" t="s">
        <v>49</v>
      </c>
      <c r="I3048" s="31" t="s">
        <v>4341</v>
      </c>
      <c r="K3048" s="31">
        <v>193.6</v>
      </c>
      <c r="AK3048" s="32">
        <v>8</v>
      </c>
      <c r="AQ3048" s="32" t="s">
        <v>4315</v>
      </c>
      <c r="AU3048">
        <v>3047</v>
      </c>
    </row>
    <row r="3049" spans="1:47" x14ac:dyDescent="0.2">
      <c r="A3049" s="13">
        <v>6625</v>
      </c>
      <c r="B3049" s="57" t="s">
        <v>45</v>
      </c>
      <c r="C3049" s="57" t="s">
        <v>105</v>
      </c>
      <c r="D3049" s="29"/>
      <c r="E3049" s="57" t="s">
        <v>4381</v>
      </c>
      <c r="F3049" s="31" t="s">
        <v>76</v>
      </c>
      <c r="G3049" s="31" t="s">
        <v>49</v>
      </c>
      <c r="I3049" s="31" t="s">
        <v>4341</v>
      </c>
      <c r="K3049" s="31">
        <v>193.6</v>
      </c>
      <c r="AK3049" s="32">
        <v>8</v>
      </c>
      <c r="AQ3049" s="32" t="s">
        <v>4315</v>
      </c>
      <c r="AU3049">
        <v>3048</v>
      </c>
    </row>
    <row r="3050" spans="1:47" x14ac:dyDescent="0.2">
      <c r="A3050" s="13">
        <v>6625</v>
      </c>
      <c r="B3050" s="57" t="s">
        <v>45</v>
      </c>
      <c r="C3050" s="57" t="s">
        <v>1234</v>
      </c>
      <c r="D3050" s="29"/>
      <c r="E3050" s="57" t="s">
        <v>631</v>
      </c>
      <c r="F3050" s="31" t="s">
        <v>3764</v>
      </c>
      <c r="G3050" s="31" t="s">
        <v>627</v>
      </c>
      <c r="I3050" s="31" t="s">
        <v>4342</v>
      </c>
      <c r="K3050" s="31">
        <v>202.4</v>
      </c>
      <c r="Z3050" s="31" t="s">
        <v>1809</v>
      </c>
      <c r="AK3050" s="32">
        <v>8</v>
      </c>
      <c r="AQ3050" s="32" t="s">
        <v>4306</v>
      </c>
      <c r="AU3050">
        <v>3049</v>
      </c>
    </row>
    <row r="3051" spans="1:47" x14ac:dyDescent="0.2">
      <c r="A3051" s="13">
        <v>6625</v>
      </c>
      <c r="B3051" s="57" t="s">
        <v>45</v>
      </c>
      <c r="C3051" s="57" t="s">
        <v>1367</v>
      </c>
      <c r="D3051" s="29"/>
      <c r="E3051" s="57" t="s">
        <v>141</v>
      </c>
      <c r="F3051" s="31" t="s">
        <v>76</v>
      </c>
      <c r="G3051" s="31" t="s">
        <v>49</v>
      </c>
      <c r="I3051" s="31" t="s">
        <v>4341</v>
      </c>
      <c r="K3051" s="31">
        <v>330</v>
      </c>
      <c r="AK3051" s="32">
        <v>6</v>
      </c>
      <c r="AQ3051" s="32" t="s">
        <v>4315</v>
      </c>
      <c r="AU3051">
        <v>3050</v>
      </c>
    </row>
    <row r="3052" spans="1:47" x14ac:dyDescent="0.2">
      <c r="A3052" s="13">
        <v>6625</v>
      </c>
      <c r="B3052" s="57" t="s">
        <v>45</v>
      </c>
      <c r="C3052" s="57" t="s">
        <v>1367</v>
      </c>
      <c r="D3052" s="29"/>
      <c r="E3052" s="57" t="s">
        <v>2210</v>
      </c>
      <c r="F3052" s="31" t="s">
        <v>76</v>
      </c>
      <c r="G3052" s="31" t="s">
        <v>49</v>
      </c>
      <c r="I3052" s="31" t="s">
        <v>3602</v>
      </c>
      <c r="K3052" s="31">
        <v>330</v>
      </c>
      <c r="AK3052" s="32">
        <v>6</v>
      </c>
      <c r="AQ3052" s="32" t="s">
        <v>4315</v>
      </c>
      <c r="AU3052">
        <v>3051</v>
      </c>
    </row>
    <row r="3053" spans="1:47" x14ac:dyDescent="0.2">
      <c r="A3053" s="13">
        <v>6625</v>
      </c>
      <c r="B3053" s="57" t="s">
        <v>45</v>
      </c>
      <c r="C3053" s="57" t="s">
        <v>1367</v>
      </c>
      <c r="D3053" s="29"/>
      <c r="E3053" s="57" t="s">
        <v>3679</v>
      </c>
      <c r="F3053" s="31" t="s">
        <v>76</v>
      </c>
      <c r="G3053" s="31" t="s">
        <v>49</v>
      </c>
      <c r="I3053" s="31" t="s">
        <v>3602</v>
      </c>
      <c r="K3053" s="31">
        <v>330</v>
      </c>
      <c r="AK3053" s="32">
        <v>6</v>
      </c>
      <c r="AQ3053" s="32" t="s">
        <v>4315</v>
      </c>
      <c r="AU3053">
        <v>3052</v>
      </c>
    </row>
    <row r="3054" spans="1:47" x14ac:dyDescent="0.2">
      <c r="A3054" s="13">
        <v>6625</v>
      </c>
      <c r="B3054" s="57" t="s">
        <v>45</v>
      </c>
      <c r="C3054" s="57" t="s">
        <v>1367</v>
      </c>
      <c r="D3054" s="29"/>
      <c r="E3054" s="57" t="s">
        <v>653</v>
      </c>
      <c r="F3054" s="31" t="s">
        <v>76</v>
      </c>
      <c r="G3054" s="31" t="s">
        <v>49</v>
      </c>
      <c r="I3054" s="31" t="s">
        <v>4341</v>
      </c>
      <c r="K3054" s="31">
        <v>550</v>
      </c>
      <c r="AK3054" s="32">
        <v>7</v>
      </c>
      <c r="AQ3054" s="32" t="s">
        <v>4315</v>
      </c>
      <c r="AU3054">
        <v>3053</v>
      </c>
    </row>
    <row r="3055" spans="1:47" x14ac:dyDescent="0.2">
      <c r="A3055" s="13">
        <v>6625</v>
      </c>
      <c r="B3055" s="57" t="s">
        <v>45</v>
      </c>
      <c r="C3055" s="38" t="s">
        <v>3610</v>
      </c>
      <c r="D3055" s="29"/>
      <c r="E3055" s="57" t="s">
        <v>175</v>
      </c>
      <c r="F3055" s="31" t="s">
        <v>76</v>
      </c>
      <c r="G3055" s="31" t="s">
        <v>49</v>
      </c>
      <c r="I3055" s="31" t="s">
        <v>4382</v>
      </c>
      <c r="K3055" s="31">
        <f>6*50*2.2</f>
        <v>660</v>
      </c>
      <c r="L3055" s="33">
        <v>1</v>
      </c>
      <c r="S3055" s="33">
        <v>1</v>
      </c>
      <c r="T3055" s="47">
        <v>0</v>
      </c>
      <c r="U3055" s="47">
        <v>0</v>
      </c>
      <c r="V3055" s="47">
        <v>0</v>
      </c>
      <c r="W3055" s="47">
        <f>2300*39.37/12</f>
        <v>7545.916666666667</v>
      </c>
      <c r="Y3055" s="31" t="s">
        <v>51</v>
      </c>
      <c r="Z3055" s="31" t="s">
        <v>1846</v>
      </c>
      <c r="AD3055" s="35">
        <f>2+5/60</f>
        <v>2.0833333333333335</v>
      </c>
      <c r="AE3055" s="31" t="s">
        <v>4173</v>
      </c>
      <c r="AF3055" s="31">
        <v>55</v>
      </c>
      <c r="AK3055" s="32">
        <v>6</v>
      </c>
      <c r="AQ3055" s="32" t="s">
        <v>4346</v>
      </c>
      <c r="AU3055">
        <v>3054</v>
      </c>
    </row>
    <row r="3056" spans="1:47" x14ac:dyDescent="0.2">
      <c r="A3056" s="13">
        <v>6625</v>
      </c>
      <c r="B3056" s="57" t="s">
        <v>45</v>
      </c>
      <c r="C3056" s="57" t="s">
        <v>1367</v>
      </c>
      <c r="D3056" s="29"/>
      <c r="E3056" s="57" t="s">
        <v>3999</v>
      </c>
      <c r="F3056" s="31" t="s">
        <v>3764</v>
      </c>
      <c r="G3056" s="31" t="s">
        <v>481</v>
      </c>
      <c r="I3056" s="31" t="s">
        <v>3602</v>
      </c>
      <c r="K3056" s="31">
        <v>660</v>
      </c>
      <c r="AK3056" s="32">
        <v>12</v>
      </c>
      <c r="AQ3056" s="32" t="s">
        <v>4315</v>
      </c>
      <c r="AU3056">
        <v>3055</v>
      </c>
    </row>
    <row r="3057" spans="1:47" x14ac:dyDescent="0.2">
      <c r="A3057" s="13">
        <v>6625</v>
      </c>
      <c r="B3057" s="57" t="s">
        <v>45</v>
      </c>
      <c r="C3057" s="38" t="s">
        <v>3610</v>
      </c>
      <c r="D3057" s="29"/>
      <c r="E3057" s="57" t="s">
        <v>788</v>
      </c>
      <c r="F3057" s="31" t="s">
        <v>76</v>
      </c>
      <c r="G3057" s="31" t="s">
        <v>49</v>
      </c>
      <c r="I3057" s="31" t="s">
        <v>4383</v>
      </c>
      <c r="K3057" s="31">
        <f>30*10*2.2</f>
        <v>660</v>
      </c>
      <c r="L3057" s="33">
        <v>1</v>
      </c>
      <c r="S3057" s="33">
        <v>1</v>
      </c>
      <c r="T3057" s="47">
        <v>0</v>
      </c>
      <c r="U3057" s="47">
        <v>0</v>
      </c>
      <c r="V3057" s="47">
        <v>0</v>
      </c>
      <c r="W3057" s="47">
        <f>3200*39.37/12</f>
        <v>10498.666666666666</v>
      </c>
      <c r="Y3057" s="31" t="s">
        <v>51</v>
      </c>
      <c r="Z3057" s="31" t="s">
        <v>1846</v>
      </c>
      <c r="AD3057" s="35">
        <f>2+1/6</f>
        <v>2.1666666666666665</v>
      </c>
      <c r="AE3057" s="31" t="s">
        <v>4173</v>
      </c>
      <c r="AF3057" s="31">
        <v>70</v>
      </c>
      <c r="AK3057" s="32">
        <v>30</v>
      </c>
      <c r="AQ3057" s="32" t="s">
        <v>4346</v>
      </c>
      <c r="AU3057">
        <v>3056</v>
      </c>
    </row>
    <row r="3058" spans="1:47" x14ac:dyDescent="0.2">
      <c r="A3058" s="13">
        <v>6625</v>
      </c>
      <c r="B3058" s="57" t="s">
        <v>45</v>
      </c>
      <c r="C3058" s="57" t="s">
        <v>4179</v>
      </c>
      <c r="D3058" s="29"/>
      <c r="E3058" s="57" t="s">
        <v>4197</v>
      </c>
      <c r="F3058" s="31" t="s">
        <v>4208</v>
      </c>
      <c r="G3058" s="31" t="s">
        <v>205</v>
      </c>
      <c r="K3058" s="31">
        <v>12650</v>
      </c>
      <c r="S3058" s="33">
        <v>27</v>
      </c>
      <c r="Z3058" s="31" t="s">
        <v>3814</v>
      </c>
      <c r="AQ3058" s="32" t="s">
        <v>4303</v>
      </c>
      <c r="AU3058">
        <v>3057</v>
      </c>
    </row>
    <row r="3059" spans="1:47" x14ac:dyDescent="0.2">
      <c r="A3059" s="133">
        <v>6625</v>
      </c>
      <c r="B3059" s="39" t="s">
        <v>45</v>
      </c>
      <c r="C3059" s="39" t="s">
        <v>142</v>
      </c>
      <c r="D3059" s="29"/>
      <c r="E3059" s="39" t="s">
        <v>4337</v>
      </c>
      <c r="F3059" s="47" t="s">
        <v>246</v>
      </c>
      <c r="G3059" s="47" t="s">
        <v>49</v>
      </c>
      <c r="H3059"/>
      <c r="I3059" s="47" t="b">
        <v>1</v>
      </c>
      <c r="J3059" s="47" t="b">
        <v>1</v>
      </c>
      <c r="K3059" s="47">
        <f>2416*2.2</f>
        <v>5315.2000000000007</v>
      </c>
      <c r="L3059" s="48">
        <v>14</v>
      </c>
      <c r="M3059" s="47"/>
      <c r="N3059" s="47">
        <v>1</v>
      </c>
      <c r="O3059" s="47"/>
      <c r="P3059" s="47"/>
      <c r="Q3059" s="47"/>
      <c r="R3059" s="47"/>
      <c r="S3059" s="48">
        <v>13</v>
      </c>
      <c r="T3059" s="47">
        <v>0</v>
      </c>
      <c r="U3059" s="47">
        <v>0</v>
      </c>
      <c r="V3059" s="47">
        <v>0</v>
      </c>
      <c r="W3059" s="47"/>
      <c r="X3059" s="47"/>
      <c r="Y3059" s="47" t="s">
        <v>51</v>
      </c>
      <c r="Z3059" s="31" t="s">
        <v>3855</v>
      </c>
      <c r="AA3059" s="49"/>
      <c r="AB3059" s="49"/>
      <c r="AC3059" s="49"/>
      <c r="AD3059" s="50"/>
      <c r="AE3059" s="31" t="s">
        <v>4124</v>
      </c>
      <c r="AF3059" s="47"/>
      <c r="AG3059"/>
      <c r="AH3059"/>
      <c r="AI3059"/>
      <c r="AJ3059"/>
      <c r="AK3059">
        <f>14+30+24</f>
        <v>68</v>
      </c>
      <c r="AL3059"/>
      <c r="AM3059"/>
      <c r="AN3059"/>
      <c r="AO3059"/>
      <c r="AP3059"/>
      <c r="AQ3059" s="32" t="s">
        <v>4384</v>
      </c>
      <c r="AR3059" s="47" t="s">
        <v>4385</v>
      </c>
      <c r="AU3059">
        <v>3058</v>
      </c>
    </row>
    <row r="3060" spans="1:47" x14ac:dyDescent="0.2">
      <c r="A3060" s="13">
        <v>6625</v>
      </c>
      <c r="B3060" s="39" t="s">
        <v>45</v>
      </c>
      <c r="C3060" s="57" t="s">
        <v>142</v>
      </c>
      <c r="D3060" s="29"/>
      <c r="E3060" s="57" t="s">
        <v>4017</v>
      </c>
      <c r="F3060" s="31" t="s">
        <v>76</v>
      </c>
      <c r="G3060" s="31" t="s">
        <v>49</v>
      </c>
      <c r="I3060" s="47" t="b">
        <v>0</v>
      </c>
      <c r="J3060" s="47" t="b">
        <v>0</v>
      </c>
      <c r="K3060" s="31">
        <f>575*2.2</f>
        <v>1265</v>
      </c>
      <c r="L3060" s="63"/>
      <c r="Z3060" s="31" t="s">
        <v>3855</v>
      </c>
      <c r="AE3060" s="31" t="s">
        <v>4124</v>
      </c>
      <c r="AF3060" s="31">
        <v>90</v>
      </c>
      <c r="AK3060" s="32">
        <v>14</v>
      </c>
      <c r="AQ3060" s="32" t="s">
        <v>4315</v>
      </c>
      <c r="AR3060" s="31" t="s">
        <v>3602</v>
      </c>
      <c r="AU3060">
        <v>3059</v>
      </c>
    </row>
    <row r="3061" spans="1:47" x14ac:dyDescent="0.2">
      <c r="A3061" s="13">
        <v>6625</v>
      </c>
      <c r="B3061" s="39" t="s">
        <v>45</v>
      </c>
      <c r="C3061" s="57" t="s">
        <v>142</v>
      </c>
      <c r="D3061" s="29"/>
      <c r="E3061" s="57" t="s">
        <v>2191</v>
      </c>
      <c r="F3061" s="31" t="s">
        <v>76</v>
      </c>
      <c r="G3061" s="31" t="s">
        <v>49</v>
      </c>
      <c r="I3061" s="47" t="b">
        <v>0</v>
      </c>
      <c r="J3061" s="47" t="b">
        <v>0</v>
      </c>
      <c r="K3061" s="31">
        <f>880*2.2</f>
        <v>1936.0000000000002</v>
      </c>
      <c r="L3061" s="63"/>
      <c r="Z3061" s="31" t="s">
        <v>3855</v>
      </c>
      <c r="AE3061" s="31" t="s">
        <v>4124</v>
      </c>
      <c r="AF3061" s="31">
        <v>60</v>
      </c>
      <c r="AK3061" s="32">
        <v>30</v>
      </c>
      <c r="AQ3061" s="32" t="s">
        <v>4315</v>
      </c>
      <c r="AR3061" s="31" t="s">
        <v>3602</v>
      </c>
      <c r="AU3061">
        <v>3060</v>
      </c>
    </row>
    <row r="3062" spans="1:47" x14ac:dyDescent="0.2">
      <c r="A3062" s="13">
        <v>6625</v>
      </c>
      <c r="B3062" s="39" t="s">
        <v>45</v>
      </c>
      <c r="C3062" s="57" t="s">
        <v>142</v>
      </c>
      <c r="D3062" s="29"/>
      <c r="E3062" s="57" t="s">
        <v>3063</v>
      </c>
      <c r="F3062" s="31" t="s">
        <v>76</v>
      </c>
      <c r="G3062" s="31" t="s">
        <v>49</v>
      </c>
      <c r="I3062" s="47" t="b">
        <v>0</v>
      </c>
      <c r="J3062" s="47" t="b">
        <v>0</v>
      </c>
      <c r="K3062" s="31">
        <f>925*2.2</f>
        <v>2035.0000000000002</v>
      </c>
      <c r="L3062" s="63"/>
      <c r="Z3062" s="31" t="s">
        <v>3855</v>
      </c>
      <c r="AE3062" s="31" t="s">
        <v>4124</v>
      </c>
      <c r="AF3062" s="31">
        <v>70</v>
      </c>
      <c r="AK3062" s="32">
        <v>24</v>
      </c>
      <c r="AQ3062" s="32" t="s">
        <v>4315</v>
      </c>
      <c r="AR3062" s="31" t="s">
        <v>3602</v>
      </c>
      <c r="AU3062">
        <v>3061</v>
      </c>
    </row>
    <row r="3063" spans="1:47" x14ac:dyDescent="0.2">
      <c r="A3063" s="26">
        <v>6625</v>
      </c>
      <c r="B3063" s="27">
        <v>0</v>
      </c>
      <c r="C3063" s="28"/>
      <c r="D3063" s="29"/>
      <c r="E3063" s="30" t="s">
        <v>869</v>
      </c>
      <c r="H3063" s="32">
        <v>0</v>
      </c>
      <c r="I3063" s="32" t="s">
        <v>4322</v>
      </c>
      <c r="AG3063" s="32">
        <v>0</v>
      </c>
      <c r="AH3063" s="32">
        <v>0</v>
      </c>
      <c r="AI3063" s="32">
        <v>0</v>
      </c>
      <c r="AK3063" s="32">
        <v>0</v>
      </c>
      <c r="AL3063" s="32">
        <v>0.5</v>
      </c>
      <c r="AP3063" s="32">
        <v>0.5</v>
      </c>
      <c r="AQ3063" s="32" t="s">
        <v>589</v>
      </c>
      <c r="AU3063">
        <v>3062</v>
      </c>
    </row>
    <row r="3064" spans="1:47" x14ac:dyDescent="0.2">
      <c r="A3064" s="26">
        <v>6625</v>
      </c>
      <c r="B3064" s="27">
        <v>0.4201388888888889</v>
      </c>
      <c r="C3064" s="28"/>
      <c r="D3064" s="29"/>
      <c r="E3064" s="30" t="s">
        <v>869</v>
      </c>
      <c r="H3064" s="32">
        <v>1</v>
      </c>
      <c r="I3064" s="32" t="s">
        <v>4386</v>
      </c>
      <c r="AG3064" s="32">
        <v>0</v>
      </c>
      <c r="AH3064" s="32">
        <v>0</v>
      </c>
      <c r="AI3064" s="32">
        <v>0</v>
      </c>
      <c r="AK3064" s="32">
        <v>8</v>
      </c>
      <c r="AP3064" s="32">
        <f>55/60</f>
        <v>0.91666666666666663</v>
      </c>
      <c r="AQ3064" s="32" t="s">
        <v>871</v>
      </c>
      <c r="AU3064">
        <v>3063</v>
      </c>
    </row>
    <row r="3065" spans="1:47" x14ac:dyDescent="0.2">
      <c r="A3065" s="26">
        <v>6625</v>
      </c>
      <c r="B3065" s="27">
        <v>0.50694444444444442</v>
      </c>
      <c r="C3065" s="28"/>
      <c r="D3065" s="29"/>
      <c r="E3065" s="30" t="s">
        <v>4387</v>
      </c>
      <c r="H3065" s="32">
        <v>1</v>
      </c>
      <c r="I3065" s="32" t="s">
        <v>4388</v>
      </c>
      <c r="AG3065" s="32">
        <v>2</v>
      </c>
      <c r="AH3065" s="32">
        <v>0</v>
      </c>
      <c r="AI3065" s="32">
        <f>26416+23500</f>
        <v>49916</v>
      </c>
      <c r="AK3065" s="32">
        <f>17+2</f>
        <v>19</v>
      </c>
      <c r="AL3065" s="32">
        <v>0</v>
      </c>
      <c r="AO3065" s="32" t="s">
        <v>1006</v>
      </c>
      <c r="AP3065" s="32">
        <f>5/6</f>
        <v>0.83333333333333337</v>
      </c>
      <c r="AQ3065" s="91">
        <v>422428</v>
      </c>
      <c r="AU3065">
        <v>3064</v>
      </c>
    </row>
    <row r="3066" spans="1:47" x14ac:dyDescent="0.2">
      <c r="A3066" s="26">
        <v>6625</v>
      </c>
      <c r="B3066" s="27">
        <v>0.54027777777777775</v>
      </c>
      <c r="C3066" s="28"/>
      <c r="D3066" s="29"/>
      <c r="E3066" s="30" t="s">
        <v>869</v>
      </c>
      <c r="H3066" s="32">
        <v>0</v>
      </c>
      <c r="I3066" s="32" t="s">
        <v>2461</v>
      </c>
      <c r="AG3066" s="32">
        <v>0</v>
      </c>
      <c r="AH3066" s="32">
        <v>0</v>
      </c>
      <c r="AI3066" s="32">
        <v>0</v>
      </c>
      <c r="AK3066" s="32">
        <v>0</v>
      </c>
      <c r="AL3066" s="32">
        <f>1/6</f>
        <v>0.16666666666666666</v>
      </c>
      <c r="AP3066" s="32">
        <f>1/6</f>
        <v>0.16666666666666666</v>
      </c>
      <c r="AQ3066" s="32" t="s">
        <v>589</v>
      </c>
      <c r="AU3066">
        <v>3065</v>
      </c>
    </row>
    <row r="3067" spans="1:47" x14ac:dyDescent="0.2">
      <c r="A3067" s="26">
        <v>6625</v>
      </c>
      <c r="B3067" s="27">
        <v>0.84027777777777779</v>
      </c>
      <c r="C3067" s="28"/>
      <c r="D3067" s="29"/>
      <c r="E3067" s="30" t="s">
        <v>464</v>
      </c>
      <c r="H3067" s="32">
        <v>1</v>
      </c>
      <c r="I3067" s="32" t="s">
        <v>4389</v>
      </c>
      <c r="AG3067" s="32">
        <v>0</v>
      </c>
      <c r="AH3067" s="32">
        <v>0</v>
      </c>
      <c r="AI3067" s="32">
        <v>11000</v>
      </c>
      <c r="AK3067" s="32">
        <v>10</v>
      </c>
      <c r="AL3067" s="32">
        <f>2+50/60</f>
        <v>2.8333333333333335</v>
      </c>
      <c r="AO3067" s="32" t="s">
        <v>4390</v>
      </c>
      <c r="AP3067" s="32">
        <f>2+50/60</f>
        <v>2.8333333333333335</v>
      </c>
      <c r="AQ3067" s="32" t="s">
        <v>4391</v>
      </c>
      <c r="AU3067">
        <v>3066</v>
      </c>
    </row>
    <row r="3068" spans="1:47" x14ac:dyDescent="0.2">
      <c r="A3068" s="26">
        <v>6625</v>
      </c>
      <c r="B3068" s="27">
        <v>0.86111111111111116</v>
      </c>
      <c r="C3068" s="28"/>
      <c r="D3068" s="29"/>
      <c r="E3068" s="30" t="s">
        <v>1282</v>
      </c>
      <c r="H3068" s="32">
        <v>0</v>
      </c>
      <c r="I3068" s="32" t="s">
        <v>4392</v>
      </c>
      <c r="AG3068" s="32">
        <v>0</v>
      </c>
      <c r="AH3068" s="32">
        <v>0</v>
      </c>
      <c r="AI3068" s="32">
        <v>0</v>
      </c>
      <c r="AK3068" s="32">
        <v>0</v>
      </c>
      <c r="AL3068" s="32">
        <v>8</v>
      </c>
      <c r="AP3068" s="32">
        <f>3+5/60</f>
        <v>3.0833333333333335</v>
      </c>
      <c r="AQ3068" s="32" t="s">
        <v>1101</v>
      </c>
      <c r="AU3068">
        <v>3067</v>
      </c>
    </row>
    <row r="3069" spans="1:47" x14ac:dyDescent="0.2">
      <c r="A3069" s="26">
        <v>6625</v>
      </c>
      <c r="B3069" s="27" t="s">
        <v>45</v>
      </c>
      <c r="C3069" s="28"/>
      <c r="D3069" s="29"/>
      <c r="E3069" s="30" t="s">
        <v>1531</v>
      </c>
      <c r="H3069" s="32">
        <v>1</v>
      </c>
      <c r="I3069" s="32" t="s">
        <v>4393</v>
      </c>
      <c r="AM3069" s="32">
        <f>498*150</f>
        <v>74700</v>
      </c>
      <c r="AO3069" s="32" t="s">
        <v>1533</v>
      </c>
      <c r="AQ3069" s="32" t="s">
        <v>1101</v>
      </c>
      <c r="AU3069">
        <v>3068</v>
      </c>
    </row>
    <row r="3070" spans="1:47" x14ac:dyDescent="0.2">
      <c r="A3070" s="26">
        <v>6625</v>
      </c>
      <c r="B3070" s="27" t="s">
        <v>45</v>
      </c>
      <c r="C3070" s="28"/>
      <c r="D3070" s="29"/>
      <c r="E3070" s="150" t="s">
        <v>2286</v>
      </c>
      <c r="H3070" s="32">
        <v>0</v>
      </c>
      <c r="I3070" s="32" t="s">
        <v>1824</v>
      </c>
      <c r="AG3070" s="32">
        <v>0</v>
      </c>
      <c r="AH3070" s="32">
        <v>0</v>
      </c>
      <c r="AI3070" s="32">
        <v>0</v>
      </c>
      <c r="AK3070" s="32">
        <v>0</v>
      </c>
      <c r="AM3070" s="32">
        <v>5000</v>
      </c>
      <c r="AO3070" s="73" t="s">
        <v>75</v>
      </c>
      <c r="AQ3070" s="32" t="s">
        <v>589</v>
      </c>
      <c r="AU3070">
        <v>3069</v>
      </c>
    </row>
    <row r="3071" spans="1:47" x14ac:dyDescent="0.2">
      <c r="A3071" s="26">
        <v>6625</v>
      </c>
      <c r="B3071" s="27"/>
      <c r="C3071" s="28"/>
      <c r="D3071" s="29"/>
      <c r="E3071" s="30" t="s">
        <v>3063</v>
      </c>
      <c r="H3071" s="32">
        <v>1</v>
      </c>
      <c r="I3071" s="32" t="s">
        <v>4394</v>
      </c>
      <c r="AK3071" s="32">
        <v>3</v>
      </c>
      <c r="AQ3071" s="32">
        <v>374</v>
      </c>
      <c r="AU3071">
        <v>3070</v>
      </c>
    </row>
    <row r="3072" spans="1:47" x14ac:dyDescent="0.2">
      <c r="A3072" s="133">
        <v>6626</v>
      </c>
      <c r="B3072" s="39" t="s">
        <v>85</v>
      </c>
      <c r="C3072" s="39">
        <v>55</v>
      </c>
      <c r="D3072" s="29" t="b">
        <v>0</v>
      </c>
      <c r="E3072" s="39" t="s">
        <v>3689</v>
      </c>
      <c r="F3072" s="47" t="s">
        <v>4395</v>
      </c>
      <c r="G3072" s="47" t="s">
        <v>459</v>
      </c>
      <c r="H3072"/>
      <c r="I3072" s="47" t="b">
        <v>0</v>
      </c>
      <c r="J3072" s="47" t="b">
        <v>1</v>
      </c>
      <c r="K3072" s="47">
        <v>1900</v>
      </c>
      <c r="L3072" s="48">
        <v>10</v>
      </c>
      <c r="M3072" s="47">
        <v>0</v>
      </c>
      <c r="N3072" s="47">
        <v>2</v>
      </c>
      <c r="O3072" s="47">
        <v>0</v>
      </c>
      <c r="P3072" s="47">
        <v>8</v>
      </c>
      <c r="Q3072" s="47">
        <v>0</v>
      </c>
      <c r="R3072" s="47">
        <v>0</v>
      </c>
      <c r="S3072" s="48">
        <v>8</v>
      </c>
      <c r="T3072" s="47">
        <v>0</v>
      </c>
      <c r="U3072" s="47">
        <v>0</v>
      </c>
      <c r="V3072" s="47">
        <v>0</v>
      </c>
      <c r="W3072" s="47">
        <v>15000</v>
      </c>
      <c r="X3072" s="47">
        <v>432</v>
      </c>
      <c r="Y3072" s="47"/>
      <c r="Z3072" s="47" t="s">
        <v>3618</v>
      </c>
      <c r="AA3072" s="49"/>
      <c r="AB3072" s="49"/>
      <c r="AC3072" s="49"/>
      <c r="AD3072" s="50"/>
      <c r="AE3072" s="47" t="s">
        <v>3798</v>
      </c>
      <c r="AF3072" s="47">
        <v>135</v>
      </c>
      <c r="AG3072"/>
      <c r="AH3072"/>
      <c r="AI3072"/>
      <c r="AJ3072"/>
      <c r="AK3072"/>
      <c r="AL3072"/>
      <c r="AM3072"/>
      <c r="AN3072"/>
      <c r="AO3072"/>
      <c r="AP3072"/>
      <c r="AQ3072" t="s">
        <v>2526</v>
      </c>
      <c r="AU3072">
        <v>3071</v>
      </c>
    </row>
    <row r="3073" spans="1:47" x14ac:dyDescent="0.2">
      <c r="A3073" s="133">
        <v>6626</v>
      </c>
      <c r="B3073" s="39" t="s">
        <v>85</v>
      </c>
      <c r="C3073" s="15" t="s">
        <v>3730</v>
      </c>
      <c r="D3073" s="29"/>
      <c r="E3073" s="57" t="s">
        <v>3804</v>
      </c>
      <c r="F3073" s="31" t="s">
        <v>4307</v>
      </c>
      <c r="G3073" s="31" t="s">
        <v>69</v>
      </c>
      <c r="H3073"/>
      <c r="I3073" s="47" t="s">
        <v>4396</v>
      </c>
      <c r="J3073" s="47"/>
      <c r="K3073" s="47"/>
      <c r="L3073" s="48"/>
      <c r="M3073" s="47"/>
      <c r="N3073" s="47"/>
      <c r="O3073" s="47"/>
      <c r="P3073" s="47"/>
      <c r="Q3073" s="47"/>
      <c r="R3073" s="47"/>
      <c r="S3073" s="48">
        <v>1</v>
      </c>
      <c r="T3073" s="47">
        <v>0</v>
      </c>
      <c r="U3073" s="47">
        <v>0</v>
      </c>
      <c r="V3073" s="47">
        <v>0</v>
      </c>
      <c r="W3073" s="47"/>
      <c r="X3073" s="47"/>
      <c r="Y3073" s="31" t="s">
        <v>51</v>
      </c>
      <c r="Z3073" s="31" t="s">
        <v>1809</v>
      </c>
      <c r="AE3073" s="47" t="s">
        <v>1653</v>
      </c>
      <c r="AF3073" s="31">
        <v>70</v>
      </c>
      <c r="AO3073" s="73"/>
      <c r="AQ3073" s="18" t="s">
        <v>4270</v>
      </c>
      <c r="AU3073">
        <v>3072</v>
      </c>
    </row>
    <row r="3074" spans="1:47" x14ac:dyDescent="0.2">
      <c r="A3074" s="13">
        <v>6626</v>
      </c>
      <c r="B3074" s="57" t="s">
        <v>45</v>
      </c>
      <c r="C3074" s="57" t="s">
        <v>1367</v>
      </c>
      <c r="D3074" s="29"/>
      <c r="E3074" s="57" t="s">
        <v>653</v>
      </c>
      <c r="F3074" s="31" t="s">
        <v>76</v>
      </c>
      <c r="G3074" s="31" t="s">
        <v>49</v>
      </c>
      <c r="I3074" s="31" t="s">
        <v>4341</v>
      </c>
      <c r="K3074" s="31">
        <v>550</v>
      </c>
      <c r="AK3074" s="32">
        <v>7</v>
      </c>
      <c r="AQ3074" s="32" t="s">
        <v>4315</v>
      </c>
      <c r="AU3074">
        <v>3073</v>
      </c>
    </row>
    <row r="3075" spans="1:47" x14ac:dyDescent="0.2">
      <c r="A3075" s="26">
        <v>6626</v>
      </c>
      <c r="B3075" s="27">
        <v>0</v>
      </c>
      <c r="C3075" s="28"/>
      <c r="D3075" s="29"/>
      <c r="E3075" s="30" t="s">
        <v>464</v>
      </c>
      <c r="H3075" s="32">
        <v>0</v>
      </c>
      <c r="I3075" s="32" t="s">
        <v>4397</v>
      </c>
      <c r="AG3075" s="32">
        <v>0</v>
      </c>
      <c r="AH3075" s="32">
        <v>0</v>
      </c>
      <c r="AL3075" s="32">
        <v>2.6669999999999998</v>
      </c>
      <c r="AO3075" s="32" t="s">
        <v>4067</v>
      </c>
      <c r="AP3075" s="32">
        <v>2.6669999999999998</v>
      </c>
      <c r="AQ3075" s="32" t="s">
        <v>1522</v>
      </c>
      <c r="AU3075">
        <v>3074</v>
      </c>
    </row>
    <row r="3076" spans="1:47" x14ac:dyDescent="0.2">
      <c r="A3076" s="26">
        <v>6626</v>
      </c>
      <c r="B3076" s="27">
        <v>0.50902777777777775</v>
      </c>
      <c r="C3076" s="28"/>
      <c r="D3076" s="29"/>
      <c r="E3076" s="30" t="s">
        <v>869</v>
      </c>
      <c r="H3076" s="32">
        <v>0</v>
      </c>
      <c r="I3076" s="32" t="s">
        <v>2461</v>
      </c>
      <c r="AG3076" s="32">
        <v>0</v>
      </c>
      <c r="AH3076" s="32">
        <v>0</v>
      </c>
      <c r="AI3076" s="32">
        <v>0</v>
      </c>
      <c r="AK3076" s="32">
        <v>0</v>
      </c>
      <c r="AL3076" s="32">
        <f>66/60</f>
        <v>1.1000000000000001</v>
      </c>
      <c r="AP3076" s="32">
        <f>66/60</f>
        <v>1.1000000000000001</v>
      </c>
      <c r="AQ3076" s="32" t="s">
        <v>589</v>
      </c>
      <c r="AU3076">
        <v>3075</v>
      </c>
    </row>
    <row r="3077" spans="1:47" x14ac:dyDescent="0.2">
      <c r="A3077" s="26">
        <v>6626</v>
      </c>
      <c r="B3077" s="27">
        <v>0.53125</v>
      </c>
      <c r="C3077" s="28"/>
      <c r="D3077" s="29"/>
      <c r="E3077" s="30" t="s">
        <v>3689</v>
      </c>
      <c r="H3077" s="32">
        <v>1</v>
      </c>
      <c r="I3077" s="32" t="s">
        <v>4398</v>
      </c>
      <c r="AG3077" s="32">
        <v>2</v>
      </c>
      <c r="AI3077" s="32">
        <v>80000</v>
      </c>
      <c r="AK3077" s="32">
        <v>7</v>
      </c>
      <c r="AQ3077" s="32">
        <v>456</v>
      </c>
      <c r="AU3077">
        <v>3076</v>
      </c>
    </row>
    <row r="3078" spans="1:47" x14ac:dyDescent="0.2">
      <c r="A3078" s="26">
        <v>6626</v>
      </c>
      <c r="B3078" s="27">
        <v>0.79166666666666663</v>
      </c>
      <c r="C3078" s="28"/>
      <c r="D3078" s="29"/>
      <c r="E3078" s="30" t="s">
        <v>653</v>
      </c>
      <c r="H3078" s="32">
        <v>1</v>
      </c>
      <c r="I3078" s="32" t="s">
        <v>654</v>
      </c>
      <c r="AI3078" s="32">
        <v>0</v>
      </c>
      <c r="AK3078" s="32">
        <v>6</v>
      </c>
      <c r="AO3078" s="32" t="s">
        <v>655</v>
      </c>
      <c r="AQ3078" s="32">
        <v>447</v>
      </c>
      <c r="AU3078">
        <v>3077</v>
      </c>
    </row>
    <row r="3079" spans="1:47" x14ac:dyDescent="0.2">
      <c r="A3079" s="26">
        <v>6626</v>
      </c>
      <c r="B3079" s="27">
        <v>0.95833333333333337</v>
      </c>
      <c r="C3079" s="28"/>
      <c r="D3079" s="29"/>
      <c r="E3079" s="30" t="s">
        <v>2087</v>
      </c>
      <c r="H3079" s="32">
        <v>1</v>
      </c>
      <c r="I3079" s="32" t="s">
        <v>4399</v>
      </c>
      <c r="AG3079" s="32">
        <v>0</v>
      </c>
      <c r="AH3079" s="32">
        <v>0</v>
      </c>
      <c r="AK3079" s="32">
        <v>7</v>
      </c>
      <c r="AP3079" s="32">
        <v>0.5</v>
      </c>
      <c r="AQ3079" s="32">
        <v>418</v>
      </c>
      <c r="AU3079">
        <v>3078</v>
      </c>
    </row>
    <row r="3080" spans="1:47" x14ac:dyDescent="0.2">
      <c r="A3080" s="26">
        <v>6626</v>
      </c>
      <c r="B3080" s="27">
        <v>0.98611111111111116</v>
      </c>
      <c r="C3080" s="28"/>
      <c r="D3080" s="29"/>
      <c r="E3080" s="30" t="s">
        <v>631</v>
      </c>
      <c r="H3080" s="32">
        <v>0</v>
      </c>
      <c r="I3080" s="32" t="s">
        <v>4040</v>
      </c>
      <c r="AG3080" s="32">
        <v>0</v>
      </c>
      <c r="AH3080" s="32">
        <v>0</v>
      </c>
      <c r="AI3080" s="32">
        <v>0</v>
      </c>
      <c r="AK3080" s="32">
        <v>0</v>
      </c>
      <c r="AL3080" s="32">
        <v>0.5</v>
      </c>
      <c r="AP3080" s="32">
        <v>0.5</v>
      </c>
      <c r="AQ3080" s="32">
        <v>464</v>
      </c>
      <c r="AU3080">
        <v>3079</v>
      </c>
    </row>
    <row r="3081" spans="1:47" x14ac:dyDescent="0.2">
      <c r="A3081" s="13">
        <v>6627</v>
      </c>
      <c r="B3081" s="57" t="s">
        <v>45</v>
      </c>
      <c r="C3081" s="57" t="s">
        <v>1367</v>
      </c>
      <c r="D3081" s="29"/>
      <c r="E3081" s="57" t="s">
        <v>512</v>
      </c>
      <c r="F3081" s="31" t="s">
        <v>76</v>
      </c>
      <c r="G3081" s="31" t="s">
        <v>49</v>
      </c>
      <c r="I3081" s="31" t="s">
        <v>4244</v>
      </c>
      <c r="K3081" s="31">
        <v>550</v>
      </c>
      <c r="AK3081" s="32">
        <v>5</v>
      </c>
      <c r="AQ3081" s="32" t="s">
        <v>4315</v>
      </c>
      <c r="AU3081">
        <v>3080</v>
      </c>
    </row>
    <row r="3082" spans="1:47" x14ac:dyDescent="0.2">
      <c r="A3082" s="13">
        <v>6627</v>
      </c>
      <c r="B3082" s="57" t="s">
        <v>45</v>
      </c>
      <c r="C3082" s="57" t="s">
        <v>1367</v>
      </c>
      <c r="D3082" s="29"/>
      <c r="E3082" s="57" t="s">
        <v>190</v>
      </c>
      <c r="F3082" s="31" t="s">
        <v>76</v>
      </c>
      <c r="G3082" s="31" t="s">
        <v>49</v>
      </c>
      <c r="K3082" s="31">
        <v>550</v>
      </c>
      <c r="AK3082" s="32">
        <v>7</v>
      </c>
      <c r="AQ3082" s="32" t="s">
        <v>4315</v>
      </c>
      <c r="AU3082">
        <v>3081</v>
      </c>
    </row>
    <row r="3083" spans="1:47" x14ac:dyDescent="0.2">
      <c r="A3083" s="13">
        <v>6627</v>
      </c>
      <c r="B3083" s="57" t="s">
        <v>45</v>
      </c>
      <c r="C3083" s="57" t="s">
        <v>1367</v>
      </c>
      <c r="D3083" s="29"/>
      <c r="E3083" s="57" t="s">
        <v>1048</v>
      </c>
      <c r="F3083" s="31" t="s">
        <v>76</v>
      </c>
      <c r="G3083" s="31" t="s">
        <v>49</v>
      </c>
      <c r="I3083" s="31" t="s">
        <v>3602</v>
      </c>
      <c r="K3083" s="31">
        <v>1584</v>
      </c>
      <c r="AK3083" s="32">
        <v>21</v>
      </c>
      <c r="AQ3083" s="32" t="s">
        <v>4315</v>
      </c>
      <c r="AU3083">
        <v>3082</v>
      </c>
    </row>
    <row r="3084" spans="1:47" x14ac:dyDescent="0.2">
      <c r="A3084" s="26">
        <v>6627</v>
      </c>
      <c r="B3084" s="27">
        <v>0.83333333333333337</v>
      </c>
      <c r="C3084" s="28"/>
      <c r="D3084" s="29"/>
      <c r="E3084" s="30" t="s">
        <v>464</v>
      </c>
      <c r="H3084" s="32">
        <v>0</v>
      </c>
      <c r="I3084" s="32" t="s">
        <v>4400</v>
      </c>
      <c r="AG3084" s="32">
        <v>0</v>
      </c>
      <c r="AH3084" s="32">
        <v>0</v>
      </c>
      <c r="AL3084" s="32">
        <v>1</v>
      </c>
      <c r="AO3084" s="32" t="s">
        <v>4067</v>
      </c>
      <c r="AP3084" s="32">
        <v>1</v>
      </c>
      <c r="AQ3084" s="32" t="s">
        <v>1522</v>
      </c>
      <c r="AU3084">
        <v>3083</v>
      </c>
    </row>
    <row r="3085" spans="1:47" x14ac:dyDescent="0.2">
      <c r="A3085" s="26">
        <v>6627</v>
      </c>
      <c r="B3085" s="27">
        <v>0.83680555555555547</v>
      </c>
      <c r="C3085" s="28"/>
      <c r="D3085" s="29"/>
      <c r="E3085" s="30" t="s">
        <v>1282</v>
      </c>
      <c r="H3085" s="32">
        <v>0</v>
      </c>
      <c r="I3085" s="32" t="s">
        <v>4401</v>
      </c>
      <c r="AG3085" s="32">
        <v>0</v>
      </c>
      <c r="AH3085" s="32">
        <v>0</v>
      </c>
      <c r="AI3085" s="32">
        <v>0</v>
      </c>
      <c r="AK3085" s="32">
        <v>0</v>
      </c>
      <c r="AL3085" s="32">
        <f>7+25/60</f>
        <v>7.416666666666667</v>
      </c>
      <c r="AP3085" s="32">
        <f>2+35/60</f>
        <v>2.5833333333333335</v>
      </c>
      <c r="AQ3085" s="32" t="s">
        <v>1101</v>
      </c>
      <c r="AU3085">
        <v>3084</v>
      </c>
    </row>
    <row r="3086" spans="1:47" x14ac:dyDescent="0.2">
      <c r="A3086" s="26">
        <v>6627</v>
      </c>
      <c r="B3086" s="27">
        <v>0.97222222222222221</v>
      </c>
      <c r="C3086" s="28"/>
      <c r="D3086" s="29"/>
      <c r="E3086" s="30" t="s">
        <v>464</v>
      </c>
      <c r="H3086" s="32">
        <v>0</v>
      </c>
      <c r="I3086" s="32" t="s">
        <v>4402</v>
      </c>
      <c r="AG3086" s="32">
        <v>0</v>
      </c>
      <c r="AH3086" s="32">
        <v>0</v>
      </c>
      <c r="AL3086" s="32">
        <f>3+1/6</f>
        <v>3.1666666666666665</v>
      </c>
      <c r="AO3086" s="32" t="s">
        <v>4067</v>
      </c>
      <c r="AP3086" s="32">
        <f>3+1/6</f>
        <v>3.1666666666666665</v>
      </c>
      <c r="AQ3086" s="32" t="s">
        <v>1522</v>
      </c>
      <c r="AU3086">
        <v>3085</v>
      </c>
    </row>
    <row r="3087" spans="1:47" x14ac:dyDescent="0.2">
      <c r="A3087" s="37">
        <v>6628</v>
      </c>
      <c r="B3087" s="38" t="s">
        <v>45</v>
      </c>
      <c r="C3087" s="39" t="s">
        <v>4213</v>
      </c>
      <c r="D3087" s="29"/>
      <c r="E3087" s="36" t="s">
        <v>4403</v>
      </c>
      <c r="F3087" s="31" t="s">
        <v>529</v>
      </c>
      <c r="G3087" s="31" t="s">
        <v>205</v>
      </c>
      <c r="H3087" s="32"/>
      <c r="I3087" s="32"/>
      <c r="Z3087" s="31" t="s">
        <v>3724</v>
      </c>
      <c r="AE3087" s="31" t="s">
        <v>4217</v>
      </c>
      <c r="AU3087">
        <v>3086</v>
      </c>
    </row>
    <row r="3088" spans="1:47" x14ac:dyDescent="0.2">
      <c r="A3088" s="37">
        <v>6628</v>
      </c>
      <c r="B3088" s="38" t="s">
        <v>45</v>
      </c>
      <c r="C3088" s="39" t="s">
        <v>4171</v>
      </c>
      <c r="D3088" s="29"/>
      <c r="E3088" s="36" t="s">
        <v>631</v>
      </c>
      <c r="G3088" s="31" t="s">
        <v>627</v>
      </c>
      <c r="H3088" s="32"/>
      <c r="I3088" s="32" t="s">
        <v>4404</v>
      </c>
      <c r="K3088" s="31">
        <f>5500*2.2</f>
        <v>12100.000000000002</v>
      </c>
      <c r="Z3088" s="31" t="s">
        <v>1846</v>
      </c>
      <c r="AE3088" s="47" t="s">
        <v>4173</v>
      </c>
      <c r="AF3088" s="31">
        <v>225</v>
      </c>
      <c r="AQ3088" s="32" t="s">
        <v>4405</v>
      </c>
      <c r="AU3088">
        <v>3087</v>
      </c>
    </row>
    <row r="3089" spans="1:47" x14ac:dyDescent="0.2">
      <c r="A3089" s="26">
        <v>6628</v>
      </c>
      <c r="B3089" s="27">
        <v>1.3888888888888888E-2</v>
      </c>
      <c r="C3089" s="28"/>
      <c r="D3089" s="29"/>
      <c r="E3089" s="30" t="s">
        <v>1124</v>
      </c>
      <c r="H3089" s="32">
        <v>1</v>
      </c>
      <c r="I3089" s="32" t="s">
        <v>4406</v>
      </c>
      <c r="AG3089" s="32">
        <v>3</v>
      </c>
      <c r="AH3089" s="32">
        <v>11</v>
      </c>
      <c r="AK3089" s="32">
        <v>13</v>
      </c>
      <c r="AL3089" s="32">
        <v>2.3330000000000002</v>
      </c>
      <c r="AO3089" s="46" t="s">
        <v>1126</v>
      </c>
      <c r="AP3089" s="32">
        <v>2.3330000000000002</v>
      </c>
      <c r="AQ3089" s="32" t="s">
        <v>589</v>
      </c>
      <c r="AU3089">
        <v>3088</v>
      </c>
    </row>
    <row r="3090" spans="1:47" x14ac:dyDescent="0.2">
      <c r="A3090" s="13">
        <v>6630</v>
      </c>
      <c r="B3090" s="57" t="s">
        <v>85</v>
      </c>
      <c r="C3090" s="57" t="s">
        <v>1234</v>
      </c>
      <c r="D3090" s="29"/>
      <c r="E3090" s="57" t="s">
        <v>4304</v>
      </c>
      <c r="F3090" s="31" t="s">
        <v>3727</v>
      </c>
      <c r="G3090" s="31" t="s">
        <v>69</v>
      </c>
      <c r="I3090" s="31" t="s">
        <v>4330</v>
      </c>
      <c r="K3090" s="31">
        <v>2464</v>
      </c>
      <c r="AK3090" s="32">
        <v>224</v>
      </c>
      <c r="AQ3090" s="32" t="s">
        <v>4306</v>
      </c>
      <c r="AU3090">
        <v>3089</v>
      </c>
    </row>
    <row r="3091" spans="1:47" x14ac:dyDescent="0.2">
      <c r="A3091" s="37">
        <v>6630</v>
      </c>
      <c r="B3091" s="38" t="s">
        <v>45</v>
      </c>
      <c r="C3091" s="39" t="s">
        <v>4407</v>
      </c>
      <c r="D3091" s="29"/>
      <c r="E3091" s="38" t="s">
        <v>631</v>
      </c>
      <c r="F3091" s="32" t="s">
        <v>626</v>
      </c>
      <c r="G3091" s="47" t="s">
        <v>627</v>
      </c>
      <c r="H3091"/>
      <c r="I3091" s="32"/>
      <c r="J3091" s="47"/>
      <c r="K3091" s="47"/>
      <c r="L3091" s="48"/>
      <c r="M3091" s="47"/>
      <c r="N3091" s="47"/>
      <c r="O3091" s="47"/>
      <c r="P3091" s="47"/>
      <c r="Q3091" s="47"/>
      <c r="R3091" s="47"/>
      <c r="S3091" s="48"/>
      <c r="T3091" s="47"/>
      <c r="U3091" s="47"/>
      <c r="V3091" s="47"/>
      <c r="W3091" s="47"/>
      <c r="X3091" s="47"/>
      <c r="Y3091" s="47"/>
      <c r="Z3091" s="47"/>
      <c r="AA3091" s="49"/>
      <c r="AB3091" s="49"/>
      <c r="AC3091" s="49"/>
      <c r="AD3091" s="50"/>
      <c r="AE3091" s="47"/>
      <c r="AF3091" s="47"/>
      <c r="AG3091"/>
      <c r="AH3091"/>
      <c r="AI3091"/>
      <c r="AJ3091"/>
      <c r="AK3091"/>
      <c r="AL3091"/>
      <c r="AM3091"/>
      <c r="AN3091"/>
      <c r="AO3091"/>
      <c r="AP3091"/>
      <c r="AQ3091" t="s">
        <v>4408</v>
      </c>
      <c r="AU3091">
        <v>3090</v>
      </c>
    </row>
    <row r="3092" spans="1:47" x14ac:dyDescent="0.2">
      <c r="A3092" s="13">
        <v>6632</v>
      </c>
      <c r="B3092" s="57" t="s">
        <v>85</v>
      </c>
      <c r="C3092" s="57" t="s">
        <v>332</v>
      </c>
      <c r="D3092" s="29"/>
      <c r="E3092" s="57" t="s">
        <v>4409</v>
      </c>
      <c r="F3092" s="31" t="s">
        <v>4410</v>
      </c>
      <c r="G3092" s="31" t="s">
        <v>49</v>
      </c>
      <c r="K3092" s="31">
        <v>360.8</v>
      </c>
      <c r="Z3092" s="31" t="s">
        <v>3724</v>
      </c>
      <c r="AK3092" s="32">
        <v>8</v>
      </c>
      <c r="AQ3092" s="32" t="s">
        <v>4303</v>
      </c>
      <c r="AU3092">
        <v>3091</v>
      </c>
    </row>
    <row r="3093" spans="1:47" x14ac:dyDescent="0.2">
      <c r="A3093" s="13">
        <v>6632</v>
      </c>
      <c r="B3093" s="57" t="s">
        <v>85</v>
      </c>
      <c r="C3093" s="57" t="s">
        <v>1077</v>
      </c>
      <c r="D3093" s="29"/>
      <c r="E3093" s="57" t="s">
        <v>3885</v>
      </c>
      <c r="F3093" s="31" t="s">
        <v>76</v>
      </c>
      <c r="G3093" s="31" t="s">
        <v>49</v>
      </c>
      <c r="K3093" s="31">
        <v>409.2</v>
      </c>
      <c r="S3093" s="33">
        <v>1</v>
      </c>
      <c r="Z3093" s="31" t="s">
        <v>3724</v>
      </c>
      <c r="AE3093" s="31" t="s">
        <v>4411</v>
      </c>
      <c r="AF3093" s="31">
        <v>55</v>
      </c>
      <c r="AK3093" s="32">
        <v>12</v>
      </c>
      <c r="AQ3093" s="32" t="s">
        <v>4303</v>
      </c>
      <c r="AU3093">
        <v>3092</v>
      </c>
    </row>
    <row r="3094" spans="1:47" x14ac:dyDescent="0.2">
      <c r="A3094" s="13">
        <v>6632</v>
      </c>
      <c r="B3094" s="57" t="s">
        <v>85</v>
      </c>
      <c r="C3094" s="57" t="s">
        <v>1077</v>
      </c>
      <c r="D3094" s="29"/>
      <c r="E3094" s="57" t="s">
        <v>4412</v>
      </c>
      <c r="F3094" s="31" t="s">
        <v>4413</v>
      </c>
      <c r="G3094" s="31" t="s">
        <v>49</v>
      </c>
      <c r="K3094" s="31">
        <v>409.2</v>
      </c>
      <c r="S3094" s="33">
        <v>1</v>
      </c>
      <c r="Z3094" s="31" t="s">
        <v>3724</v>
      </c>
      <c r="AE3094" s="31" t="s">
        <v>4411</v>
      </c>
      <c r="AF3094" s="31">
        <v>50</v>
      </c>
      <c r="AK3094" s="32">
        <v>12</v>
      </c>
      <c r="AQ3094" s="32" t="s">
        <v>4303</v>
      </c>
      <c r="AU3094">
        <v>3093</v>
      </c>
    </row>
    <row r="3095" spans="1:47" x14ac:dyDescent="0.2">
      <c r="A3095" s="13">
        <v>6632</v>
      </c>
      <c r="B3095" s="57" t="s">
        <v>85</v>
      </c>
      <c r="C3095" s="57" t="s">
        <v>332</v>
      </c>
      <c r="D3095" s="29"/>
      <c r="E3095" s="57" t="s">
        <v>4414</v>
      </c>
      <c r="F3095" s="31" t="s">
        <v>688</v>
      </c>
      <c r="K3095" s="31">
        <v>541.20000000000005</v>
      </c>
      <c r="Z3095" s="31" t="s">
        <v>3724</v>
      </c>
      <c r="AK3095" s="32">
        <v>12</v>
      </c>
      <c r="AQ3095" s="32" t="s">
        <v>4303</v>
      </c>
      <c r="AU3095">
        <v>3094</v>
      </c>
    </row>
    <row r="3096" spans="1:47" x14ac:dyDescent="0.2">
      <c r="A3096" s="13">
        <v>6632</v>
      </c>
      <c r="B3096" s="57" t="s">
        <v>85</v>
      </c>
      <c r="C3096" s="57" t="s">
        <v>332</v>
      </c>
      <c r="D3096" s="29"/>
      <c r="E3096" s="57" t="s">
        <v>4415</v>
      </c>
      <c r="F3096" s="31" t="s">
        <v>4416</v>
      </c>
      <c r="G3096" s="31" t="s">
        <v>49</v>
      </c>
      <c r="K3096" s="31">
        <v>541.20000000000005</v>
      </c>
      <c r="Z3096" s="31" t="s">
        <v>3724</v>
      </c>
      <c r="AK3096" s="32">
        <v>12</v>
      </c>
      <c r="AQ3096" s="32" t="s">
        <v>4303</v>
      </c>
      <c r="AU3096">
        <v>3095</v>
      </c>
    </row>
    <row r="3097" spans="1:47" x14ac:dyDescent="0.2">
      <c r="A3097" s="13">
        <v>6632</v>
      </c>
      <c r="B3097" s="57" t="s">
        <v>85</v>
      </c>
      <c r="C3097" s="57" t="s">
        <v>1234</v>
      </c>
      <c r="D3097" s="29"/>
      <c r="E3097" s="57" t="s">
        <v>4304</v>
      </c>
      <c r="F3097" s="31" t="s">
        <v>3727</v>
      </c>
      <c r="G3097" s="31" t="s">
        <v>69</v>
      </c>
      <c r="I3097" s="31" t="s">
        <v>4417</v>
      </c>
      <c r="K3097" s="31">
        <v>3264.8</v>
      </c>
      <c r="AK3097" s="32">
        <v>84</v>
      </c>
      <c r="AQ3097" s="32" t="s">
        <v>4315</v>
      </c>
      <c r="AU3097">
        <v>3096</v>
      </c>
    </row>
    <row r="3098" spans="1:47" x14ac:dyDescent="0.2">
      <c r="A3098" s="13">
        <v>6632</v>
      </c>
      <c r="B3098" s="57" t="s">
        <v>85</v>
      </c>
      <c r="C3098" s="57" t="s">
        <v>332</v>
      </c>
      <c r="D3098" s="29"/>
      <c r="E3098" s="57" t="s">
        <v>3643</v>
      </c>
      <c r="F3098" s="33" t="s">
        <v>4377</v>
      </c>
      <c r="G3098" s="31" t="s">
        <v>274</v>
      </c>
      <c r="K3098" s="31">
        <v>3968.8</v>
      </c>
      <c r="Z3098" s="31" t="s">
        <v>3724</v>
      </c>
      <c r="AK3098" s="32">
        <v>88</v>
      </c>
      <c r="AQ3098" s="32" t="s">
        <v>4303</v>
      </c>
      <c r="AU3098">
        <v>3097</v>
      </c>
    </row>
    <row r="3099" spans="1:47" x14ac:dyDescent="0.2">
      <c r="A3099" s="133">
        <v>6632</v>
      </c>
      <c r="B3099" s="39" t="s">
        <v>45</v>
      </c>
      <c r="C3099" s="39">
        <v>100</v>
      </c>
      <c r="D3099" s="29" t="b">
        <v>0</v>
      </c>
      <c r="E3099" s="39" t="s">
        <v>649</v>
      </c>
      <c r="F3099" s="47" t="s">
        <v>529</v>
      </c>
      <c r="G3099" s="47" t="s">
        <v>205</v>
      </c>
      <c r="H3099"/>
      <c r="I3099" s="47" t="b">
        <v>1</v>
      </c>
      <c r="J3099" s="47" t="b">
        <v>1</v>
      </c>
      <c r="K3099" s="47">
        <v>3144</v>
      </c>
      <c r="L3099" s="48">
        <v>11</v>
      </c>
      <c r="M3099" s="47">
        <v>0</v>
      </c>
      <c r="N3099" s="47">
        <v>2</v>
      </c>
      <c r="O3099" s="47">
        <v>0</v>
      </c>
      <c r="P3099" s="47">
        <v>0</v>
      </c>
      <c r="Q3099" s="47">
        <v>0</v>
      </c>
      <c r="R3099" s="47">
        <v>0</v>
      </c>
      <c r="S3099" s="48">
        <v>9</v>
      </c>
      <c r="T3099" s="47">
        <v>0</v>
      </c>
      <c r="U3099" s="47">
        <v>0</v>
      </c>
      <c r="V3099" s="47">
        <v>0</v>
      </c>
      <c r="W3099" s="47">
        <v>800</v>
      </c>
      <c r="X3099" s="47">
        <v>434</v>
      </c>
      <c r="Y3099" s="47"/>
      <c r="Z3099" s="47" t="s">
        <v>2524</v>
      </c>
      <c r="AA3099" s="49"/>
      <c r="AB3099" s="49"/>
      <c r="AC3099" s="49"/>
      <c r="AD3099" s="50"/>
      <c r="AE3099" s="47" t="s">
        <v>1312</v>
      </c>
      <c r="AF3099" s="31">
        <v>55</v>
      </c>
      <c r="AG3099"/>
      <c r="AH3099"/>
      <c r="AI3099"/>
      <c r="AJ3099"/>
      <c r="AK3099"/>
      <c r="AL3099"/>
      <c r="AM3099"/>
      <c r="AN3099"/>
      <c r="AO3099"/>
      <c r="AP3099"/>
      <c r="AQ3099" t="s">
        <v>2526</v>
      </c>
      <c r="AU3099">
        <v>3098</v>
      </c>
    </row>
    <row r="3100" spans="1:47" x14ac:dyDescent="0.2">
      <c r="A3100" s="133">
        <v>6632</v>
      </c>
      <c r="B3100" s="39" t="s">
        <v>45</v>
      </c>
      <c r="C3100" s="39">
        <v>100</v>
      </c>
      <c r="D3100" s="29" t="b">
        <v>0</v>
      </c>
      <c r="E3100" s="39" t="s">
        <v>649</v>
      </c>
      <c r="F3100" s="47" t="s">
        <v>529</v>
      </c>
      <c r="G3100" s="47" t="s">
        <v>205</v>
      </c>
      <c r="H3100"/>
      <c r="I3100" s="47" t="b">
        <v>0</v>
      </c>
      <c r="J3100" s="47" t="b">
        <v>0</v>
      </c>
      <c r="K3100" s="47">
        <v>2096</v>
      </c>
      <c r="L3100" s="48">
        <v>8</v>
      </c>
      <c r="M3100" s="47">
        <v>0</v>
      </c>
      <c r="N3100" s="47">
        <v>2</v>
      </c>
      <c r="O3100" s="47">
        <v>0</v>
      </c>
      <c r="P3100" s="47">
        <v>0</v>
      </c>
      <c r="Q3100" s="47">
        <v>0</v>
      </c>
      <c r="R3100" s="47">
        <v>0</v>
      </c>
      <c r="S3100" s="48">
        <v>6</v>
      </c>
      <c r="T3100" s="47">
        <v>0</v>
      </c>
      <c r="U3100" s="47">
        <v>0</v>
      </c>
      <c r="V3100" s="47">
        <v>0</v>
      </c>
      <c r="W3100" s="47">
        <v>700</v>
      </c>
      <c r="X3100" s="47">
        <v>433</v>
      </c>
      <c r="Y3100" s="47"/>
      <c r="Z3100" s="47" t="s">
        <v>2524</v>
      </c>
      <c r="AA3100" s="49"/>
      <c r="AB3100" s="49"/>
      <c r="AC3100" s="49"/>
      <c r="AD3100" s="50"/>
      <c r="AE3100" s="47" t="s">
        <v>1312</v>
      </c>
      <c r="AF3100" s="31">
        <v>55</v>
      </c>
      <c r="AG3100"/>
      <c r="AH3100"/>
      <c r="AI3100"/>
      <c r="AJ3100"/>
      <c r="AK3100"/>
      <c r="AL3100"/>
      <c r="AM3100"/>
      <c r="AN3100"/>
      <c r="AO3100"/>
      <c r="AP3100"/>
      <c r="AQ3100" t="s">
        <v>2526</v>
      </c>
      <c r="AU3100">
        <v>3099</v>
      </c>
    </row>
    <row r="3101" spans="1:47" x14ac:dyDescent="0.2">
      <c r="A3101" s="133">
        <v>6632</v>
      </c>
      <c r="B3101" s="39" t="s">
        <v>45</v>
      </c>
      <c r="C3101" s="39">
        <v>100</v>
      </c>
      <c r="D3101" s="29" t="b">
        <v>0</v>
      </c>
      <c r="E3101" s="39" t="s">
        <v>649</v>
      </c>
      <c r="F3101" s="47" t="s">
        <v>529</v>
      </c>
      <c r="G3101" s="47" t="s">
        <v>205</v>
      </c>
      <c r="H3101"/>
      <c r="I3101" s="47" t="b">
        <v>0</v>
      </c>
      <c r="J3101" s="47" t="b">
        <v>0</v>
      </c>
      <c r="K3101" s="47">
        <v>1048</v>
      </c>
      <c r="L3101" s="48">
        <v>3</v>
      </c>
      <c r="M3101" s="47">
        <v>0</v>
      </c>
      <c r="N3101" s="47">
        <v>0</v>
      </c>
      <c r="O3101" s="47">
        <v>0</v>
      </c>
      <c r="P3101" s="47">
        <v>0</v>
      </c>
      <c r="Q3101" s="47">
        <v>0</v>
      </c>
      <c r="R3101" s="47">
        <v>0</v>
      </c>
      <c r="S3101" s="48">
        <v>3</v>
      </c>
      <c r="T3101" s="47">
        <v>0</v>
      </c>
      <c r="U3101" s="47">
        <v>0</v>
      </c>
      <c r="V3101" s="47">
        <v>0</v>
      </c>
      <c r="W3101" s="47">
        <v>1000</v>
      </c>
      <c r="X3101" s="47">
        <v>436</v>
      </c>
      <c r="Y3101" s="47"/>
      <c r="Z3101" s="47" t="s">
        <v>2524</v>
      </c>
      <c r="AA3101" s="49"/>
      <c r="AB3101" s="49"/>
      <c r="AC3101" s="49"/>
      <c r="AD3101" s="50"/>
      <c r="AE3101" s="47" t="s">
        <v>1312</v>
      </c>
      <c r="AF3101" s="31">
        <v>55</v>
      </c>
      <c r="AG3101"/>
      <c r="AH3101"/>
      <c r="AI3101"/>
      <c r="AJ3101"/>
      <c r="AK3101"/>
      <c r="AL3101"/>
      <c r="AM3101"/>
      <c r="AN3101"/>
      <c r="AO3101"/>
      <c r="AP3101"/>
      <c r="AQ3101" t="s">
        <v>2526</v>
      </c>
      <c r="AU3101">
        <v>3100</v>
      </c>
    </row>
    <row r="3102" spans="1:47" x14ac:dyDescent="0.2">
      <c r="A3102" s="133">
        <v>6632</v>
      </c>
      <c r="B3102" s="39" t="s">
        <v>45</v>
      </c>
      <c r="C3102" s="39">
        <v>216</v>
      </c>
      <c r="D3102" s="29" t="b">
        <v>0</v>
      </c>
      <c r="E3102" s="39" t="s">
        <v>1006</v>
      </c>
      <c r="F3102" s="47" t="s">
        <v>433</v>
      </c>
      <c r="G3102" s="47" t="s">
        <v>49</v>
      </c>
      <c r="H3102"/>
      <c r="I3102" s="47" t="b">
        <v>0</v>
      </c>
      <c r="J3102" s="47" t="b">
        <v>1</v>
      </c>
      <c r="K3102" s="47">
        <v>1344</v>
      </c>
      <c r="L3102" s="48">
        <v>2</v>
      </c>
      <c r="M3102" s="47">
        <v>1</v>
      </c>
      <c r="N3102" s="47">
        <v>0</v>
      </c>
      <c r="O3102" s="47">
        <v>0</v>
      </c>
      <c r="P3102" s="47">
        <v>0</v>
      </c>
      <c r="Q3102" s="47">
        <v>0</v>
      </c>
      <c r="R3102" s="47">
        <v>0</v>
      </c>
      <c r="S3102" s="48">
        <v>1</v>
      </c>
      <c r="T3102" s="47">
        <v>0</v>
      </c>
      <c r="U3102" s="47">
        <v>0</v>
      </c>
      <c r="V3102" s="47">
        <v>0</v>
      </c>
      <c r="W3102" s="47">
        <v>5600</v>
      </c>
      <c r="X3102" s="47">
        <v>435</v>
      </c>
      <c r="Y3102" s="47"/>
      <c r="Z3102" s="47" t="s">
        <v>2466</v>
      </c>
      <c r="AA3102" s="49"/>
      <c r="AB3102" s="49"/>
      <c r="AC3102" s="49"/>
      <c r="AD3102" s="50"/>
      <c r="AE3102" s="47" t="s">
        <v>1312</v>
      </c>
      <c r="AF3102" s="47">
        <v>135</v>
      </c>
      <c r="AG3102"/>
      <c r="AH3102"/>
      <c r="AI3102"/>
      <c r="AJ3102"/>
      <c r="AK3102"/>
      <c r="AL3102"/>
      <c r="AM3102"/>
      <c r="AN3102"/>
      <c r="AO3102"/>
      <c r="AP3102"/>
      <c r="AQ3102" t="s">
        <v>2526</v>
      </c>
      <c r="AU3102">
        <v>3101</v>
      </c>
    </row>
    <row r="3103" spans="1:47" x14ac:dyDescent="0.2">
      <c r="A3103" s="133">
        <v>6632</v>
      </c>
      <c r="B3103" s="39" t="s">
        <v>45</v>
      </c>
      <c r="C3103" s="39" t="s">
        <v>142</v>
      </c>
      <c r="D3103" s="29"/>
      <c r="E3103" s="39" t="s">
        <v>4418</v>
      </c>
      <c r="F3103" s="32" t="s">
        <v>246</v>
      </c>
      <c r="G3103" s="47" t="s">
        <v>49</v>
      </c>
      <c r="H3103"/>
      <c r="I3103" s="47" t="b">
        <v>1</v>
      </c>
      <c r="J3103" s="47" t="b">
        <v>1</v>
      </c>
      <c r="K3103" s="47">
        <f>1800*2.2</f>
        <v>3960.0000000000005</v>
      </c>
      <c r="L3103" s="48">
        <v>13</v>
      </c>
      <c r="M3103" s="47">
        <v>1</v>
      </c>
      <c r="N3103" s="47">
        <v>1</v>
      </c>
      <c r="O3103" s="47"/>
      <c r="P3103" s="47"/>
      <c r="Q3103" s="47"/>
      <c r="R3103" s="47"/>
      <c r="S3103" s="48">
        <v>11</v>
      </c>
      <c r="T3103" s="47">
        <v>0</v>
      </c>
      <c r="U3103" s="47">
        <v>0</v>
      </c>
      <c r="V3103" s="47">
        <v>0</v>
      </c>
      <c r="W3103" s="47"/>
      <c r="X3103" s="47"/>
      <c r="Y3103" s="47" t="s">
        <v>51</v>
      </c>
      <c r="Z3103" s="31" t="s">
        <v>3855</v>
      </c>
      <c r="AA3103" s="49">
        <v>0.83333333333333337</v>
      </c>
      <c r="AB3103" s="49">
        <v>0.98611111111111116</v>
      </c>
      <c r="AC3103" s="49">
        <f>AVERAGE(AA3103:AB3103)</f>
        <v>0.90972222222222232</v>
      </c>
      <c r="AD3103" s="50">
        <f>(AB3103-AA3103)*24</f>
        <v>3.666666666666667</v>
      </c>
      <c r="AE3103" s="31" t="s">
        <v>4124</v>
      </c>
      <c r="AF3103" s="47"/>
      <c r="AG3103"/>
      <c r="AH3103"/>
      <c r="AI3103"/>
      <c r="AJ3103"/>
      <c r="AK3103">
        <f>36+26</f>
        <v>62</v>
      </c>
      <c r="AL3103"/>
      <c r="AM3103"/>
      <c r="AN3103"/>
      <c r="AO3103"/>
      <c r="AP3103"/>
      <c r="AQ3103" s="32" t="s">
        <v>4419</v>
      </c>
      <c r="AR3103" s="32" t="s">
        <v>4420</v>
      </c>
      <c r="AU3103">
        <v>3102</v>
      </c>
    </row>
    <row r="3104" spans="1:47" x14ac:dyDescent="0.2">
      <c r="A3104" s="13">
        <v>6632</v>
      </c>
      <c r="B3104" s="57" t="s">
        <v>45</v>
      </c>
      <c r="C3104" s="57" t="s">
        <v>142</v>
      </c>
      <c r="D3104" s="29"/>
      <c r="E3104" s="57" t="s">
        <v>3063</v>
      </c>
      <c r="F3104" s="31" t="s">
        <v>76</v>
      </c>
      <c r="G3104" s="31" t="s">
        <v>49</v>
      </c>
      <c r="I3104" s="47" t="b">
        <v>0</v>
      </c>
      <c r="J3104" s="47" t="b">
        <v>0</v>
      </c>
      <c r="K3104" s="31">
        <f>1095*2.2</f>
        <v>2409</v>
      </c>
      <c r="Z3104" s="31" t="s">
        <v>3855</v>
      </c>
      <c r="AE3104" s="31" t="s">
        <v>4124</v>
      </c>
      <c r="AF3104" s="31">
        <v>70</v>
      </c>
      <c r="AK3104" s="32">
        <v>36</v>
      </c>
      <c r="AQ3104" s="32" t="s">
        <v>4421</v>
      </c>
      <c r="AR3104" s="31" t="s">
        <v>4422</v>
      </c>
      <c r="AU3104">
        <v>3103</v>
      </c>
    </row>
    <row r="3105" spans="1:47" x14ac:dyDescent="0.2">
      <c r="A3105" s="13">
        <v>6632</v>
      </c>
      <c r="B3105" s="57" t="s">
        <v>45</v>
      </c>
      <c r="C3105" s="57" t="s">
        <v>142</v>
      </c>
      <c r="D3105" s="29"/>
      <c r="E3105" s="57" t="s">
        <v>2191</v>
      </c>
      <c r="F3105" s="31" t="s">
        <v>76</v>
      </c>
      <c r="G3105" s="31" t="s">
        <v>49</v>
      </c>
      <c r="I3105" s="47" t="b">
        <v>0</v>
      </c>
      <c r="J3105" s="47" t="b">
        <v>0</v>
      </c>
      <c r="K3105" s="31">
        <f>705*2.2</f>
        <v>1551.0000000000002</v>
      </c>
      <c r="Z3105" s="31" t="s">
        <v>3855</v>
      </c>
      <c r="AE3105" s="31" t="s">
        <v>4124</v>
      </c>
      <c r="AF3105" s="31">
        <v>60</v>
      </c>
      <c r="AK3105" s="32">
        <v>26</v>
      </c>
      <c r="AQ3105" s="32" t="s">
        <v>4421</v>
      </c>
      <c r="AR3105" s="31" t="s">
        <v>4422</v>
      </c>
      <c r="AU3105">
        <v>3104</v>
      </c>
    </row>
    <row r="3106" spans="1:47" x14ac:dyDescent="0.2">
      <c r="A3106" s="13">
        <v>6632</v>
      </c>
      <c r="B3106" s="57" t="s">
        <v>45</v>
      </c>
      <c r="C3106" s="57" t="s">
        <v>1367</v>
      </c>
      <c r="D3106" s="29"/>
      <c r="E3106" s="57" t="s">
        <v>4423</v>
      </c>
      <c r="F3106" s="31" t="s">
        <v>4104</v>
      </c>
      <c r="G3106" s="31" t="s">
        <v>49</v>
      </c>
      <c r="K3106" s="31">
        <v>660</v>
      </c>
      <c r="AK3106" s="32">
        <v>6</v>
      </c>
      <c r="AQ3106" s="32" t="s">
        <v>4315</v>
      </c>
      <c r="AU3106">
        <v>3105</v>
      </c>
    </row>
    <row r="3107" spans="1:47" x14ac:dyDescent="0.2">
      <c r="A3107" s="13">
        <v>6632</v>
      </c>
      <c r="B3107" s="57" t="s">
        <v>45</v>
      </c>
      <c r="C3107" s="57" t="s">
        <v>1367</v>
      </c>
      <c r="D3107" s="29"/>
      <c r="E3107" s="57" t="s">
        <v>788</v>
      </c>
      <c r="F3107" s="31" t="s">
        <v>76</v>
      </c>
      <c r="G3107" s="31" t="s">
        <v>49</v>
      </c>
      <c r="I3107" s="31" t="s">
        <v>3602</v>
      </c>
      <c r="K3107" s="31">
        <v>1210</v>
      </c>
      <c r="AK3107" s="32">
        <v>14</v>
      </c>
      <c r="AQ3107" s="32" t="s">
        <v>4315</v>
      </c>
      <c r="AU3107">
        <v>3106</v>
      </c>
    </row>
    <row r="3108" spans="1:47" x14ac:dyDescent="0.2">
      <c r="A3108" s="13">
        <v>6632</v>
      </c>
      <c r="B3108" s="57" t="s">
        <v>45</v>
      </c>
      <c r="C3108" s="38" t="s">
        <v>3610</v>
      </c>
      <c r="D3108" s="29"/>
      <c r="E3108" s="57" t="s">
        <v>175</v>
      </c>
      <c r="F3108" s="31" t="s">
        <v>76</v>
      </c>
      <c r="G3108" s="31" t="s">
        <v>49</v>
      </c>
      <c r="I3108" s="31" t="s">
        <v>4424</v>
      </c>
      <c r="K3108" s="135">
        <f>(6+8)*50*2.2</f>
        <v>1540.0000000000002</v>
      </c>
      <c r="L3108" s="33">
        <v>2</v>
      </c>
      <c r="S3108" s="33">
        <v>2</v>
      </c>
      <c r="T3108" s="31">
        <v>0</v>
      </c>
      <c r="U3108" s="31">
        <v>0</v>
      </c>
      <c r="V3108" s="31">
        <v>0</v>
      </c>
      <c r="W3108" s="47">
        <f>((2300+3000)/2)*39.37/12</f>
        <v>8694.2083333333339</v>
      </c>
      <c r="Y3108" s="31" t="s">
        <v>51</v>
      </c>
      <c r="Z3108" s="31" t="s">
        <v>1846</v>
      </c>
      <c r="AD3108" s="35">
        <v>2</v>
      </c>
      <c r="AE3108" s="31" t="s">
        <v>4173</v>
      </c>
      <c r="AF3108" s="31">
        <v>55</v>
      </c>
      <c r="AH3108" s="31"/>
      <c r="AK3108" s="130">
        <f>6+8</f>
        <v>14</v>
      </c>
      <c r="AQ3108" s="32" t="s">
        <v>4425</v>
      </c>
      <c r="AU3108">
        <v>3107</v>
      </c>
    </row>
    <row r="3109" spans="1:47" x14ac:dyDescent="0.2">
      <c r="A3109" s="13">
        <v>6632</v>
      </c>
      <c r="B3109" s="57" t="s">
        <v>45</v>
      </c>
      <c r="C3109" s="57" t="s">
        <v>1367</v>
      </c>
      <c r="D3109" s="29"/>
      <c r="E3109" s="57" t="s">
        <v>175</v>
      </c>
      <c r="F3109" s="31" t="s">
        <v>76</v>
      </c>
      <c r="G3109" s="31" t="s">
        <v>49</v>
      </c>
      <c r="I3109" s="31" t="s">
        <v>4426</v>
      </c>
      <c r="K3109" s="31">
        <f>1870-1540</f>
        <v>330</v>
      </c>
      <c r="AK3109" s="32">
        <f>23-14</f>
        <v>9</v>
      </c>
      <c r="AQ3109" s="32" t="s">
        <v>4315</v>
      </c>
      <c r="AU3109">
        <v>3108</v>
      </c>
    </row>
    <row r="3110" spans="1:47" x14ac:dyDescent="0.2">
      <c r="A3110" s="13">
        <v>6632</v>
      </c>
      <c r="B3110" s="57" t="s">
        <v>45</v>
      </c>
      <c r="C3110" s="57" t="s">
        <v>1367</v>
      </c>
      <c r="D3110" s="29"/>
      <c r="E3110" s="57" t="s">
        <v>1048</v>
      </c>
      <c r="F3110" s="31" t="s">
        <v>76</v>
      </c>
      <c r="G3110" s="31" t="s">
        <v>49</v>
      </c>
      <c r="I3110" s="31" t="s">
        <v>3602</v>
      </c>
      <c r="K3110" s="31">
        <v>3245</v>
      </c>
      <c r="AK3110" s="32">
        <v>37</v>
      </c>
      <c r="AQ3110" s="32" t="s">
        <v>4315</v>
      </c>
      <c r="AU3110">
        <v>3109</v>
      </c>
    </row>
    <row r="3111" spans="1:47" x14ac:dyDescent="0.2">
      <c r="A3111" s="37">
        <v>6632</v>
      </c>
      <c r="B3111" s="57" t="s">
        <v>45</v>
      </c>
      <c r="C3111" s="15" t="s">
        <v>3730</v>
      </c>
      <c r="D3111" s="29"/>
      <c r="E3111" s="38" t="s">
        <v>4427</v>
      </c>
      <c r="F3111" s="32" t="s">
        <v>204</v>
      </c>
      <c r="G3111" s="47" t="s">
        <v>205</v>
      </c>
      <c r="H3111"/>
      <c r="I3111" s="31" t="s">
        <v>4428</v>
      </c>
      <c r="J3111" s="47"/>
      <c r="K3111" s="135">
        <f>2*96*2.2</f>
        <v>422.40000000000003</v>
      </c>
      <c r="L3111" s="48"/>
      <c r="M3111" s="47"/>
      <c r="N3111" s="47"/>
      <c r="O3111" s="47"/>
      <c r="P3111" s="47"/>
      <c r="Q3111" s="47"/>
      <c r="R3111" s="47"/>
      <c r="S3111" s="48">
        <v>2</v>
      </c>
      <c r="T3111" s="47">
        <v>0</v>
      </c>
      <c r="U3111" s="47">
        <v>0</v>
      </c>
      <c r="V3111" s="47">
        <v>0</v>
      </c>
      <c r="W3111" s="47"/>
      <c r="X3111" s="47"/>
      <c r="Y3111" s="31" t="s">
        <v>51</v>
      </c>
      <c r="Z3111" s="31" t="s">
        <v>1809</v>
      </c>
      <c r="AE3111" s="47" t="s">
        <v>1653</v>
      </c>
      <c r="AF3111" s="31">
        <v>90</v>
      </c>
      <c r="AO3111" s="73"/>
      <c r="AQ3111" s="18" t="s">
        <v>4270</v>
      </c>
      <c r="AU3111">
        <v>3110</v>
      </c>
    </row>
    <row r="3112" spans="1:47" x14ac:dyDescent="0.2">
      <c r="A3112" s="26">
        <v>6632</v>
      </c>
      <c r="B3112" s="27">
        <v>0.37847222222222227</v>
      </c>
      <c r="C3112" s="28"/>
      <c r="D3112" s="29"/>
      <c r="E3112" s="102" t="s">
        <v>1102</v>
      </c>
      <c r="H3112" s="32">
        <v>0</v>
      </c>
      <c r="I3112" s="32" t="s">
        <v>1103</v>
      </c>
      <c r="AG3112" s="32">
        <v>0</v>
      </c>
      <c r="AH3112" s="32">
        <v>0</v>
      </c>
      <c r="AI3112" s="32">
        <v>0</v>
      </c>
      <c r="AK3112" s="32">
        <v>0</v>
      </c>
      <c r="AL3112" s="32">
        <f>5/6</f>
        <v>0.83333333333333337</v>
      </c>
      <c r="AO3112" s="73" t="s">
        <v>1006</v>
      </c>
      <c r="AP3112" s="32">
        <f>5/6</f>
        <v>0.83333333333333337</v>
      </c>
      <c r="AQ3112" s="32" t="s">
        <v>589</v>
      </c>
      <c r="AU3112">
        <v>3111</v>
      </c>
    </row>
    <row r="3113" spans="1:47" x14ac:dyDescent="0.2">
      <c r="A3113" s="26">
        <v>6632</v>
      </c>
      <c r="B3113" s="27">
        <v>0.48958333333333331</v>
      </c>
      <c r="C3113" s="28"/>
      <c r="D3113" s="29"/>
      <c r="E3113" s="30" t="s">
        <v>869</v>
      </c>
      <c r="H3113" s="32">
        <v>0</v>
      </c>
      <c r="I3113" s="32" t="s">
        <v>2344</v>
      </c>
      <c r="AG3113" s="32">
        <v>0</v>
      </c>
      <c r="AH3113" s="32">
        <v>0</v>
      </c>
      <c r="AI3113" s="32">
        <v>0</v>
      </c>
      <c r="AK3113" s="32">
        <v>0</v>
      </c>
      <c r="AL3113" s="32">
        <f>5/60</f>
        <v>8.3333333333333329E-2</v>
      </c>
      <c r="AP3113" s="32">
        <f>5/60</f>
        <v>8.3333333333333329E-2</v>
      </c>
      <c r="AQ3113" s="32" t="s">
        <v>589</v>
      </c>
      <c r="AU3113">
        <v>3112</v>
      </c>
    </row>
    <row r="3114" spans="1:47" x14ac:dyDescent="0.2">
      <c r="A3114" s="26">
        <v>6632</v>
      </c>
      <c r="B3114" s="27">
        <v>0.80208333333333337</v>
      </c>
      <c r="C3114" s="28"/>
      <c r="D3114" s="29"/>
      <c r="E3114" s="30" t="s">
        <v>1124</v>
      </c>
      <c r="H3114" s="32">
        <v>1</v>
      </c>
      <c r="I3114" s="32" t="s">
        <v>1534</v>
      </c>
      <c r="AG3114" s="32">
        <v>2</v>
      </c>
      <c r="AH3114" s="32">
        <v>3</v>
      </c>
      <c r="AK3114" s="32">
        <v>12</v>
      </c>
      <c r="AL3114" s="32">
        <f>4+10/60</f>
        <v>4.166666666666667</v>
      </c>
      <c r="AO3114" s="46" t="s">
        <v>1126</v>
      </c>
      <c r="AP3114" s="32">
        <f>4+10/60</f>
        <v>4.166666666666667</v>
      </c>
      <c r="AQ3114" s="32" t="s">
        <v>589</v>
      </c>
      <c r="AU3114">
        <v>3113</v>
      </c>
    </row>
    <row r="3115" spans="1:47" x14ac:dyDescent="0.2">
      <c r="A3115" s="26">
        <v>6632</v>
      </c>
      <c r="B3115" s="27">
        <v>0.8125</v>
      </c>
      <c r="C3115" s="28"/>
      <c r="D3115" s="29"/>
      <c r="E3115" s="30" t="s">
        <v>1282</v>
      </c>
      <c r="H3115" s="32">
        <v>0</v>
      </c>
      <c r="I3115" s="32" t="s">
        <v>4429</v>
      </c>
      <c r="AG3115" s="32">
        <v>0</v>
      </c>
      <c r="AH3115" s="32">
        <v>0</v>
      </c>
      <c r="AI3115" s="32">
        <v>0</v>
      </c>
      <c r="AK3115" s="32">
        <v>0</v>
      </c>
      <c r="AL3115" s="32">
        <v>3.75</v>
      </c>
      <c r="AP3115" s="32">
        <f>2+35/60</f>
        <v>2.5833333333333335</v>
      </c>
      <c r="AQ3115" s="32" t="s">
        <v>1101</v>
      </c>
      <c r="AU3115">
        <v>3114</v>
      </c>
    </row>
    <row r="3116" spans="1:47" x14ac:dyDescent="0.2">
      <c r="A3116" s="26">
        <v>6632</v>
      </c>
      <c r="B3116" s="27">
        <v>0.87152777777777779</v>
      </c>
      <c r="C3116" s="28"/>
      <c r="D3116" s="29"/>
      <c r="E3116" s="30" t="s">
        <v>4219</v>
      </c>
      <c r="H3116" s="32">
        <v>1</v>
      </c>
      <c r="I3116" s="32" t="s">
        <v>4430</v>
      </c>
      <c r="AL3116" s="32">
        <v>1</v>
      </c>
      <c r="AO3116" s="32" t="s">
        <v>858</v>
      </c>
      <c r="AP3116" s="32">
        <v>1</v>
      </c>
      <c r="AQ3116" s="32" t="s">
        <v>1101</v>
      </c>
      <c r="AU3116">
        <v>3115</v>
      </c>
    </row>
    <row r="3117" spans="1:47" x14ac:dyDescent="0.2">
      <c r="A3117" s="26">
        <v>6632</v>
      </c>
      <c r="B3117" s="27">
        <v>0.87152777777777779</v>
      </c>
      <c r="C3117" s="28"/>
      <c r="D3117" s="29"/>
      <c r="E3117" s="30" t="s">
        <v>869</v>
      </c>
      <c r="H3117" s="32">
        <v>0</v>
      </c>
      <c r="I3117" s="32" t="s">
        <v>4431</v>
      </c>
      <c r="AG3117" s="32">
        <v>0</v>
      </c>
      <c r="AH3117" s="32">
        <v>0</v>
      </c>
      <c r="AI3117" s="32">
        <v>0</v>
      </c>
      <c r="AK3117" s="32">
        <v>0</v>
      </c>
      <c r="AL3117" s="32">
        <v>1.333</v>
      </c>
      <c r="AP3117" s="32">
        <v>1.333</v>
      </c>
      <c r="AQ3117" s="32" t="s">
        <v>589</v>
      </c>
      <c r="AU3117">
        <v>3116</v>
      </c>
    </row>
    <row r="3118" spans="1:47" x14ac:dyDescent="0.2">
      <c r="A3118" s="26">
        <v>6632</v>
      </c>
      <c r="B3118" s="27" t="s">
        <v>45</v>
      </c>
      <c r="C3118" s="28"/>
      <c r="D3118" s="29"/>
      <c r="E3118" s="30" t="s">
        <v>1531</v>
      </c>
      <c r="H3118" s="32">
        <v>0</v>
      </c>
      <c r="I3118" s="32" t="s">
        <v>1532</v>
      </c>
      <c r="AG3118" s="32">
        <v>0</v>
      </c>
      <c r="AH3118" s="32">
        <v>0</v>
      </c>
      <c r="AI3118" s="32">
        <v>0</v>
      </c>
      <c r="AK3118" s="32">
        <v>0</v>
      </c>
      <c r="AM3118" s="32">
        <f>498*42</f>
        <v>20916</v>
      </c>
      <c r="AO3118" s="32" t="s">
        <v>1533</v>
      </c>
      <c r="AQ3118" s="32" t="s">
        <v>1101</v>
      </c>
      <c r="AU3118">
        <v>3117</v>
      </c>
    </row>
    <row r="3119" spans="1:47" x14ac:dyDescent="0.2">
      <c r="A3119" s="26">
        <v>6632</v>
      </c>
      <c r="B3119" s="27" t="s">
        <v>45</v>
      </c>
      <c r="C3119" s="28"/>
      <c r="D3119" s="29"/>
      <c r="E3119" s="150" t="s">
        <v>2286</v>
      </c>
      <c r="H3119" s="32">
        <v>0</v>
      </c>
      <c r="I3119" s="32" t="s">
        <v>1824</v>
      </c>
      <c r="AG3119" s="32">
        <v>0</v>
      </c>
      <c r="AH3119" s="32">
        <v>0</v>
      </c>
      <c r="AI3119" s="32">
        <v>0</v>
      </c>
      <c r="AK3119" s="32">
        <v>0</v>
      </c>
      <c r="AM3119" s="32">
        <v>2500</v>
      </c>
      <c r="AO3119" s="73" t="s">
        <v>75</v>
      </c>
      <c r="AQ3119" s="32" t="s">
        <v>589</v>
      </c>
      <c r="AU3119">
        <v>3118</v>
      </c>
    </row>
    <row r="3120" spans="1:47" x14ac:dyDescent="0.2">
      <c r="A3120" s="26">
        <v>6632</v>
      </c>
      <c r="B3120" s="27"/>
      <c r="C3120" s="28"/>
      <c r="D3120" s="29"/>
      <c r="E3120" s="30" t="s">
        <v>3063</v>
      </c>
      <c r="H3120" s="32">
        <v>1</v>
      </c>
      <c r="I3120" s="32" t="s">
        <v>4432</v>
      </c>
      <c r="AQ3120" s="32">
        <v>374</v>
      </c>
      <c r="AU3120">
        <v>3119</v>
      </c>
    </row>
    <row r="3121" spans="1:47" x14ac:dyDescent="0.2">
      <c r="A3121" s="26">
        <v>6632</v>
      </c>
      <c r="B3121" s="27"/>
      <c r="C3121" s="28"/>
      <c r="D3121" s="29"/>
      <c r="E3121" s="30" t="s">
        <v>75</v>
      </c>
      <c r="H3121" s="32">
        <v>1</v>
      </c>
      <c r="I3121" s="32" t="s">
        <v>4433</v>
      </c>
      <c r="AG3121" s="32">
        <v>0</v>
      </c>
      <c r="AH3121" s="32">
        <v>0</v>
      </c>
      <c r="AI3121" s="32">
        <v>180</v>
      </c>
      <c r="AL3121" s="32">
        <v>0</v>
      </c>
      <c r="AQ3121" s="32">
        <v>413</v>
      </c>
      <c r="AU3121">
        <v>3120</v>
      </c>
    </row>
    <row r="3122" spans="1:47" x14ac:dyDescent="0.2">
      <c r="A3122" s="26">
        <v>6633</v>
      </c>
      <c r="B3122" s="27">
        <v>3.472222222222222E-3</v>
      </c>
      <c r="C3122" s="28"/>
      <c r="D3122" s="29"/>
      <c r="E3122" s="30" t="s">
        <v>464</v>
      </c>
      <c r="H3122" s="32">
        <v>0</v>
      </c>
      <c r="I3122" s="32" t="s">
        <v>4434</v>
      </c>
      <c r="AG3122" s="32">
        <v>0</v>
      </c>
      <c r="AH3122" s="32">
        <v>0</v>
      </c>
      <c r="AL3122" s="32">
        <v>0.75</v>
      </c>
      <c r="AO3122" s="32" t="s">
        <v>4067</v>
      </c>
      <c r="AP3122" s="32">
        <v>0.75</v>
      </c>
      <c r="AQ3122" s="32" t="s">
        <v>1522</v>
      </c>
      <c r="AU3122">
        <v>3121</v>
      </c>
    </row>
    <row r="3123" spans="1:47" x14ac:dyDescent="0.2">
      <c r="A3123" s="13">
        <v>6639</v>
      </c>
      <c r="B3123" s="57" t="s">
        <v>85</v>
      </c>
      <c r="C3123" s="57" t="s">
        <v>4435</v>
      </c>
      <c r="D3123" s="29"/>
      <c r="E3123" s="57" t="s">
        <v>4436</v>
      </c>
      <c r="F3123" s="31" t="s">
        <v>688</v>
      </c>
      <c r="K3123" s="31">
        <v>422.4</v>
      </c>
      <c r="S3123" s="33">
        <v>1</v>
      </c>
      <c r="AQ3123" s="32" t="s">
        <v>4437</v>
      </c>
      <c r="AU3123">
        <v>3122</v>
      </c>
    </row>
    <row r="3124" spans="1:47" x14ac:dyDescent="0.2">
      <c r="A3124" s="13">
        <v>6639</v>
      </c>
      <c r="B3124" s="57" t="s">
        <v>85</v>
      </c>
      <c r="C3124" s="57" t="s">
        <v>1077</v>
      </c>
      <c r="D3124" s="29"/>
      <c r="E3124" s="57" t="s">
        <v>1064</v>
      </c>
      <c r="F3124" s="31" t="s">
        <v>76</v>
      </c>
      <c r="G3124" s="31" t="s">
        <v>49</v>
      </c>
      <c r="I3124" s="31" t="s">
        <v>4438</v>
      </c>
      <c r="K3124" s="31">
        <v>4998.3999999999996</v>
      </c>
      <c r="S3124" s="33">
        <v>14</v>
      </c>
      <c r="Z3124" s="31" t="s">
        <v>3724</v>
      </c>
      <c r="AE3124" s="31" t="s">
        <v>4411</v>
      </c>
      <c r="AF3124" s="31">
        <v>55</v>
      </c>
      <c r="AQ3124" s="32" t="s">
        <v>4437</v>
      </c>
      <c r="AU3124">
        <v>3123</v>
      </c>
    </row>
    <row r="3125" spans="1:47" x14ac:dyDescent="0.2">
      <c r="A3125" s="13">
        <v>6640</v>
      </c>
      <c r="B3125" s="57" t="s">
        <v>85</v>
      </c>
      <c r="C3125" s="57" t="s">
        <v>1077</v>
      </c>
      <c r="D3125" s="29"/>
      <c r="E3125" s="57" t="s">
        <v>4439</v>
      </c>
      <c r="F3125" s="31" t="s">
        <v>688</v>
      </c>
      <c r="K3125" s="31">
        <v>1155</v>
      </c>
      <c r="S3125" s="33">
        <v>3</v>
      </c>
      <c r="Z3125" s="31" t="s">
        <v>3724</v>
      </c>
      <c r="AE3125" s="31" t="s">
        <v>4411</v>
      </c>
      <c r="AQ3125" s="32" t="s">
        <v>4437</v>
      </c>
      <c r="AU3125">
        <v>3124</v>
      </c>
    </row>
    <row r="3126" spans="1:47" x14ac:dyDescent="0.2">
      <c r="A3126" s="13">
        <v>6640</v>
      </c>
      <c r="B3126" s="57" t="s">
        <v>85</v>
      </c>
      <c r="C3126" s="57" t="s">
        <v>332</v>
      </c>
      <c r="D3126" s="29"/>
      <c r="E3126" s="57" t="s">
        <v>4440</v>
      </c>
      <c r="F3126" s="31" t="s">
        <v>688</v>
      </c>
      <c r="K3126" s="31">
        <v>1584</v>
      </c>
      <c r="Z3126" s="31" t="s">
        <v>3724</v>
      </c>
      <c r="AQ3126" s="32" t="s">
        <v>4437</v>
      </c>
      <c r="AU3126">
        <v>3125</v>
      </c>
    </row>
    <row r="3127" spans="1:47" x14ac:dyDescent="0.2">
      <c r="A3127" s="13">
        <v>6640</v>
      </c>
      <c r="B3127" s="57" t="s">
        <v>85</v>
      </c>
      <c r="C3127" s="57" t="s">
        <v>332</v>
      </c>
      <c r="D3127" s="29"/>
      <c r="E3127" s="57" t="s">
        <v>3956</v>
      </c>
      <c r="F3127" s="31" t="s">
        <v>76</v>
      </c>
      <c r="G3127" s="31" t="s">
        <v>49</v>
      </c>
      <c r="K3127" s="31">
        <v>1848</v>
      </c>
      <c r="Z3127" s="31" t="s">
        <v>3724</v>
      </c>
      <c r="AQ3127" s="32" t="s">
        <v>4437</v>
      </c>
      <c r="AU3127">
        <v>3126</v>
      </c>
    </row>
    <row r="3128" spans="1:47" x14ac:dyDescent="0.2">
      <c r="A3128" s="13">
        <v>6640</v>
      </c>
      <c r="B3128" s="57" t="s">
        <v>85</v>
      </c>
      <c r="C3128" s="57" t="s">
        <v>1077</v>
      </c>
      <c r="D3128" s="29"/>
      <c r="E3128" s="57" t="s">
        <v>1064</v>
      </c>
      <c r="F3128" s="31" t="s">
        <v>76</v>
      </c>
      <c r="G3128" s="31" t="s">
        <v>49</v>
      </c>
      <c r="K3128" s="31">
        <v>5363.6</v>
      </c>
      <c r="S3128" s="33">
        <v>17</v>
      </c>
      <c r="Z3128" s="31" t="s">
        <v>3724</v>
      </c>
      <c r="AE3128" s="31" t="s">
        <v>4411</v>
      </c>
      <c r="AF3128" s="31">
        <v>55</v>
      </c>
      <c r="AQ3128" s="32" t="s">
        <v>4437</v>
      </c>
      <c r="AU3128">
        <v>3127</v>
      </c>
    </row>
    <row r="3129" spans="1:47" x14ac:dyDescent="0.2">
      <c r="A3129" s="13">
        <v>6640</v>
      </c>
      <c r="B3129" s="57" t="s">
        <v>85</v>
      </c>
      <c r="C3129" s="57" t="s">
        <v>4213</v>
      </c>
      <c r="D3129" s="29"/>
      <c r="E3129" s="57" t="s">
        <v>4441</v>
      </c>
      <c r="F3129" s="31" t="s">
        <v>3715</v>
      </c>
      <c r="G3129" s="31" t="s">
        <v>69</v>
      </c>
      <c r="I3129" s="31" t="s">
        <v>4442</v>
      </c>
      <c r="K3129" s="31">
        <v>7304</v>
      </c>
      <c r="S3129" s="33">
        <v>22</v>
      </c>
      <c r="Z3129" s="31" t="s">
        <v>3724</v>
      </c>
      <c r="AE3129" s="31" t="s">
        <v>4217</v>
      </c>
      <c r="AF3129" s="31">
        <v>60</v>
      </c>
      <c r="AQ3129" s="32" t="s">
        <v>4437</v>
      </c>
      <c r="AU3129">
        <v>3128</v>
      </c>
    </row>
    <row r="3130" spans="1:47" x14ac:dyDescent="0.2">
      <c r="A3130" s="13">
        <v>6640</v>
      </c>
      <c r="B3130" s="57" t="s">
        <v>85</v>
      </c>
      <c r="C3130" s="57" t="s">
        <v>332</v>
      </c>
      <c r="D3130" s="29"/>
      <c r="E3130" s="57" t="s">
        <v>4443</v>
      </c>
      <c r="F3130" s="31" t="s">
        <v>76</v>
      </c>
      <c r="G3130" s="31" t="s">
        <v>49</v>
      </c>
      <c r="K3130" s="31">
        <v>9037.6</v>
      </c>
      <c r="Z3130" s="31" t="s">
        <v>3724</v>
      </c>
      <c r="AQ3130" s="32" t="s">
        <v>4437</v>
      </c>
      <c r="AU3130">
        <v>3129</v>
      </c>
    </row>
    <row r="3131" spans="1:47" x14ac:dyDescent="0.2">
      <c r="A3131" s="133">
        <v>6640</v>
      </c>
      <c r="B3131" s="39" t="s">
        <v>45</v>
      </c>
      <c r="C3131" s="39">
        <v>100</v>
      </c>
      <c r="D3131" s="29" t="b">
        <v>0</v>
      </c>
      <c r="E3131" s="39" t="s">
        <v>649</v>
      </c>
      <c r="F3131" s="47" t="s">
        <v>529</v>
      </c>
      <c r="G3131" s="47" t="s">
        <v>205</v>
      </c>
      <c r="H3131"/>
      <c r="I3131" s="47" t="b">
        <v>0</v>
      </c>
      <c r="J3131" s="47" t="b">
        <v>1</v>
      </c>
      <c r="K3131" s="47">
        <v>395</v>
      </c>
      <c r="L3131" s="48">
        <v>6</v>
      </c>
      <c r="M3131" s="47">
        <v>5</v>
      </c>
      <c r="N3131" s="47">
        <v>0</v>
      </c>
      <c r="O3131" s="47">
        <v>0</v>
      </c>
      <c r="P3131" s="47">
        <v>0</v>
      </c>
      <c r="Q3131" s="47">
        <v>0</v>
      </c>
      <c r="R3131" s="47">
        <v>0</v>
      </c>
      <c r="S3131" s="48">
        <v>1</v>
      </c>
      <c r="T3131" s="47">
        <v>0</v>
      </c>
      <c r="U3131" s="47">
        <v>0</v>
      </c>
      <c r="V3131" s="47">
        <v>0</v>
      </c>
      <c r="W3131" s="47">
        <v>1500</v>
      </c>
      <c r="X3131" s="47">
        <v>437</v>
      </c>
      <c r="Y3131" s="47"/>
      <c r="Z3131" s="47" t="s">
        <v>2524</v>
      </c>
      <c r="AA3131" s="49"/>
      <c r="AB3131" s="49"/>
      <c r="AC3131" s="49"/>
      <c r="AD3131" s="50"/>
      <c r="AE3131" s="47" t="s">
        <v>1312</v>
      </c>
      <c r="AF3131" s="31">
        <v>55</v>
      </c>
      <c r="AG3131"/>
      <c r="AH3131"/>
      <c r="AI3131"/>
      <c r="AJ3131"/>
      <c r="AK3131"/>
      <c r="AL3131"/>
      <c r="AM3131"/>
      <c r="AN3131"/>
      <c r="AO3131"/>
      <c r="AP3131"/>
      <c r="AQ3131" t="s">
        <v>2526</v>
      </c>
      <c r="AU3131">
        <v>3130</v>
      </c>
    </row>
    <row r="3132" spans="1:47" x14ac:dyDescent="0.2">
      <c r="A3132" s="133">
        <v>6640</v>
      </c>
      <c r="B3132" s="39" t="s">
        <v>45</v>
      </c>
      <c r="C3132" s="39" t="s">
        <v>142</v>
      </c>
      <c r="D3132" s="29"/>
      <c r="E3132" s="39" t="s">
        <v>4444</v>
      </c>
      <c r="F3132" s="47" t="s">
        <v>2969</v>
      </c>
      <c r="G3132" s="47" t="s">
        <v>49</v>
      </c>
      <c r="H3132"/>
      <c r="I3132" s="47" t="b">
        <v>1</v>
      </c>
      <c r="J3132" s="47" t="b">
        <v>1</v>
      </c>
      <c r="K3132" s="47">
        <f>325*2.2</f>
        <v>715.00000000000011</v>
      </c>
      <c r="L3132" s="48">
        <v>5</v>
      </c>
      <c r="M3132" s="47">
        <v>1</v>
      </c>
      <c r="N3132" s="47">
        <v>1</v>
      </c>
      <c r="O3132" s="47">
        <v>1</v>
      </c>
      <c r="P3132" s="47"/>
      <c r="Q3132" s="47"/>
      <c r="R3132" s="47"/>
      <c r="S3132" s="48">
        <v>2</v>
      </c>
      <c r="T3132" s="47">
        <v>0</v>
      </c>
      <c r="U3132" s="47">
        <v>0</v>
      </c>
      <c r="V3132" s="47">
        <v>0</v>
      </c>
      <c r="W3132" s="47"/>
      <c r="X3132" s="47"/>
      <c r="Y3132" s="47" t="s">
        <v>51</v>
      </c>
      <c r="Z3132" s="31" t="s">
        <v>3855</v>
      </c>
      <c r="AA3132" s="49"/>
      <c r="AB3132" s="49"/>
      <c r="AC3132" s="49"/>
      <c r="AD3132" s="50"/>
      <c r="AE3132" s="31" t="s">
        <v>4124</v>
      </c>
      <c r="AF3132" s="47"/>
      <c r="AG3132"/>
      <c r="AH3132"/>
      <c r="AI3132"/>
      <c r="AJ3132"/>
      <c r="AK3132"/>
      <c r="AL3132"/>
      <c r="AM3132"/>
      <c r="AN3132"/>
      <c r="AO3132"/>
      <c r="AP3132"/>
      <c r="AQ3132" t="s">
        <v>4445</v>
      </c>
      <c r="AR3132" s="47" t="s">
        <v>4446</v>
      </c>
      <c r="AU3132">
        <v>3131</v>
      </c>
    </row>
    <row r="3133" spans="1:47" x14ac:dyDescent="0.2">
      <c r="A3133" s="13">
        <v>6640</v>
      </c>
      <c r="B3133" s="57" t="s">
        <v>45</v>
      </c>
      <c r="C3133" s="57" t="s">
        <v>4447</v>
      </c>
      <c r="D3133" s="29"/>
      <c r="E3133" s="57" t="s">
        <v>4448</v>
      </c>
      <c r="F3133" s="31" t="s">
        <v>83</v>
      </c>
      <c r="G3133" s="31" t="s">
        <v>69</v>
      </c>
      <c r="I3133" s="47" t="b">
        <v>0</v>
      </c>
      <c r="J3133" s="47" t="b">
        <v>0</v>
      </c>
      <c r="K3133" s="31">
        <f>150*2.2</f>
        <v>330</v>
      </c>
      <c r="AE3133" s="31" t="s">
        <v>4449</v>
      </c>
      <c r="AF3133" s="31">
        <v>60</v>
      </c>
      <c r="AK3133" s="32">
        <v>2</v>
      </c>
      <c r="AQ3133" s="32" t="s">
        <v>4450</v>
      </c>
      <c r="AR3133" s="31" t="s">
        <v>4451</v>
      </c>
      <c r="AU3133">
        <v>3132</v>
      </c>
    </row>
    <row r="3134" spans="1:47" x14ac:dyDescent="0.2">
      <c r="A3134" s="13">
        <v>6640</v>
      </c>
      <c r="B3134" s="57" t="s">
        <v>45</v>
      </c>
      <c r="C3134" s="57" t="s">
        <v>4447</v>
      </c>
      <c r="D3134" s="29"/>
      <c r="E3134" s="57" t="s">
        <v>3063</v>
      </c>
      <c r="F3134" s="31" t="s">
        <v>76</v>
      </c>
      <c r="G3134" s="31" t="s">
        <v>49</v>
      </c>
      <c r="I3134" s="47" t="b">
        <v>0</v>
      </c>
      <c r="J3134" s="47" t="b">
        <v>0</v>
      </c>
      <c r="K3134" s="31">
        <f>175*2.2</f>
        <v>385.00000000000006</v>
      </c>
      <c r="AE3134" s="31" t="s">
        <v>4449</v>
      </c>
      <c r="AF3134" s="31">
        <v>70</v>
      </c>
      <c r="AK3134" s="32">
        <v>4</v>
      </c>
      <c r="AQ3134" s="32" t="s">
        <v>4450</v>
      </c>
      <c r="AR3134" s="31" t="s">
        <v>4452</v>
      </c>
      <c r="AU3134">
        <v>3133</v>
      </c>
    </row>
    <row r="3135" spans="1:47" x14ac:dyDescent="0.2">
      <c r="A3135" s="26">
        <v>6640</v>
      </c>
      <c r="B3135" s="27">
        <v>0.61458333333333337</v>
      </c>
      <c r="C3135" s="28"/>
      <c r="D3135" s="29"/>
      <c r="E3135" s="30" t="s">
        <v>869</v>
      </c>
      <c r="H3135" s="32">
        <v>0</v>
      </c>
      <c r="I3135" s="32" t="s">
        <v>2344</v>
      </c>
      <c r="AG3135" s="32">
        <v>0</v>
      </c>
      <c r="AH3135" s="32">
        <v>0</v>
      </c>
      <c r="AI3135" s="32">
        <v>0</v>
      </c>
      <c r="AK3135" s="32">
        <v>0</v>
      </c>
      <c r="AL3135" s="32">
        <v>0.25</v>
      </c>
      <c r="AP3135" s="32">
        <v>0.25</v>
      </c>
      <c r="AQ3135" s="32" t="s">
        <v>589</v>
      </c>
      <c r="AU3135">
        <v>3134</v>
      </c>
    </row>
    <row r="3136" spans="1:47" x14ac:dyDescent="0.2">
      <c r="A3136" s="26">
        <v>6640</v>
      </c>
      <c r="B3136" s="27">
        <v>0.93819444444444444</v>
      </c>
      <c r="C3136" s="28"/>
      <c r="D3136" s="29"/>
      <c r="E3136" s="30" t="s">
        <v>1282</v>
      </c>
      <c r="H3136" s="32">
        <v>0</v>
      </c>
      <c r="I3136" s="32" t="s">
        <v>4453</v>
      </c>
      <c r="AG3136" s="32">
        <v>0</v>
      </c>
      <c r="AH3136" s="32">
        <v>0</v>
      </c>
      <c r="AI3136" s="32">
        <v>0</v>
      </c>
      <c r="AK3136" s="32">
        <v>0</v>
      </c>
      <c r="AL3136" s="32">
        <v>1</v>
      </c>
      <c r="AP3136" s="32">
        <v>1</v>
      </c>
      <c r="AQ3136" s="32" t="s">
        <v>1101</v>
      </c>
      <c r="AU3136">
        <v>3135</v>
      </c>
    </row>
    <row r="3137" spans="1:47" x14ac:dyDescent="0.2">
      <c r="A3137" s="26">
        <v>6640</v>
      </c>
      <c r="B3137" s="27" t="s">
        <v>45</v>
      </c>
      <c r="C3137" s="28"/>
      <c r="D3137" s="29"/>
      <c r="E3137" s="30" t="s">
        <v>1531</v>
      </c>
      <c r="H3137" s="32">
        <v>0</v>
      </c>
      <c r="I3137" s="32" t="s">
        <v>1532</v>
      </c>
      <c r="AG3137" s="32">
        <v>0</v>
      </c>
      <c r="AH3137" s="32">
        <v>0</v>
      </c>
      <c r="AI3137" s="32">
        <v>0</v>
      </c>
      <c r="AK3137" s="32">
        <v>0</v>
      </c>
      <c r="AM3137" s="32">
        <f>498*18</f>
        <v>8964</v>
      </c>
      <c r="AO3137" s="32" t="s">
        <v>1533</v>
      </c>
      <c r="AQ3137" s="32" t="s">
        <v>1101</v>
      </c>
      <c r="AU3137">
        <v>3136</v>
      </c>
    </row>
    <row r="3138" spans="1:47" x14ac:dyDescent="0.2">
      <c r="A3138" s="26">
        <v>6641</v>
      </c>
      <c r="B3138" s="27"/>
      <c r="C3138" s="28"/>
      <c r="D3138" s="29"/>
      <c r="E3138" s="30" t="s">
        <v>3063</v>
      </c>
      <c r="H3138" s="32">
        <v>1</v>
      </c>
      <c r="I3138" s="32" t="s">
        <v>4454</v>
      </c>
      <c r="AQ3138" s="32">
        <v>374</v>
      </c>
      <c r="AU3138">
        <v>3137</v>
      </c>
    </row>
    <row r="3139" spans="1:47" x14ac:dyDescent="0.2">
      <c r="A3139" s="13">
        <v>6642</v>
      </c>
      <c r="B3139" s="57" t="s">
        <v>85</v>
      </c>
      <c r="C3139" s="57" t="s">
        <v>332</v>
      </c>
      <c r="D3139" s="29"/>
      <c r="E3139" s="57" t="s">
        <v>609</v>
      </c>
      <c r="F3139" s="31" t="s">
        <v>76</v>
      </c>
      <c r="G3139" s="31" t="s">
        <v>49</v>
      </c>
      <c r="I3139" s="31" t="s">
        <v>4455</v>
      </c>
      <c r="K3139" s="31">
        <v>902</v>
      </c>
      <c r="Z3139" s="31" t="s">
        <v>3724</v>
      </c>
      <c r="AQ3139" s="32" t="s">
        <v>4437</v>
      </c>
      <c r="AU3139">
        <v>3138</v>
      </c>
    </row>
    <row r="3140" spans="1:47" x14ac:dyDescent="0.2">
      <c r="A3140" s="13">
        <v>6642</v>
      </c>
      <c r="B3140" s="57" t="s">
        <v>85</v>
      </c>
      <c r="C3140" s="57" t="s">
        <v>332</v>
      </c>
      <c r="D3140" s="29"/>
      <c r="E3140" s="57" t="s">
        <v>1397</v>
      </c>
      <c r="F3140" s="31" t="s">
        <v>76</v>
      </c>
      <c r="G3140" s="31" t="s">
        <v>49</v>
      </c>
      <c r="I3140" s="31" t="s">
        <v>4455</v>
      </c>
      <c r="K3140" s="31">
        <v>5772.8</v>
      </c>
      <c r="Z3140" s="31" t="s">
        <v>3724</v>
      </c>
      <c r="AQ3140" s="32" t="s">
        <v>4437</v>
      </c>
      <c r="AU3140">
        <v>3139</v>
      </c>
    </row>
    <row r="3141" spans="1:47" x14ac:dyDescent="0.2">
      <c r="A3141" s="13">
        <v>6642</v>
      </c>
      <c r="B3141" s="57" t="s">
        <v>45</v>
      </c>
      <c r="C3141" s="57" t="s">
        <v>4456</v>
      </c>
      <c r="D3141" s="29"/>
      <c r="E3141" s="57" t="s">
        <v>4457</v>
      </c>
      <c r="F3141" s="31" t="s">
        <v>76</v>
      </c>
      <c r="G3141" s="31" t="s">
        <v>49</v>
      </c>
      <c r="I3141" s="31" t="s">
        <v>4458</v>
      </c>
      <c r="K3141" s="31">
        <f>8*50*2.2</f>
        <v>880.00000000000011</v>
      </c>
      <c r="L3141" s="33">
        <v>1</v>
      </c>
      <c r="S3141" s="33">
        <v>1</v>
      </c>
      <c r="T3141" s="31">
        <v>0</v>
      </c>
      <c r="U3141" s="31">
        <v>0</v>
      </c>
      <c r="V3141" s="31">
        <v>0</v>
      </c>
      <c r="W3141" s="47">
        <f>2000*39.37/12</f>
        <v>6561.666666666667</v>
      </c>
      <c r="Y3141" s="31" t="s">
        <v>51</v>
      </c>
      <c r="Z3141" s="31" t="s">
        <v>1846</v>
      </c>
      <c r="AD3141" s="35">
        <v>1.5</v>
      </c>
      <c r="AE3141" s="31" t="s">
        <v>4173</v>
      </c>
      <c r="AF3141" s="31">
        <v>70</v>
      </c>
      <c r="AK3141" s="32">
        <v>8</v>
      </c>
      <c r="AQ3141" s="32" t="s">
        <v>4459</v>
      </c>
      <c r="AU3141">
        <v>3140</v>
      </c>
    </row>
    <row r="3142" spans="1:47" x14ac:dyDescent="0.2">
      <c r="A3142" s="13">
        <v>6642</v>
      </c>
      <c r="B3142" s="57" t="s">
        <v>45</v>
      </c>
      <c r="C3142" s="57" t="s">
        <v>4407</v>
      </c>
      <c r="D3142" s="29"/>
      <c r="E3142" s="57" t="s">
        <v>175</v>
      </c>
      <c r="F3142" s="31" t="s">
        <v>76</v>
      </c>
      <c r="G3142" s="31" t="s">
        <v>49</v>
      </c>
      <c r="I3142" s="31" t="s">
        <v>4460</v>
      </c>
      <c r="K3142" s="31">
        <v>1100</v>
      </c>
      <c r="AK3142" s="32">
        <v>12</v>
      </c>
      <c r="AQ3142" s="32" t="s">
        <v>4461</v>
      </c>
      <c r="AU3142">
        <v>3141</v>
      </c>
    </row>
    <row r="3143" spans="1:47" x14ac:dyDescent="0.2">
      <c r="A3143" s="13">
        <v>6642</v>
      </c>
      <c r="B3143" s="57" t="s">
        <v>45</v>
      </c>
      <c r="C3143" s="57" t="s">
        <v>4407</v>
      </c>
      <c r="D3143" s="29"/>
      <c r="E3143" s="57" t="s">
        <v>788</v>
      </c>
      <c r="F3143" s="31" t="s">
        <v>76</v>
      </c>
      <c r="G3143" s="31" t="s">
        <v>49</v>
      </c>
      <c r="I3143" s="31" t="s">
        <v>4462</v>
      </c>
      <c r="K3143" s="31">
        <f>4730-880</f>
        <v>3850</v>
      </c>
      <c r="AK3143" s="32">
        <f>52-8</f>
        <v>44</v>
      </c>
      <c r="AQ3143" s="32" t="s">
        <v>4463</v>
      </c>
      <c r="AU3143">
        <v>3142</v>
      </c>
    </row>
    <row r="3144" spans="1:47" x14ac:dyDescent="0.2">
      <c r="A3144" s="13">
        <v>6642</v>
      </c>
      <c r="B3144" s="57" t="s">
        <v>45</v>
      </c>
      <c r="C3144" s="57" t="s">
        <v>4179</v>
      </c>
      <c r="D3144" s="29"/>
      <c r="E3144" s="57" t="s">
        <v>4464</v>
      </c>
      <c r="F3144" s="31" t="s">
        <v>204</v>
      </c>
      <c r="G3144" s="31" t="s">
        <v>205</v>
      </c>
      <c r="K3144" s="31">
        <v>4840</v>
      </c>
      <c r="S3144" s="33">
        <v>14</v>
      </c>
      <c r="Z3144" s="31" t="s">
        <v>3814</v>
      </c>
      <c r="AQ3144" s="32" t="s">
        <v>4437</v>
      </c>
      <c r="AU3144">
        <v>3143</v>
      </c>
    </row>
    <row r="3145" spans="1:47" x14ac:dyDescent="0.2">
      <c r="A3145" s="44">
        <v>6642</v>
      </c>
      <c r="B3145" s="42"/>
      <c r="C3145" s="43" t="s">
        <v>332</v>
      </c>
      <c r="D3145" s="29"/>
      <c r="E3145" s="36" t="s">
        <v>4465</v>
      </c>
      <c r="H3145" s="32"/>
      <c r="I3145" s="32" t="s">
        <v>4466</v>
      </c>
      <c r="L3145" s="33">
        <v>4</v>
      </c>
      <c r="T3145" s="31">
        <v>3</v>
      </c>
      <c r="Z3145" s="31" t="s">
        <v>3724</v>
      </c>
      <c r="AQ3145" s="32" t="s">
        <v>3990</v>
      </c>
      <c r="AU3145">
        <v>3144</v>
      </c>
    </row>
    <row r="3146" spans="1:47" x14ac:dyDescent="0.2">
      <c r="A3146" s="26">
        <v>6642</v>
      </c>
      <c r="B3146" s="27">
        <v>0.93055555555555547</v>
      </c>
      <c r="C3146" s="28"/>
      <c r="D3146" s="29"/>
      <c r="E3146" s="30" t="s">
        <v>1282</v>
      </c>
      <c r="H3146" s="32">
        <v>0</v>
      </c>
      <c r="I3146" s="32" t="s">
        <v>4467</v>
      </c>
      <c r="AG3146" s="32">
        <v>0</v>
      </c>
      <c r="AH3146" s="32">
        <v>0</v>
      </c>
      <c r="AI3146" s="32">
        <v>0</v>
      </c>
      <c r="AK3146" s="32">
        <v>0</v>
      </c>
      <c r="AL3146" s="32">
        <f>1+25/60</f>
        <v>1.4166666666666667</v>
      </c>
      <c r="AP3146" s="32">
        <f>1+25/60</f>
        <v>1.4166666666666667</v>
      </c>
      <c r="AQ3146" s="32" t="s">
        <v>1101</v>
      </c>
      <c r="AU3146">
        <v>3145</v>
      </c>
    </row>
    <row r="3147" spans="1:47" x14ac:dyDescent="0.2">
      <c r="A3147" s="26">
        <v>6642</v>
      </c>
      <c r="B3147" s="27">
        <v>0.93055555555555547</v>
      </c>
      <c r="C3147" s="28"/>
      <c r="D3147" s="29"/>
      <c r="E3147" s="30" t="s">
        <v>464</v>
      </c>
      <c r="H3147" s="32">
        <v>0</v>
      </c>
      <c r="I3147" s="32" t="s">
        <v>4468</v>
      </c>
      <c r="AG3147" s="32">
        <v>0</v>
      </c>
      <c r="AH3147" s="32">
        <v>0</v>
      </c>
      <c r="AL3147" s="32">
        <v>2</v>
      </c>
      <c r="AO3147" s="32" t="s">
        <v>4067</v>
      </c>
      <c r="AP3147" s="32">
        <v>2</v>
      </c>
      <c r="AQ3147" s="32" t="s">
        <v>1522</v>
      </c>
      <c r="AU3147">
        <v>3146</v>
      </c>
    </row>
    <row r="3148" spans="1:47" x14ac:dyDescent="0.2">
      <c r="A3148" s="133">
        <v>6643</v>
      </c>
      <c r="B3148" s="39" t="s">
        <v>85</v>
      </c>
      <c r="C3148" s="39">
        <v>55</v>
      </c>
      <c r="D3148" s="29" t="b">
        <v>0</v>
      </c>
      <c r="E3148" s="39" t="s">
        <v>4469</v>
      </c>
      <c r="F3148" s="47" t="s">
        <v>4470</v>
      </c>
      <c r="G3148" s="47" t="s">
        <v>459</v>
      </c>
      <c r="H3148"/>
      <c r="I3148" s="47" t="b">
        <v>0</v>
      </c>
      <c r="J3148" s="47" t="b">
        <v>1</v>
      </c>
      <c r="K3148" s="47">
        <v>2532</v>
      </c>
      <c r="L3148" s="48">
        <v>12</v>
      </c>
      <c r="M3148" s="47">
        <v>0</v>
      </c>
      <c r="N3148" s="47">
        <v>1</v>
      </c>
      <c r="O3148" s="47">
        <v>0</v>
      </c>
      <c r="P3148" s="47">
        <v>0</v>
      </c>
      <c r="Q3148" s="47">
        <v>0</v>
      </c>
      <c r="R3148" s="47">
        <v>0</v>
      </c>
      <c r="S3148" s="48">
        <v>11</v>
      </c>
      <c r="T3148" s="47">
        <v>0</v>
      </c>
      <c r="U3148" s="47">
        <v>0</v>
      </c>
      <c r="V3148" s="47">
        <v>1</v>
      </c>
      <c r="W3148" s="47">
        <v>13000</v>
      </c>
      <c r="X3148" s="47">
        <v>438</v>
      </c>
      <c r="Y3148" s="47"/>
      <c r="Z3148" s="47" t="s">
        <v>3618</v>
      </c>
      <c r="AA3148" s="49"/>
      <c r="AB3148" s="49"/>
      <c r="AC3148" s="49"/>
      <c r="AD3148" s="50"/>
      <c r="AE3148" s="47" t="s">
        <v>3798</v>
      </c>
      <c r="AF3148" s="47">
        <v>240</v>
      </c>
      <c r="AG3148"/>
      <c r="AH3148"/>
      <c r="AI3148"/>
      <c r="AJ3148"/>
      <c r="AK3148"/>
      <c r="AL3148"/>
      <c r="AM3148"/>
      <c r="AN3148"/>
      <c r="AO3148"/>
      <c r="AP3148"/>
      <c r="AQ3148" t="s">
        <v>2526</v>
      </c>
      <c r="AU3148">
        <v>3147</v>
      </c>
    </row>
    <row r="3149" spans="1:47" x14ac:dyDescent="0.2">
      <c r="A3149" s="13">
        <v>6643</v>
      </c>
      <c r="B3149" s="57" t="s">
        <v>85</v>
      </c>
      <c r="C3149" s="57" t="s">
        <v>4213</v>
      </c>
      <c r="D3149" s="29"/>
      <c r="E3149" s="57" t="s">
        <v>4471</v>
      </c>
      <c r="F3149" s="31" t="s">
        <v>688</v>
      </c>
      <c r="K3149" s="31">
        <v>1353</v>
      </c>
      <c r="Z3149" s="31" t="s">
        <v>3724</v>
      </c>
      <c r="AE3149" s="31" t="s">
        <v>4217</v>
      </c>
      <c r="AQ3149" s="32" t="s">
        <v>4437</v>
      </c>
      <c r="AU3149">
        <v>3148</v>
      </c>
    </row>
    <row r="3150" spans="1:47" x14ac:dyDescent="0.2">
      <c r="A3150" s="13">
        <v>6643</v>
      </c>
      <c r="B3150" s="57" t="s">
        <v>85</v>
      </c>
      <c r="C3150" s="57" t="s">
        <v>1077</v>
      </c>
      <c r="D3150" s="29"/>
      <c r="E3150" s="57" t="s">
        <v>4472</v>
      </c>
      <c r="F3150" s="31" t="s">
        <v>204</v>
      </c>
      <c r="G3150" s="31" t="s">
        <v>205</v>
      </c>
      <c r="I3150" s="31" t="s">
        <v>4473</v>
      </c>
      <c r="K3150" s="31">
        <v>3850</v>
      </c>
      <c r="S3150" s="33">
        <v>13</v>
      </c>
      <c r="Z3150" s="31" t="s">
        <v>3724</v>
      </c>
      <c r="AE3150" s="31" t="s">
        <v>4411</v>
      </c>
      <c r="AF3150" s="31">
        <v>90</v>
      </c>
      <c r="AQ3150" s="32" t="s">
        <v>4437</v>
      </c>
      <c r="AU3150">
        <v>3149</v>
      </c>
    </row>
    <row r="3151" spans="1:47" x14ac:dyDescent="0.2">
      <c r="A3151" s="13">
        <v>6643</v>
      </c>
      <c r="B3151" s="57" t="s">
        <v>85</v>
      </c>
      <c r="C3151" s="57" t="s">
        <v>4213</v>
      </c>
      <c r="D3151" s="29"/>
      <c r="E3151" s="57" t="s">
        <v>4472</v>
      </c>
      <c r="F3151" s="31" t="s">
        <v>204</v>
      </c>
      <c r="G3151" s="31" t="s">
        <v>205</v>
      </c>
      <c r="I3151" s="31" t="s">
        <v>4474</v>
      </c>
      <c r="K3151" s="31">
        <v>4961</v>
      </c>
      <c r="Z3151" s="31" t="s">
        <v>3724</v>
      </c>
      <c r="AE3151" s="31" t="s">
        <v>4217</v>
      </c>
      <c r="AF3151" s="31">
        <v>90</v>
      </c>
      <c r="AQ3151" s="32" t="s">
        <v>4437</v>
      </c>
      <c r="AU3151">
        <v>3150</v>
      </c>
    </row>
    <row r="3152" spans="1:47" x14ac:dyDescent="0.2">
      <c r="A3152" s="13">
        <v>6643</v>
      </c>
      <c r="B3152" s="57" t="s">
        <v>85</v>
      </c>
      <c r="C3152" s="57" t="s">
        <v>1077</v>
      </c>
      <c r="D3152" s="29"/>
      <c r="E3152" s="57" t="s">
        <v>3876</v>
      </c>
      <c r="F3152" s="31" t="s">
        <v>76</v>
      </c>
      <c r="G3152" s="31" t="s">
        <v>49</v>
      </c>
      <c r="I3152" s="31" t="s">
        <v>4475</v>
      </c>
      <c r="K3152" s="31">
        <v>6725.4</v>
      </c>
      <c r="S3152" s="33">
        <v>20</v>
      </c>
      <c r="Z3152" s="31" t="s">
        <v>3724</v>
      </c>
      <c r="AE3152" s="31" t="s">
        <v>4411</v>
      </c>
      <c r="AF3152" s="31">
        <v>70</v>
      </c>
      <c r="AQ3152" s="32" t="s">
        <v>4437</v>
      </c>
      <c r="AU3152">
        <v>3151</v>
      </c>
    </row>
    <row r="3153" spans="1:47" x14ac:dyDescent="0.2">
      <c r="A3153" s="133">
        <v>6643</v>
      </c>
      <c r="B3153" s="39" t="s">
        <v>45</v>
      </c>
      <c r="C3153" s="39" t="s">
        <v>142</v>
      </c>
      <c r="D3153" s="29"/>
      <c r="E3153" s="39" t="s">
        <v>4476</v>
      </c>
      <c r="F3153" s="47" t="s">
        <v>4477</v>
      </c>
      <c r="G3153" s="47" t="s">
        <v>73</v>
      </c>
      <c r="H3153"/>
      <c r="I3153" s="47" t="b">
        <v>1</v>
      </c>
      <c r="J3153" s="47" t="b">
        <v>1</v>
      </c>
      <c r="K3153" s="47">
        <f>1665*2.2</f>
        <v>3663.0000000000005</v>
      </c>
      <c r="L3153" s="48">
        <v>12</v>
      </c>
      <c r="M3153" s="47">
        <v>1</v>
      </c>
      <c r="N3153" s="47"/>
      <c r="O3153" s="47"/>
      <c r="P3153" s="47"/>
      <c r="Q3153" s="47"/>
      <c r="R3153" s="47"/>
      <c r="S3153" s="48">
        <v>11</v>
      </c>
      <c r="T3153" s="47">
        <v>0</v>
      </c>
      <c r="U3153" s="47">
        <v>0</v>
      </c>
      <c r="V3153" s="47">
        <v>0</v>
      </c>
      <c r="W3153" s="47"/>
      <c r="X3153" s="47"/>
      <c r="Y3153" s="47" t="s">
        <v>51</v>
      </c>
      <c r="Z3153" s="31" t="s">
        <v>3855</v>
      </c>
      <c r="AA3153" s="49"/>
      <c r="AB3153" s="49"/>
      <c r="AC3153" s="49"/>
      <c r="AD3153" s="50"/>
      <c r="AE3153" s="31" t="s">
        <v>4124</v>
      </c>
      <c r="AF3153" s="47"/>
      <c r="AG3153"/>
      <c r="AH3153"/>
      <c r="AI3153"/>
      <c r="AJ3153"/>
      <c r="AK3153">
        <f>3+3+8+7+11+14+5</f>
        <v>51</v>
      </c>
      <c r="AL3153"/>
      <c r="AM3153"/>
      <c r="AN3153"/>
      <c r="AO3153"/>
      <c r="AP3153"/>
      <c r="AQ3153" s="32" t="s">
        <v>4478</v>
      </c>
      <c r="AR3153" s="47" t="s">
        <v>4479</v>
      </c>
      <c r="AU3153">
        <v>3152</v>
      </c>
    </row>
    <row r="3154" spans="1:47" x14ac:dyDescent="0.2">
      <c r="A3154" s="13">
        <v>6643</v>
      </c>
      <c r="B3154" s="57" t="s">
        <v>45</v>
      </c>
      <c r="C3154" s="57" t="s">
        <v>4447</v>
      </c>
      <c r="D3154" s="29"/>
      <c r="E3154" s="166" t="s">
        <v>4480</v>
      </c>
      <c r="F3154" s="31" t="s">
        <v>3637</v>
      </c>
      <c r="G3154" s="31" t="s">
        <v>69</v>
      </c>
      <c r="I3154" s="47" t="b">
        <v>0</v>
      </c>
      <c r="J3154" s="47" t="b">
        <v>0</v>
      </c>
      <c r="K3154" s="31">
        <f>75*2.2</f>
        <v>165</v>
      </c>
      <c r="AE3154" s="31" t="s">
        <v>4449</v>
      </c>
      <c r="AF3154" s="31">
        <v>55</v>
      </c>
      <c r="AK3154" s="32">
        <v>3</v>
      </c>
      <c r="AQ3154" s="32" t="s">
        <v>4461</v>
      </c>
      <c r="AR3154" s="31" t="s">
        <v>4460</v>
      </c>
      <c r="AU3154">
        <v>3153</v>
      </c>
    </row>
    <row r="3155" spans="1:47" x14ac:dyDescent="0.2">
      <c r="A3155" s="13">
        <v>6643</v>
      </c>
      <c r="B3155" s="57" t="s">
        <v>45</v>
      </c>
      <c r="C3155" s="57" t="s">
        <v>4447</v>
      </c>
      <c r="D3155" s="29"/>
      <c r="E3155" s="166" t="s">
        <v>432</v>
      </c>
      <c r="F3155" s="31" t="s">
        <v>3637</v>
      </c>
      <c r="G3155" s="31" t="s">
        <v>69</v>
      </c>
      <c r="I3155" s="47" t="b">
        <v>0</v>
      </c>
      <c r="J3155" s="47" t="b">
        <v>0</v>
      </c>
      <c r="K3155" s="31">
        <f>150*2.2</f>
        <v>330</v>
      </c>
      <c r="AE3155" s="31" t="s">
        <v>4449</v>
      </c>
      <c r="AF3155" s="31">
        <v>35</v>
      </c>
      <c r="AK3155" s="32">
        <v>3</v>
      </c>
      <c r="AQ3155" s="32" t="s">
        <v>4461</v>
      </c>
      <c r="AR3155" s="31" t="s">
        <v>4481</v>
      </c>
      <c r="AU3155">
        <v>3154</v>
      </c>
    </row>
    <row r="3156" spans="1:47" x14ac:dyDescent="0.2">
      <c r="A3156" s="13">
        <v>6643</v>
      </c>
      <c r="B3156" s="57" t="s">
        <v>45</v>
      </c>
      <c r="C3156" s="57" t="s">
        <v>4447</v>
      </c>
      <c r="D3156" s="29"/>
      <c r="E3156" s="166" t="s">
        <v>1404</v>
      </c>
      <c r="F3156" s="31" t="s">
        <v>3637</v>
      </c>
      <c r="G3156" s="31" t="s">
        <v>69</v>
      </c>
      <c r="I3156" s="47" t="b">
        <v>0</v>
      </c>
      <c r="J3156" s="47" t="b">
        <v>0</v>
      </c>
      <c r="K3156" s="31">
        <f>200*2.2</f>
        <v>440.00000000000006</v>
      </c>
      <c r="AE3156" s="31" t="s">
        <v>4449</v>
      </c>
      <c r="AF3156" s="31">
        <v>50</v>
      </c>
      <c r="AK3156" s="32">
        <v>8</v>
      </c>
      <c r="AQ3156" s="32" t="s">
        <v>4461</v>
      </c>
      <c r="AR3156" s="31" t="s">
        <v>4460</v>
      </c>
      <c r="AU3156">
        <v>3155</v>
      </c>
    </row>
    <row r="3157" spans="1:47" x14ac:dyDescent="0.2">
      <c r="A3157" s="13">
        <v>6643</v>
      </c>
      <c r="B3157" s="57" t="s">
        <v>45</v>
      </c>
      <c r="C3157" s="57" t="s">
        <v>4447</v>
      </c>
      <c r="D3157" s="29"/>
      <c r="E3157" s="166" t="s">
        <v>2191</v>
      </c>
      <c r="F3157" s="31" t="s">
        <v>76</v>
      </c>
      <c r="G3157" s="31" t="s">
        <v>49</v>
      </c>
      <c r="I3157" s="47" t="b">
        <v>0</v>
      </c>
      <c r="J3157" s="47" t="b">
        <v>0</v>
      </c>
      <c r="K3157" s="31">
        <f>200*2.2</f>
        <v>440.00000000000006</v>
      </c>
      <c r="AE3157" s="31" t="s">
        <v>4449</v>
      </c>
      <c r="AF3157" s="31">
        <v>60</v>
      </c>
      <c r="AK3157" s="32">
        <v>7</v>
      </c>
      <c r="AQ3157" s="32" t="s">
        <v>4461</v>
      </c>
      <c r="AR3157" s="31" t="s">
        <v>4482</v>
      </c>
      <c r="AU3157">
        <v>3156</v>
      </c>
    </row>
    <row r="3158" spans="1:47" x14ac:dyDescent="0.2">
      <c r="A3158" s="13">
        <v>6643</v>
      </c>
      <c r="B3158" s="57" t="s">
        <v>45</v>
      </c>
      <c r="C3158" s="57" t="s">
        <v>4447</v>
      </c>
      <c r="D3158" s="29"/>
      <c r="E3158" s="166" t="s">
        <v>1531</v>
      </c>
      <c r="F3158" s="31" t="s">
        <v>3764</v>
      </c>
      <c r="G3158" s="31" t="s">
        <v>459</v>
      </c>
      <c r="I3158" s="47" t="b">
        <v>0</v>
      </c>
      <c r="J3158" s="47" t="b">
        <v>0</v>
      </c>
      <c r="K3158" s="31">
        <f>410*2.2</f>
        <v>902.00000000000011</v>
      </c>
      <c r="AE3158" s="31" t="s">
        <v>4449</v>
      </c>
      <c r="AF3158" s="31">
        <v>85</v>
      </c>
      <c r="AK3158" s="32">
        <v>11</v>
      </c>
      <c r="AQ3158" s="32" t="s">
        <v>4461</v>
      </c>
      <c r="AR3158" s="31" t="s">
        <v>4452</v>
      </c>
      <c r="AU3158">
        <v>3157</v>
      </c>
    </row>
    <row r="3159" spans="1:47" x14ac:dyDescent="0.2">
      <c r="A3159" s="13">
        <v>6643</v>
      </c>
      <c r="B3159" s="57" t="s">
        <v>45</v>
      </c>
      <c r="C3159" s="57" t="s">
        <v>4447</v>
      </c>
      <c r="D3159" s="29"/>
      <c r="E3159" s="166" t="s">
        <v>3063</v>
      </c>
      <c r="F3159" s="31" t="s">
        <v>76</v>
      </c>
      <c r="G3159" s="31" t="s">
        <v>49</v>
      </c>
      <c r="I3159" s="47" t="b">
        <v>0</v>
      </c>
      <c r="J3159" s="47" t="b">
        <v>0</v>
      </c>
      <c r="K3159" s="31">
        <f>480*2.2</f>
        <v>1056</v>
      </c>
      <c r="AE3159" s="31" t="s">
        <v>4449</v>
      </c>
      <c r="AF3159" s="31">
        <v>70</v>
      </c>
      <c r="AK3159" s="32">
        <v>14</v>
      </c>
      <c r="AQ3159" s="32" t="s">
        <v>4461</v>
      </c>
      <c r="AR3159" s="31" t="s">
        <v>4452</v>
      </c>
      <c r="AU3159">
        <v>3158</v>
      </c>
    </row>
    <row r="3160" spans="1:47" x14ac:dyDescent="0.2">
      <c r="A3160" s="13">
        <v>6643</v>
      </c>
      <c r="B3160" s="57" t="s">
        <v>45</v>
      </c>
      <c r="C3160" s="57" t="s">
        <v>4447</v>
      </c>
      <c r="D3160" s="29"/>
      <c r="E3160" s="166" t="s">
        <v>4122</v>
      </c>
      <c r="F3160" s="31" t="s">
        <v>76</v>
      </c>
      <c r="G3160" s="31" t="s">
        <v>49</v>
      </c>
      <c r="I3160" s="47" t="b">
        <v>0</v>
      </c>
      <c r="J3160" s="47" t="b">
        <v>0</v>
      </c>
      <c r="K3160" s="176">
        <f>3663-(165+330+440+440+902+1056)</f>
        <v>330</v>
      </c>
      <c r="AE3160" s="31" t="s">
        <v>4449</v>
      </c>
      <c r="AF3160" s="31">
        <v>90</v>
      </c>
      <c r="AK3160" s="32">
        <v>5</v>
      </c>
      <c r="AQ3160" s="32" t="s">
        <v>4461</v>
      </c>
      <c r="AR3160" s="31" t="s">
        <v>4483</v>
      </c>
      <c r="AU3160">
        <v>3159</v>
      </c>
    </row>
    <row r="3161" spans="1:47" x14ac:dyDescent="0.2">
      <c r="A3161" s="13">
        <v>6643</v>
      </c>
      <c r="B3161" s="57" t="s">
        <v>45</v>
      </c>
      <c r="C3161" s="57" t="s">
        <v>4407</v>
      </c>
      <c r="D3161" s="29"/>
      <c r="E3161" s="57" t="s">
        <v>352</v>
      </c>
      <c r="F3161" s="31" t="s">
        <v>76</v>
      </c>
      <c r="G3161" s="31" t="s">
        <v>49</v>
      </c>
      <c r="I3161" s="31" t="s">
        <v>4452</v>
      </c>
      <c r="K3161" s="31">
        <v>660</v>
      </c>
      <c r="AK3161" s="32">
        <v>6</v>
      </c>
      <c r="AQ3161" s="32" t="s">
        <v>4461</v>
      </c>
      <c r="AU3161">
        <v>3160</v>
      </c>
    </row>
    <row r="3162" spans="1:47" x14ac:dyDescent="0.2">
      <c r="A3162" s="13">
        <v>6643</v>
      </c>
      <c r="B3162" s="57" t="s">
        <v>45</v>
      </c>
      <c r="C3162" s="57" t="s">
        <v>4407</v>
      </c>
      <c r="D3162" s="29"/>
      <c r="E3162" s="57" t="s">
        <v>175</v>
      </c>
      <c r="F3162" s="31" t="s">
        <v>76</v>
      </c>
      <c r="G3162" s="31" t="s">
        <v>49</v>
      </c>
      <c r="I3162" s="31" t="s">
        <v>4484</v>
      </c>
      <c r="K3162" s="31">
        <f>880-660</f>
        <v>220</v>
      </c>
      <c r="AK3162" s="32">
        <f>12-6</f>
        <v>6</v>
      </c>
      <c r="AQ3162" s="32" t="s">
        <v>4461</v>
      </c>
      <c r="AU3162">
        <v>3161</v>
      </c>
    </row>
    <row r="3163" spans="1:47" x14ac:dyDescent="0.2">
      <c r="A3163" s="13">
        <v>6643</v>
      </c>
      <c r="B3163" s="57" t="s">
        <v>45</v>
      </c>
      <c r="C3163" s="57" t="s">
        <v>4456</v>
      </c>
      <c r="D3163" s="29"/>
      <c r="E3163" s="57" t="s">
        <v>175</v>
      </c>
      <c r="F3163" s="31" t="s">
        <v>76</v>
      </c>
      <c r="G3163" s="31" t="s">
        <v>49</v>
      </c>
      <c r="I3163" s="31" t="s">
        <v>4485</v>
      </c>
      <c r="K3163" s="31">
        <f>6*50*2.2</f>
        <v>660</v>
      </c>
      <c r="L3163" s="33">
        <v>1</v>
      </c>
      <c r="S3163" s="33">
        <v>1</v>
      </c>
      <c r="T3163" s="31">
        <v>0</v>
      </c>
      <c r="U3163" s="31">
        <v>0</v>
      </c>
      <c r="V3163" s="31">
        <v>0</v>
      </c>
      <c r="W3163" s="47">
        <f>1800*39.37/12</f>
        <v>5905.5</v>
      </c>
      <c r="Y3163" s="31" t="s">
        <v>51</v>
      </c>
      <c r="Z3163" s="31" t="s">
        <v>1846</v>
      </c>
      <c r="AD3163" s="35">
        <f>2+10/60</f>
        <v>2.1666666666666665</v>
      </c>
      <c r="AE3163" s="31" t="s">
        <v>4173</v>
      </c>
      <c r="AF3163" s="31">
        <v>55</v>
      </c>
      <c r="AK3163" s="32">
        <v>6</v>
      </c>
      <c r="AQ3163" s="32" t="s">
        <v>4486</v>
      </c>
      <c r="AU3163">
        <v>3162</v>
      </c>
    </row>
    <row r="3164" spans="1:47" x14ac:dyDescent="0.2">
      <c r="A3164" s="13">
        <v>6643</v>
      </c>
      <c r="B3164" s="57" t="s">
        <v>45</v>
      </c>
      <c r="C3164" s="57" t="s">
        <v>4456</v>
      </c>
      <c r="D3164" s="29"/>
      <c r="E3164" s="57" t="s">
        <v>4487</v>
      </c>
      <c r="F3164" s="31" t="s">
        <v>967</v>
      </c>
      <c r="G3164" s="31" t="s">
        <v>481</v>
      </c>
      <c r="I3164" s="31" t="s">
        <v>4488</v>
      </c>
      <c r="K3164" s="31">
        <f>8*50*2.2</f>
        <v>880.00000000000011</v>
      </c>
      <c r="L3164" s="33">
        <v>1</v>
      </c>
      <c r="S3164" s="33">
        <v>1</v>
      </c>
      <c r="T3164" s="31">
        <v>0</v>
      </c>
      <c r="U3164" s="31">
        <v>0</v>
      </c>
      <c r="V3164" s="31">
        <v>0</v>
      </c>
      <c r="W3164" s="47">
        <f>2500*39.37/12</f>
        <v>8202.0833333333339</v>
      </c>
      <c r="Y3164" s="31" t="s">
        <v>51</v>
      </c>
      <c r="Z3164" s="31" t="s">
        <v>1846</v>
      </c>
      <c r="AD3164" s="35">
        <f>2+35/60</f>
        <v>2.5833333333333335</v>
      </c>
      <c r="AE3164" s="31" t="s">
        <v>4173</v>
      </c>
      <c r="AF3164" s="31">
        <v>105</v>
      </c>
      <c r="AK3164" s="32">
        <v>8</v>
      </c>
      <c r="AQ3164" s="32" t="s">
        <v>4489</v>
      </c>
      <c r="AU3164">
        <v>3163</v>
      </c>
    </row>
    <row r="3165" spans="1:47" x14ac:dyDescent="0.2">
      <c r="A3165" s="13">
        <v>6643</v>
      </c>
      <c r="B3165" s="57" t="s">
        <v>45</v>
      </c>
      <c r="C3165" s="57" t="s">
        <v>4407</v>
      </c>
      <c r="D3165" s="29"/>
      <c r="E3165" s="57" t="s">
        <v>788</v>
      </c>
      <c r="F3165" s="31" t="s">
        <v>76</v>
      </c>
      <c r="G3165" s="31" t="s">
        <v>49</v>
      </c>
      <c r="I3165" s="31" t="s">
        <v>4452</v>
      </c>
      <c r="K3165" s="31">
        <v>1210</v>
      </c>
      <c r="AK3165" s="32">
        <v>12</v>
      </c>
      <c r="AQ3165" s="32" t="s">
        <v>4461</v>
      </c>
      <c r="AU3165">
        <v>3164</v>
      </c>
    </row>
    <row r="3166" spans="1:47" x14ac:dyDescent="0.2">
      <c r="A3166" s="13">
        <v>6643</v>
      </c>
      <c r="B3166" s="57" t="s">
        <v>45</v>
      </c>
      <c r="C3166" s="57" t="s">
        <v>4407</v>
      </c>
      <c r="D3166" s="29"/>
      <c r="E3166" s="57" t="s">
        <v>3812</v>
      </c>
      <c r="F3166" s="31" t="s">
        <v>3764</v>
      </c>
      <c r="G3166" s="31" t="s">
        <v>481</v>
      </c>
      <c r="I3166" s="31" t="s">
        <v>4452</v>
      </c>
      <c r="K3166" s="31">
        <v>2420</v>
      </c>
      <c r="AK3166" s="32">
        <v>28</v>
      </c>
      <c r="AQ3166" s="32" t="s">
        <v>4461</v>
      </c>
      <c r="AU3166">
        <v>3165</v>
      </c>
    </row>
    <row r="3167" spans="1:47" x14ac:dyDescent="0.2">
      <c r="A3167" s="13">
        <v>6643</v>
      </c>
      <c r="B3167" s="57" t="s">
        <v>45</v>
      </c>
      <c r="C3167" s="57" t="s">
        <v>4179</v>
      </c>
      <c r="D3167" s="29"/>
      <c r="E3167" s="57" t="s">
        <v>4197</v>
      </c>
      <c r="F3167" s="31" t="s">
        <v>204</v>
      </c>
      <c r="G3167" s="31" t="s">
        <v>205</v>
      </c>
      <c r="K3167" s="31">
        <v>6435</v>
      </c>
      <c r="S3167" s="33">
        <v>16</v>
      </c>
      <c r="Z3167" s="31" t="s">
        <v>3814</v>
      </c>
      <c r="AQ3167" s="32" t="s">
        <v>4437</v>
      </c>
      <c r="AU3167">
        <v>3166</v>
      </c>
    </row>
    <row r="3168" spans="1:47" x14ac:dyDescent="0.2">
      <c r="A3168" s="26">
        <v>6643</v>
      </c>
      <c r="B3168" s="27">
        <v>0.50902777777777775</v>
      </c>
      <c r="C3168" s="28"/>
      <c r="D3168" s="29"/>
      <c r="E3168" s="30" t="s">
        <v>869</v>
      </c>
      <c r="H3168" s="32">
        <v>0</v>
      </c>
      <c r="I3168" s="32" t="s">
        <v>4490</v>
      </c>
      <c r="AG3168" s="32">
        <v>0</v>
      </c>
      <c r="AH3168" s="32">
        <v>0</v>
      </c>
      <c r="AI3168" s="32">
        <v>0</v>
      </c>
      <c r="AK3168" s="32">
        <v>0</v>
      </c>
      <c r="AL3168" s="32">
        <v>1.5</v>
      </c>
      <c r="AP3168" s="32">
        <v>1.5</v>
      </c>
      <c r="AQ3168" s="32" t="s">
        <v>589</v>
      </c>
      <c r="AU3168">
        <v>3167</v>
      </c>
    </row>
    <row r="3169" spans="1:47" x14ac:dyDescent="0.2">
      <c r="A3169" s="26">
        <v>6643</v>
      </c>
      <c r="B3169" s="27">
        <v>0.5625</v>
      </c>
      <c r="C3169" s="28"/>
      <c r="D3169" s="29"/>
      <c r="E3169" s="30" t="s">
        <v>3155</v>
      </c>
      <c r="H3169" s="32">
        <v>0</v>
      </c>
      <c r="I3169" s="32" t="s">
        <v>3156</v>
      </c>
      <c r="AG3169" s="32">
        <v>0</v>
      </c>
      <c r="AH3169" s="32">
        <v>0</v>
      </c>
      <c r="AI3169" s="32">
        <v>0</v>
      </c>
      <c r="AK3169" s="32">
        <v>0</v>
      </c>
      <c r="AP3169" s="32">
        <f>41/60</f>
        <v>0.68333333333333335</v>
      </c>
      <c r="AQ3169" s="32" t="s">
        <v>1101</v>
      </c>
      <c r="AU3169">
        <v>3168</v>
      </c>
    </row>
    <row r="3170" spans="1:47" x14ac:dyDescent="0.2">
      <c r="A3170" s="26">
        <v>6643</v>
      </c>
      <c r="B3170" s="27">
        <v>0.92361111111111116</v>
      </c>
      <c r="C3170" s="28"/>
      <c r="D3170" s="29"/>
      <c r="E3170" s="30" t="s">
        <v>464</v>
      </c>
      <c r="H3170" s="32">
        <v>0</v>
      </c>
      <c r="I3170" s="32" t="s">
        <v>4491</v>
      </c>
      <c r="AG3170" s="32">
        <v>0</v>
      </c>
      <c r="AH3170" s="32">
        <v>0</v>
      </c>
      <c r="AL3170" s="32">
        <v>3</v>
      </c>
      <c r="AO3170" s="32" t="s">
        <v>4067</v>
      </c>
      <c r="AP3170" s="32">
        <v>3</v>
      </c>
      <c r="AQ3170" s="32" t="s">
        <v>1522</v>
      </c>
      <c r="AU3170">
        <v>3169</v>
      </c>
    </row>
    <row r="3171" spans="1:47" x14ac:dyDescent="0.2">
      <c r="A3171" s="26">
        <v>6643</v>
      </c>
      <c r="B3171" s="27" t="s">
        <v>85</v>
      </c>
      <c r="C3171" s="28"/>
      <c r="D3171" s="29"/>
      <c r="E3171" s="30" t="s">
        <v>4469</v>
      </c>
      <c r="H3171" s="32">
        <v>1</v>
      </c>
      <c r="I3171" s="32" t="s">
        <v>4492</v>
      </c>
      <c r="AG3171" s="32">
        <v>11</v>
      </c>
      <c r="AK3171" s="32">
        <v>4</v>
      </c>
      <c r="AO3171" s="32" t="s">
        <v>4493</v>
      </c>
      <c r="AQ3171" s="32" t="s">
        <v>4494</v>
      </c>
      <c r="AU3171">
        <v>3170</v>
      </c>
    </row>
    <row r="3172" spans="1:47" x14ac:dyDescent="0.2">
      <c r="A3172" s="26">
        <v>6643</v>
      </c>
      <c r="B3172" s="27" t="s">
        <v>45</v>
      </c>
      <c r="C3172" s="28"/>
      <c r="D3172" s="29"/>
      <c r="E3172" s="30" t="s">
        <v>1531</v>
      </c>
      <c r="H3172" s="32">
        <v>1</v>
      </c>
      <c r="I3172" s="32" t="s">
        <v>4495</v>
      </c>
      <c r="AM3172" s="32">
        <f>498*122</f>
        <v>60756</v>
      </c>
      <c r="AO3172" s="32" t="s">
        <v>1533</v>
      </c>
      <c r="AQ3172" s="32" t="s">
        <v>1101</v>
      </c>
      <c r="AU3172">
        <v>3171</v>
      </c>
    </row>
    <row r="3173" spans="1:47" x14ac:dyDescent="0.2">
      <c r="A3173" s="26">
        <v>6643</v>
      </c>
      <c r="B3173" s="27" t="s">
        <v>45</v>
      </c>
      <c r="C3173" s="28"/>
      <c r="D3173" s="29"/>
      <c r="E3173" s="150" t="s">
        <v>2286</v>
      </c>
      <c r="H3173" s="32">
        <v>0</v>
      </c>
      <c r="I3173" s="32" t="s">
        <v>1824</v>
      </c>
      <c r="AG3173" s="32">
        <v>0</v>
      </c>
      <c r="AH3173" s="32">
        <v>0</v>
      </c>
      <c r="AI3173" s="32">
        <v>0</v>
      </c>
      <c r="AK3173" s="32">
        <v>0</v>
      </c>
      <c r="AM3173" s="32">
        <v>5000</v>
      </c>
      <c r="AO3173" s="73" t="s">
        <v>75</v>
      </c>
      <c r="AQ3173" s="32" t="s">
        <v>589</v>
      </c>
      <c r="AU3173">
        <v>3172</v>
      </c>
    </row>
    <row r="3174" spans="1:47" x14ac:dyDescent="0.2">
      <c r="A3174" s="26">
        <v>6643</v>
      </c>
      <c r="B3174" s="27"/>
      <c r="C3174" s="28"/>
      <c r="D3174" s="29"/>
      <c r="E3174" s="30" t="s">
        <v>3063</v>
      </c>
      <c r="H3174" s="32">
        <v>1</v>
      </c>
      <c r="I3174" s="32" t="s">
        <v>4496</v>
      </c>
      <c r="AK3174" s="32">
        <v>5</v>
      </c>
      <c r="AQ3174" s="32">
        <v>374</v>
      </c>
      <c r="AU3174">
        <v>3173</v>
      </c>
    </row>
    <row r="3175" spans="1:47" x14ac:dyDescent="0.2">
      <c r="A3175" s="133">
        <v>6644</v>
      </c>
      <c r="B3175" s="39" t="s">
        <v>85</v>
      </c>
      <c r="C3175" s="39">
        <v>55</v>
      </c>
      <c r="D3175" s="29" t="b">
        <v>0</v>
      </c>
      <c r="E3175" s="39" t="s">
        <v>1040</v>
      </c>
      <c r="F3175" s="47" t="s">
        <v>4497</v>
      </c>
      <c r="G3175" s="47" t="s">
        <v>274</v>
      </c>
      <c r="H3175"/>
      <c r="I3175" s="47" t="b">
        <v>0</v>
      </c>
      <c r="J3175" s="47" t="b">
        <v>1</v>
      </c>
      <c r="K3175" s="47">
        <v>2842</v>
      </c>
      <c r="L3175" s="48">
        <v>12</v>
      </c>
      <c r="M3175" s="47">
        <v>0</v>
      </c>
      <c r="N3175" s="47">
        <v>1</v>
      </c>
      <c r="O3175" s="47">
        <v>0</v>
      </c>
      <c r="P3175" s="47">
        <v>0</v>
      </c>
      <c r="Q3175" s="47">
        <v>0</v>
      </c>
      <c r="R3175" s="47">
        <v>0</v>
      </c>
      <c r="S3175" s="48">
        <v>11</v>
      </c>
      <c r="T3175" s="47">
        <v>1</v>
      </c>
      <c r="U3175" s="47">
        <v>0</v>
      </c>
      <c r="V3175" s="47">
        <v>3</v>
      </c>
      <c r="W3175" s="47"/>
      <c r="X3175" s="47">
        <v>439</v>
      </c>
      <c r="Y3175" s="47"/>
      <c r="Z3175" s="47" t="s">
        <v>3618</v>
      </c>
      <c r="AA3175" s="49"/>
      <c r="AB3175" s="49"/>
      <c r="AC3175" s="49"/>
      <c r="AD3175" s="50"/>
      <c r="AE3175" s="47" t="s">
        <v>3798</v>
      </c>
      <c r="AF3175" s="47">
        <v>240</v>
      </c>
      <c r="AG3175"/>
      <c r="AH3175"/>
      <c r="AI3175"/>
      <c r="AJ3175"/>
      <c r="AK3175"/>
      <c r="AL3175"/>
      <c r="AM3175"/>
      <c r="AN3175"/>
      <c r="AO3175"/>
      <c r="AP3175"/>
      <c r="AQ3175" t="s">
        <v>2526</v>
      </c>
      <c r="AU3175">
        <v>3174</v>
      </c>
    </row>
    <row r="3176" spans="1:47" x14ac:dyDescent="0.2">
      <c r="A3176" s="13">
        <v>6644</v>
      </c>
      <c r="B3176" s="57" t="s">
        <v>85</v>
      </c>
      <c r="C3176" s="57" t="s">
        <v>4213</v>
      </c>
      <c r="D3176" s="29"/>
      <c r="E3176" s="57" t="s">
        <v>3875</v>
      </c>
      <c r="F3176" s="31" t="s">
        <v>76</v>
      </c>
      <c r="G3176" s="31" t="s">
        <v>49</v>
      </c>
      <c r="K3176" s="31">
        <v>528</v>
      </c>
      <c r="Z3176" s="31" t="s">
        <v>3724</v>
      </c>
      <c r="AE3176" s="31" t="s">
        <v>4217</v>
      </c>
      <c r="AF3176" s="31">
        <v>60</v>
      </c>
      <c r="AQ3176" s="32" t="s">
        <v>4437</v>
      </c>
      <c r="AU3176">
        <v>3175</v>
      </c>
    </row>
    <row r="3177" spans="1:47" x14ac:dyDescent="0.2">
      <c r="A3177" s="13">
        <v>6644</v>
      </c>
      <c r="B3177" s="57" t="s">
        <v>85</v>
      </c>
      <c r="C3177" s="57" t="s">
        <v>4213</v>
      </c>
      <c r="D3177" s="29"/>
      <c r="E3177" s="57" t="s">
        <v>3876</v>
      </c>
      <c r="F3177" s="31" t="s">
        <v>76</v>
      </c>
      <c r="G3177" s="31" t="s">
        <v>49</v>
      </c>
      <c r="I3177" s="31" t="s">
        <v>4498</v>
      </c>
      <c r="K3177" s="31">
        <v>6336</v>
      </c>
      <c r="Z3177" s="31" t="s">
        <v>3724</v>
      </c>
      <c r="AE3177" s="31" t="s">
        <v>4217</v>
      </c>
      <c r="AF3177" s="31">
        <v>75</v>
      </c>
      <c r="AQ3177" s="32" t="s">
        <v>4437</v>
      </c>
      <c r="AU3177">
        <v>3176</v>
      </c>
    </row>
    <row r="3178" spans="1:47" x14ac:dyDescent="0.2">
      <c r="A3178" s="13">
        <v>6644</v>
      </c>
      <c r="B3178" s="57" t="s">
        <v>85</v>
      </c>
      <c r="C3178" s="57" t="s">
        <v>1077</v>
      </c>
      <c r="D3178" s="29"/>
      <c r="E3178" s="57" t="s">
        <v>3876</v>
      </c>
      <c r="F3178" s="31" t="s">
        <v>76</v>
      </c>
      <c r="G3178" s="31" t="s">
        <v>49</v>
      </c>
      <c r="I3178" s="31" t="s">
        <v>4499</v>
      </c>
      <c r="K3178" s="31">
        <v>7667</v>
      </c>
      <c r="S3178" s="33">
        <v>22</v>
      </c>
      <c r="Z3178" s="31" t="s">
        <v>3724</v>
      </c>
      <c r="AE3178" s="31" t="s">
        <v>4411</v>
      </c>
      <c r="AF3178" s="31">
        <v>70</v>
      </c>
      <c r="AQ3178" s="32" t="s">
        <v>4437</v>
      </c>
      <c r="AU3178">
        <v>3177</v>
      </c>
    </row>
    <row r="3179" spans="1:47" x14ac:dyDescent="0.2">
      <c r="A3179" s="26">
        <v>6644</v>
      </c>
      <c r="B3179" s="27">
        <v>0.47847222222222219</v>
      </c>
      <c r="C3179" s="28"/>
      <c r="D3179" s="29"/>
      <c r="E3179" s="30" t="s">
        <v>3155</v>
      </c>
      <c r="H3179" s="32">
        <v>0</v>
      </c>
      <c r="I3179" s="32" t="s">
        <v>3156</v>
      </c>
      <c r="AG3179" s="32">
        <v>0</v>
      </c>
      <c r="AH3179" s="32">
        <v>0</v>
      </c>
      <c r="AI3179" s="32">
        <v>0</v>
      </c>
      <c r="AK3179" s="32">
        <v>0</v>
      </c>
      <c r="AP3179" s="32">
        <f>62/60</f>
        <v>1.0333333333333334</v>
      </c>
      <c r="AQ3179" s="32" t="s">
        <v>1101</v>
      </c>
      <c r="AU3179">
        <v>3178</v>
      </c>
    </row>
    <row r="3180" spans="1:47" x14ac:dyDescent="0.2">
      <c r="A3180" s="26">
        <v>6644</v>
      </c>
      <c r="B3180" s="27">
        <v>0.9375</v>
      </c>
      <c r="C3180" s="28"/>
      <c r="D3180" s="29"/>
      <c r="E3180" s="30" t="s">
        <v>2087</v>
      </c>
      <c r="H3180" s="32">
        <v>0</v>
      </c>
      <c r="I3180" s="32"/>
      <c r="AG3180" s="32">
        <v>0</v>
      </c>
      <c r="AH3180" s="32">
        <v>0</v>
      </c>
      <c r="AI3180" s="32">
        <v>0</v>
      </c>
      <c r="AK3180" s="32">
        <v>0</v>
      </c>
      <c r="AL3180" s="32">
        <v>0</v>
      </c>
      <c r="AP3180" s="32">
        <v>0.25</v>
      </c>
      <c r="AQ3180" s="32" t="s">
        <v>1101</v>
      </c>
      <c r="AU3180">
        <v>3179</v>
      </c>
    </row>
    <row r="3181" spans="1:47" x14ac:dyDescent="0.2">
      <c r="A3181" s="26">
        <v>6644</v>
      </c>
      <c r="B3181" s="27"/>
      <c r="C3181" s="28"/>
      <c r="D3181" s="29"/>
      <c r="E3181" s="30" t="s">
        <v>1040</v>
      </c>
      <c r="F3181" s="47"/>
      <c r="G3181" s="47"/>
      <c r="H3181">
        <v>1</v>
      </c>
      <c r="I3181" s="47" t="s">
        <v>4500</v>
      </c>
      <c r="J3181" s="47"/>
      <c r="K3181" s="47"/>
      <c r="L3181" s="48"/>
      <c r="M3181" s="47"/>
      <c r="N3181" s="47"/>
      <c r="O3181" s="47"/>
      <c r="P3181" s="47"/>
      <c r="Q3181" s="47"/>
      <c r="R3181" s="47"/>
      <c r="S3181" s="48"/>
      <c r="T3181" s="47"/>
      <c r="U3181" s="47"/>
      <c r="V3181" s="47"/>
      <c r="W3181" s="47"/>
      <c r="X3181" s="47"/>
      <c r="Y3181" s="47"/>
      <c r="Z3181" s="47"/>
      <c r="AA3181" s="49"/>
      <c r="AB3181" s="49"/>
      <c r="AC3181" s="49"/>
      <c r="AD3181" s="50"/>
      <c r="AE3181" s="47"/>
      <c r="AF3181" s="47"/>
      <c r="AG3181">
        <v>0</v>
      </c>
      <c r="AH3181">
        <v>5</v>
      </c>
      <c r="AI3181">
        <v>80000</v>
      </c>
      <c r="AJ3181"/>
      <c r="AK3181"/>
      <c r="AL3181"/>
      <c r="AM3181"/>
      <c r="AN3181"/>
      <c r="AO3181"/>
      <c r="AQ3181" t="s">
        <v>4501</v>
      </c>
      <c r="AU3181">
        <v>3180</v>
      </c>
    </row>
    <row r="3182" spans="1:47" x14ac:dyDescent="0.2">
      <c r="A3182" s="13">
        <v>6645</v>
      </c>
      <c r="B3182" s="57" t="s">
        <v>85</v>
      </c>
      <c r="C3182" s="57" t="s">
        <v>4213</v>
      </c>
      <c r="D3182" s="29"/>
      <c r="E3182" s="57" t="s">
        <v>3885</v>
      </c>
      <c r="F3182" s="31" t="s">
        <v>76</v>
      </c>
      <c r="G3182" s="31" t="s">
        <v>49</v>
      </c>
      <c r="K3182" s="31">
        <v>811.8</v>
      </c>
      <c r="Z3182" s="31" t="s">
        <v>3724</v>
      </c>
      <c r="AE3182" s="31" t="s">
        <v>4217</v>
      </c>
      <c r="AF3182" s="31">
        <v>55</v>
      </c>
      <c r="AQ3182" s="32" t="s">
        <v>4437</v>
      </c>
      <c r="AU3182">
        <v>3181</v>
      </c>
    </row>
    <row r="3183" spans="1:47" x14ac:dyDescent="0.2">
      <c r="A3183" s="13">
        <v>6645</v>
      </c>
      <c r="B3183" s="57" t="s">
        <v>85</v>
      </c>
      <c r="C3183" s="57" t="s">
        <v>4213</v>
      </c>
      <c r="D3183" s="29"/>
      <c r="E3183" s="57" t="s">
        <v>1064</v>
      </c>
      <c r="F3183" s="31" t="s">
        <v>76</v>
      </c>
      <c r="G3183" s="31" t="s">
        <v>49</v>
      </c>
      <c r="K3183" s="31">
        <v>1353</v>
      </c>
      <c r="Z3183" s="31" t="s">
        <v>3724</v>
      </c>
      <c r="AE3183" s="31" t="s">
        <v>4217</v>
      </c>
      <c r="AF3183" s="31">
        <v>60</v>
      </c>
      <c r="AQ3183" s="32" t="s">
        <v>4437</v>
      </c>
      <c r="AU3183">
        <v>3182</v>
      </c>
    </row>
    <row r="3184" spans="1:47" x14ac:dyDescent="0.2">
      <c r="A3184" s="13">
        <v>6645</v>
      </c>
      <c r="B3184" s="57" t="s">
        <v>85</v>
      </c>
      <c r="C3184" s="57" t="s">
        <v>4213</v>
      </c>
      <c r="D3184" s="29"/>
      <c r="E3184" s="57" t="s">
        <v>4502</v>
      </c>
      <c r="F3184" s="31" t="s">
        <v>76</v>
      </c>
      <c r="G3184" s="31" t="s">
        <v>49</v>
      </c>
      <c r="I3184" s="31" t="s">
        <v>4438</v>
      </c>
      <c r="K3184" s="31">
        <v>4149.2</v>
      </c>
      <c r="Z3184" s="31" t="s">
        <v>3724</v>
      </c>
      <c r="AE3184" s="31" t="s">
        <v>4217</v>
      </c>
      <c r="AF3184" s="31">
        <v>60</v>
      </c>
      <c r="AQ3184" s="32" t="s">
        <v>4437</v>
      </c>
      <c r="AU3184">
        <v>3183</v>
      </c>
    </row>
    <row r="3185" spans="1:47" x14ac:dyDescent="0.2">
      <c r="A3185" s="13">
        <v>6645</v>
      </c>
      <c r="B3185" s="57" t="s">
        <v>85</v>
      </c>
      <c r="C3185" s="57" t="s">
        <v>1077</v>
      </c>
      <c r="D3185" s="29"/>
      <c r="E3185" s="57" t="s">
        <v>4502</v>
      </c>
      <c r="F3185" s="31" t="s">
        <v>76</v>
      </c>
      <c r="G3185" s="31" t="s">
        <v>49</v>
      </c>
      <c r="K3185" s="31">
        <v>5266.8</v>
      </c>
      <c r="S3185" s="33">
        <v>16</v>
      </c>
      <c r="Z3185" s="31" t="s">
        <v>3724</v>
      </c>
      <c r="AE3185" s="31" t="s">
        <v>4411</v>
      </c>
      <c r="AF3185" s="31">
        <v>60</v>
      </c>
      <c r="AQ3185" s="32" t="s">
        <v>4437</v>
      </c>
      <c r="AU3185">
        <v>3184</v>
      </c>
    </row>
    <row r="3186" spans="1:47" x14ac:dyDescent="0.2">
      <c r="A3186" s="13">
        <v>6645</v>
      </c>
      <c r="B3186" s="57" t="s">
        <v>45</v>
      </c>
      <c r="C3186" s="57" t="s">
        <v>4407</v>
      </c>
      <c r="D3186" s="29"/>
      <c r="E3186" s="57" t="s">
        <v>788</v>
      </c>
      <c r="F3186" s="31" t="s">
        <v>76</v>
      </c>
      <c r="G3186" s="31" t="s">
        <v>49</v>
      </c>
      <c r="I3186" s="31" t="s">
        <v>4452</v>
      </c>
      <c r="K3186" s="31">
        <v>550</v>
      </c>
      <c r="AK3186" s="32">
        <v>7</v>
      </c>
      <c r="AQ3186" s="32" t="s">
        <v>4461</v>
      </c>
      <c r="AU3186">
        <v>3185</v>
      </c>
    </row>
    <row r="3187" spans="1:47" x14ac:dyDescent="0.2">
      <c r="A3187" s="13">
        <v>6645</v>
      </c>
      <c r="B3187" s="57" t="s">
        <v>45</v>
      </c>
      <c r="C3187" s="57" t="s">
        <v>4179</v>
      </c>
      <c r="D3187" s="29"/>
      <c r="E3187" s="57" t="s">
        <v>4197</v>
      </c>
      <c r="F3187" s="31" t="s">
        <v>204</v>
      </c>
      <c r="G3187" s="31" t="s">
        <v>205</v>
      </c>
      <c r="K3187" s="31">
        <v>12870</v>
      </c>
      <c r="S3187" s="33">
        <v>36</v>
      </c>
      <c r="Z3187" s="31" t="s">
        <v>3814</v>
      </c>
      <c r="AQ3187" s="32" t="s">
        <v>4437</v>
      </c>
      <c r="AU3187">
        <v>3186</v>
      </c>
    </row>
    <row r="3188" spans="1:47" x14ac:dyDescent="0.2">
      <c r="A3188" s="13">
        <v>6645</v>
      </c>
      <c r="B3188" s="57" t="s">
        <v>45</v>
      </c>
      <c r="C3188" s="57" t="s">
        <v>142</v>
      </c>
      <c r="D3188" s="29"/>
      <c r="E3188" s="57" t="s">
        <v>4503</v>
      </c>
      <c r="F3188" s="31" t="s">
        <v>3749</v>
      </c>
      <c r="G3188" s="31" t="s">
        <v>49</v>
      </c>
      <c r="I3188" s="47" t="b">
        <v>1</v>
      </c>
      <c r="J3188" s="47" t="b">
        <v>1</v>
      </c>
      <c r="K3188" s="31">
        <f>2165*2.2</f>
        <v>4763</v>
      </c>
      <c r="L3188" s="33">
        <v>13</v>
      </c>
      <c r="N3188" s="31">
        <v>1</v>
      </c>
      <c r="S3188" s="33">
        <v>12</v>
      </c>
      <c r="T3188" s="31">
        <v>0</v>
      </c>
      <c r="U3188" s="31">
        <v>0</v>
      </c>
      <c r="V3188" s="31">
        <v>1</v>
      </c>
      <c r="Y3188" s="31" t="s">
        <v>51</v>
      </c>
      <c r="Z3188" s="31" t="s">
        <v>3855</v>
      </c>
      <c r="AE3188" s="31" t="s">
        <v>4124</v>
      </c>
      <c r="AQ3188" s="32" t="s">
        <v>4504</v>
      </c>
      <c r="AR3188" s="31" t="s">
        <v>4505</v>
      </c>
      <c r="AU3188">
        <v>3187</v>
      </c>
    </row>
    <row r="3189" spans="1:47" x14ac:dyDescent="0.2">
      <c r="A3189" s="13">
        <v>6645</v>
      </c>
      <c r="B3189" s="57" t="s">
        <v>45</v>
      </c>
      <c r="C3189" s="177" t="s">
        <v>4447</v>
      </c>
      <c r="D3189" s="29"/>
      <c r="E3189" s="166" t="s">
        <v>199</v>
      </c>
      <c r="F3189" s="31" t="s">
        <v>76</v>
      </c>
      <c r="G3189" s="31" t="s">
        <v>49</v>
      </c>
      <c r="I3189" s="47" t="b">
        <v>0</v>
      </c>
      <c r="J3189" s="47" t="b">
        <v>0</v>
      </c>
      <c r="K3189" s="31">
        <f>225*2.2</f>
        <v>495.00000000000006</v>
      </c>
      <c r="AE3189" s="31" t="s">
        <v>4449</v>
      </c>
      <c r="AF3189" s="31">
        <v>60</v>
      </c>
      <c r="AK3189" s="32">
        <v>6</v>
      </c>
      <c r="AQ3189" s="32" t="s">
        <v>4461</v>
      </c>
      <c r="AR3189" s="31" t="s">
        <v>4452</v>
      </c>
      <c r="AU3189">
        <v>3188</v>
      </c>
    </row>
    <row r="3190" spans="1:47" x14ac:dyDescent="0.2">
      <c r="A3190" s="13">
        <v>6645</v>
      </c>
      <c r="B3190" s="57" t="s">
        <v>45</v>
      </c>
      <c r="C3190" s="177" t="s">
        <v>4447</v>
      </c>
      <c r="D3190" s="29"/>
      <c r="E3190" s="166" t="s">
        <v>3063</v>
      </c>
      <c r="F3190" s="31" t="s">
        <v>76</v>
      </c>
      <c r="G3190" s="31" t="s">
        <v>49</v>
      </c>
      <c r="I3190" s="47" t="b">
        <v>0</v>
      </c>
      <c r="J3190" s="47" t="b">
        <v>0</v>
      </c>
      <c r="K3190" s="31">
        <f>380*2.2</f>
        <v>836.00000000000011</v>
      </c>
      <c r="AE3190" s="31" t="s">
        <v>4449</v>
      </c>
      <c r="AF3190" s="31">
        <v>70</v>
      </c>
      <c r="AK3190" s="32">
        <v>12</v>
      </c>
      <c r="AQ3190" s="32" t="s">
        <v>4461</v>
      </c>
      <c r="AR3190" s="31" t="s">
        <v>4452</v>
      </c>
      <c r="AU3190">
        <v>3189</v>
      </c>
    </row>
    <row r="3191" spans="1:47" x14ac:dyDescent="0.2">
      <c r="A3191" s="13">
        <v>6645</v>
      </c>
      <c r="B3191" s="57" t="s">
        <v>45</v>
      </c>
      <c r="C3191" s="177" t="s">
        <v>4447</v>
      </c>
      <c r="D3191" s="29"/>
      <c r="E3191" s="166" t="s">
        <v>4448</v>
      </c>
      <c r="F3191" s="31" t="s">
        <v>83</v>
      </c>
      <c r="G3191" s="31" t="s">
        <v>69</v>
      </c>
      <c r="I3191" s="47" t="b">
        <v>0</v>
      </c>
      <c r="J3191" s="47" t="b">
        <v>0</v>
      </c>
      <c r="K3191" s="31">
        <f>420*2.2</f>
        <v>924.00000000000011</v>
      </c>
      <c r="AE3191" s="31" t="s">
        <v>4449</v>
      </c>
      <c r="AF3191" s="31">
        <v>60</v>
      </c>
      <c r="AK3191" s="32">
        <v>14</v>
      </c>
      <c r="AQ3191" s="32" t="s">
        <v>4461</v>
      </c>
      <c r="AR3191" s="31" t="s">
        <v>4460</v>
      </c>
      <c r="AU3191">
        <v>3190</v>
      </c>
    </row>
    <row r="3192" spans="1:47" x14ac:dyDescent="0.2">
      <c r="A3192" s="13">
        <v>6645</v>
      </c>
      <c r="B3192" s="57" t="s">
        <v>45</v>
      </c>
      <c r="C3192" s="177" t="s">
        <v>4447</v>
      </c>
      <c r="D3192" s="29"/>
      <c r="E3192" s="166" t="s">
        <v>2191</v>
      </c>
      <c r="F3192" s="31" t="s">
        <v>76</v>
      </c>
      <c r="G3192" s="31" t="s">
        <v>49</v>
      </c>
      <c r="I3192" s="47" t="b">
        <v>0</v>
      </c>
      <c r="J3192" s="47" t="b">
        <v>0</v>
      </c>
      <c r="K3192" s="31">
        <f>865*2.2</f>
        <v>1903.0000000000002</v>
      </c>
      <c r="AE3192" s="31" t="s">
        <v>4449</v>
      </c>
      <c r="AF3192" s="31">
        <v>60</v>
      </c>
      <c r="AK3192" s="32">
        <v>23</v>
      </c>
      <c r="AQ3192" s="32" t="s">
        <v>4461</v>
      </c>
      <c r="AR3192" s="31" t="s">
        <v>4452</v>
      </c>
      <c r="AU3192">
        <v>3191</v>
      </c>
    </row>
    <row r="3193" spans="1:47" x14ac:dyDescent="0.2">
      <c r="A3193" s="13">
        <v>6645</v>
      </c>
      <c r="B3193" s="57" t="s">
        <v>45</v>
      </c>
      <c r="C3193" s="177" t="s">
        <v>4447</v>
      </c>
      <c r="D3193" s="29"/>
      <c r="E3193" s="166" t="s">
        <v>4122</v>
      </c>
      <c r="F3193" s="31" t="s">
        <v>76</v>
      </c>
      <c r="G3193" s="31" t="s">
        <v>49</v>
      </c>
      <c r="I3193" s="47" t="b">
        <v>0</v>
      </c>
      <c r="J3193" s="47" t="b">
        <v>0</v>
      </c>
      <c r="K3193" s="176">
        <f>4763-(495+836+924+1903)</f>
        <v>605</v>
      </c>
      <c r="AE3193" s="31" t="s">
        <v>4449</v>
      </c>
      <c r="AF3193" s="31">
        <v>90</v>
      </c>
      <c r="AQ3193" s="32" t="s">
        <v>4461</v>
      </c>
      <c r="AR3193" s="31" t="s">
        <v>4506</v>
      </c>
      <c r="AU3193">
        <v>3192</v>
      </c>
    </row>
    <row r="3194" spans="1:47" x14ac:dyDescent="0.2">
      <c r="A3194" s="26">
        <v>6645</v>
      </c>
      <c r="B3194" s="27">
        <v>0.72222222222222221</v>
      </c>
      <c r="C3194" s="28"/>
      <c r="D3194" s="29"/>
      <c r="E3194" s="30" t="s">
        <v>869</v>
      </c>
      <c r="H3194" s="32">
        <v>0</v>
      </c>
      <c r="I3194" s="32" t="s">
        <v>2344</v>
      </c>
      <c r="AG3194" s="32">
        <v>0</v>
      </c>
      <c r="AH3194" s="32">
        <v>0</v>
      </c>
      <c r="AI3194" s="32">
        <v>0</v>
      </c>
      <c r="AK3194" s="32">
        <v>0</v>
      </c>
      <c r="AL3194" s="32">
        <v>0.66700000000000004</v>
      </c>
      <c r="AP3194" s="32">
        <v>0.66700000000000004</v>
      </c>
      <c r="AQ3194" s="32" t="s">
        <v>589</v>
      </c>
      <c r="AU3194">
        <v>3193</v>
      </c>
    </row>
    <row r="3195" spans="1:47" x14ac:dyDescent="0.2">
      <c r="A3195" s="26">
        <v>6645</v>
      </c>
      <c r="B3195" s="27">
        <v>0.82638888888888884</v>
      </c>
      <c r="C3195" s="28"/>
      <c r="D3195" s="29"/>
      <c r="E3195" s="30" t="s">
        <v>464</v>
      </c>
      <c r="H3195" s="32">
        <v>0</v>
      </c>
      <c r="I3195" s="32" t="s">
        <v>4507</v>
      </c>
      <c r="AG3195" s="32">
        <v>0</v>
      </c>
      <c r="AH3195" s="32">
        <v>0</v>
      </c>
      <c r="AL3195" s="32">
        <v>1.333</v>
      </c>
      <c r="AO3195" s="32" t="s">
        <v>4067</v>
      </c>
      <c r="AP3195" s="32">
        <v>1.333</v>
      </c>
      <c r="AQ3195" s="32" t="s">
        <v>1522</v>
      </c>
      <c r="AU3195">
        <v>3194</v>
      </c>
    </row>
    <row r="3196" spans="1:47" x14ac:dyDescent="0.2">
      <c r="A3196" s="26">
        <v>6645</v>
      </c>
      <c r="B3196" s="27" t="s">
        <v>45</v>
      </c>
      <c r="C3196" s="28"/>
      <c r="D3196" s="29"/>
      <c r="E3196" s="30" t="s">
        <v>1531</v>
      </c>
      <c r="H3196" s="32">
        <v>0</v>
      </c>
      <c r="I3196" s="32" t="s">
        <v>1706</v>
      </c>
      <c r="AG3196" s="32">
        <v>0</v>
      </c>
      <c r="AH3196" s="32">
        <v>0</v>
      </c>
      <c r="AI3196" s="32">
        <v>0</v>
      </c>
      <c r="AK3196" s="32">
        <v>0</v>
      </c>
      <c r="AM3196" s="32">
        <f>498*98</f>
        <v>48804</v>
      </c>
      <c r="AO3196" s="32" t="s">
        <v>1533</v>
      </c>
      <c r="AQ3196" s="32" t="s">
        <v>1101</v>
      </c>
      <c r="AU3196">
        <v>3195</v>
      </c>
    </row>
    <row r="3197" spans="1:47" x14ac:dyDescent="0.2">
      <c r="A3197" s="26">
        <v>6645</v>
      </c>
      <c r="B3197" s="27" t="s">
        <v>45</v>
      </c>
      <c r="C3197" s="28"/>
      <c r="D3197" s="29"/>
      <c r="E3197" s="150" t="s">
        <v>2286</v>
      </c>
      <c r="H3197" s="32">
        <v>0</v>
      </c>
      <c r="I3197" s="32" t="s">
        <v>1824</v>
      </c>
      <c r="AG3197" s="32">
        <v>0</v>
      </c>
      <c r="AH3197" s="32">
        <v>0</v>
      </c>
      <c r="AI3197" s="32">
        <v>0</v>
      </c>
      <c r="AK3197" s="32">
        <v>0</v>
      </c>
      <c r="AM3197" s="32">
        <v>2500</v>
      </c>
      <c r="AO3197" s="73" t="s">
        <v>75</v>
      </c>
      <c r="AQ3197" s="32" t="s">
        <v>589</v>
      </c>
      <c r="AU3197">
        <v>3196</v>
      </c>
    </row>
    <row r="3198" spans="1:47" x14ac:dyDescent="0.2">
      <c r="A3198" s="133">
        <v>6646</v>
      </c>
      <c r="B3198" s="39" t="s">
        <v>85</v>
      </c>
      <c r="C3198" s="39">
        <v>55</v>
      </c>
      <c r="D3198" s="29" t="b">
        <v>0</v>
      </c>
      <c r="E3198" s="39" t="s">
        <v>2964</v>
      </c>
      <c r="F3198" s="47" t="s">
        <v>4470</v>
      </c>
      <c r="G3198" s="47" t="s">
        <v>459</v>
      </c>
      <c r="H3198"/>
      <c r="I3198" s="47" t="b">
        <v>0</v>
      </c>
      <c r="J3198" s="47" t="b">
        <v>1</v>
      </c>
      <c r="K3198" s="47">
        <v>2450</v>
      </c>
      <c r="L3198" s="48">
        <v>11</v>
      </c>
      <c r="M3198" s="47">
        <v>0</v>
      </c>
      <c r="N3198" s="47">
        <v>1</v>
      </c>
      <c r="O3198" s="47">
        <v>1</v>
      </c>
      <c r="P3198" s="47">
        <v>0</v>
      </c>
      <c r="Q3198" s="47">
        <v>0</v>
      </c>
      <c r="R3198" s="47">
        <v>0</v>
      </c>
      <c r="S3198" s="48">
        <v>9</v>
      </c>
      <c r="T3198" s="47">
        <v>0</v>
      </c>
      <c r="U3198" s="47">
        <v>0</v>
      </c>
      <c r="V3198" s="47">
        <v>0</v>
      </c>
      <c r="W3198" s="47">
        <v>13500</v>
      </c>
      <c r="X3198" s="47">
        <v>440</v>
      </c>
      <c r="Y3198" s="47"/>
      <c r="Z3198" s="47" t="s">
        <v>3618</v>
      </c>
      <c r="AA3198" s="49"/>
      <c r="AB3198" s="49"/>
      <c r="AC3198" s="49"/>
      <c r="AD3198" s="50"/>
      <c r="AE3198" s="47" t="s">
        <v>3798</v>
      </c>
      <c r="AF3198" s="47">
        <v>245</v>
      </c>
      <c r="AG3198"/>
      <c r="AH3198"/>
      <c r="AI3198"/>
      <c r="AJ3198"/>
      <c r="AK3198"/>
      <c r="AL3198"/>
      <c r="AM3198"/>
      <c r="AN3198"/>
      <c r="AO3198"/>
      <c r="AP3198"/>
      <c r="AQ3198" t="s">
        <v>2526</v>
      </c>
      <c r="AU3198">
        <v>3197</v>
      </c>
    </row>
    <row r="3199" spans="1:47" x14ac:dyDescent="0.2">
      <c r="A3199" s="133">
        <v>6646</v>
      </c>
      <c r="B3199" s="39" t="s">
        <v>45</v>
      </c>
      <c r="C3199" s="39" t="s">
        <v>4213</v>
      </c>
      <c r="D3199" s="29"/>
      <c r="E3199" s="39" t="s">
        <v>3884</v>
      </c>
      <c r="F3199" s="47" t="s">
        <v>4508</v>
      </c>
      <c r="G3199" s="47" t="s">
        <v>205</v>
      </c>
      <c r="H3199"/>
      <c r="I3199" s="47"/>
      <c r="J3199" s="47"/>
      <c r="K3199" s="47"/>
      <c r="L3199" s="48"/>
      <c r="M3199" s="47"/>
      <c r="N3199" s="47"/>
      <c r="O3199" s="47"/>
      <c r="P3199" s="47"/>
      <c r="Q3199" s="47"/>
      <c r="R3199" s="47"/>
      <c r="S3199" s="48"/>
      <c r="T3199" s="47">
        <v>1</v>
      </c>
      <c r="U3199" s="47"/>
      <c r="V3199" s="47"/>
      <c r="W3199" s="47"/>
      <c r="X3199" s="47"/>
      <c r="Y3199" s="47"/>
      <c r="Z3199" s="31" t="s">
        <v>3724</v>
      </c>
      <c r="AA3199" s="49"/>
      <c r="AB3199" s="49"/>
      <c r="AC3199" s="49"/>
      <c r="AD3199" s="50"/>
      <c r="AE3199" s="31" t="s">
        <v>4217</v>
      </c>
      <c r="AF3199" s="47">
        <v>95</v>
      </c>
      <c r="AG3199"/>
      <c r="AH3199"/>
      <c r="AI3199"/>
      <c r="AJ3199"/>
      <c r="AK3199"/>
      <c r="AL3199"/>
      <c r="AM3199"/>
      <c r="AN3199"/>
      <c r="AO3199"/>
      <c r="AP3199"/>
      <c r="AQ3199" t="s">
        <v>4293</v>
      </c>
      <c r="AU3199">
        <v>3198</v>
      </c>
    </row>
    <row r="3200" spans="1:47" x14ac:dyDescent="0.2">
      <c r="A3200" s="13">
        <v>6646</v>
      </c>
      <c r="B3200" s="57" t="s">
        <v>45</v>
      </c>
      <c r="C3200" s="57" t="s">
        <v>4407</v>
      </c>
      <c r="D3200" s="29"/>
      <c r="E3200" s="57" t="s">
        <v>179</v>
      </c>
      <c r="F3200" s="31" t="s">
        <v>76</v>
      </c>
      <c r="G3200" s="31" t="s">
        <v>49</v>
      </c>
      <c r="I3200" s="31" t="s">
        <v>4460</v>
      </c>
      <c r="K3200" s="31">
        <v>330</v>
      </c>
      <c r="AK3200" s="32">
        <v>6</v>
      </c>
      <c r="AQ3200" s="32" t="s">
        <v>4461</v>
      </c>
      <c r="AU3200">
        <v>3199</v>
      </c>
    </row>
    <row r="3201" spans="1:47" x14ac:dyDescent="0.2">
      <c r="A3201" s="13">
        <v>6646</v>
      </c>
      <c r="B3201" s="57" t="s">
        <v>45</v>
      </c>
      <c r="C3201" s="57" t="s">
        <v>4456</v>
      </c>
      <c r="D3201" s="29"/>
      <c r="E3201" s="57" t="s">
        <v>788</v>
      </c>
      <c r="F3201" s="31" t="s">
        <v>76</v>
      </c>
      <c r="G3201" s="31" t="s">
        <v>49</v>
      </c>
      <c r="I3201" s="31" t="s">
        <v>4509</v>
      </c>
      <c r="K3201" s="31">
        <f>6*50*2.2</f>
        <v>660</v>
      </c>
      <c r="L3201" s="33">
        <v>1</v>
      </c>
      <c r="S3201" s="33">
        <v>1</v>
      </c>
      <c r="T3201" s="31">
        <v>0</v>
      </c>
      <c r="U3201" s="31">
        <v>0</v>
      </c>
      <c r="V3201" s="31">
        <v>0</v>
      </c>
      <c r="W3201" s="47">
        <f>2200*39.37/12</f>
        <v>7217.833333333333</v>
      </c>
      <c r="Y3201" s="31" t="s">
        <v>51</v>
      </c>
      <c r="Z3201" s="31" t="s">
        <v>1846</v>
      </c>
      <c r="AD3201" s="35">
        <v>2.25</v>
      </c>
      <c r="AE3201" s="31" t="s">
        <v>4173</v>
      </c>
      <c r="AF3201" s="31">
        <v>70</v>
      </c>
      <c r="AK3201" s="32">
        <v>6</v>
      </c>
      <c r="AQ3201" s="32" t="s">
        <v>4486</v>
      </c>
      <c r="AU3201">
        <v>3200</v>
      </c>
    </row>
    <row r="3202" spans="1:47" x14ac:dyDescent="0.2">
      <c r="A3202" s="13">
        <v>6646</v>
      </c>
      <c r="B3202" s="57" t="s">
        <v>45</v>
      </c>
      <c r="C3202" s="57" t="s">
        <v>4407</v>
      </c>
      <c r="D3202" s="29"/>
      <c r="E3202" s="57" t="s">
        <v>4127</v>
      </c>
      <c r="F3202" s="31" t="s">
        <v>76</v>
      </c>
      <c r="G3202" s="31" t="s">
        <v>49</v>
      </c>
      <c r="I3202" s="31" t="s">
        <v>4452</v>
      </c>
      <c r="K3202" s="31">
        <v>1100</v>
      </c>
      <c r="AK3202" s="32">
        <v>14</v>
      </c>
      <c r="AQ3202" s="32" t="s">
        <v>4461</v>
      </c>
      <c r="AU3202">
        <v>3201</v>
      </c>
    </row>
    <row r="3203" spans="1:47" x14ac:dyDescent="0.2">
      <c r="A3203" s="13">
        <v>6646</v>
      </c>
      <c r="B3203" s="57" t="s">
        <v>45</v>
      </c>
      <c r="C3203" s="57" t="s">
        <v>4456</v>
      </c>
      <c r="D3203" s="29"/>
      <c r="E3203" s="57" t="s">
        <v>4487</v>
      </c>
      <c r="F3203" s="31" t="s">
        <v>967</v>
      </c>
      <c r="G3203" s="31" t="s">
        <v>481</v>
      </c>
      <c r="I3203" s="31" t="s">
        <v>4510</v>
      </c>
      <c r="K3203" s="33">
        <f>2*8*50*2.2</f>
        <v>1760.0000000000002</v>
      </c>
      <c r="L3203" s="33">
        <v>2</v>
      </c>
      <c r="S3203" s="33">
        <v>2</v>
      </c>
      <c r="T3203" s="31">
        <v>0</v>
      </c>
      <c r="U3203" s="31">
        <v>0</v>
      </c>
      <c r="V3203" s="31">
        <v>0</v>
      </c>
      <c r="W3203" s="47">
        <f>((2200+2500)/2)*39.37/12</f>
        <v>7709.958333333333</v>
      </c>
      <c r="Y3203" s="31" t="s">
        <v>51</v>
      </c>
      <c r="Z3203" s="31" t="s">
        <v>1846</v>
      </c>
      <c r="AD3203" s="35">
        <f>3+1/6</f>
        <v>3.1666666666666665</v>
      </c>
      <c r="AE3203" s="31" t="s">
        <v>4173</v>
      </c>
      <c r="AF3203" s="31">
        <v>105</v>
      </c>
      <c r="AK3203" s="74">
        <v>16</v>
      </c>
      <c r="AQ3203" s="32" t="s">
        <v>4511</v>
      </c>
      <c r="AU3203">
        <v>3202</v>
      </c>
    </row>
    <row r="3204" spans="1:47" x14ac:dyDescent="0.2">
      <c r="A3204" s="13">
        <v>6646</v>
      </c>
      <c r="B3204" s="57" t="s">
        <v>45</v>
      </c>
      <c r="C3204" s="57" t="s">
        <v>4407</v>
      </c>
      <c r="D3204" s="29"/>
      <c r="E3204" s="57" t="s">
        <v>3812</v>
      </c>
      <c r="F3204" s="31" t="s">
        <v>3764</v>
      </c>
      <c r="G3204" s="31" t="s">
        <v>481</v>
      </c>
      <c r="I3204" s="31" t="s">
        <v>4452</v>
      </c>
      <c r="K3204" s="31">
        <v>2420</v>
      </c>
      <c r="AK3204" s="32">
        <v>22</v>
      </c>
      <c r="AQ3204" s="32" t="s">
        <v>4461</v>
      </c>
      <c r="AU3204">
        <v>3203</v>
      </c>
    </row>
    <row r="3205" spans="1:47" x14ac:dyDescent="0.2">
      <c r="A3205" s="133">
        <v>6646</v>
      </c>
      <c r="B3205" s="39" t="s">
        <v>45</v>
      </c>
      <c r="C3205" s="39" t="s">
        <v>142</v>
      </c>
      <c r="D3205" s="29"/>
      <c r="E3205" s="39" t="s">
        <v>4512</v>
      </c>
      <c r="F3205" s="47" t="s">
        <v>4513</v>
      </c>
      <c r="G3205" s="47" t="s">
        <v>49</v>
      </c>
      <c r="H3205"/>
      <c r="I3205" s="47" t="b">
        <v>1</v>
      </c>
      <c r="J3205" s="47" t="b">
        <v>1</v>
      </c>
      <c r="K3205" s="47">
        <f>2180*2.2</f>
        <v>4796</v>
      </c>
      <c r="L3205" s="48">
        <v>11</v>
      </c>
      <c r="M3205" s="47"/>
      <c r="N3205" s="47"/>
      <c r="O3205" s="47"/>
      <c r="P3205" s="47"/>
      <c r="Q3205" s="47"/>
      <c r="R3205" s="47"/>
      <c r="S3205" s="48">
        <v>11</v>
      </c>
      <c r="T3205" s="47">
        <v>0</v>
      </c>
      <c r="U3205" s="47">
        <v>0</v>
      </c>
      <c r="V3205" s="47">
        <v>0</v>
      </c>
      <c r="W3205" s="47"/>
      <c r="X3205" s="47"/>
      <c r="Y3205" s="47" t="s">
        <v>51</v>
      </c>
      <c r="Z3205" s="31" t="s">
        <v>3855</v>
      </c>
      <c r="AA3205" s="49">
        <v>0.83333333333333337</v>
      </c>
      <c r="AB3205" s="49"/>
      <c r="AC3205" s="49"/>
      <c r="AD3205" s="50"/>
      <c r="AE3205" s="31" t="s">
        <v>4124</v>
      </c>
      <c r="AF3205" s="47"/>
      <c r="AG3205"/>
      <c r="AH3205"/>
      <c r="AI3205"/>
      <c r="AJ3205"/>
      <c r="AK3205"/>
      <c r="AL3205"/>
      <c r="AM3205"/>
      <c r="AN3205"/>
      <c r="AO3205"/>
      <c r="AP3205"/>
      <c r="AQ3205" s="32" t="s">
        <v>4504</v>
      </c>
      <c r="AR3205" s="47" t="s">
        <v>4514</v>
      </c>
      <c r="AU3205">
        <v>3204</v>
      </c>
    </row>
    <row r="3206" spans="1:47" x14ac:dyDescent="0.2">
      <c r="A3206" s="13">
        <v>6646</v>
      </c>
      <c r="B3206" s="57" t="s">
        <v>45</v>
      </c>
      <c r="C3206" s="177" t="s">
        <v>4447</v>
      </c>
      <c r="D3206" s="29"/>
      <c r="E3206" s="57" t="s">
        <v>199</v>
      </c>
      <c r="F3206" s="31" t="s">
        <v>76</v>
      </c>
      <c r="G3206" s="31" t="s">
        <v>49</v>
      </c>
      <c r="I3206" s="47" t="b">
        <v>0</v>
      </c>
      <c r="J3206" s="47" t="b">
        <v>0</v>
      </c>
      <c r="K3206" s="31">
        <f>250*2.2</f>
        <v>550</v>
      </c>
      <c r="AE3206" s="31" t="s">
        <v>4449</v>
      </c>
      <c r="AF3206" s="31">
        <v>60</v>
      </c>
      <c r="AK3206" s="32">
        <v>10</v>
      </c>
      <c r="AQ3206" s="32" t="s">
        <v>4461</v>
      </c>
      <c r="AR3206" s="31" t="s">
        <v>4452</v>
      </c>
      <c r="AU3206">
        <v>3205</v>
      </c>
    </row>
    <row r="3207" spans="1:47" x14ac:dyDescent="0.2">
      <c r="A3207" s="13">
        <v>6646</v>
      </c>
      <c r="B3207" s="57" t="s">
        <v>45</v>
      </c>
      <c r="C3207" s="177" t="s">
        <v>4447</v>
      </c>
      <c r="D3207" s="29"/>
      <c r="E3207" s="57" t="s">
        <v>2191</v>
      </c>
      <c r="F3207" s="31" t="s">
        <v>76</v>
      </c>
      <c r="G3207" s="31" t="s">
        <v>49</v>
      </c>
      <c r="I3207" s="47" t="b">
        <v>0</v>
      </c>
      <c r="J3207" s="47" t="b">
        <v>0</v>
      </c>
      <c r="K3207" s="31">
        <f>250*2.2</f>
        <v>550</v>
      </c>
      <c r="AE3207" s="31" t="s">
        <v>4449</v>
      </c>
      <c r="AF3207" s="31">
        <v>60</v>
      </c>
      <c r="AK3207" s="32">
        <v>7</v>
      </c>
      <c r="AQ3207" s="32" t="s">
        <v>4461</v>
      </c>
      <c r="AR3207" s="31" t="s">
        <v>4452</v>
      </c>
      <c r="AU3207">
        <v>3206</v>
      </c>
    </row>
    <row r="3208" spans="1:47" x14ac:dyDescent="0.2">
      <c r="A3208" s="13">
        <v>6646</v>
      </c>
      <c r="B3208" s="57" t="s">
        <v>45</v>
      </c>
      <c r="C3208" s="177" t="s">
        <v>4447</v>
      </c>
      <c r="D3208" s="29"/>
      <c r="E3208" s="57" t="s">
        <v>1531</v>
      </c>
      <c r="F3208" s="31" t="s">
        <v>3764</v>
      </c>
      <c r="G3208" s="31" t="s">
        <v>481</v>
      </c>
      <c r="I3208" s="47" t="b">
        <v>0</v>
      </c>
      <c r="J3208" s="47" t="b">
        <v>0</v>
      </c>
      <c r="K3208" s="31">
        <f>300*2.2</f>
        <v>660</v>
      </c>
      <c r="AE3208" s="31" t="s">
        <v>4449</v>
      </c>
      <c r="AF3208" s="31">
        <v>85</v>
      </c>
      <c r="AK3208" s="32">
        <v>9</v>
      </c>
      <c r="AQ3208" s="32" t="s">
        <v>4461</v>
      </c>
      <c r="AR3208" s="31" t="s">
        <v>4452</v>
      </c>
      <c r="AU3208">
        <v>3207</v>
      </c>
    </row>
    <row r="3209" spans="1:47" x14ac:dyDescent="0.2">
      <c r="A3209" s="13">
        <v>6646</v>
      </c>
      <c r="B3209" s="57" t="s">
        <v>45</v>
      </c>
      <c r="C3209" s="177" t="s">
        <v>4447</v>
      </c>
      <c r="D3209" s="29"/>
      <c r="E3209" s="57" t="s">
        <v>4017</v>
      </c>
      <c r="F3209" s="31" t="s">
        <v>76</v>
      </c>
      <c r="G3209" s="31" t="s">
        <v>49</v>
      </c>
      <c r="I3209" s="47" t="b">
        <v>0</v>
      </c>
      <c r="J3209" s="47" t="b">
        <v>0</v>
      </c>
      <c r="K3209" s="31">
        <f>310*2.2</f>
        <v>682</v>
      </c>
      <c r="AE3209" s="31" t="s">
        <v>4449</v>
      </c>
      <c r="AF3209" s="31">
        <v>90</v>
      </c>
      <c r="AK3209" s="32">
        <v>9</v>
      </c>
      <c r="AQ3209" s="32" t="s">
        <v>4461</v>
      </c>
      <c r="AR3209" s="31" t="s">
        <v>4452</v>
      </c>
      <c r="AU3209">
        <v>3208</v>
      </c>
    </row>
    <row r="3210" spans="1:47" x14ac:dyDescent="0.2">
      <c r="A3210" s="13">
        <v>6646</v>
      </c>
      <c r="B3210" s="57" t="s">
        <v>45</v>
      </c>
      <c r="C3210" s="177" t="s">
        <v>4447</v>
      </c>
      <c r="D3210" s="29"/>
      <c r="E3210" s="57" t="s">
        <v>3063</v>
      </c>
      <c r="F3210" s="31" t="s">
        <v>76</v>
      </c>
      <c r="G3210" s="31" t="s">
        <v>49</v>
      </c>
      <c r="I3210" s="47" t="b">
        <v>0</v>
      </c>
      <c r="J3210" s="47" t="b">
        <v>0</v>
      </c>
      <c r="K3210" s="31">
        <f>1425*2.2</f>
        <v>3135.0000000000005</v>
      </c>
      <c r="AE3210" s="31" t="s">
        <v>4449</v>
      </c>
      <c r="AF3210" s="31">
        <v>70</v>
      </c>
      <c r="AK3210" s="32">
        <v>48</v>
      </c>
      <c r="AQ3210" s="32" t="s">
        <v>4461</v>
      </c>
      <c r="AR3210" s="31" t="s">
        <v>4452</v>
      </c>
      <c r="AU3210">
        <v>3209</v>
      </c>
    </row>
    <row r="3211" spans="1:47" x14ac:dyDescent="0.2">
      <c r="A3211" s="13">
        <v>6646</v>
      </c>
      <c r="B3211" s="57" t="s">
        <v>45</v>
      </c>
      <c r="C3211" s="177" t="s">
        <v>4447</v>
      </c>
      <c r="D3211" s="29"/>
      <c r="E3211" s="57" t="s">
        <v>4122</v>
      </c>
      <c r="F3211" s="31" t="s">
        <v>76</v>
      </c>
      <c r="G3211" s="31" t="s">
        <v>49</v>
      </c>
      <c r="I3211" s="47" t="b">
        <v>0</v>
      </c>
      <c r="J3211" s="47" t="b">
        <v>0</v>
      </c>
      <c r="K3211" s="63"/>
      <c r="AE3211" s="31" t="s">
        <v>4449</v>
      </c>
      <c r="AF3211" s="31">
        <v>90</v>
      </c>
      <c r="AQ3211" s="32" t="s">
        <v>4461</v>
      </c>
      <c r="AR3211" s="31" t="s">
        <v>4515</v>
      </c>
      <c r="AU3211">
        <v>3210</v>
      </c>
    </row>
    <row r="3212" spans="1:47" x14ac:dyDescent="0.2">
      <c r="A3212" s="26">
        <v>6646</v>
      </c>
      <c r="B3212" s="27">
        <v>0.4548611111111111</v>
      </c>
      <c r="C3212" s="28"/>
      <c r="D3212" s="29"/>
      <c r="E3212" s="102" t="s">
        <v>1102</v>
      </c>
      <c r="H3212" s="32">
        <v>0</v>
      </c>
      <c r="I3212" s="32" t="s">
        <v>4516</v>
      </c>
      <c r="AG3212" s="32">
        <v>0</v>
      </c>
      <c r="AH3212" s="32">
        <v>0</v>
      </c>
      <c r="AI3212" s="32">
        <v>0</v>
      </c>
      <c r="AK3212" s="32">
        <v>0</v>
      </c>
      <c r="AL3212" s="32">
        <f>109/60</f>
        <v>1.8166666666666667</v>
      </c>
      <c r="AO3212" s="73" t="s">
        <v>1006</v>
      </c>
      <c r="AP3212" s="32">
        <f>109/60</f>
        <v>1.8166666666666667</v>
      </c>
      <c r="AQ3212" s="32" t="s">
        <v>589</v>
      </c>
      <c r="AU3212">
        <v>3211</v>
      </c>
    </row>
    <row r="3213" spans="1:47" x14ac:dyDescent="0.2">
      <c r="A3213" s="26">
        <v>6646</v>
      </c>
      <c r="B3213" s="27">
        <v>0.4861111111111111</v>
      </c>
      <c r="C3213" s="28"/>
      <c r="D3213" s="29"/>
      <c r="E3213" s="30" t="s">
        <v>2964</v>
      </c>
      <c r="H3213" s="32">
        <v>1</v>
      </c>
      <c r="I3213" s="32" t="s">
        <v>4517</v>
      </c>
      <c r="AG3213" s="32">
        <v>16</v>
      </c>
      <c r="AH3213" s="32">
        <v>15</v>
      </c>
      <c r="AI3213" s="32">
        <f>54117+625+5140+13+610+3014</f>
        <v>63519</v>
      </c>
      <c r="AK3213" s="32">
        <v>23</v>
      </c>
      <c r="AL3213" s="32">
        <f>5/6</f>
        <v>0.83333333333333337</v>
      </c>
      <c r="AM3213" s="32">
        <f>2859+1354</f>
        <v>4213</v>
      </c>
      <c r="AP3213" s="32">
        <f>5/6</f>
        <v>0.83333333333333337</v>
      </c>
      <c r="AQ3213" s="32" t="s">
        <v>4518</v>
      </c>
      <c r="AU3213">
        <v>3212</v>
      </c>
    </row>
    <row r="3214" spans="1:47" x14ac:dyDescent="0.2">
      <c r="A3214" s="26">
        <v>6646</v>
      </c>
      <c r="B3214" s="27">
        <v>0.49375000000000002</v>
      </c>
      <c r="C3214" s="28"/>
      <c r="D3214" s="29"/>
      <c r="E3214" s="30" t="s">
        <v>3155</v>
      </c>
      <c r="H3214" s="32">
        <v>0</v>
      </c>
      <c r="I3214" s="32" t="s">
        <v>3156</v>
      </c>
      <c r="AG3214" s="32">
        <v>0</v>
      </c>
      <c r="AH3214" s="32">
        <v>0</v>
      </c>
      <c r="AI3214" s="32">
        <v>0</v>
      </c>
      <c r="AK3214" s="32">
        <v>0</v>
      </c>
      <c r="AP3214" s="32">
        <f>56/60</f>
        <v>0.93333333333333335</v>
      </c>
      <c r="AQ3214" s="32" t="s">
        <v>1101</v>
      </c>
      <c r="AU3214">
        <v>3213</v>
      </c>
    </row>
    <row r="3215" spans="1:47" x14ac:dyDescent="0.2">
      <c r="A3215" s="26">
        <v>6646</v>
      </c>
      <c r="B3215" s="27">
        <v>0.5</v>
      </c>
      <c r="C3215" s="28"/>
      <c r="D3215" s="29"/>
      <c r="E3215" s="30" t="s">
        <v>4519</v>
      </c>
      <c r="H3215" s="32">
        <v>0</v>
      </c>
      <c r="I3215" s="32" t="s">
        <v>4520</v>
      </c>
      <c r="AG3215" s="32">
        <v>0</v>
      </c>
      <c r="AH3215" s="32">
        <v>0</v>
      </c>
      <c r="AI3215" s="32">
        <v>0</v>
      </c>
      <c r="AK3215" s="32">
        <v>0</v>
      </c>
      <c r="AL3215" s="32">
        <v>1</v>
      </c>
      <c r="AM3215" s="32">
        <f>AL3215*(261300+974800)/18.75</f>
        <v>65925.333333333328</v>
      </c>
      <c r="AP3215" s="32">
        <v>1</v>
      </c>
      <c r="AQ3215" s="32" t="s">
        <v>589</v>
      </c>
      <c r="AU3215">
        <v>3214</v>
      </c>
    </row>
    <row r="3216" spans="1:47" x14ac:dyDescent="0.2">
      <c r="A3216" s="26">
        <v>6646</v>
      </c>
      <c r="B3216" s="27">
        <v>0.50694444444444442</v>
      </c>
      <c r="C3216" s="28"/>
      <c r="D3216" s="29"/>
      <c r="E3216" s="30" t="s">
        <v>110</v>
      </c>
      <c r="H3216" s="32">
        <v>0</v>
      </c>
      <c r="I3216" s="32" t="s">
        <v>3587</v>
      </c>
      <c r="AG3216" s="32">
        <v>0</v>
      </c>
      <c r="AH3216" s="32">
        <v>0</v>
      </c>
      <c r="AI3216" s="32">
        <v>0</v>
      </c>
      <c r="AK3216" s="32">
        <v>0</v>
      </c>
      <c r="AL3216" s="32">
        <f>43/60</f>
        <v>0.71666666666666667</v>
      </c>
      <c r="AP3216" s="32">
        <f>43/60</f>
        <v>0.71666666666666667</v>
      </c>
      <c r="AQ3216" s="32" t="s">
        <v>1101</v>
      </c>
      <c r="AU3216">
        <v>3215</v>
      </c>
    </row>
    <row r="3217" spans="1:47" x14ac:dyDescent="0.2">
      <c r="A3217" s="26">
        <v>6646</v>
      </c>
      <c r="B3217" s="27">
        <v>0.82986111111111116</v>
      </c>
      <c r="C3217" s="28"/>
      <c r="D3217" s="29"/>
      <c r="E3217" s="30" t="s">
        <v>1282</v>
      </c>
      <c r="H3217" s="32">
        <v>0</v>
      </c>
      <c r="I3217" s="32" t="s">
        <v>4521</v>
      </c>
      <c r="AG3217" s="32">
        <v>0</v>
      </c>
      <c r="AH3217" s="32">
        <v>2</v>
      </c>
      <c r="AI3217" s="32">
        <v>0</v>
      </c>
      <c r="AK3217" s="32">
        <v>0</v>
      </c>
      <c r="AL3217" s="32">
        <f>1+48/60</f>
        <v>1.8</v>
      </c>
      <c r="AP3217" s="32">
        <f>1+48/60</f>
        <v>1.8</v>
      </c>
      <c r="AQ3217" s="32" t="s">
        <v>1101</v>
      </c>
      <c r="AU3217">
        <v>3216</v>
      </c>
    </row>
    <row r="3218" spans="1:47" x14ac:dyDescent="0.2">
      <c r="A3218" s="26">
        <v>6646</v>
      </c>
      <c r="B3218" s="27">
        <v>0.85416666666666663</v>
      </c>
      <c r="C3218" s="28"/>
      <c r="D3218" s="29"/>
      <c r="E3218" s="30" t="s">
        <v>464</v>
      </c>
      <c r="H3218" s="32">
        <v>1</v>
      </c>
      <c r="I3218" s="32" t="s">
        <v>4522</v>
      </c>
      <c r="AG3218" s="32">
        <v>0</v>
      </c>
      <c r="AH3218" s="32">
        <v>0</v>
      </c>
      <c r="AI3218" s="32">
        <v>40000</v>
      </c>
      <c r="AK3218" s="32">
        <v>5</v>
      </c>
      <c r="AL3218" s="32">
        <v>55</v>
      </c>
      <c r="AO3218" s="32" t="s">
        <v>487</v>
      </c>
      <c r="AP3218" s="32">
        <f>4+13/60</f>
        <v>4.2166666666666668</v>
      </c>
      <c r="AQ3218" s="32" t="s">
        <v>4523</v>
      </c>
      <c r="AU3218">
        <v>3217</v>
      </c>
    </row>
    <row r="3219" spans="1:47" x14ac:dyDescent="0.2">
      <c r="A3219" s="26">
        <v>6646</v>
      </c>
      <c r="B3219" s="27">
        <v>0.94652777777777775</v>
      </c>
      <c r="C3219" s="28"/>
      <c r="D3219" s="29"/>
      <c r="E3219" s="102" t="s">
        <v>1102</v>
      </c>
      <c r="H3219" s="32">
        <v>0</v>
      </c>
      <c r="I3219" s="32" t="s">
        <v>1103</v>
      </c>
      <c r="AG3219" s="32">
        <v>0</v>
      </c>
      <c r="AH3219" s="32">
        <v>0</v>
      </c>
      <c r="AI3219" s="32">
        <v>0</v>
      </c>
      <c r="AK3219" s="32">
        <v>0</v>
      </c>
      <c r="AL3219" s="32">
        <f>42/60</f>
        <v>0.7</v>
      </c>
      <c r="AO3219" s="73" t="s">
        <v>1006</v>
      </c>
      <c r="AP3219" s="32">
        <f>42/60</f>
        <v>0.7</v>
      </c>
      <c r="AQ3219" s="32" t="s">
        <v>589</v>
      </c>
      <c r="AU3219">
        <v>3218</v>
      </c>
    </row>
    <row r="3220" spans="1:47" x14ac:dyDescent="0.2">
      <c r="A3220" s="26">
        <v>6646</v>
      </c>
      <c r="B3220" s="27">
        <v>0.94791666666666663</v>
      </c>
      <c r="C3220" s="28"/>
      <c r="D3220" s="29"/>
      <c r="E3220" s="30" t="s">
        <v>4219</v>
      </c>
      <c r="H3220" s="32">
        <v>1</v>
      </c>
      <c r="I3220" s="32"/>
      <c r="AL3220" s="32">
        <v>0.5</v>
      </c>
      <c r="AO3220" s="32" t="s">
        <v>858</v>
      </c>
      <c r="AP3220" s="32">
        <v>0.5</v>
      </c>
      <c r="AQ3220" s="32" t="s">
        <v>1101</v>
      </c>
      <c r="AU3220">
        <v>3219</v>
      </c>
    </row>
    <row r="3221" spans="1:47" x14ac:dyDescent="0.2">
      <c r="A3221" s="26">
        <v>6646</v>
      </c>
      <c r="B3221" s="27">
        <v>0.94930555555555562</v>
      </c>
      <c r="C3221" s="28"/>
      <c r="D3221" s="29"/>
      <c r="E3221" s="30" t="s">
        <v>869</v>
      </c>
      <c r="H3221" s="32">
        <v>0</v>
      </c>
      <c r="I3221" s="32" t="s">
        <v>2344</v>
      </c>
      <c r="AG3221" s="32">
        <v>0</v>
      </c>
      <c r="AH3221" s="32">
        <v>0</v>
      </c>
      <c r="AI3221" s="32">
        <v>0</v>
      </c>
      <c r="AK3221" s="32">
        <v>0</v>
      </c>
      <c r="AL3221" s="32">
        <f>28/60</f>
        <v>0.46666666666666667</v>
      </c>
      <c r="AP3221" s="32">
        <f>28/60</f>
        <v>0.46666666666666667</v>
      </c>
      <c r="AQ3221" s="32" t="s">
        <v>589</v>
      </c>
      <c r="AU3221">
        <v>3220</v>
      </c>
    </row>
    <row r="3222" spans="1:47" x14ac:dyDescent="0.2">
      <c r="A3222" s="26">
        <v>6646</v>
      </c>
      <c r="B3222" s="27" t="s">
        <v>45</v>
      </c>
      <c r="C3222" s="28"/>
      <c r="D3222" s="29"/>
      <c r="E3222" s="30" t="s">
        <v>1531</v>
      </c>
      <c r="H3222" s="32">
        <v>1</v>
      </c>
      <c r="I3222" s="32" t="s">
        <v>4524</v>
      </c>
      <c r="AM3222" s="32">
        <f>498*84</f>
        <v>41832</v>
      </c>
      <c r="AO3222" s="32" t="s">
        <v>1533</v>
      </c>
      <c r="AQ3222" s="32" t="s">
        <v>1101</v>
      </c>
      <c r="AU3222">
        <v>3221</v>
      </c>
    </row>
    <row r="3223" spans="1:47" x14ac:dyDescent="0.2">
      <c r="A3223" s="26">
        <v>6646</v>
      </c>
      <c r="B3223" s="27" t="s">
        <v>45</v>
      </c>
      <c r="C3223" s="28"/>
      <c r="D3223" s="29"/>
      <c r="E3223" s="150" t="s">
        <v>2286</v>
      </c>
      <c r="H3223" s="32">
        <v>0</v>
      </c>
      <c r="I3223" s="32" t="s">
        <v>1824</v>
      </c>
      <c r="AG3223" s="32">
        <v>0</v>
      </c>
      <c r="AH3223" s="32">
        <v>0</v>
      </c>
      <c r="AI3223" s="32">
        <v>0</v>
      </c>
      <c r="AK3223" s="32">
        <v>0</v>
      </c>
      <c r="AM3223" s="32">
        <v>2500</v>
      </c>
      <c r="AO3223" s="73" t="s">
        <v>75</v>
      </c>
      <c r="AQ3223" s="32" t="s">
        <v>589</v>
      </c>
      <c r="AU3223">
        <v>3222</v>
      </c>
    </row>
    <row r="3224" spans="1:47" x14ac:dyDescent="0.2">
      <c r="A3224" s="26">
        <v>6646</v>
      </c>
      <c r="B3224" s="27"/>
      <c r="C3224" s="28"/>
      <c r="D3224" s="29"/>
      <c r="E3224" s="30" t="s">
        <v>4525</v>
      </c>
      <c r="H3224" s="32">
        <v>1</v>
      </c>
      <c r="I3224" s="32" t="s">
        <v>4526</v>
      </c>
      <c r="AG3224" s="32">
        <v>0</v>
      </c>
      <c r="AH3224" s="32">
        <v>0</v>
      </c>
      <c r="AI3224" s="32">
        <v>385</v>
      </c>
      <c r="AK3224" s="32">
        <v>1</v>
      </c>
      <c r="AM3224" s="32">
        <v>305</v>
      </c>
      <c r="AO3224" s="32" t="s">
        <v>4527</v>
      </c>
      <c r="AQ3224" s="91" t="s">
        <v>4528</v>
      </c>
      <c r="AU3224">
        <v>3223</v>
      </c>
    </row>
    <row r="3225" spans="1:47" x14ac:dyDescent="0.2">
      <c r="A3225" s="133">
        <v>6647</v>
      </c>
      <c r="B3225" s="39" t="s">
        <v>85</v>
      </c>
      <c r="C3225" s="39">
        <v>55</v>
      </c>
      <c r="D3225" s="29" t="b">
        <v>0</v>
      </c>
      <c r="E3225" s="39" t="s">
        <v>325</v>
      </c>
      <c r="F3225" s="47" t="s">
        <v>4529</v>
      </c>
      <c r="G3225" s="47" t="s">
        <v>274</v>
      </c>
      <c r="H3225"/>
      <c r="I3225" s="47" t="b">
        <v>0</v>
      </c>
      <c r="J3225" s="47" t="b">
        <v>1</v>
      </c>
      <c r="K3225" s="47">
        <v>1984</v>
      </c>
      <c r="L3225" s="48">
        <v>9</v>
      </c>
      <c r="M3225" s="47">
        <v>0</v>
      </c>
      <c r="N3225" s="47">
        <v>1</v>
      </c>
      <c r="O3225" s="47">
        <v>0</v>
      </c>
      <c r="P3225" s="47">
        <v>0</v>
      </c>
      <c r="Q3225" s="47">
        <v>0</v>
      </c>
      <c r="R3225" s="47">
        <v>0</v>
      </c>
      <c r="S3225" s="48">
        <v>8</v>
      </c>
      <c r="T3225" s="47">
        <v>3</v>
      </c>
      <c r="U3225" s="47">
        <v>0</v>
      </c>
      <c r="V3225" s="47">
        <v>0</v>
      </c>
      <c r="W3225" s="47">
        <v>14000</v>
      </c>
      <c r="X3225" s="47">
        <v>441</v>
      </c>
      <c r="Y3225" s="47"/>
      <c r="Z3225" s="47" t="s">
        <v>3618</v>
      </c>
      <c r="AA3225" s="49"/>
      <c r="AB3225" s="49"/>
      <c r="AC3225" s="49"/>
      <c r="AD3225" s="50"/>
      <c r="AE3225" s="47" t="s">
        <v>3798</v>
      </c>
      <c r="AF3225" s="47">
        <v>135</v>
      </c>
      <c r="AG3225"/>
      <c r="AH3225"/>
      <c r="AI3225"/>
      <c r="AJ3225"/>
      <c r="AK3225"/>
      <c r="AL3225"/>
      <c r="AM3225"/>
      <c r="AN3225"/>
      <c r="AO3225"/>
      <c r="AP3225"/>
      <c r="AQ3225" t="s">
        <v>2526</v>
      </c>
      <c r="AU3225">
        <v>3224</v>
      </c>
    </row>
    <row r="3226" spans="1:47" x14ac:dyDescent="0.2">
      <c r="A3226" s="13">
        <v>6647</v>
      </c>
      <c r="B3226" s="57" t="s">
        <v>85</v>
      </c>
      <c r="C3226" s="57" t="s">
        <v>1234</v>
      </c>
      <c r="D3226" s="29"/>
      <c r="E3226" s="57" t="s">
        <v>4530</v>
      </c>
      <c r="F3226" s="31" t="s">
        <v>204</v>
      </c>
      <c r="G3226" s="31" t="s">
        <v>205</v>
      </c>
      <c r="I3226" s="31" t="s">
        <v>4531</v>
      </c>
      <c r="K3226" s="31">
        <v>1177</v>
      </c>
      <c r="AK3226" s="32">
        <v>50</v>
      </c>
      <c r="AQ3226" s="32" t="s">
        <v>4532</v>
      </c>
      <c r="AU3226">
        <v>3225</v>
      </c>
    </row>
    <row r="3227" spans="1:47" x14ac:dyDescent="0.2">
      <c r="A3227" s="133">
        <v>6647</v>
      </c>
      <c r="B3227" s="39" t="s">
        <v>45</v>
      </c>
      <c r="C3227" s="39" t="s">
        <v>142</v>
      </c>
      <c r="D3227" s="29"/>
      <c r="E3227" s="39" t="s">
        <v>4533</v>
      </c>
      <c r="F3227" s="47" t="s">
        <v>4534</v>
      </c>
      <c r="G3227" s="47" t="s">
        <v>49</v>
      </c>
      <c r="H3227"/>
      <c r="I3227" s="47" t="b">
        <v>1</v>
      </c>
      <c r="J3227" s="47" t="b">
        <v>1</v>
      </c>
      <c r="K3227" s="47">
        <f>2840*2.2</f>
        <v>6248.0000000000009</v>
      </c>
      <c r="L3227" s="48">
        <v>13</v>
      </c>
      <c r="M3227" s="47">
        <v>3</v>
      </c>
      <c r="N3227" s="47"/>
      <c r="O3227" s="47"/>
      <c r="P3227" s="47"/>
      <c r="Q3227" s="47"/>
      <c r="R3227" s="47"/>
      <c r="S3227" s="48">
        <v>10</v>
      </c>
      <c r="T3227" s="47">
        <v>1</v>
      </c>
      <c r="U3227" s="47">
        <v>0</v>
      </c>
      <c r="V3227" s="47">
        <v>0</v>
      </c>
      <c r="W3227" s="47"/>
      <c r="X3227" s="47"/>
      <c r="Y3227" s="47" t="s">
        <v>51</v>
      </c>
      <c r="Z3227" s="31" t="s">
        <v>3855</v>
      </c>
      <c r="AA3227" s="49"/>
      <c r="AB3227" s="49"/>
      <c r="AC3227" s="49"/>
      <c r="AD3227" s="50"/>
      <c r="AE3227" s="31" t="s">
        <v>4124</v>
      </c>
      <c r="AF3227" s="47"/>
      <c r="AG3227"/>
      <c r="AH3227"/>
      <c r="AI3227"/>
      <c r="AJ3227"/>
      <c r="AK3227"/>
      <c r="AL3227"/>
      <c r="AM3227"/>
      <c r="AN3227"/>
      <c r="AO3227"/>
      <c r="AP3227"/>
      <c r="AQ3227" s="32" t="s">
        <v>4535</v>
      </c>
      <c r="AR3227" s="47" t="s">
        <v>4536</v>
      </c>
      <c r="AU3227">
        <v>3226</v>
      </c>
    </row>
    <row r="3228" spans="1:47" x14ac:dyDescent="0.2">
      <c r="A3228" s="13">
        <v>6647</v>
      </c>
      <c r="B3228" s="57" t="s">
        <v>45</v>
      </c>
      <c r="C3228" s="177" t="s">
        <v>4447</v>
      </c>
      <c r="D3228" s="29"/>
      <c r="E3228" s="57" t="s">
        <v>4017</v>
      </c>
      <c r="F3228" s="31" t="s">
        <v>76</v>
      </c>
      <c r="G3228" s="47" t="s">
        <v>49</v>
      </c>
      <c r="I3228" s="47" t="b">
        <v>0</v>
      </c>
      <c r="J3228" s="47" t="b">
        <v>0</v>
      </c>
      <c r="K3228" s="31">
        <f>1415*2.2</f>
        <v>3113.0000000000005</v>
      </c>
      <c r="AE3228" s="31" t="s">
        <v>4449</v>
      </c>
      <c r="AF3228" s="31">
        <v>90</v>
      </c>
      <c r="AK3228" s="32">
        <v>48</v>
      </c>
      <c r="AQ3228" s="32" t="s">
        <v>4461</v>
      </c>
      <c r="AR3228" s="31" t="s">
        <v>4452</v>
      </c>
      <c r="AU3228">
        <v>3227</v>
      </c>
    </row>
    <row r="3229" spans="1:47" x14ac:dyDescent="0.2">
      <c r="A3229" s="13">
        <v>6647</v>
      </c>
      <c r="B3229" s="57" t="s">
        <v>45</v>
      </c>
      <c r="C3229" s="177" t="s">
        <v>4447</v>
      </c>
      <c r="D3229" s="29"/>
      <c r="E3229" s="57" t="s">
        <v>3908</v>
      </c>
      <c r="F3229" s="31" t="s">
        <v>76</v>
      </c>
      <c r="G3229" s="47" t="s">
        <v>49</v>
      </c>
      <c r="I3229" s="47" t="b">
        <v>0</v>
      </c>
      <c r="J3229" s="47" t="b">
        <v>0</v>
      </c>
      <c r="K3229" s="176">
        <f>6248-(3113+1078+220+660+165)</f>
        <v>1012</v>
      </c>
      <c r="AE3229" s="31" t="s">
        <v>4449</v>
      </c>
      <c r="AF3229" s="31">
        <v>85</v>
      </c>
      <c r="AQ3229" s="32" t="s">
        <v>4461</v>
      </c>
      <c r="AR3229" s="31" t="s">
        <v>4537</v>
      </c>
      <c r="AU3229">
        <v>3228</v>
      </c>
    </row>
    <row r="3230" spans="1:47" x14ac:dyDescent="0.2">
      <c r="A3230" s="13">
        <v>6647</v>
      </c>
      <c r="B3230" s="57" t="s">
        <v>45</v>
      </c>
      <c r="C3230" s="177" t="s">
        <v>4447</v>
      </c>
      <c r="D3230" s="29"/>
      <c r="E3230" s="57" t="s">
        <v>3063</v>
      </c>
      <c r="F3230" s="31" t="s">
        <v>76</v>
      </c>
      <c r="G3230" s="47" t="s">
        <v>49</v>
      </c>
      <c r="I3230" s="47" t="b">
        <v>0</v>
      </c>
      <c r="J3230" s="47" t="b">
        <v>0</v>
      </c>
      <c r="K3230" s="31">
        <f>490*2.2</f>
        <v>1078</v>
      </c>
      <c r="AE3230" s="31" t="s">
        <v>4449</v>
      </c>
      <c r="AF3230" s="31">
        <v>70</v>
      </c>
      <c r="AK3230" s="32">
        <v>16</v>
      </c>
      <c r="AQ3230" s="32" t="s">
        <v>4461</v>
      </c>
      <c r="AR3230" s="31" t="s">
        <v>4452</v>
      </c>
      <c r="AU3230">
        <v>3229</v>
      </c>
    </row>
    <row r="3231" spans="1:47" x14ac:dyDescent="0.2">
      <c r="A3231" s="13">
        <v>6647</v>
      </c>
      <c r="B3231" s="57" t="s">
        <v>45</v>
      </c>
      <c r="C3231" s="177" t="s">
        <v>4447</v>
      </c>
      <c r="D3231" s="29"/>
      <c r="E3231" s="57" t="s">
        <v>1531</v>
      </c>
      <c r="F3231" s="31" t="s">
        <v>3764</v>
      </c>
      <c r="G3231" s="31" t="s">
        <v>481</v>
      </c>
      <c r="I3231" s="47" t="b">
        <v>0</v>
      </c>
      <c r="J3231" s="47" t="b">
        <v>0</v>
      </c>
      <c r="K3231" s="31">
        <f>100*2.2</f>
        <v>220.00000000000003</v>
      </c>
      <c r="AE3231" s="31" t="s">
        <v>4449</v>
      </c>
      <c r="AF3231" s="31">
        <v>85</v>
      </c>
      <c r="AK3231" s="32">
        <v>2</v>
      </c>
      <c r="AQ3231" s="32" t="s">
        <v>4461</v>
      </c>
      <c r="AR3231" s="31" t="s">
        <v>4452</v>
      </c>
      <c r="AU3231">
        <v>3230</v>
      </c>
    </row>
    <row r="3232" spans="1:47" x14ac:dyDescent="0.2">
      <c r="A3232" s="13">
        <v>6647</v>
      </c>
      <c r="B3232" s="57" t="s">
        <v>45</v>
      </c>
      <c r="C3232" s="177" t="s">
        <v>4447</v>
      </c>
      <c r="D3232" s="29"/>
      <c r="E3232" s="57" t="s">
        <v>4538</v>
      </c>
      <c r="F3232" s="31" t="s">
        <v>4539</v>
      </c>
      <c r="G3232" s="31" t="s">
        <v>69</v>
      </c>
      <c r="I3232" s="47" t="b">
        <v>0</v>
      </c>
      <c r="J3232" s="47" t="b">
        <v>0</v>
      </c>
      <c r="K3232" s="31">
        <f>300*2.2</f>
        <v>660</v>
      </c>
      <c r="AE3232" s="31" t="s">
        <v>4449</v>
      </c>
      <c r="AF3232" s="31">
        <v>85</v>
      </c>
      <c r="AK3232" s="32">
        <v>9</v>
      </c>
      <c r="AQ3232" s="32" t="s">
        <v>4461</v>
      </c>
      <c r="AR3232" s="31" t="s">
        <v>4452</v>
      </c>
      <c r="AU3232">
        <v>3231</v>
      </c>
    </row>
    <row r="3233" spans="1:47" x14ac:dyDescent="0.2">
      <c r="A3233" s="13">
        <v>6647</v>
      </c>
      <c r="B3233" s="57" t="s">
        <v>45</v>
      </c>
      <c r="C3233" s="177" t="s">
        <v>4447</v>
      </c>
      <c r="D3233" s="29"/>
      <c r="E3233" s="57" t="s">
        <v>432</v>
      </c>
      <c r="F3233" s="31" t="s">
        <v>3637</v>
      </c>
      <c r="G3233" s="31" t="s">
        <v>69</v>
      </c>
      <c r="I3233" s="47" t="b">
        <v>0</v>
      </c>
      <c r="J3233" s="47" t="b">
        <v>0</v>
      </c>
      <c r="K3233" s="31">
        <f>75*2.2</f>
        <v>165</v>
      </c>
      <c r="AE3233" s="31" t="s">
        <v>4449</v>
      </c>
      <c r="AF3233" s="31">
        <v>35</v>
      </c>
      <c r="AK3233" s="32">
        <v>3</v>
      </c>
      <c r="AQ3233" s="32" t="s">
        <v>4461</v>
      </c>
      <c r="AR3233" s="31" t="s">
        <v>4460</v>
      </c>
      <c r="AU3233">
        <v>3232</v>
      </c>
    </row>
    <row r="3234" spans="1:47" x14ac:dyDescent="0.2">
      <c r="A3234" s="13">
        <v>6647</v>
      </c>
      <c r="B3234" s="57" t="s">
        <v>45</v>
      </c>
      <c r="C3234" s="57" t="s">
        <v>4456</v>
      </c>
      <c r="D3234" s="29"/>
      <c r="E3234" s="57" t="s">
        <v>4487</v>
      </c>
      <c r="F3234" s="31" t="s">
        <v>967</v>
      </c>
      <c r="G3234" s="31" t="s">
        <v>481</v>
      </c>
      <c r="I3234" s="31" t="s">
        <v>4540</v>
      </c>
      <c r="K3234" s="31">
        <v>880</v>
      </c>
      <c r="L3234" s="33">
        <v>1</v>
      </c>
      <c r="S3234" s="33">
        <v>1</v>
      </c>
      <c r="T3234" s="31">
        <v>0</v>
      </c>
      <c r="U3234" s="31">
        <v>0</v>
      </c>
      <c r="V3234" s="31">
        <v>0</v>
      </c>
      <c r="W3234" s="47">
        <f>1700*39.37/12</f>
        <v>5577.416666666667</v>
      </c>
      <c r="Y3234" s="31" t="s">
        <v>51</v>
      </c>
      <c r="Z3234" s="31" t="s">
        <v>1846</v>
      </c>
      <c r="AD3234" s="35">
        <f>2+1/6</f>
        <v>2.1666666666666665</v>
      </c>
      <c r="AE3234" s="31" t="s">
        <v>4173</v>
      </c>
      <c r="AF3234" s="31">
        <v>105</v>
      </c>
      <c r="AK3234" s="32">
        <v>8</v>
      </c>
      <c r="AQ3234" s="32" t="s">
        <v>4541</v>
      </c>
      <c r="AU3234">
        <v>3233</v>
      </c>
    </row>
    <row r="3235" spans="1:47" x14ac:dyDescent="0.2">
      <c r="A3235" s="13">
        <v>6647</v>
      </c>
      <c r="B3235" s="57" t="s">
        <v>45</v>
      </c>
      <c r="C3235" s="57" t="s">
        <v>4407</v>
      </c>
      <c r="D3235" s="29"/>
      <c r="E3235" s="57" t="s">
        <v>4127</v>
      </c>
      <c r="F3235" s="31" t="s">
        <v>76</v>
      </c>
      <c r="G3235" s="31" t="s">
        <v>49</v>
      </c>
      <c r="I3235" s="31" t="s">
        <v>4452</v>
      </c>
      <c r="K3235" s="31">
        <v>1100</v>
      </c>
      <c r="AK3235" s="32">
        <v>14</v>
      </c>
      <c r="AQ3235" s="32" t="s">
        <v>4461</v>
      </c>
      <c r="AU3235">
        <v>3234</v>
      </c>
    </row>
    <row r="3236" spans="1:47" x14ac:dyDescent="0.2">
      <c r="A3236" s="13">
        <v>6647</v>
      </c>
      <c r="B3236" s="57" t="s">
        <v>45</v>
      </c>
      <c r="C3236" s="57" t="s">
        <v>4407</v>
      </c>
      <c r="D3236" s="29"/>
      <c r="E3236" s="57" t="s">
        <v>788</v>
      </c>
      <c r="F3236" s="31" t="s">
        <v>76</v>
      </c>
      <c r="G3236" s="31" t="s">
        <v>49</v>
      </c>
      <c r="I3236" s="31" t="s">
        <v>4452</v>
      </c>
      <c r="K3236" s="31">
        <v>1760</v>
      </c>
      <c r="AK3236" s="32">
        <v>21</v>
      </c>
      <c r="AQ3236" s="32" t="s">
        <v>4461</v>
      </c>
      <c r="AU3236">
        <v>3235</v>
      </c>
    </row>
    <row r="3237" spans="1:47" x14ac:dyDescent="0.2">
      <c r="A3237" s="13">
        <v>6647</v>
      </c>
      <c r="B3237" s="57" t="s">
        <v>45</v>
      </c>
      <c r="C3237" s="57" t="s">
        <v>4407</v>
      </c>
      <c r="D3237" s="29"/>
      <c r="E3237" s="57" t="s">
        <v>3812</v>
      </c>
      <c r="F3237" s="31" t="s">
        <v>3764</v>
      </c>
      <c r="G3237" s="31" t="s">
        <v>481</v>
      </c>
      <c r="I3237" s="31" t="s">
        <v>4452</v>
      </c>
      <c r="K3237" s="31">
        <v>2420</v>
      </c>
      <c r="AK3237" s="32">
        <v>22</v>
      </c>
      <c r="AQ3237" s="32" t="s">
        <v>4461</v>
      </c>
      <c r="AU3237">
        <v>3236</v>
      </c>
    </row>
    <row r="3238" spans="1:47" x14ac:dyDescent="0.2">
      <c r="A3238" s="13">
        <v>6647</v>
      </c>
      <c r="B3238" s="57" t="s">
        <v>45</v>
      </c>
      <c r="C3238" s="57" t="s">
        <v>4179</v>
      </c>
      <c r="D3238" s="29"/>
      <c r="E3238" s="57" t="s">
        <v>4197</v>
      </c>
      <c r="F3238" s="31" t="s">
        <v>204</v>
      </c>
      <c r="G3238" s="31" t="s">
        <v>205</v>
      </c>
      <c r="K3238" s="31">
        <v>7975</v>
      </c>
      <c r="S3238" s="33">
        <v>19</v>
      </c>
      <c r="Z3238" s="31" t="s">
        <v>3814</v>
      </c>
      <c r="AQ3238" s="32" t="s">
        <v>4437</v>
      </c>
      <c r="AU3238">
        <v>3237</v>
      </c>
    </row>
    <row r="3239" spans="1:47" x14ac:dyDescent="0.2">
      <c r="A3239" s="133">
        <v>6647</v>
      </c>
      <c r="B3239" s="39"/>
      <c r="C3239" s="39" t="s">
        <v>86</v>
      </c>
      <c r="D3239" s="29"/>
      <c r="E3239" s="39" t="s">
        <v>2964</v>
      </c>
      <c r="F3239" s="47"/>
      <c r="G3239" s="47"/>
      <c r="H3239"/>
      <c r="I3239" s="32" t="s">
        <v>3787</v>
      </c>
      <c r="J3239" s="47"/>
      <c r="K3239" s="47">
        <f>1090*2.2</f>
        <v>2398</v>
      </c>
      <c r="L3239" s="48"/>
      <c r="M3239" s="47"/>
      <c r="N3239" s="47"/>
      <c r="O3239" s="47"/>
      <c r="P3239" s="47"/>
      <c r="Q3239" s="47"/>
      <c r="R3239" s="47"/>
      <c r="S3239" s="48"/>
      <c r="T3239" s="47"/>
      <c r="U3239" s="47"/>
      <c r="V3239" s="47"/>
      <c r="W3239" s="47"/>
      <c r="X3239" s="47"/>
      <c r="Y3239" s="47"/>
      <c r="Z3239" s="47"/>
      <c r="AA3239" s="49"/>
      <c r="AB3239" s="49"/>
      <c r="AC3239" s="49"/>
      <c r="AD3239" s="50"/>
      <c r="AE3239" s="47"/>
      <c r="AF3239" s="47"/>
      <c r="AG3239"/>
      <c r="AH3239"/>
      <c r="AI3239"/>
      <c r="AJ3239"/>
      <c r="AK3239"/>
      <c r="AL3239"/>
      <c r="AM3239"/>
      <c r="AN3239"/>
      <c r="AO3239"/>
      <c r="AP3239"/>
      <c r="AQ3239"/>
      <c r="AU3239">
        <v>3238</v>
      </c>
    </row>
    <row r="3240" spans="1:47" x14ac:dyDescent="0.2">
      <c r="A3240" s="26">
        <v>6647</v>
      </c>
      <c r="B3240" s="27">
        <v>0.65277777777777779</v>
      </c>
      <c r="C3240" s="28"/>
      <c r="D3240" s="29"/>
      <c r="E3240" s="30" t="s">
        <v>869</v>
      </c>
      <c r="H3240" s="32">
        <v>0</v>
      </c>
      <c r="I3240" s="32" t="s">
        <v>2344</v>
      </c>
      <c r="AG3240" s="32">
        <v>0</v>
      </c>
      <c r="AH3240" s="32">
        <v>0</v>
      </c>
      <c r="AI3240" s="32">
        <v>0</v>
      </c>
      <c r="AK3240" s="32">
        <v>0</v>
      </c>
      <c r="AL3240" s="32">
        <v>0.66700000000000004</v>
      </c>
      <c r="AP3240" s="32">
        <v>0.66700000000000004</v>
      </c>
      <c r="AQ3240" s="32" t="s">
        <v>589</v>
      </c>
      <c r="AU3240">
        <v>3239</v>
      </c>
    </row>
    <row r="3241" spans="1:47" x14ac:dyDescent="0.2">
      <c r="A3241" s="26">
        <v>6647</v>
      </c>
      <c r="B3241" s="27">
        <v>0.65625</v>
      </c>
      <c r="C3241" s="28"/>
      <c r="D3241" s="29"/>
      <c r="E3241" s="102" t="s">
        <v>1102</v>
      </c>
      <c r="H3241" s="32">
        <v>0</v>
      </c>
      <c r="I3241" s="32" t="s">
        <v>1103</v>
      </c>
      <c r="AG3241" s="32">
        <v>0</v>
      </c>
      <c r="AH3241" s="32">
        <v>0</v>
      </c>
      <c r="AI3241" s="32">
        <v>0</v>
      </c>
      <c r="AK3241" s="32">
        <v>0</v>
      </c>
      <c r="AL3241" s="32">
        <f>25/60</f>
        <v>0.41666666666666669</v>
      </c>
      <c r="AO3241" s="73" t="s">
        <v>1006</v>
      </c>
      <c r="AP3241" s="32">
        <f>25/60</f>
        <v>0.41666666666666669</v>
      </c>
      <c r="AQ3241" s="32" t="s">
        <v>589</v>
      </c>
      <c r="AU3241">
        <v>3240</v>
      </c>
    </row>
    <row r="3242" spans="1:47" x14ac:dyDescent="0.2">
      <c r="A3242" s="26">
        <v>6647</v>
      </c>
      <c r="B3242" s="27">
        <v>0.67361111111111116</v>
      </c>
      <c r="C3242" s="28"/>
      <c r="D3242" s="29"/>
      <c r="E3242" s="30" t="s">
        <v>4219</v>
      </c>
      <c r="H3242" s="32">
        <v>0</v>
      </c>
      <c r="I3242" s="32" t="s">
        <v>4249</v>
      </c>
      <c r="AG3242" s="32">
        <v>0</v>
      </c>
      <c r="AH3242" s="32">
        <v>0</v>
      </c>
      <c r="AI3242" s="32">
        <v>0</v>
      </c>
      <c r="AK3242" s="32">
        <v>0</v>
      </c>
      <c r="AL3242" s="32">
        <v>0.33300000000000002</v>
      </c>
      <c r="AO3242" s="32" t="s">
        <v>858</v>
      </c>
      <c r="AP3242" s="32">
        <v>0.33300000000000002</v>
      </c>
      <c r="AQ3242" s="32" t="s">
        <v>1101</v>
      </c>
      <c r="AU3242">
        <v>3241</v>
      </c>
    </row>
    <row r="3243" spans="1:47" x14ac:dyDescent="0.2">
      <c r="A3243" s="26">
        <v>6647</v>
      </c>
      <c r="B3243" s="27">
        <v>0.83888888888888891</v>
      </c>
      <c r="C3243" s="28"/>
      <c r="D3243" s="29"/>
      <c r="E3243" s="30" t="s">
        <v>1282</v>
      </c>
      <c r="H3243" s="32">
        <v>0</v>
      </c>
      <c r="I3243" s="32" t="s">
        <v>4542</v>
      </c>
      <c r="AG3243" s="32">
        <v>0</v>
      </c>
      <c r="AH3243" s="32">
        <v>0</v>
      </c>
      <c r="AI3243" s="32">
        <v>0</v>
      </c>
      <c r="AK3243" s="32">
        <v>0</v>
      </c>
      <c r="AL3243" s="32">
        <f>4+2/60</f>
        <v>4.0333333333333332</v>
      </c>
      <c r="AP3243" s="32">
        <f>4+2/60</f>
        <v>4.0333333333333332</v>
      </c>
      <c r="AQ3243" s="32" t="s">
        <v>1101</v>
      </c>
      <c r="AU3243">
        <v>3242</v>
      </c>
    </row>
    <row r="3244" spans="1:47" x14ac:dyDescent="0.2">
      <c r="A3244" s="26">
        <v>6647</v>
      </c>
      <c r="B3244" s="27">
        <v>0.93472222222222223</v>
      </c>
      <c r="C3244" s="28"/>
      <c r="D3244" s="29"/>
      <c r="E3244" s="102" t="s">
        <v>1102</v>
      </c>
      <c r="H3244" s="32">
        <v>0</v>
      </c>
      <c r="I3244" s="32" t="s">
        <v>1103</v>
      </c>
      <c r="AG3244" s="32">
        <v>0</v>
      </c>
      <c r="AH3244" s="32">
        <v>0</v>
      </c>
      <c r="AI3244" s="32">
        <v>0</v>
      </c>
      <c r="AK3244" s="32">
        <v>0</v>
      </c>
      <c r="AL3244" s="32">
        <f>5/6</f>
        <v>0.83333333333333337</v>
      </c>
      <c r="AO3244" s="73" t="s">
        <v>1006</v>
      </c>
      <c r="AP3244" s="32">
        <f>5/6</f>
        <v>0.83333333333333337</v>
      </c>
      <c r="AQ3244" s="32" t="s">
        <v>589</v>
      </c>
      <c r="AU3244">
        <v>3243</v>
      </c>
    </row>
    <row r="3245" spans="1:47" x14ac:dyDescent="0.2">
      <c r="A3245" s="26">
        <v>6647</v>
      </c>
      <c r="B3245" s="27">
        <v>0.94791666666666663</v>
      </c>
      <c r="C3245" s="28"/>
      <c r="D3245" s="29"/>
      <c r="E3245" s="30" t="s">
        <v>2964</v>
      </c>
      <c r="H3245" s="32">
        <v>0</v>
      </c>
      <c r="I3245" s="32" t="s">
        <v>4158</v>
      </c>
      <c r="AG3245" s="32">
        <v>0</v>
      </c>
      <c r="AH3245" s="32">
        <v>0</v>
      </c>
      <c r="AI3245" s="32">
        <v>0</v>
      </c>
      <c r="AK3245" s="32">
        <v>0</v>
      </c>
      <c r="AL3245" s="32">
        <f>2/3</f>
        <v>0.66666666666666663</v>
      </c>
      <c r="AP3245" s="32">
        <f>2/3</f>
        <v>0.66666666666666663</v>
      </c>
      <c r="AQ3245" s="32" t="s">
        <v>1101</v>
      </c>
      <c r="AU3245">
        <v>3244</v>
      </c>
    </row>
    <row r="3246" spans="1:47" x14ac:dyDescent="0.2">
      <c r="A3246" s="26">
        <v>6647</v>
      </c>
      <c r="B3246" s="27">
        <v>0.95138888888888884</v>
      </c>
      <c r="C3246" s="28"/>
      <c r="D3246" s="29"/>
      <c r="E3246" s="30" t="s">
        <v>869</v>
      </c>
      <c r="H3246" s="32">
        <v>0</v>
      </c>
      <c r="I3246" s="32" t="s">
        <v>2344</v>
      </c>
      <c r="AG3246" s="32">
        <v>0</v>
      </c>
      <c r="AH3246" s="32">
        <v>0</v>
      </c>
      <c r="AI3246" s="32">
        <v>0</v>
      </c>
      <c r="AK3246" s="32">
        <v>0</v>
      </c>
      <c r="AL3246" s="32">
        <v>0.33300000000000002</v>
      </c>
      <c r="AP3246" s="32">
        <v>0.33300000000000002</v>
      </c>
      <c r="AQ3246" s="32" t="s">
        <v>589</v>
      </c>
      <c r="AU3246">
        <v>3245</v>
      </c>
    </row>
    <row r="3247" spans="1:47" x14ac:dyDescent="0.2">
      <c r="A3247" s="26">
        <v>6647</v>
      </c>
      <c r="B3247" s="27">
        <v>0.95833333333333337</v>
      </c>
      <c r="C3247" s="28"/>
      <c r="D3247" s="29"/>
      <c r="E3247" s="30" t="s">
        <v>2087</v>
      </c>
      <c r="H3247" s="32">
        <v>1</v>
      </c>
      <c r="I3247" s="32" t="s">
        <v>4543</v>
      </c>
      <c r="AG3247" s="32">
        <v>0</v>
      </c>
      <c r="AH3247" s="32">
        <v>0</v>
      </c>
      <c r="AK3247" s="32">
        <v>3</v>
      </c>
      <c r="AL3247" s="32">
        <v>0</v>
      </c>
      <c r="AP3247" s="32">
        <v>0.5</v>
      </c>
      <c r="AQ3247" s="32">
        <v>417</v>
      </c>
      <c r="AU3247">
        <v>3246</v>
      </c>
    </row>
    <row r="3248" spans="1:47" x14ac:dyDescent="0.2">
      <c r="A3248" s="26">
        <v>6647</v>
      </c>
      <c r="B3248" s="27">
        <v>0.95833333333333337</v>
      </c>
      <c r="C3248" s="28"/>
      <c r="D3248" s="29"/>
      <c r="E3248" s="30" t="s">
        <v>2323</v>
      </c>
      <c r="H3248" s="32">
        <v>1</v>
      </c>
      <c r="I3248" s="32" t="s">
        <v>2755</v>
      </c>
      <c r="AG3248" s="32">
        <v>1</v>
      </c>
      <c r="AH3248" s="32">
        <v>1</v>
      </c>
      <c r="AJ3248" s="32">
        <v>10000</v>
      </c>
      <c r="AL3248" s="32">
        <v>0</v>
      </c>
      <c r="AO3248" s="32" t="s">
        <v>2325</v>
      </c>
      <c r="AQ3248" s="32">
        <v>418</v>
      </c>
      <c r="AU3248">
        <v>3247</v>
      </c>
    </row>
    <row r="3249" spans="1:47" x14ac:dyDescent="0.2">
      <c r="A3249" s="26">
        <v>6647</v>
      </c>
      <c r="B3249" s="27">
        <v>0.99305555555555547</v>
      </c>
      <c r="C3249" s="28"/>
      <c r="D3249" s="29"/>
      <c r="E3249" s="30" t="s">
        <v>464</v>
      </c>
      <c r="H3249" s="32">
        <v>1</v>
      </c>
      <c r="I3249" s="32" t="s">
        <v>4544</v>
      </c>
      <c r="AG3249" s="32">
        <v>0</v>
      </c>
      <c r="AH3249" s="32">
        <v>0</v>
      </c>
      <c r="AL3249" s="32">
        <v>4.3330000000000002</v>
      </c>
      <c r="AO3249" s="32" t="s">
        <v>4390</v>
      </c>
      <c r="AP3249" s="32">
        <v>4.3330000000000002</v>
      </c>
      <c r="AQ3249" s="32" t="s">
        <v>3422</v>
      </c>
      <c r="AU3249">
        <v>3248</v>
      </c>
    </row>
    <row r="3250" spans="1:47" x14ac:dyDescent="0.2">
      <c r="A3250" s="26">
        <v>6647</v>
      </c>
      <c r="B3250" s="27" t="s">
        <v>45</v>
      </c>
      <c r="C3250" s="28"/>
      <c r="D3250" s="29"/>
      <c r="E3250" s="30" t="s">
        <v>1531</v>
      </c>
      <c r="H3250" s="32">
        <v>1</v>
      </c>
      <c r="I3250" s="32" t="s">
        <v>4545</v>
      </c>
      <c r="AM3250" s="32">
        <f>498*84</f>
        <v>41832</v>
      </c>
      <c r="AO3250" s="32" t="s">
        <v>1533</v>
      </c>
      <c r="AQ3250" s="32" t="s">
        <v>1101</v>
      </c>
      <c r="AU3250">
        <v>3249</v>
      </c>
    </row>
    <row r="3251" spans="1:47" x14ac:dyDescent="0.2">
      <c r="A3251" s="26">
        <v>6647</v>
      </c>
      <c r="B3251" s="27" t="s">
        <v>45</v>
      </c>
      <c r="C3251" s="28"/>
      <c r="D3251" s="29"/>
      <c r="E3251" s="150" t="s">
        <v>2286</v>
      </c>
      <c r="H3251" s="32">
        <v>0</v>
      </c>
      <c r="I3251" s="32" t="s">
        <v>1824</v>
      </c>
      <c r="AG3251" s="32">
        <v>0</v>
      </c>
      <c r="AH3251" s="32">
        <v>0</v>
      </c>
      <c r="AI3251" s="32">
        <v>0</v>
      </c>
      <c r="AK3251" s="32">
        <v>0</v>
      </c>
      <c r="AM3251" s="32">
        <v>2500</v>
      </c>
      <c r="AO3251" s="73" t="s">
        <v>75</v>
      </c>
      <c r="AQ3251" s="32" t="s">
        <v>589</v>
      </c>
      <c r="AU3251">
        <v>3250</v>
      </c>
    </row>
    <row r="3252" spans="1:47" x14ac:dyDescent="0.2">
      <c r="A3252" s="26">
        <v>6647</v>
      </c>
      <c r="B3252" s="27"/>
      <c r="C3252" s="28"/>
      <c r="D3252" s="29"/>
      <c r="E3252" s="102" t="s">
        <v>1421</v>
      </c>
      <c r="H3252" s="32">
        <v>1</v>
      </c>
      <c r="I3252" s="32" t="s">
        <v>1422</v>
      </c>
      <c r="AK3252" s="32">
        <v>9</v>
      </c>
      <c r="AO3252" s="73"/>
      <c r="AQ3252" s="32" t="s">
        <v>589</v>
      </c>
      <c r="AU3252">
        <v>3251</v>
      </c>
    </row>
    <row r="3253" spans="1:47" x14ac:dyDescent="0.2">
      <c r="A3253" s="13">
        <v>6648</v>
      </c>
      <c r="B3253" s="57" t="s">
        <v>85</v>
      </c>
      <c r="C3253" s="57" t="s">
        <v>1077</v>
      </c>
      <c r="D3253" s="29"/>
      <c r="E3253" s="57" t="s">
        <v>3875</v>
      </c>
      <c r="F3253" s="31" t="s">
        <v>76</v>
      </c>
      <c r="G3253" s="31" t="s">
        <v>49</v>
      </c>
      <c r="K3253" s="31">
        <v>792</v>
      </c>
      <c r="Z3253" s="31" t="s">
        <v>3724</v>
      </c>
      <c r="AE3253" s="31" t="s">
        <v>4411</v>
      </c>
      <c r="AF3253" s="31">
        <v>55</v>
      </c>
      <c r="AQ3253" s="32" t="s">
        <v>4437</v>
      </c>
      <c r="AU3253">
        <v>3252</v>
      </c>
    </row>
    <row r="3254" spans="1:47" x14ac:dyDescent="0.2">
      <c r="A3254" s="13">
        <v>6648</v>
      </c>
      <c r="B3254" s="57" t="s">
        <v>85</v>
      </c>
      <c r="C3254" s="57" t="s">
        <v>1077</v>
      </c>
      <c r="D3254" s="29"/>
      <c r="E3254" s="57" t="s">
        <v>4502</v>
      </c>
      <c r="F3254" s="31" t="s">
        <v>76</v>
      </c>
      <c r="G3254" s="31" t="s">
        <v>49</v>
      </c>
      <c r="I3254" s="31" t="s">
        <v>4546</v>
      </c>
      <c r="K3254" s="31">
        <v>4914.8</v>
      </c>
      <c r="Z3254" s="31" t="s">
        <v>3724</v>
      </c>
      <c r="AE3254" s="31" t="s">
        <v>4411</v>
      </c>
      <c r="AF3254" s="31">
        <v>60</v>
      </c>
      <c r="AQ3254" s="32" t="s">
        <v>4437</v>
      </c>
      <c r="AU3254">
        <v>3253</v>
      </c>
    </row>
    <row r="3255" spans="1:47" x14ac:dyDescent="0.2">
      <c r="A3255" s="44">
        <v>6648</v>
      </c>
      <c r="B3255" s="42" t="s">
        <v>45</v>
      </c>
      <c r="C3255" s="43" t="s">
        <v>142</v>
      </c>
      <c r="D3255" s="29"/>
      <c r="E3255" s="39" t="s">
        <v>4547</v>
      </c>
      <c r="F3255" s="31" t="s">
        <v>4548</v>
      </c>
      <c r="G3255" s="31" t="s">
        <v>49</v>
      </c>
      <c r="H3255" s="32"/>
      <c r="I3255" s="47" t="b">
        <v>1</v>
      </c>
      <c r="J3255" s="47" t="b">
        <v>1</v>
      </c>
      <c r="K3255" s="31">
        <f>2345*2.2</f>
        <v>5159</v>
      </c>
      <c r="L3255" s="33">
        <v>11</v>
      </c>
      <c r="N3255" s="31">
        <v>1</v>
      </c>
      <c r="S3255" s="33">
        <v>10</v>
      </c>
      <c r="T3255" s="31">
        <v>0</v>
      </c>
      <c r="U3255" s="31">
        <v>0</v>
      </c>
      <c r="V3255" s="31">
        <v>0</v>
      </c>
      <c r="Y3255" s="31" t="s">
        <v>51</v>
      </c>
      <c r="Z3255" s="31" t="s">
        <v>3855</v>
      </c>
      <c r="AE3255" s="31" t="s">
        <v>4124</v>
      </c>
      <c r="AK3255" s="32">
        <f>6+10+9+15+45</f>
        <v>85</v>
      </c>
      <c r="AO3255" s="73"/>
      <c r="AQ3255" s="32" t="s">
        <v>4549</v>
      </c>
      <c r="AR3255" s="32" t="s">
        <v>4550</v>
      </c>
      <c r="AU3255">
        <v>3254</v>
      </c>
    </row>
    <row r="3256" spans="1:47" x14ac:dyDescent="0.2">
      <c r="A3256" s="13">
        <v>6648</v>
      </c>
      <c r="B3256" s="57" t="s">
        <v>45</v>
      </c>
      <c r="C3256" s="177" t="s">
        <v>4447</v>
      </c>
      <c r="D3256" s="29"/>
      <c r="E3256" s="57" t="s">
        <v>4551</v>
      </c>
      <c r="F3256" s="31" t="s">
        <v>1224</v>
      </c>
      <c r="G3256" s="31" t="s">
        <v>459</v>
      </c>
      <c r="I3256" s="47" t="b">
        <v>0</v>
      </c>
      <c r="J3256" s="47" t="b">
        <v>0</v>
      </c>
      <c r="K3256" s="31">
        <f>240*2.2</f>
        <v>528</v>
      </c>
      <c r="AE3256" s="31" t="s">
        <v>4449</v>
      </c>
      <c r="AF3256" s="31">
        <v>85</v>
      </c>
      <c r="AK3256" s="32">
        <v>6</v>
      </c>
      <c r="AQ3256" s="32" t="s">
        <v>4461</v>
      </c>
      <c r="AR3256" s="31" t="s">
        <v>4452</v>
      </c>
      <c r="AU3256">
        <v>3255</v>
      </c>
    </row>
    <row r="3257" spans="1:47" x14ac:dyDescent="0.2">
      <c r="A3257" s="13">
        <v>6648</v>
      </c>
      <c r="B3257" s="57" t="s">
        <v>45</v>
      </c>
      <c r="C3257" s="177" t="s">
        <v>4447</v>
      </c>
      <c r="D3257" s="29"/>
      <c r="E3257" s="57" t="s">
        <v>3812</v>
      </c>
      <c r="F3257" s="31" t="s">
        <v>3764</v>
      </c>
      <c r="G3257" s="31" t="s">
        <v>481</v>
      </c>
      <c r="I3257" s="47" t="b">
        <v>0</v>
      </c>
      <c r="J3257" s="47" t="b">
        <v>0</v>
      </c>
      <c r="K3257" s="31">
        <f>250*2.2</f>
        <v>550</v>
      </c>
      <c r="AE3257" s="31" t="s">
        <v>4449</v>
      </c>
      <c r="AF3257" s="31">
        <v>90</v>
      </c>
      <c r="AK3257" s="32">
        <v>10</v>
      </c>
      <c r="AQ3257" s="32" t="s">
        <v>4461</v>
      </c>
      <c r="AR3257" s="31" t="s">
        <v>4452</v>
      </c>
      <c r="AU3257">
        <v>3256</v>
      </c>
    </row>
    <row r="3258" spans="1:47" x14ac:dyDescent="0.2">
      <c r="A3258" s="13">
        <v>6648</v>
      </c>
      <c r="B3258" s="57" t="s">
        <v>45</v>
      </c>
      <c r="C3258" s="177" t="s">
        <v>4447</v>
      </c>
      <c r="D3258" s="29"/>
      <c r="E3258" s="57" t="s">
        <v>1531</v>
      </c>
      <c r="F3258" s="31" t="s">
        <v>3764</v>
      </c>
      <c r="G3258" s="31" t="s">
        <v>481</v>
      </c>
      <c r="I3258" s="47" t="b">
        <v>0</v>
      </c>
      <c r="J3258" s="47" t="b">
        <v>0</v>
      </c>
      <c r="K3258" s="31">
        <f>300*2.2</f>
        <v>660</v>
      </c>
      <c r="AE3258" s="31" t="s">
        <v>4449</v>
      </c>
      <c r="AF3258" s="31">
        <v>85</v>
      </c>
      <c r="AK3258" s="32">
        <v>9</v>
      </c>
      <c r="AQ3258" s="32" t="s">
        <v>4461</v>
      </c>
      <c r="AR3258" s="31" t="s">
        <v>4452</v>
      </c>
      <c r="AU3258">
        <v>3257</v>
      </c>
    </row>
    <row r="3259" spans="1:47" x14ac:dyDescent="0.2">
      <c r="A3259" s="13">
        <v>6648</v>
      </c>
      <c r="B3259" s="57" t="s">
        <v>45</v>
      </c>
      <c r="C3259" s="177" t="s">
        <v>4447</v>
      </c>
      <c r="D3259" s="29"/>
      <c r="E3259" s="57" t="s">
        <v>4017</v>
      </c>
      <c r="F3259" s="31" t="s">
        <v>76</v>
      </c>
      <c r="G3259" s="31" t="s">
        <v>49</v>
      </c>
      <c r="I3259" s="47" t="b">
        <v>0</v>
      </c>
      <c r="J3259" s="47" t="b">
        <v>0</v>
      </c>
      <c r="K3259" s="31">
        <f>475*2.2</f>
        <v>1045</v>
      </c>
      <c r="AE3259" s="31" t="s">
        <v>4449</v>
      </c>
      <c r="AF3259" s="31">
        <v>90</v>
      </c>
      <c r="AK3259" s="32">
        <v>15</v>
      </c>
      <c r="AQ3259" s="32" t="s">
        <v>4461</v>
      </c>
      <c r="AR3259" s="31" t="s">
        <v>4452</v>
      </c>
      <c r="AU3259">
        <v>3258</v>
      </c>
    </row>
    <row r="3260" spans="1:47" x14ac:dyDescent="0.2">
      <c r="A3260" s="13">
        <v>6648</v>
      </c>
      <c r="B3260" s="57" t="s">
        <v>45</v>
      </c>
      <c r="C3260" s="177" t="s">
        <v>4447</v>
      </c>
      <c r="D3260" s="29"/>
      <c r="E3260" s="57" t="s">
        <v>3063</v>
      </c>
      <c r="F3260" s="31" t="s">
        <v>76</v>
      </c>
      <c r="G3260" s="31" t="s">
        <v>49</v>
      </c>
      <c r="I3260" s="47" t="b">
        <v>0</v>
      </c>
      <c r="J3260" s="47" t="b">
        <v>0</v>
      </c>
      <c r="K3260" s="31">
        <f>1080*2.2</f>
        <v>2376</v>
      </c>
      <c r="AE3260" s="31" t="s">
        <v>4449</v>
      </c>
      <c r="AF3260" s="31">
        <v>70</v>
      </c>
      <c r="AK3260" s="32">
        <v>45</v>
      </c>
      <c r="AQ3260" s="32" t="s">
        <v>4461</v>
      </c>
      <c r="AR3260" s="31" t="s">
        <v>4452</v>
      </c>
      <c r="AU3260">
        <v>3259</v>
      </c>
    </row>
    <row r="3261" spans="1:47" x14ac:dyDescent="0.2">
      <c r="A3261" s="13">
        <v>6648</v>
      </c>
      <c r="B3261" s="57" t="s">
        <v>45</v>
      </c>
      <c r="C3261" s="57" t="s">
        <v>4407</v>
      </c>
      <c r="D3261" s="29"/>
      <c r="E3261" s="57" t="s">
        <v>4017</v>
      </c>
      <c r="F3261" s="31" t="s">
        <v>76</v>
      </c>
      <c r="G3261" s="31" t="s">
        <v>49</v>
      </c>
      <c r="I3261" s="31" t="s">
        <v>4552</v>
      </c>
      <c r="K3261" s="19">
        <f>1235*2.2-1045</f>
        <v>1672</v>
      </c>
      <c r="AQ3261" s="32" t="s">
        <v>4553</v>
      </c>
      <c r="AU3261">
        <v>3260</v>
      </c>
    </row>
    <row r="3262" spans="1:47" x14ac:dyDescent="0.2">
      <c r="A3262" s="13">
        <v>6648</v>
      </c>
      <c r="B3262" s="57" t="s">
        <v>45</v>
      </c>
      <c r="C3262" s="57" t="s">
        <v>4407</v>
      </c>
      <c r="D3262" s="29"/>
      <c r="E3262" s="57" t="s">
        <v>3063</v>
      </c>
      <c r="F3262" s="31" t="s">
        <v>76</v>
      </c>
      <c r="G3262" s="31" t="s">
        <v>49</v>
      </c>
      <c r="I3262" s="31" t="s">
        <v>4554</v>
      </c>
      <c r="K3262" s="19">
        <f>2730*2.2-2376</f>
        <v>3630.0000000000009</v>
      </c>
      <c r="AQ3262" s="32" t="s">
        <v>4553</v>
      </c>
      <c r="AU3262">
        <v>3261</v>
      </c>
    </row>
    <row r="3263" spans="1:47" x14ac:dyDescent="0.2">
      <c r="A3263" s="13">
        <v>6648</v>
      </c>
      <c r="B3263" s="57" t="s">
        <v>45</v>
      </c>
      <c r="C3263" s="57" t="s">
        <v>4407</v>
      </c>
      <c r="D3263" s="29"/>
      <c r="E3263" s="57" t="s">
        <v>1531</v>
      </c>
      <c r="F3263" s="31" t="s">
        <v>76</v>
      </c>
      <c r="G3263" s="31" t="s">
        <v>49</v>
      </c>
      <c r="I3263" s="31" t="s">
        <v>4555</v>
      </c>
      <c r="K3263" s="19">
        <f>750*2.2-660</f>
        <v>990.00000000000023</v>
      </c>
      <c r="AQ3263" s="32" t="s">
        <v>4553</v>
      </c>
      <c r="AU3263">
        <v>3262</v>
      </c>
    </row>
    <row r="3264" spans="1:47" x14ac:dyDescent="0.2">
      <c r="A3264" s="13">
        <v>6648</v>
      </c>
      <c r="B3264" s="57" t="s">
        <v>45</v>
      </c>
      <c r="C3264" s="57" t="s">
        <v>4407</v>
      </c>
      <c r="D3264" s="29"/>
      <c r="E3264" s="57" t="s">
        <v>4556</v>
      </c>
      <c r="F3264" s="31" t="s">
        <v>76</v>
      </c>
      <c r="G3264" s="31" t="s">
        <v>49</v>
      </c>
      <c r="I3264" s="31" t="s">
        <v>4557</v>
      </c>
      <c r="K3264" s="19">
        <f>900*2.2-550</f>
        <v>1430.0000000000002</v>
      </c>
      <c r="AQ3264" s="32" t="s">
        <v>4553</v>
      </c>
      <c r="AU3264">
        <v>3263</v>
      </c>
    </row>
    <row r="3265" spans="1:47" x14ac:dyDescent="0.2">
      <c r="A3265" s="13">
        <v>6648</v>
      </c>
      <c r="B3265" s="57" t="s">
        <v>45</v>
      </c>
      <c r="C3265" s="57" t="s">
        <v>4407</v>
      </c>
      <c r="D3265" s="29"/>
      <c r="E3265" s="57" t="s">
        <v>4551</v>
      </c>
      <c r="G3265" s="31" t="s">
        <v>459</v>
      </c>
      <c r="I3265" s="31" t="s">
        <v>4558</v>
      </c>
      <c r="K3265" s="19">
        <f>490*2.2-528</f>
        <v>550</v>
      </c>
      <c r="AQ3265" s="32" t="s">
        <v>4553</v>
      </c>
      <c r="AU3265">
        <v>3264</v>
      </c>
    </row>
    <row r="3266" spans="1:47" x14ac:dyDescent="0.2">
      <c r="A3266" s="13">
        <v>6648</v>
      </c>
      <c r="B3266" s="57" t="s">
        <v>45</v>
      </c>
      <c r="C3266" s="57" t="s">
        <v>4407</v>
      </c>
      <c r="D3266" s="29"/>
      <c r="E3266" s="57" t="s">
        <v>649</v>
      </c>
      <c r="F3266" s="31" t="s">
        <v>529</v>
      </c>
      <c r="G3266" s="31" t="s">
        <v>205</v>
      </c>
      <c r="I3266" s="31" t="s">
        <v>4559</v>
      </c>
      <c r="K3266" s="19">
        <f>11969*2.2</f>
        <v>26331.800000000003</v>
      </c>
      <c r="AQ3266" s="32" t="s">
        <v>4553</v>
      </c>
      <c r="AU3266">
        <v>3265</v>
      </c>
    </row>
    <row r="3267" spans="1:47" x14ac:dyDescent="0.2">
      <c r="A3267" s="26">
        <v>6648</v>
      </c>
      <c r="B3267" s="27">
        <v>0.4375</v>
      </c>
      <c r="C3267" s="28"/>
      <c r="D3267" s="29"/>
      <c r="E3267" s="30" t="s">
        <v>2087</v>
      </c>
      <c r="H3267" s="32">
        <v>1</v>
      </c>
      <c r="I3267" s="32" t="s">
        <v>4560</v>
      </c>
      <c r="AG3267" s="32">
        <v>0</v>
      </c>
      <c r="AH3267" s="32">
        <v>0</v>
      </c>
      <c r="AK3267" s="32">
        <v>5</v>
      </c>
      <c r="AL3267" s="32">
        <v>0</v>
      </c>
      <c r="AP3267" s="32">
        <v>0.5</v>
      </c>
      <c r="AQ3267" s="32">
        <v>417</v>
      </c>
      <c r="AU3267">
        <v>3266</v>
      </c>
    </row>
    <row r="3268" spans="1:47" x14ac:dyDescent="0.2">
      <c r="A3268" s="26">
        <v>6648</v>
      </c>
      <c r="B3268" s="27">
        <v>0.85763888888888884</v>
      </c>
      <c r="C3268" s="28"/>
      <c r="D3268" s="29"/>
      <c r="E3268" s="30" t="s">
        <v>464</v>
      </c>
      <c r="H3268" s="32">
        <v>0</v>
      </c>
      <c r="I3268" s="32" t="s">
        <v>4561</v>
      </c>
      <c r="AG3268" s="32">
        <v>0</v>
      </c>
      <c r="AH3268" s="32">
        <v>0</v>
      </c>
      <c r="AL3268" s="32">
        <f>25/60</f>
        <v>0.41666666666666669</v>
      </c>
      <c r="AO3268" s="32" t="s">
        <v>4067</v>
      </c>
      <c r="AP3268" s="32">
        <f>25/60</f>
        <v>0.41666666666666669</v>
      </c>
      <c r="AQ3268" s="32" t="s">
        <v>1522</v>
      </c>
      <c r="AU3268">
        <v>3267</v>
      </c>
    </row>
    <row r="3269" spans="1:47" x14ac:dyDescent="0.2">
      <c r="A3269" s="26">
        <v>6648</v>
      </c>
      <c r="B3269" s="27">
        <v>0.95486111111111116</v>
      </c>
      <c r="C3269" s="28"/>
      <c r="D3269" s="29"/>
      <c r="E3269" s="30" t="s">
        <v>1282</v>
      </c>
      <c r="H3269" s="32">
        <v>0</v>
      </c>
      <c r="I3269" s="32" t="s">
        <v>4562</v>
      </c>
      <c r="AG3269" s="32">
        <v>0</v>
      </c>
      <c r="AH3269" s="32">
        <v>0</v>
      </c>
      <c r="AI3269" s="32">
        <v>0</v>
      </c>
      <c r="AK3269" s="32">
        <v>0</v>
      </c>
      <c r="AL3269" s="32">
        <f>1+25/60</f>
        <v>1.4166666666666667</v>
      </c>
      <c r="AP3269" s="32">
        <f>1+25/60</f>
        <v>1.4166666666666667</v>
      </c>
      <c r="AQ3269" s="32" t="s">
        <v>1101</v>
      </c>
      <c r="AU3269">
        <v>3268</v>
      </c>
    </row>
    <row r="3270" spans="1:47" x14ac:dyDescent="0.2">
      <c r="A3270" s="26">
        <v>6648</v>
      </c>
      <c r="B3270" s="27" t="s">
        <v>45</v>
      </c>
      <c r="C3270" s="28"/>
      <c r="D3270" s="29"/>
      <c r="E3270" s="30" t="s">
        <v>1531</v>
      </c>
      <c r="H3270" s="32">
        <v>1</v>
      </c>
      <c r="I3270" s="32" t="s">
        <v>4563</v>
      </c>
      <c r="AM3270" s="32">
        <f>498*105</f>
        <v>52290</v>
      </c>
      <c r="AO3270" s="32" t="s">
        <v>1533</v>
      </c>
      <c r="AQ3270" s="32" t="s">
        <v>1101</v>
      </c>
      <c r="AU3270">
        <v>3269</v>
      </c>
    </row>
    <row r="3271" spans="1:47" x14ac:dyDescent="0.2">
      <c r="A3271" s="26">
        <v>6648</v>
      </c>
      <c r="B3271" s="27" t="s">
        <v>45</v>
      </c>
      <c r="C3271" s="28"/>
      <c r="D3271" s="29"/>
      <c r="E3271" s="150" t="s">
        <v>2286</v>
      </c>
      <c r="H3271" s="32">
        <v>0</v>
      </c>
      <c r="I3271" s="32" t="s">
        <v>1824</v>
      </c>
      <c r="AG3271" s="32">
        <v>0</v>
      </c>
      <c r="AH3271" s="32">
        <v>0</v>
      </c>
      <c r="AI3271" s="32">
        <v>0</v>
      </c>
      <c r="AK3271" s="32">
        <v>0</v>
      </c>
      <c r="AM3271" s="32">
        <v>2500</v>
      </c>
      <c r="AO3271" s="73" t="s">
        <v>75</v>
      </c>
      <c r="AQ3271" s="32" t="s">
        <v>589</v>
      </c>
      <c r="AU3271">
        <v>3270</v>
      </c>
    </row>
    <row r="3272" spans="1:47" x14ac:dyDescent="0.2">
      <c r="A3272" s="26">
        <v>6648</v>
      </c>
      <c r="B3272" s="27"/>
      <c r="C3272" s="28"/>
      <c r="D3272" s="29"/>
      <c r="E3272" s="30" t="s">
        <v>3063</v>
      </c>
      <c r="H3272" s="32">
        <v>1</v>
      </c>
      <c r="I3272" s="32" t="s">
        <v>4564</v>
      </c>
      <c r="AK3272" s="32">
        <v>9</v>
      </c>
      <c r="AQ3272" s="32">
        <v>375</v>
      </c>
      <c r="AU3272">
        <v>3271</v>
      </c>
    </row>
    <row r="3273" spans="1:47" x14ac:dyDescent="0.2">
      <c r="A3273" s="13">
        <v>6649</v>
      </c>
      <c r="B3273" s="57" t="s">
        <v>85</v>
      </c>
      <c r="C3273" s="57" t="s">
        <v>1234</v>
      </c>
      <c r="D3273" s="29"/>
      <c r="E3273" s="57" t="s">
        <v>4565</v>
      </c>
      <c r="F3273" s="31" t="s">
        <v>3764</v>
      </c>
      <c r="G3273" s="31" t="s">
        <v>481</v>
      </c>
      <c r="I3273" s="31" t="s">
        <v>4531</v>
      </c>
      <c r="K3273" s="31">
        <v>2455.1999999999998</v>
      </c>
      <c r="AK3273" s="32">
        <v>64</v>
      </c>
      <c r="AQ3273" s="32" t="s">
        <v>4532</v>
      </c>
      <c r="AU3273">
        <v>3272</v>
      </c>
    </row>
    <row r="3274" spans="1:47" x14ac:dyDescent="0.2">
      <c r="A3274" s="13">
        <v>6649</v>
      </c>
      <c r="B3274" s="57" t="s">
        <v>85</v>
      </c>
      <c r="C3274" s="57" t="s">
        <v>4213</v>
      </c>
      <c r="D3274" s="29"/>
      <c r="E3274" s="57" t="s">
        <v>4502</v>
      </c>
      <c r="F3274" s="31" t="s">
        <v>76</v>
      </c>
      <c r="G3274" s="31" t="s">
        <v>49</v>
      </c>
      <c r="I3274" s="31" t="s">
        <v>4566</v>
      </c>
      <c r="K3274" s="31">
        <v>4576</v>
      </c>
      <c r="Z3274" s="31" t="s">
        <v>3724</v>
      </c>
      <c r="AE3274" s="31" t="s">
        <v>4217</v>
      </c>
      <c r="AF3274" s="31">
        <v>60</v>
      </c>
      <c r="AQ3274" s="32" t="s">
        <v>4437</v>
      </c>
      <c r="AU3274">
        <v>3273</v>
      </c>
    </row>
    <row r="3275" spans="1:47" x14ac:dyDescent="0.2">
      <c r="A3275" s="13">
        <v>6649</v>
      </c>
      <c r="B3275" s="57" t="s">
        <v>85</v>
      </c>
      <c r="C3275" s="57" t="s">
        <v>332</v>
      </c>
      <c r="D3275" s="29"/>
      <c r="E3275" s="57" t="s">
        <v>1397</v>
      </c>
      <c r="F3275" s="31" t="s">
        <v>76</v>
      </c>
      <c r="G3275" s="31" t="s">
        <v>49</v>
      </c>
      <c r="K3275" s="31">
        <v>4840</v>
      </c>
      <c r="S3275" s="33">
        <v>19</v>
      </c>
      <c r="Z3275" s="31" t="s">
        <v>3724</v>
      </c>
      <c r="AQ3275" s="32" t="s">
        <v>4437</v>
      </c>
      <c r="AU3275">
        <v>3274</v>
      </c>
    </row>
    <row r="3276" spans="1:47" x14ac:dyDescent="0.2">
      <c r="A3276" s="13">
        <v>6649</v>
      </c>
      <c r="B3276" s="57" t="s">
        <v>45</v>
      </c>
      <c r="C3276" s="57" t="s">
        <v>1077</v>
      </c>
      <c r="D3276" s="29"/>
      <c r="E3276" s="57" t="s">
        <v>4567</v>
      </c>
      <c r="F3276" s="31" t="s">
        <v>204</v>
      </c>
      <c r="G3276" s="31" t="s">
        <v>205</v>
      </c>
      <c r="K3276" s="31">
        <v>1958</v>
      </c>
      <c r="S3276" s="33">
        <v>4</v>
      </c>
      <c r="Z3276" s="31" t="s">
        <v>3814</v>
      </c>
      <c r="AE3276" s="31" t="s">
        <v>4411</v>
      </c>
      <c r="AF3276" s="31">
        <v>55</v>
      </c>
      <c r="AQ3276" s="32" t="s">
        <v>4568</v>
      </c>
      <c r="AU3276">
        <v>3275</v>
      </c>
    </row>
    <row r="3277" spans="1:47" x14ac:dyDescent="0.2">
      <c r="A3277" s="44">
        <v>6649</v>
      </c>
      <c r="B3277" s="42"/>
      <c r="C3277" s="43" t="s">
        <v>332</v>
      </c>
      <c r="D3277" s="29"/>
      <c r="E3277" s="36" t="s">
        <v>1397</v>
      </c>
      <c r="H3277" s="32"/>
      <c r="I3277" s="32"/>
      <c r="Z3277" s="31" t="s">
        <v>3724</v>
      </c>
      <c r="AU3277">
        <v>3276</v>
      </c>
    </row>
    <row r="3278" spans="1:47" x14ac:dyDescent="0.2">
      <c r="A3278" s="26">
        <v>6649</v>
      </c>
      <c r="B3278" s="27">
        <v>0.9375</v>
      </c>
      <c r="C3278" s="28"/>
      <c r="D3278" s="29"/>
      <c r="E3278" s="30" t="s">
        <v>2087</v>
      </c>
      <c r="H3278" s="32">
        <v>1</v>
      </c>
      <c r="I3278" s="32" t="s">
        <v>4569</v>
      </c>
      <c r="AG3278" s="32">
        <v>0</v>
      </c>
      <c r="AH3278" s="32">
        <v>2</v>
      </c>
      <c r="AK3278" s="32">
        <v>5</v>
      </c>
      <c r="AL3278" s="32">
        <v>0</v>
      </c>
      <c r="AP3278" s="32">
        <v>0.5</v>
      </c>
      <c r="AQ3278" s="32">
        <v>417</v>
      </c>
      <c r="AU3278">
        <v>3277</v>
      </c>
    </row>
    <row r="3279" spans="1:47" x14ac:dyDescent="0.2">
      <c r="A3279" s="133">
        <v>6650</v>
      </c>
      <c r="B3279" s="39" t="s">
        <v>85</v>
      </c>
      <c r="C3279" s="39">
        <v>55</v>
      </c>
      <c r="D3279" s="29" t="b">
        <v>0</v>
      </c>
      <c r="E3279" s="39" t="s">
        <v>869</v>
      </c>
      <c r="F3279" s="47" t="s">
        <v>4570</v>
      </c>
      <c r="G3279" s="47" t="s">
        <v>459</v>
      </c>
      <c r="H3279"/>
      <c r="I3279" s="47" t="b">
        <v>0</v>
      </c>
      <c r="J3279" s="47" t="b">
        <v>1</v>
      </c>
      <c r="K3279" s="47">
        <v>1878</v>
      </c>
      <c r="L3279" s="48">
        <v>10</v>
      </c>
      <c r="M3279" s="47">
        <v>0</v>
      </c>
      <c r="N3279" s="47">
        <v>3</v>
      </c>
      <c r="O3279" s="47">
        <v>0</v>
      </c>
      <c r="P3279" s="47">
        <v>7</v>
      </c>
      <c r="Q3279" s="47">
        <v>0</v>
      </c>
      <c r="R3279" s="47">
        <v>0</v>
      </c>
      <c r="S3279" s="48">
        <v>7</v>
      </c>
      <c r="T3279" s="47">
        <v>0</v>
      </c>
      <c r="U3279" s="47">
        <v>0</v>
      </c>
      <c r="V3279" s="47">
        <v>0</v>
      </c>
      <c r="W3279" s="47">
        <v>12000</v>
      </c>
      <c r="X3279" s="47">
        <v>442</v>
      </c>
      <c r="Y3279" s="47"/>
      <c r="Z3279" s="47" t="s">
        <v>3618</v>
      </c>
      <c r="AA3279" s="49"/>
      <c r="AB3279" s="49"/>
      <c r="AC3279" s="49"/>
      <c r="AD3279" s="50"/>
      <c r="AE3279" s="47" t="s">
        <v>3798</v>
      </c>
      <c r="AF3279" s="47">
        <v>120</v>
      </c>
      <c r="AG3279"/>
      <c r="AH3279"/>
      <c r="AI3279"/>
      <c r="AJ3279"/>
      <c r="AK3279"/>
      <c r="AL3279"/>
      <c r="AM3279"/>
      <c r="AN3279"/>
      <c r="AO3279"/>
      <c r="AP3279"/>
      <c r="AQ3279" t="s">
        <v>2526</v>
      </c>
      <c r="AU3279">
        <v>3278</v>
      </c>
    </row>
    <row r="3280" spans="1:47" x14ac:dyDescent="0.2">
      <c r="A3280" s="13">
        <v>6650</v>
      </c>
      <c r="B3280" s="57" t="s">
        <v>85</v>
      </c>
      <c r="C3280" s="57" t="s">
        <v>1234</v>
      </c>
      <c r="D3280" s="29"/>
      <c r="E3280" s="57" t="s">
        <v>4304</v>
      </c>
      <c r="F3280" s="31" t="s">
        <v>4571</v>
      </c>
      <c r="G3280" s="31" t="s">
        <v>69</v>
      </c>
      <c r="I3280" s="31" t="s">
        <v>4531</v>
      </c>
      <c r="K3280" s="31">
        <v>1883.2</v>
      </c>
      <c r="AK3280" s="32">
        <v>80</v>
      </c>
      <c r="AQ3280" s="32" t="s">
        <v>4572</v>
      </c>
      <c r="AU3280">
        <v>3279</v>
      </c>
    </row>
    <row r="3281" spans="1:47" x14ac:dyDescent="0.2">
      <c r="A3281" s="13">
        <v>6650</v>
      </c>
      <c r="B3281" s="57" t="s">
        <v>85</v>
      </c>
      <c r="C3281" s="57" t="s">
        <v>1077</v>
      </c>
      <c r="D3281" s="29"/>
      <c r="E3281" s="57" t="s">
        <v>4573</v>
      </c>
      <c r="F3281" s="31" t="s">
        <v>3992</v>
      </c>
      <c r="G3281" s="31" t="s">
        <v>49</v>
      </c>
      <c r="I3281" s="31" t="s">
        <v>4574</v>
      </c>
      <c r="K3281" s="31">
        <v>9515</v>
      </c>
      <c r="S3281" s="33">
        <v>30</v>
      </c>
      <c r="Z3281" s="31" t="s">
        <v>3724</v>
      </c>
      <c r="AE3281" s="31" t="s">
        <v>4411</v>
      </c>
      <c r="AQ3281" s="32" t="s">
        <v>4568</v>
      </c>
      <c r="AU3281">
        <v>3280</v>
      </c>
    </row>
    <row r="3282" spans="1:47" x14ac:dyDescent="0.2">
      <c r="A3282" s="26">
        <v>6650</v>
      </c>
      <c r="B3282" s="27">
        <v>0.47291666666666665</v>
      </c>
      <c r="C3282" s="28"/>
      <c r="D3282" s="29"/>
      <c r="E3282" s="30" t="s">
        <v>869</v>
      </c>
      <c r="H3282" s="32">
        <v>0</v>
      </c>
      <c r="I3282" s="32" t="s">
        <v>4575</v>
      </c>
      <c r="AG3282" s="32">
        <v>0</v>
      </c>
      <c r="AH3282" s="32">
        <v>0</v>
      </c>
      <c r="AI3282" s="32">
        <v>0</v>
      </c>
      <c r="AK3282" s="32">
        <v>0</v>
      </c>
      <c r="AL3282" s="32">
        <f>39/60</f>
        <v>0.65</v>
      </c>
      <c r="AP3282" s="32">
        <f>39/60</f>
        <v>0.65</v>
      </c>
      <c r="AQ3282" s="32" t="s">
        <v>589</v>
      </c>
      <c r="AU3282">
        <v>3281</v>
      </c>
    </row>
    <row r="3283" spans="1:47" x14ac:dyDescent="0.2">
      <c r="A3283" s="26">
        <v>6650</v>
      </c>
      <c r="B3283" s="27">
        <v>0.5</v>
      </c>
      <c r="C3283" s="28"/>
      <c r="D3283" s="29"/>
      <c r="E3283" s="30" t="s">
        <v>869</v>
      </c>
      <c r="H3283" s="32">
        <v>1</v>
      </c>
      <c r="I3283" s="32" t="s">
        <v>4576</v>
      </c>
      <c r="AG3283" s="32">
        <v>1</v>
      </c>
      <c r="AH3283" s="32">
        <v>1</v>
      </c>
      <c r="AI3283" s="32">
        <v>27621</v>
      </c>
      <c r="AK3283" s="32">
        <v>14</v>
      </c>
      <c r="AL3283" s="32">
        <v>1</v>
      </c>
      <c r="AP3283" s="32">
        <v>1</v>
      </c>
      <c r="AQ3283" s="32" t="s">
        <v>871</v>
      </c>
      <c r="AU3283">
        <v>3282</v>
      </c>
    </row>
    <row r="3284" spans="1:47" x14ac:dyDescent="0.2">
      <c r="A3284" s="26">
        <v>6650</v>
      </c>
      <c r="B3284" s="27">
        <v>0.53888888888888886</v>
      </c>
      <c r="C3284" s="28"/>
      <c r="D3284" s="29"/>
      <c r="E3284" s="30" t="s">
        <v>3155</v>
      </c>
      <c r="H3284" s="32">
        <v>0</v>
      </c>
      <c r="I3284" s="32" t="s">
        <v>3156</v>
      </c>
      <c r="AG3284" s="32">
        <v>0</v>
      </c>
      <c r="AH3284" s="32">
        <v>0</v>
      </c>
      <c r="AI3284" s="32">
        <v>0</v>
      </c>
      <c r="AK3284" s="32">
        <v>0</v>
      </c>
      <c r="AP3284" s="32">
        <f>33/60</f>
        <v>0.55000000000000004</v>
      </c>
      <c r="AQ3284" s="32" t="s">
        <v>1101</v>
      </c>
      <c r="AU3284">
        <v>3283</v>
      </c>
    </row>
    <row r="3285" spans="1:47" x14ac:dyDescent="0.2">
      <c r="A3285" s="133">
        <v>6651</v>
      </c>
      <c r="B3285" s="39" t="s">
        <v>85</v>
      </c>
      <c r="C3285" s="39">
        <v>55</v>
      </c>
      <c r="D3285" s="29" t="b">
        <v>0</v>
      </c>
      <c r="E3285" s="39" t="s">
        <v>4577</v>
      </c>
      <c r="F3285" s="47" t="s">
        <v>4578</v>
      </c>
      <c r="G3285" s="47" t="s">
        <v>459</v>
      </c>
      <c r="H3285"/>
      <c r="I3285" s="47" t="b">
        <v>0</v>
      </c>
      <c r="J3285" s="47" t="b">
        <v>1</v>
      </c>
      <c r="K3285" s="47">
        <v>2585</v>
      </c>
      <c r="L3285" s="48">
        <v>10</v>
      </c>
      <c r="M3285" s="47">
        <v>0</v>
      </c>
      <c r="N3285" s="47">
        <v>1</v>
      </c>
      <c r="O3285" s="47">
        <v>0</v>
      </c>
      <c r="P3285" s="47">
        <v>10</v>
      </c>
      <c r="Q3285" s="47">
        <v>0</v>
      </c>
      <c r="R3285" s="47">
        <v>0</v>
      </c>
      <c r="S3285" s="48">
        <v>9</v>
      </c>
      <c r="T3285" s="47">
        <v>0</v>
      </c>
      <c r="U3285" s="47">
        <v>0</v>
      </c>
      <c r="V3285" s="47">
        <v>0</v>
      </c>
      <c r="W3285" s="47">
        <v>13000</v>
      </c>
      <c r="X3285" s="47">
        <v>443</v>
      </c>
      <c r="Y3285" s="47"/>
      <c r="Z3285" s="47" t="s">
        <v>3618</v>
      </c>
      <c r="AA3285" s="49"/>
      <c r="AB3285" s="49"/>
      <c r="AC3285" s="49"/>
      <c r="AD3285" s="50"/>
      <c r="AE3285" s="47" t="s">
        <v>3798</v>
      </c>
      <c r="AF3285" s="47">
        <v>160</v>
      </c>
      <c r="AG3285"/>
      <c r="AH3285"/>
      <c r="AI3285"/>
      <c r="AJ3285"/>
      <c r="AK3285"/>
      <c r="AL3285"/>
      <c r="AM3285"/>
      <c r="AN3285"/>
      <c r="AO3285"/>
      <c r="AP3285"/>
      <c r="AQ3285" t="s">
        <v>2526</v>
      </c>
      <c r="AU3285">
        <v>3284</v>
      </c>
    </row>
    <row r="3286" spans="1:47" x14ac:dyDescent="0.2">
      <c r="A3286" s="13">
        <v>6651</v>
      </c>
      <c r="B3286" s="57" t="s">
        <v>85</v>
      </c>
      <c r="C3286" s="57" t="s">
        <v>1234</v>
      </c>
      <c r="D3286" s="29"/>
      <c r="E3286" s="57" t="s">
        <v>4304</v>
      </c>
      <c r="F3286" s="31" t="s">
        <v>4571</v>
      </c>
      <c r="G3286" s="31" t="s">
        <v>69</v>
      </c>
      <c r="I3286" s="31" t="s">
        <v>4531</v>
      </c>
      <c r="K3286" s="31">
        <v>4386.8</v>
      </c>
      <c r="AK3286" s="32">
        <v>132</v>
      </c>
      <c r="AQ3286" s="32" t="s">
        <v>4572</v>
      </c>
      <c r="AU3286">
        <v>3285</v>
      </c>
    </row>
    <row r="3287" spans="1:47" x14ac:dyDescent="0.2">
      <c r="A3287" s="13">
        <v>6651</v>
      </c>
      <c r="B3287" s="57" t="s">
        <v>85</v>
      </c>
      <c r="C3287" s="57" t="s">
        <v>4213</v>
      </c>
      <c r="D3287" s="29"/>
      <c r="E3287" s="57" t="s">
        <v>4579</v>
      </c>
      <c r="F3287" s="31" t="s">
        <v>3992</v>
      </c>
      <c r="G3287" s="31" t="s">
        <v>49</v>
      </c>
      <c r="I3287" s="31" t="s">
        <v>4580</v>
      </c>
      <c r="K3287" s="31">
        <v>6160</v>
      </c>
      <c r="S3287" s="33">
        <v>19</v>
      </c>
      <c r="Z3287" s="31" t="s">
        <v>3724</v>
      </c>
      <c r="AE3287" s="31" t="s">
        <v>4217</v>
      </c>
      <c r="AQ3287" s="32" t="s">
        <v>4568</v>
      </c>
      <c r="AU3287">
        <v>3286</v>
      </c>
    </row>
    <row r="3288" spans="1:47" x14ac:dyDescent="0.2">
      <c r="A3288" s="133">
        <v>6651</v>
      </c>
      <c r="B3288" s="42" t="s">
        <v>45</v>
      </c>
      <c r="C3288" s="39" t="s">
        <v>4213</v>
      </c>
      <c r="D3288" s="29"/>
      <c r="E3288" s="39" t="s">
        <v>3884</v>
      </c>
      <c r="F3288" s="47" t="s">
        <v>4508</v>
      </c>
      <c r="G3288" s="47" t="s">
        <v>205</v>
      </c>
      <c r="H3288"/>
      <c r="I3288" s="47"/>
      <c r="J3288" s="47"/>
      <c r="K3288" s="47"/>
      <c r="L3288" s="48"/>
      <c r="M3288" s="47"/>
      <c r="N3288" s="47"/>
      <c r="O3288" s="47"/>
      <c r="P3288" s="47"/>
      <c r="Q3288" s="47"/>
      <c r="R3288" s="47"/>
      <c r="S3288" s="48"/>
      <c r="T3288" s="47">
        <v>1</v>
      </c>
      <c r="U3288" s="47"/>
      <c r="V3288" s="47"/>
      <c r="W3288" s="47"/>
      <c r="X3288" s="47"/>
      <c r="Y3288" s="47"/>
      <c r="Z3288" s="31" t="s">
        <v>3724</v>
      </c>
      <c r="AA3288" s="49"/>
      <c r="AB3288" s="49"/>
      <c r="AC3288" s="49"/>
      <c r="AD3288" s="50"/>
      <c r="AE3288" s="31" t="s">
        <v>4217</v>
      </c>
      <c r="AF3288" s="47">
        <v>95</v>
      </c>
      <c r="AG3288"/>
      <c r="AH3288"/>
      <c r="AI3288"/>
      <c r="AJ3288"/>
      <c r="AK3288"/>
      <c r="AL3288"/>
      <c r="AM3288"/>
      <c r="AN3288"/>
      <c r="AO3288"/>
      <c r="AP3288"/>
      <c r="AQ3288" t="s">
        <v>4293</v>
      </c>
      <c r="AU3288">
        <v>3287</v>
      </c>
    </row>
    <row r="3289" spans="1:47" x14ac:dyDescent="0.2">
      <c r="A3289" s="133">
        <v>6651</v>
      </c>
      <c r="B3289" s="42" t="s">
        <v>45</v>
      </c>
      <c r="C3289" s="39" t="s">
        <v>4171</v>
      </c>
      <c r="D3289" s="29"/>
      <c r="E3289" s="39" t="s">
        <v>364</v>
      </c>
      <c r="F3289" s="47"/>
      <c r="G3289" s="47" t="s">
        <v>49</v>
      </c>
      <c r="H3289"/>
      <c r="I3289" s="47" t="s">
        <v>4581</v>
      </c>
      <c r="J3289" s="47"/>
      <c r="K3289" s="47"/>
      <c r="L3289" s="48"/>
      <c r="M3289" s="47"/>
      <c r="N3289" s="47"/>
      <c r="O3289" s="47"/>
      <c r="P3289" s="47"/>
      <c r="Q3289" s="47"/>
      <c r="R3289" s="47"/>
      <c r="S3289" s="48"/>
      <c r="T3289" s="47"/>
      <c r="U3289" s="47"/>
      <c r="V3289" s="47"/>
      <c r="W3289" s="47"/>
      <c r="X3289" s="47"/>
      <c r="Y3289" s="47"/>
      <c r="Z3289" s="31" t="s">
        <v>1846</v>
      </c>
      <c r="AA3289" s="49"/>
      <c r="AB3289" s="49"/>
      <c r="AC3289" s="49"/>
      <c r="AD3289" s="50"/>
      <c r="AE3289" s="47" t="s">
        <v>4173</v>
      </c>
      <c r="AF3289" s="47">
        <v>75</v>
      </c>
      <c r="AG3289"/>
      <c r="AH3289"/>
      <c r="AI3289"/>
      <c r="AJ3289"/>
      <c r="AK3289"/>
      <c r="AL3289"/>
      <c r="AM3289"/>
      <c r="AN3289"/>
      <c r="AO3289"/>
      <c r="AP3289"/>
      <c r="AQ3289" t="s">
        <v>4582</v>
      </c>
      <c r="AU3289">
        <v>3288</v>
      </c>
    </row>
    <row r="3290" spans="1:47" x14ac:dyDescent="0.2">
      <c r="A3290" s="133">
        <v>6651</v>
      </c>
      <c r="B3290" s="42" t="s">
        <v>45</v>
      </c>
      <c r="C3290" s="43" t="s">
        <v>142</v>
      </c>
      <c r="D3290" s="29"/>
      <c r="E3290" s="39" t="s">
        <v>4583</v>
      </c>
      <c r="F3290" s="47" t="s">
        <v>246</v>
      </c>
      <c r="G3290" s="47" t="s">
        <v>49</v>
      </c>
      <c r="H3290"/>
      <c r="I3290" s="47" t="b">
        <v>1</v>
      </c>
      <c r="J3290" s="47" t="b">
        <v>1</v>
      </c>
      <c r="K3290" s="47">
        <f>2305*2.2</f>
        <v>5071</v>
      </c>
      <c r="L3290" s="48">
        <v>11</v>
      </c>
      <c r="M3290" s="47"/>
      <c r="N3290" s="47">
        <v>1</v>
      </c>
      <c r="O3290" s="47"/>
      <c r="P3290" s="47"/>
      <c r="Q3290" s="47"/>
      <c r="R3290" s="47"/>
      <c r="S3290" s="48">
        <v>10</v>
      </c>
      <c r="T3290" s="47">
        <v>0</v>
      </c>
      <c r="U3290" s="47">
        <v>0</v>
      </c>
      <c r="V3290" s="47">
        <v>0</v>
      </c>
      <c r="W3290" s="47"/>
      <c r="X3290" s="47"/>
      <c r="Y3290" s="47" t="s">
        <v>51</v>
      </c>
      <c r="Z3290" s="31" t="s">
        <v>3855</v>
      </c>
      <c r="AA3290" s="49"/>
      <c r="AB3290" s="49"/>
      <c r="AC3290" s="49"/>
      <c r="AD3290" s="50"/>
      <c r="AE3290" s="31" t="s">
        <v>4124</v>
      </c>
      <c r="AF3290" s="47"/>
      <c r="AG3290"/>
      <c r="AH3290"/>
      <c r="AI3290"/>
      <c r="AJ3290"/>
      <c r="AK3290"/>
      <c r="AL3290"/>
      <c r="AM3290"/>
      <c r="AN3290"/>
      <c r="AO3290"/>
      <c r="AP3290"/>
      <c r="AQ3290" s="32" t="s">
        <v>4584</v>
      </c>
      <c r="AR3290" s="47" t="s">
        <v>4585</v>
      </c>
      <c r="AU3290">
        <v>3289</v>
      </c>
    </row>
    <row r="3291" spans="1:47" x14ac:dyDescent="0.2">
      <c r="A3291" s="13">
        <v>6651</v>
      </c>
      <c r="B3291" s="57" t="s">
        <v>45</v>
      </c>
      <c r="C3291" s="177" t="s">
        <v>4447</v>
      </c>
      <c r="D3291" s="29"/>
      <c r="E3291" s="57" t="s">
        <v>199</v>
      </c>
      <c r="F3291" s="31" t="s">
        <v>76</v>
      </c>
      <c r="G3291" s="47" t="s">
        <v>49</v>
      </c>
      <c r="I3291" s="47" t="b">
        <v>0</v>
      </c>
      <c r="J3291" s="47" t="b">
        <v>0</v>
      </c>
      <c r="K3291" s="31">
        <f>150*2.2</f>
        <v>330</v>
      </c>
      <c r="AE3291" s="31" t="s">
        <v>4449</v>
      </c>
      <c r="AF3291" s="31">
        <v>60</v>
      </c>
      <c r="AK3291" s="32">
        <v>6</v>
      </c>
      <c r="AQ3291" s="32" t="s">
        <v>4572</v>
      </c>
      <c r="AR3291" s="31" t="s">
        <v>4452</v>
      </c>
      <c r="AU3291">
        <v>3290</v>
      </c>
    </row>
    <row r="3292" spans="1:47" x14ac:dyDescent="0.2">
      <c r="A3292" s="13">
        <v>6651</v>
      </c>
      <c r="B3292" s="57" t="s">
        <v>45</v>
      </c>
      <c r="C3292" s="177" t="s">
        <v>4447</v>
      </c>
      <c r="D3292" s="29"/>
      <c r="E3292" s="57" t="s">
        <v>4122</v>
      </c>
      <c r="F3292" s="31" t="s">
        <v>76</v>
      </c>
      <c r="G3292" s="47" t="s">
        <v>49</v>
      </c>
      <c r="I3292" s="47" t="b">
        <v>0</v>
      </c>
      <c r="J3292" s="47" t="b">
        <v>0</v>
      </c>
      <c r="K3292" s="31">
        <f>205*2.2</f>
        <v>451.00000000000006</v>
      </c>
      <c r="AE3292" s="31" t="s">
        <v>4449</v>
      </c>
      <c r="AF3292" s="31">
        <v>90</v>
      </c>
      <c r="AK3292" s="32">
        <v>13</v>
      </c>
      <c r="AQ3292" s="32" t="s">
        <v>4572</v>
      </c>
      <c r="AR3292" s="31" t="s">
        <v>4452</v>
      </c>
      <c r="AU3292">
        <v>3291</v>
      </c>
    </row>
    <row r="3293" spans="1:47" x14ac:dyDescent="0.2">
      <c r="A3293" s="13">
        <v>6651</v>
      </c>
      <c r="B3293" s="57" t="s">
        <v>45</v>
      </c>
      <c r="C3293" s="177" t="s">
        <v>4447</v>
      </c>
      <c r="D3293" s="29"/>
      <c r="E3293" s="57" t="s">
        <v>2191</v>
      </c>
      <c r="F3293" s="31" t="s">
        <v>76</v>
      </c>
      <c r="G3293" s="47" t="s">
        <v>49</v>
      </c>
      <c r="I3293" s="47" t="b">
        <v>0</v>
      </c>
      <c r="J3293" s="47" t="b">
        <v>0</v>
      </c>
      <c r="K3293" s="31">
        <f>400*2.2</f>
        <v>880.00000000000011</v>
      </c>
      <c r="AE3293" s="31" t="s">
        <v>4449</v>
      </c>
      <c r="AF3293" s="31">
        <v>60</v>
      </c>
      <c r="AK3293" s="32">
        <v>16</v>
      </c>
      <c r="AQ3293" s="32" t="s">
        <v>4572</v>
      </c>
      <c r="AR3293" s="31" t="s">
        <v>4452</v>
      </c>
      <c r="AU3293">
        <v>3292</v>
      </c>
    </row>
    <row r="3294" spans="1:47" x14ac:dyDescent="0.2">
      <c r="A3294" s="13">
        <v>6651</v>
      </c>
      <c r="B3294" s="57" t="s">
        <v>45</v>
      </c>
      <c r="C3294" s="177" t="s">
        <v>4447</v>
      </c>
      <c r="D3294" s="29"/>
      <c r="E3294" s="57" t="s">
        <v>4586</v>
      </c>
      <c r="F3294" s="31" t="s">
        <v>76</v>
      </c>
      <c r="G3294" s="47" t="s">
        <v>49</v>
      </c>
      <c r="I3294" s="47" t="b">
        <v>0</v>
      </c>
      <c r="J3294" s="47" t="b">
        <v>0</v>
      </c>
      <c r="K3294" s="31">
        <f>275*2.2</f>
        <v>605</v>
      </c>
      <c r="AE3294" s="31" t="s">
        <v>4449</v>
      </c>
      <c r="AF3294" s="31">
        <v>90</v>
      </c>
      <c r="AQ3294" s="32" t="s">
        <v>4553</v>
      </c>
      <c r="AR3294" s="31" t="s">
        <v>4587</v>
      </c>
      <c r="AU3294">
        <v>3293</v>
      </c>
    </row>
    <row r="3295" spans="1:47" x14ac:dyDescent="0.2">
      <c r="A3295" s="13">
        <v>6651</v>
      </c>
      <c r="B3295" s="57" t="s">
        <v>45</v>
      </c>
      <c r="C3295" s="177" t="s">
        <v>4447</v>
      </c>
      <c r="D3295" s="29"/>
      <c r="E3295" s="57" t="s">
        <v>3063</v>
      </c>
      <c r="F3295" s="31" t="s">
        <v>76</v>
      </c>
      <c r="G3295" s="47" t="s">
        <v>49</v>
      </c>
      <c r="I3295" s="47" t="b">
        <v>0</v>
      </c>
      <c r="J3295" s="47" t="b">
        <v>0</v>
      </c>
      <c r="K3295" s="31">
        <f>750*2.2</f>
        <v>1650.0000000000002</v>
      </c>
      <c r="AE3295" s="31" t="s">
        <v>4449</v>
      </c>
      <c r="AF3295" s="31">
        <v>70</v>
      </c>
      <c r="AK3295" s="32">
        <v>24</v>
      </c>
      <c r="AQ3295" s="32" t="s">
        <v>4572</v>
      </c>
      <c r="AR3295" s="31" t="s">
        <v>4452</v>
      </c>
      <c r="AU3295">
        <v>3294</v>
      </c>
    </row>
    <row r="3296" spans="1:47" x14ac:dyDescent="0.2">
      <c r="A3296" s="13">
        <v>6651</v>
      </c>
      <c r="B3296" s="57" t="s">
        <v>45</v>
      </c>
      <c r="C3296" s="177" t="s">
        <v>4447</v>
      </c>
      <c r="D3296" s="29"/>
      <c r="E3296" s="57" t="s">
        <v>4017</v>
      </c>
      <c r="F3296" s="31" t="s">
        <v>76</v>
      </c>
      <c r="G3296" s="47" t="s">
        <v>49</v>
      </c>
      <c r="I3296" s="47" t="b">
        <v>0</v>
      </c>
      <c r="J3296" s="47" t="b">
        <v>0</v>
      </c>
      <c r="K3296" s="31">
        <f>275*2.2</f>
        <v>605</v>
      </c>
      <c r="AE3296" s="31" t="s">
        <v>4449</v>
      </c>
      <c r="AF3296" s="31">
        <v>90</v>
      </c>
      <c r="AK3296" s="32">
        <v>8</v>
      </c>
      <c r="AQ3296" s="32" t="s">
        <v>4572</v>
      </c>
      <c r="AR3296" s="31" t="s">
        <v>4452</v>
      </c>
      <c r="AU3296">
        <v>3295</v>
      </c>
    </row>
    <row r="3297" spans="1:47" x14ac:dyDescent="0.2">
      <c r="A3297" s="13">
        <v>6651</v>
      </c>
      <c r="B3297" s="57" t="s">
        <v>45</v>
      </c>
      <c r="C3297" s="57" t="s">
        <v>4407</v>
      </c>
      <c r="D3297" s="29"/>
      <c r="E3297" s="57" t="s">
        <v>1048</v>
      </c>
      <c r="F3297" s="31" t="s">
        <v>76</v>
      </c>
      <c r="G3297" s="31" t="s">
        <v>49</v>
      </c>
      <c r="I3297" s="31" t="s">
        <v>4452</v>
      </c>
      <c r="K3297" s="31">
        <v>897.6</v>
      </c>
      <c r="AK3297" s="32">
        <v>20</v>
      </c>
      <c r="AQ3297" s="32" t="s">
        <v>4572</v>
      </c>
      <c r="AU3297">
        <v>3296</v>
      </c>
    </row>
    <row r="3298" spans="1:47" x14ac:dyDescent="0.2">
      <c r="A3298" s="13">
        <v>6651</v>
      </c>
      <c r="B3298" s="57" t="s">
        <v>45</v>
      </c>
      <c r="C3298" s="57" t="s">
        <v>4407</v>
      </c>
      <c r="D3298" s="29"/>
      <c r="E3298" s="57" t="s">
        <v>649</v>
      </c>
      <c r="F3298" s="31" t="s">
        <v>204</v>
      </c>
      <c r="G3298" s="31" t="s">
        <v>205</v>
      </c>
      <c r="I3298" s="31" t="s">
        <v>4452</v>
      </c>
      <c r="K3298" s="31">
        <v>4879.6000000000004</v>
      </c>
      <c r="AK3298" s="32">
        <v>72</v>
      </c>
      <c r="AQ3298" s="32" t="s">
        <v>4572</v>
      </c>
      <c r="AU3298">
        <v>3297</v>
      </c>
    </row>
    <row r="3299" spans="1:47" x14ac:dyDescent="0.2">
      <c r="A3299" s="13">
        <v>6651</v>
      </c>
      <c r="B3299" s="57" t="s">
        <v>45</v>
      </c>
      <c r="C3299" s="57" t="s">
        <v>4407</v>
      </c>
      <c r="D3299" s="29"/>
      <c r="E3299" s="57" t="s">
        <v>4017</v>
      </c>
      <c r="F3299" s="31" t="s">
        <v>76</v>
      </c>
      <c r="G3299" s="31" t="s">
        <v>49</v>
      </c>
      <c r="I3299" s="31" t="s">
        <v>4552</v>
      </c>
      <c r="K3299" s="63"/>
      <c r="AQ3299" s="32" t="s">
        <v>4553</v>
      </c>
      <c r="AU3299">
        <v>3298</v>
      </c>
    </row>
    <row r="3300" spans="1:47" x14ac:dyDescent="0.2">
      <c r="A3300" s="13">
        <v>6651</v>
      </c>
      <c r="B3300" s="57" t="s">
        <v>45</v>
      </c>
      <c r="C3300" s="57" t="s">
        <v>4407</v>
      </c>
      <c r="D3300" s="29"/>
      <c r="E3300" s="57" t="s">
        <v>3063</v>
      </c>
      <c r="F3300" s="31" t="s">
        <v>76</v>
      </c>
      <c r="G3300" s="31" t="s">
        <v>49</v>
      </c>
      <c r="I3300" s="31" t="s">
        <v>4554</v>
      </c>
      <c r="K3300" s="63"/>
      <c r="AQ3300" s="32" t="s">
        <v>4553</v>
      </c>
      <c r="AU3300">
        <v>3299</v>
      </c>
    </row>
    <row r="3301" spans="1:47" x14ac:dyDescent="0.2">
      <c r="A3301" s="13">
        <v>6651</v>
      </c>
      <c r="B3301" s="57" t="s">
        <v>45</v>
      </c>
      <c r="C3301" s="57" t="s">
        <v>4407</v>
      </c>
      <c r="D3301" s="29"/>
      <c r="E3301" s="57" t="s">
        <v>649</v>
      </c>
      <c r="F3301" s="31" t="s">
        <v>529</v>
      </c>
      <c r="G3301" s="31" t="s">
        <v>205</v>
      </c>
      <c r="I3301" s="31" t="s">
        <v>4588</v>
      </c>
      <c r="K3301" s="63"/>
      <c r="AQ3301" s="32" t="s">
        <v>4553</v>
      </c>
      <c r="AU3301">
        <v>3300</v>
      </c>
    </row>
    <row r="3302" spans="1:47" x14ac:dyDescent="0.2">
      <c r="A3302" s="13">
        <v>6651</v>
      </c>
      <c r="B3302" s="57" t="s">
        <v>45</v>
      </c>
      <c r="C3302" s="57" t="s">
        <v>4407</v>
      </c>
      <c r="D3302" s="29"/>
      <c r="E3302" s="57" t="s">
        <v>4122</v>
      </c>
      <c r="F3302" s="31" t="s">
        <v>76</v>
      </c>
      <c r="G3302" s="31" t="s">
        <v>49</v>
      </c>
      <c r="I3302" s="31" t="s">
        <v>4589</v>
      </c>
      <c r="K3302" s="63"/>
      <c r="AQ3302" s="32" t="s">
        <v>4553</v>
      </c>
      <c r="AU3302">
        <v>3301</v>
      </c>
    </row>
    <row r="3303" spans="1:47" x14ac:dyDescent="0.2">
      <c r="A3303" s="13">
        <v>6651</v>
      </c>
      <c r="B3303" s="57" t="s">
        <v>45</v>
      </c>
      <c r="C3303" s="57" t="s">
        <v>4407</v>
      </c>
      <c r="D3303" s="29"/>
      <c r="E3303" s="57" t="s">
        <v>199</v>
      </c>
      <c r="F3303" s="31" t="s">
        <v>76</v>
      </c>
      <c r="G3303" s="31" t="s">
        <v>49</v>
      </c>
      <c r="I3303" s="31" t="s">
        <v>4590</v>
      </c>
      <c r="K3303" s="63"/>
      <c r="AQ3303" s="32" t="s">
        <v>4553</v>
      </c>
      <c r="AU3303">
        <v>3302</v>
      </c>
    </row>
    <row r="3304" spans="1:47" x14ac:dyDescent="0.2">
      <c r="A3304" s="13">
        <v>6651</v>
      </c>
      <c r="B3304" s="57" t="s">
        <v>45</v>
      </c>
      <c r="C3304" s="57" t="s">
        <v>4407</v>
      </c>
      <c r="D3304" s="29"/>
      <c r="E3304" s="57" t="s">
        <v>2191</v>
      </c>
      <c r="F3304" s="31" t="s">
        <v>76</v>
      </c>
      <c r="G3304" s="31" t="s">
        <v>49</v>
      </c>
      <c r="I3304" s="31" t="s">
        <v>4591</v>
      </c>
      <c r="K3304" s="63"/>
      <c r="AQ3304" s="32" t="s">
        <v>4553</v>
      </c>
      <c r="AU3304">
        <v>3303</v>
      </c>
    </row>
    <row r="3305" spans="1:47" x14ac:dyDescent="0.2">
      <c r="A3305" s="13">
        <v>6651</v>
      </c>
      <c r="B3305" s="57" t="s">
        <v>45</v>
      </c>
      <c r="C3305" s="57" t="s">
        <v>4407</v>
      </c>
      <c r="D3305" s="29"/>
      <c r="E3305" s="57" t="s">
        <v>4592</v>
      </c>
      <c r="F3305" s="31" t="s">
        <v>3637</v>
      </c>
      <c r="G3305" s="31" t="s">
        <v>69</v>
      </c>
      <c r="I3305" s="31" t="s">
        <v>4593</v>
      </c>
      <c r="K3305" s="31">
        <v>550</v>
      </c>
      <c r="AK3305" s="32">
        <v>8</v>
      </c>
      <c r="AQ3305" s="32" t="s">
        <v>4572</v>
      </c>
      <c r="AU3305">
        <v>3304</v>
      </c>
    </row>
    <row r="3306" spans="1:47" x14ac:dyDescent="0.2">
      <c r="A3306" s="13">
        <v>6651</v>
      </c>
      <c r="B3306" s="57" t="s">
        <v>45</v>
      </c>
      <c r="C3306" s="57" t="s">
        <v>4407</v>
      </c>
      <c r="D3306" s="29"/>
      <c r="E3306" s="57" t="s">
        <v>4551</v>
      </c>
      <c r="F3306" s="31" t="s">
        <v>4594</v>
      </c>
      <c r="G3306" s="31" t="s">
        <v>73</v>
      </c>
      <c r="I3306" s="31" t="s">
        <v>4452</v>
      </c>
      <c r="K3306" s="31">
        <v>605</v>
      </c>
      <c r="AK3306" s="32">
        <v>8</v>
      </c>
      <c r="AQ3306" s="32" t="s">
        <v>4572</v>
      </c>
      <c r="AU3306">
        <v>3305</v>
      </c>
    </row>
    <row r="3307" spans="1:47" x14ac:dyDescent="0.2">
      <c r="A3307" s="13">
        <v>6651</v>
      </c>
      <c r="B3307" s="57" t="s">
        <v>45</v>
      </c>
      <c r="C3307" s="57" t="s">
        <v>4407</v>
      </c>
      <c r="D3307" s="29"/>
      <c r="E3307" s="57" t="s">
        <v>1764</v>
      </c>
      <c r="F3307" s="31" t="s">
        <v>76</v>
      </c>
      <c r="G3307" s="31" t="s">
        <v>49</v>
      </c>
      <c r="I3307" s="31" t="s">
        <v>4452</v>
      </c>
      <c r="K3307" s="31">
        <v>748</v>
      </c>
      <c r="AK3307" s="32">
        <v>24</v>
      </c>
      <c r="AQ3307" s="32" t="s">
        <v>4572</v>
      </c>
      <c r="AU3307">
        <v>3306</v>
      </c>
    </row>
    <row r="3308" spans="1:47" x14ac:dyDescent="0.2">
      <c r="A3308" s="13">
        <v>6651</v>
      </c>
      <c r="B3308" s="57" t="s">
        <v>45</v>
      </c>
      <c r="C3308" s="57" t="s">
        <v>4407</v>
      </c>
      <c r="D3308" s="29"/>
      <c r="E3308" s="57" t="s">
        <v>1168</v>
      </c>
      <c r="F3308" s="31" t="s">
        <v>76</v>
      </c>
      <c r="G3308" s="31" t="s">
        <v>49</v>
      </c>
      <c r="I3308" s="31" t="s">
        <v>4595</v>
      </c>
      <c r="K3308" s="63"/>
      <c r="AQ3308" s="32" t="s">
        <v>4553</v>
      </c>
      <c r="AU3308">
        <v>3307</v>
      </c>
    </row>
    <row r="3309" spans="1:47" x14ac:dyDescent="0.2">
      <c r="A3309" s="13">
        <v>6651</v>
      </c>
      <c r="B3309" s="57" t="s">
        <v>45</v>
      </c>
      <c r="C3309" s="57" t="s">
        <v>4407</v>
      </c>
      <c r="D3309" s="29"/>
      <c r="E3309" s="57" t="s">
        <v>1764</v>
      </c>
      <c r="F3309" s="31" t="s">
        <v>76</v>
      </c>
      <c r="G3309" s="31" t="s">
        <v>49</v>
      </c>
      <c r="I3309" s="31" t="s">
        <v>4596</v>
      </c>
      <c r="K3309" s="63"/>
      <c r="AQ3309" s="32" t="s">
        <v>4553</v>
      </c>
      <c r="AU3309">
        <v>3308</v>
      </c>
    </row>
    <row r="3310" spans="1:47" x14ac:dyDescent="0.2">
      <c r="A3310" s="13">
        <v>6651</v>
      </c>
      <c r="B3310" s="57" t="s">
        <v>45</v>
      </c>
      <c r="C3310" s="57" t="s">
        <v>4407</v>
      </c>
      <c r="D3310" s="29"/>
      <c r="E3310" s="57" t="s">
        <v>4597</v>
      </c>
      <c r="F3310" s="31" t="s">
        <v>4598</v>
      </c>
      <c r="G3310" s="31" t="s">
        <v>69</v>
      </c>
      <c r="I3310" s="31" t="s">
        <v>4599</v>
      </c>
      <c r="K3310" s="63"/>
      <c r="AQ3310" s="32" t="s">
        <v>4553</v>
      </c>
      <c r="AU3310">
        <v>3309</v>
      </c>
    </row>
    <row r="3311" spans="1:47" x14ac:dyDescent="0.2">
      <c r="A3311" s="26">
        <v>6651</v>
      </c>
      <c r="B3311" s="27">
        <v>0.49027777777777781</v>
      </c>
      <c r="C3311" s="28"/>
      <c r="D3311" s="29"/>
      <c r="E3311" s="30" t="s">
        <v>869</v>
      </c>
      <c r="H3311" s="32">
        <v>0</v>
      </c>
      <c r="I3311" s="32" t="s">
        <v>2344</v>
      </c>
      <c r="AG3311" s="32">
        <v>0</v>
      </c>
      <c r="AH3311" s="32">
        <v>0</v>
      </c>
      <c r="AI3311" s="32">
        <v>0</v>
      </c>
      <c r="AK3311" s="32">
        <v>0</v>
      </c>
      <c r="AL3311" s="32">
        <f>69/60</f>
        <v>1.1499999999999999</v>
      </c>
      <c r="AP3311" s="32">
        <f>69/60</f>
        <v>1.1499999999999999</v>
      </c>
      <c r="AQ3311" s="32" t="s">
        <v>589</v>
      </c>
      <c r="AU3311">
        <v>3310</v>
      </c>
    </row>
    <row r="3312" spans="1:47" x14ac:dyDescent="0.2">
      <c r="A3312" s="26">
        <v>6651</v>
      </c>
      <c r="B3312" s="27">
        <v>0.51041666666666663</v>
      </c>
      <c r="C3312" s="28"/>
      <c r="D3312" s="29"/>
      <c r="E3312" s="30" t="s">
        <v>3737</v>
      </c>
      <c r="H3312" s="32">
        <v>1</v>
      </c>
      <c r="I3312" s="32" t="s">
        <v>4600</v>
      </c>
      <c r="AG3312" s="32">
        <v>6</v>
      </c>
      <c r="AH3312" s="32">
        <v>10</v>
      </c>
      <c r="AI3312" s="32">
        <v>350000</v>
      </c>
      <c r="AK3312" s="32">
        <v>22</v>
      </c>
      <c r="AL3312" s="32">
        <f>65/60</f>
        <v>1.0833333333333333</v>
      </c>
      <c r="AP3312" s="32">
        <f>65/60</f>
        <v>1.0833333333333333</v>
      </c>
      <c r="AQ3312" s="32" t="s">
        <v>4601</v>
      </c>
      <c r="AU3312">
        <v>3311</v>
      </c>
    </row>
    <row r="3313" spans="1:47" x14ac:dyDescent="0.2">
      <c r="A3313" s="26">
        <v>6651</v>
      </c>
      <c r="B3313" s="27">
        <v>0.52083333333333337</v>
      </c>
      <c r="C3313" s="28"/>
      <c r="D3313" s="29"/>
      <c r="E3313" s="30" t="s">
        <v>631</v>
      </c>
      <c r="H3313" s="32">
        <v>0</v>
      </c>
      <c r="I3313" s="32" t="s">
        <v>4602</v>
      </c>
      <c r="AG3313" s="32">
        <v>0</v>
      </c>
      <c r="AH3313" s="32">
        <v>0</v>
      </c>
      <c r="AI3313" s="32">
        <v>0</v>
      </c>
      <c r="AK3313" s="32">
        <v>0</v>
      </c>
      <c r="AL3313" s="32">
        <v>0.67</v>
      </c>
      <c r="AP3313" s="32">
        <v>0.67</v>
      </c>
      <c r="AQ3313" s="32">
        <v>464</v>
      </c>
      <c r="AU3313">
        <v>3312</v>
      </c>
    </row>
    <row r="3314" spans="1:47" x14ac:dyDescent="0.2">
      <c r="A3314" s="26">
        <v>6651</v>
      </c>
      <c r="B3314" s="27">
        <v>0.55555555555555558</v>
      </c>
      <c r="C3314" s="28"/>
      <c r="D3314" s="29"/>
      <c r="E3314" s="30" t="s">
        <v>3155</v>
      </c>
      <c r="H3314" s="32">
        <v>0</v>
      </c>
      <c r="I3314" s="32" t="s">
        <v>3156</v>
      </c>
      <c r="AG3314" s="32">
        <v>0</v>
      </c>
      <c r="AH3314" s="32">
        <v>0</v>
      </c>
      <c r="AI3314" s="32">
        <v>0</v>
      </c>
      <c r="AK3314" s="32">
        <v>0</v>
      </c>
      <c r="AP3314" s="32">
        <f>33/60</f>
        <v>0.55000000000000004</v>
      </c>
      <c r="AQ3314" s="32" t="s">
        <v>1101</v>
      </c>
      <c r="AU3314">
        <v>3313</v>
      </c>
    </row>
    <row r="3315" spans="1:47" x14ac:dyDescent="0.2">
      <c r="A3315" s="26">
        <v>6651</v>
      </c>
      <c r="B3315" s="27">
        <v>0.83333333333333337</v>
      </c>
      <c r="C3315" s="28"/>
      <c r="D3315" s="29"/>
      <c r="E3315" s="30" t="s">
        <v>464</v>
      </c>
      <c r="H3315" s="32">
        <v>0</v>
      </c>
      <c r="I3315" s="32" t="s">
        <v>4603</v>
      </c>
      <c r="AG3315" s="32">
        <v>0</v>
      </c>
      <c r="AH3315" s="32">
        <v>0</v>
      </c>
      <c r="AL3315" s="32">
        <f>110/60</f>
        <v>1.8333333333333333</v>
      </c>
      <c r="AO3315" s="32" t="s">
        <v>4067</v>
      </c>
      <c r="AP3315" s="32">
        <f>110/60</f>
        <v>1.8333333333333333</v>
      </c>
      <c r="AQ3315" s="32" t="s">
        <v>1522</v>
      </c>
      <c r="AU3315">
        <v>3314</v>
      </c>
    </row>
    <row r="3316" spans="1:47" x14ac:dyDescent="0.2">
      <c r="A3316" s="26">
        <v>6651</v>
      </c>
      <c r="B3316" s="27">
        <v>0.84375</v>
      </c>
      <c r="C3316" s="28"/>
      <c r="D3316" s="29"/>
      <c r="E3316" s="30" t="s">
        <v>1282</v>
      </c>
      <c r="H3316" s="32">
        <v>0</v>
      </c>
      <c r="I3316" s="32" t="s">
        <v>4604</v>
      </c>
      <c r="AG3316" s="32">
        <v>0</v>
      </c>
      <c r="AH3316" s="32">
        <v>0</v>
      </c>
      <c r="AI3316" s="32">
        <v>0</v>
      </c>
      <c r="AK3316" s="32">
        <v>0</v>
      </c>
      <c r="AL3316" s="32">
        <v>1.75</v>
      </c>
      <c r="AP3316" s="32">
        <v>1.75</v>
      </c>
      <c r="AQ3316" s="32" t="s">
        <v>1101</v>
      </c>
      <c r="AU3316">
        <v>3315</v>
      </c>
    </row>
    <row r="3317" spans="1:47" x14ac:dyDescent="0.2">
      <c r="A3317" s="26">
        <v>6651</v>
      </c>
      <c r="B3317" s="27" t="s">
        <v>45</v>
      </c>
      <c r="C3317" s="28"/>
      <c r="D3317" s="29"/>
      <c r="E3317" s="30" t="s">
        <v>1531</v>
      </c>
      <c r="H3317" s="32">
        <v>0</v>
      </c>
      <c r="I3317" s="32" t="s">
        <v>1706</v>
      </c>
      <c r="AG3317" s="32">
        <v>0</v>
      </c>
      <c r="AH3317" s="32">
        <v>0</v>
      </c>
      <c r="AI3317" s="32">
        <v>0</v>
      </c>
      <c r="AK3317" s="32">
        <v>0</v>
      </c>
      <c r="AM3317" s="32">
        <f>498*91</f>
        <v>45318</v>
      </c>
      <c r="AO3317" s="32" t="s">
        <v>1533</v>
      </c>
      <c r="AQ3317" s="32" t="s">
        <v>1101</v>
      </c>
      <c r="AU3317">
        <v>3316</v>
      </c>
    </row>
    <row r="3318" spans="1:47" x14ac:dyDescent="0.2">
      <c r="A3318" s="26">
        <v>6651</v>
      </c>
      <c r="B3318" s="27" t="s">
        <v>45</v>
      </c>
      <c r="C3318" s="28"/>
      <c r="D3318" s="29"/>
      <c r="E3318" s="150" t="s">
        <v>2286</v>
      </c>
      <c r="H3318" s="32">
        <v>0</v>
      </c>
      <c r="I3318" s="32" t="s">
        <v>1824</v>
      </c>
      <c r="AG3318" s="32">
        <v>0</v>
      </c>
      <c r="AH3318" s="32">
        <v>0</v>
      </c>
      <c r="AI3318" s="32">
        <v>0</v>
      </c>
      <c r="AK3318" s="32">
        <v>0</v>
      </c>
      <c r="AM3318" s="32">
        <v>4000</v>
      </c>
      <c r="AO3318" s="73" t="s">
        <v>75</v>
      </c>
      <c r="AQ3318" s="32" t="s">
        <v>589</v>
      </c>
      <c r="AU3318">
        <v>3317</v>
      </c>
    </row>
    <row r="3319" spans="1:47" x14ac:dyDescent="0.2">
      <c r="A3319" s="133">
        <v>6652</v>
      </c>
      <c r="B3319" s="39" t="s">
        <v>85</v>
      </c>
      <c r="C3319" s="39">
        <v>55</v>
      </c>
      <c r="D3319" s="29" t="b">
        <v>0</v>
      </c>
      <c r="E3319" s="39" t="s">
        <v>3909</v>
      </c>
      <c r="F3319" s="47" t="s">
        <v>626</v>
      </c>
      <c r="G3319" s="47" t="s">
        <v>274</v>
      </c>
      <c r="H3319"/>
      <c r="I3319" s="47" t="b">
        <v>0</v>
      </c>
      <c r="J3319" s="47" t="b">
        <v>1</v>
      </c>
      <c r="K3319" s="47">
        <v>2346</v>
      </c>
      <c r="L3319" s="48">
        <v>10</v>
      </c>
      <c r="M3319" s="47">
        <v>0</v>
      </c>
      <c r="N3319" s="47">
        <v>1</v>
      </c>
      <c r="O3319" s="47">
        <v>0</v>
      </c>
      <c r="P3319" s="47">
        <v>0</v>
      </c>
      <c r="Q3319" s="47">
        <v>0</v>
      </c>
      <c r="R3319" s="47">
        <v>0</v>
      </c>
      <c r="S3319" s="48">
        <v>9</v>
      </c>
      <c r="T3319" s="47">
        <v>0</v>
      </c>
      <c r="U3319" s="47">
        <v>0</v>
      </c>
      <c r="V3319" s="47">
        <v>1</v>
      </c>
      <c r="W3319" s="47">
        <v>13750</v>
      </c>
      <c r="X3319" s="47">
        <v>444</v>
      </c>
      <c r="Y3319" s="47"/>
      <c r="Z3319" s="47" t="s">
        <v>3618</v>
      </c>
      <c r="AA3319" s="49"/>
      <c r="AB3319" s="49"/>
      <c r="AC3319" s="49"/>
      <c r="AD3319" s="50"/>
      <c r="AE3319" s="47" t="s">
        <v>3798</v>
      </c>
      <c r="AF3319" s="47">
        <v>200</v>
      </c>
      <c r="AG3319"/>
      <c r="AH3319"/>
      <c r="AI3319"/>
      <c r="AJ3319"/>
      <c r="AK3319"/>
      <c r="AL3319"/>
      <c r="AM3319"/>
      <c r="AN3319"/>
      <c r="AO3319"/>
      <c r="AP3319"/>
      <c r="AQ3319" t="s">
        <v>2526</v>
      </c>
      <c r="AU3319">
        <v>3318</v>
      </c>
    </row>
    <row r="3320" spans="1:47" x14ac:dyDescent="0.2">
      <c r="A3320" s="133">
        <v>6652</v>
      </c>
      <c r="B3320" s="39" t="s">
        <v>85</v>
      </c>
      <c r="C3320" s="39" t="s">
        <v>332</v>
      </c>
      <c r="D3320" s="29"/>
      <c r="E3320" s="39" t="s">
        <v>4605</v>
      </c>
      <c r="F3320" s="47"/>
      <c r="G3320" s="47" t="s">
        <v>49</v>
      </c>
      <c r="H3320"/>
      <c r="I3320" s="47"/>
      <c r="J3320" s="47"/>
      <c r="K3320" s="47"/>
      <c r="L3320" s="48"/>
      <c r="M3320" s="47"/>
      <c r="N3320" s="47"/>
      <c r="O3320" s="47"/>
      <c r="P3320" s="47"/>
      <c r="Q3320" s="47"/>
      <c r="R3320" s="47"/>
      <c r="S3320" s="48"/>
      <c r="T3320" s="47"/>
      <c r="U3320" s="47"/>
      <c r="V3320" s="47"/>
      <c r="W3320" s="47"/>
      <c r="X3320" s="47"/>
      <c r="Y3320" s="47"/>
      <c r="Z3320" s="31" t="s">
        <v>3724</v>
      </c>
      <c r="AA3320" s="49"/>
      <c r="AB3320" s="49"/>
      <c r="AC3320" s="49"/>
      <c r="AD3320" s="50"/>
      <c r="AE3320" s="47"/>
      <c r="AF3320" s="47"/>
      <c r="AG3320"/>
      <c r="AH3320"/>
      <c r="AI3320"/>
      <c r="AJ3320"/>
      <c r="AK3320"/>
      <c r="AL3320"/>
      <c r="AM3320"/>
      <c r="AN3320"/>
      <c r="AO3320"/>
      <c r="AP3320"/>
      <c r="AQ3320"/>
      <c r="AU3320">
        <v>3319</v>
      </c>
    </row>
    <row r="3321" spans="1:47" x14ac:dyDescent="0.2">
      <c r="A3321" s="13">
        <v>6652</v>
      </c>
      <c r="B3321" s="57" t="s">
        <v>85</v>
      </c>
      <c r="C3321" s="57" t="s">
        <v>1234</v>
      </c>
      <c r="D3321" s="29"/>
      <c r="E3321" s="57" t="s">
        <v>4304</v>
      </c>
      <c r="F3321" s="31" t="s">
        <v>4571</v>
      </c>
      <c r="G3321" s="31" t="s">
        <v>69</v>
      </c>
      <c r="I3321" s="31" t="s">
        <v>4531</v>
      </c>
      <c r="K3321" s="31">
        <v>3502.4</v>
      </c>
      <c r="AK3321" s="32">
        <v>168</v>
      </c>
      <c r="AQ3321" s="32" t="s">
        <v>4572</v>
      </c>
      <c r="AU3321">
        <v>3320</v>
      </c>
    </row>
    <row r="3322" spans="1:47" x14ac:dyDescent="0.2">
      <c r="A3322" s="13">
        <v>6652</v>
      </c>
      <c r="B3322" s="57" t="s">
        <v>85</v>
      </c>
      <c r="C3322" s="57" t="s">
        <v>332</v>
      </c>
      <c r="D3322" s="29"/>
      <c r="E3322" s="57" t="s">
        <v>4606</v>
      </c>
      <c r="F3322" s="31" t="s">
        <v>48</v>
      </c>
      <c r="G3322" s="31" t="s">
        <v>49</v>
      </c>
      <c r="I3322" s="31" t="s">
        <v>4607</v>
      </c>
      <c r="K3322" s="31">
        <v>7216</v>
      </c>
      <c r="S3322" s="33">
        <v>25</v>
      </c>
      <c r="Z3322" s="31" t="s">
        <v>3724</v>
      </c>
      <c r="AQ3322" s="32" t="s">
        <v>4568</v>
      </c>
      <c r="AU3322">
        <v>3321</v>
      </c>
    </row>
    <row r="3323" spans="1:47" x14ac:dyDescent="0.2">
      <c r="A3323" s="13">
        <v>6652</v>
      </c>
      <c r="B3323" s="57" t="s">
        <v>85</v>
      </c>
      <c r="C3323" s="57" t="s">
        <v>1077</v>
      </c>
      <c r="D3323" s="29"/>
      <c r="E3323" s="57" t="s">
        <v>4608</v>
      </c>
      <c r="F3323" s="31" t="s">
        <v>3992</v>
      </c>
      <c r="G3323" s="31" t="s">
        <v>49</v>
      </c>
      <c r="K3323" s="31">
        <v>8659.2000000000007</v>
      </c>
      <c r="S3323" s="33">
        <v>26</v>
      </c>
      <c r="Z3323" s="31" t="s">
        <v>3724</v>
      </c>
      <c r="AE3323" s="31" t="s">
        <v>4411</v>
      </c>
      <c r="AF3323" s="31">
        <v>50</v>
      </c>
      <c r="AQ3323" s="32" t="s">
        <v>4568</v>
      </c>
      <c r="AU3323">
        <v>3322</v>
      </c>
    </row>
    <row r="3324" spans="1:47" x14ac:dyDescent="0.2">
      <c r="A3324" s="133">
        <v>6652</v>
      </c>
      <c r="B3324" s="42" t="s">
        <v>45</v>
      </c>
      <c r="C3324" s="43" t="s">
        <v>142</v>
      </c>
      <c r="D3324" s="29"/>
      <c r="E3324" s="39" t="s">
        <v>4609</v>
      </c>
      <c r="F3324" s="47" t="s">
        <v>4548</v>
      </c>
      <c r="G3324" s="47" t="s">
        <v>49</v>
      </c>
      <c r="H3324"/>
      <c r="I3324" s="47" t="b">
        <v>1</v>
      </c>
      <c r="J3324" s="47" t="b">
        <v>1</v>
      </c>
      <c r="K3324" s="47">
        <f>2015*2.2</f>
        <v>4433</v>
      </c>
      <c r="L3324" s="48">
        <v>11</v>
      </c>
      <c r="M3324" s="47"/>
      <c r="N3324" s="47">
        <v>1</v>
      </c>
      <c r="O3324" s="47"/>
      <c r="P3324" s="47"/>
      <c r="Q3324" s="47"/>
      <c r="R3324" s="47"/>
      <c r="S3324" s="48">
        <v>10</v>
      </c>
      <c r="T3324" s="47">
        <v>0</v>
      </c>
      <c r="U3324" s="47">
        <v>0</v>
      </c>
      <c r="V3324" s="47">
        <v>1</v>
      </c>
      <c r="W3324" s="47"/>
      <c r="X3324" s="47"/>
      <c r="Y3324" s="47" t="s">
        <v>51</v>
      </c>
      <c r="Z3324" s="31" t="s">
        <v>3855</v>
      </c>
      <c r="AA3324" s="49"/>
      <c r="AB3324" s="49"/>
      <c r="AC3324" s="49"/>
      <c r="AD3324" s="50"/>
      <c r="AE3324" s="31" t="s">
        <v>4124</v>
      </c>
      <c r="AF3324" s="47"/>
      <c r="AG3324"/>
      <c r="AH3324"/>
      <c r="AI3324"/>
      <c r="AJ3324"/>
      <c r="AK3324"/>
      <c r="AL3324"/>
      <c r="AM3324"/>
      <c r="AN3324"/>
      <c r="AO3324"/>
      <c r="AP3324"/>
      <c r="AQ3324" s="32" t="s">
        <v>4584</v>
      </c>
      <c r="AR3324" s="47" t="s">
        <v>4610</v>
      </c>
      <c r="AU3324">
        <v>3323</v>
      </c>
    </row>
    <row r="3325" spans="1:47" x14ac:dyDescent="0.2">
      <c r="A3325" s="13">
        <v>6652</v>
      </c>
      <c r="B3325" s="57" t="s">
        <v>45</v>
      </c>
      <c r="C3325" s="177" t="s">
        <v>4447</v>
      </c>
      <c r="D3325" s="29"/>
      <c r="E3325" s="57" t="s">
        <v>4122</v>
      </c>
      <c r="F3325" s="31" t="s">
        <v>76</v>
      </c>
      <c r="G3325" s="31" t="s">
        <v>49</v>
      </c>
      <c r="I3325" s="47" t="b">
        <v>0</v>
      </c>
      <c r="J3325" s="47" t="b">
        <v>0</v>
      </c>
      <c r="K3325" s="31">
        <f>480*2.2</f>
        <v>1056</v>
      </c>
      <c r="AE3325" s="31" t="s">
        <v>4449</v>
      </c>
      <c r="AF3325" s="31">
        <v>90</v>
      </c>
      <c r="AK3325" s="32">
        <v>21</v>
      </c>
      <c r="AQ3325" s="32" t="s">
        <v>4572</v>
      </c>
      <c r="AR3325" s="31" t="s">
        <v>4452</v>
      </c>
      <c r="AU3325">
        <v>3324</v>
      </c>
    </row>
    <row r="3326" spans="1:47" x14ac:dyDescent="0.2">
      <c r="A3326" s="13">
        <v>6652</v>
      </c>
      <c r="B3326" s="57" t="s">
        <v>45</v>
      </c>
      <c r="C3326" s="177" t="s">
        <v>4447</v>
      </c>
      <c r="D3326" s="29"/>
      <c r="E3326" s="57" t="s">
        <v>4017</v>
      </c>
      <c r="F3326" s="31" t="s">
        <v>76</v>
      </c>
      <c r="G3326" s="31" t="s">
        <v>49</v>
      </c>
      <c r="I3326" s="47" t="b">
        <v>0</v>
      </c>
      <c r="J3326" s="47" t="b">
        <v>0</v>
      </c>
      <c r="K3326" s="31">
        <f>485*2.2</f>
        <v>1067</v>
      </c>
      <c r="AE3326" s="31" t="s">
        <v>4449</v>
      </c>
      <c r="AF3326" s="31">
        <v>90</v>
      </c>
      <c r="AK3326" s="32">
        <v>17</v>
      </c>
      <c r="AQ3326" s="32" t="s">
        <v>4572</v>
      </c>
      <c r="AR3326" s="31" t="s">
        <v>4452</v>
      </c>
      <c r="AU3326">
        <v>3325</v>
      </c>
    </row>
    <row r="3327" spans="1:47" x14ac:dyDescent="0.2">
      <c r="A3327" s="13">
        <v>6652</v>
      </c>
      <c r="B3327" s="57" t="s">
        <v>45</v>
      </c>
      <c r="C3327" s="177" t="s">
        <v>4447</v>
      </c>
      <c r="D3327" s="29"/>
      <c r="E3327" s="57" t="s">
        <v>199</v>
      </c>
      <c r="F3327" s="31" t="s">
        <v>76</v>
      </c>
      <c r="G3327" s="31" t="s">
        <v>49</v>
      </c>
      <c r="I3327" s="47" t="b">
        <v>0</v>
      </c>
      <c r="J3327" s="47" t="b">
        <v>0</v>
      </c>
      <c r="K3327" s="31">
        <f>100*2.2</f>
        <v>220.00000000000003</v>
      </c>
      <c r="AE3327" s="31" t="s">
        <v>4449</v>
      </c>
      <c r="AF3327" s="31">
        <v>60</v>
      </c>
      <c r="AK3327" s="32">
        <v>4</v>
      </c>
      <c r="AQ3327" s="32" t="s">
        <v>4572</v>
      </c>
      <c r="AR3327" s="31" t="s">
        <v>4452</v>
      </c>
      <c r="AU3327">
        <v>3326</v>
      </c>
    </row>
    <row r="3328" spans="1:47" x14ac:dyDescent="0.2">
      <c r="A3328" s="13">
        <v>6652</v>
      </c>
      <c r="B3328" s="57" t="s">
        <v>45</v>
      </c>
      <c r="C3328" s="177" t="s">
        <v>4447</v>
      </c>
      <c r="D3328" s="29"/>
      <c r="E3328" s="57" t="s">
        <v>2191</v>
      </c>
      <c r="F3328" s="31" t="s">
        <v>76</v>
      </c>
      <c r="G3328" s="31" t="s">
        <v>49</v>
      </c>
      <c r="I3328" s="47" t="b">
        <v>0</v>
      </c>
      <c r="J3328" s="47" t="b">
        <v>0</v>
      </c>
      <c r="K3328" s="31">
        <f>250*2.2</f>
        <v>550</v>
      </c>
      <c r="AE3328" s="31" t="s">
        <v>4449</v>
      </c>
      <c r="AF3328" s="31">
        <v>60</v>
      </c>
      <c r="AK3328" s="32">
        <v>7</v>
      </c>
      <c r="AQ3328" s="32" t="s">
        <v>4572</v>
      </c>
      <c r="AR3328" s="31" t="s">
        <v>4452</v>
      </c>
      <c r="AU3328">
        <v>3327</v>
      </c>
    </row>
    <row r="3329" spans="1:47" x14ac:dyDescent="0.2">
      <c r="A3329" s="13">
        <v>6652</v>
      </c>
      <c r="B3329" s="57" t="s">
        <v>45</v>
      </c>
      <c r="C3329" s="177" t="s">
        <v>4447</v>
      </c>
      <c r="D3329" s="29"/>
      <c r="E3329" s="57" t="s">
        <v>4551</v>
      </c>
      <c r="F3329" s="31" t="s">
        <v>4594</v>
      </c>
      <c r="G3329" s="31" t="s">
        <v>73</v>
      </c>
      <c r="I3329" s="47" t="b">
        <v>0</v>
      </c>
      <c r="J3329" s="47" t="b">
        <v>0</v>
      </c>
      <c r="K3329" s="31">
        <f>250*2.2</f>
        <v>550</v>
      </c>
      <c r="AE3329" s="31" t="s">
        <v>4449</v>
      </c>
      <c r="AF3329" s="31">
        <v>85</v>
      </c>
      <c r="AK3329" s="32">
        <v>10</v>
      </c>
      <c r="AQ3329" s="32" t="s">
        <v>4572</v>
      </c>
      <c r="AR3329" s="31" t="s">
        <v>4452</v>
      </c>
      <c r="AU3329">
        <v>3328</v>
      </c>
    </row>
    <row r="3330" spans="1:47" x14ac:dyDescent="0.2">
      <c r="A3330" s="13">
        <v>6652</v>
      </c>
      <c r="B3330" s="57" t="s">
        <v>45</v>
      </c>
      <c r="C3330" s="57" t="s">
        <v>4407</v>
      </c>
      <c r="D3330" s="29"/>
      <c r="E3330" s="57" t="s">
        <v>3063</v>
      </c>
      <c r="F3330" s="31" t="s">
        <v>76</v>
      </c>
      <c r="G3330" s="31" t="s">
        <v>49</v>
      </c>
      <c r="I3330" s="31" t="s">
        <v>4611</v>
      </c>
      <c r="K3330" s="31">
        <v>990</v>
      </c>
      <c r="AK3330" s="32">
        <v>16</v>
      </c>
      <c r="AQ3330" s="32" t="s">
        <v>4572</v>
      </c>
      <c r="AU3330">
        <v>3329</v>
      </c>
    </row>
    <row r="3331" spans="1:47" x14ac:dyDescent="0.2">
      <c r="A3331" s="13">
        <v>6652</v>
      </c>
      <c r="B3331" s="57" t="s">
        <v>45</v>
      </c>
      <c r="C3331" s="57" t="s">
        <v>4407</v>
      </c>
      <c r="D3331" s="29"/>
      <c r="E3331" s="57" t="s">
        <v>3063</v>
      </c>
      <c r="F3331" s="31" t="s">
        <v>76</v>
      </c>
      <c r="G3331" s="31" t="s">
        <v>49</v>
      </c>
      <c r="I3331" s="31" t="s">
        <v>4554</v>
      </c>
      <c r="K3331" s="63"/>
      <c r="AQ3331" s="32" t="s">
        <v>4553</v>
      </c>
      <c r="AU3331">
        <v>3330</v>
      </c>
    </row>
    <row r="3332" spans="1:47" x14ac:dyDescent="0.2">
      <c r="A3332" s="133">
        <v>6652</v>
      </c>
      <c r="B3332" s="42" t="s">
        <v>45</v>
      </c>
      <c r="C3332" s="174" t="s">
        <v>4612</v>
      </c>
      <c r="D3332" s="29"/>
      <c r="E3332" s="39" t="s">
        <v>3063</v>
      </c>
      <c r="F3332" s="47" t="s">
        <v>1198</v>
      </c>
      <c r="G3332" s="47" t="s">
        <v>49</v>
      </c>
      <c r="H3332"/>
      <c r="I3332" s="47" t="s">
        <v>4613</v>
      </c>
      <c r="J3332" s="47"/>
      <c r="K3332" s="47"/>
      <c r="L3332" s="48"/>
      <c r="M3332" s="47"/>
      <c r="N3332" s="47"/>
      <c r="O3332" s="47"/>
      <c r="P3332" s="47"/>
      <c r="Q3332" s="47"/>
      <c r="R3332" s="47"/>
      <c r="S3332" s="48"/>
      <c r="T3332" s="47"/>
      <c r="U3332" s="47"/>
      <c r="V3332" s="47"/>
      <c r="W3332" s="47"/>
      <c r="X3332" s="47"/>
      <c r="Y3332" s="47"/>
      <c r="Z3332" s="47" t="s">
        <v>3855</v>
      </c>
      <c r="AA3332" s="49"/>
      <c r="AB3332" s="49"/>
      <c r="AC3332" s="49"/>
      <c r="AD3332" s="50"/>
      <c r="AE3332" s="47" t="s">
        <v>4614</v>
      </c>
      <c r="AF3332" s="47">
        <v>85</v>
      </c>
      <c r="AG3332"/>
      <c r="AH3332"/>
      <c r="AI3332"/>
      <c r="AJ3332"/>
      <c r="AK3332"/>
      <c r="AL3332"/>
      <c r="AM3332"/>
      <c r="AN3332"/>
      <c r="AO3332"/>
      <c r="AP3332"/>
      <c r="AQ3332"/>
      <c r="AU3332">
        <v>3331</v>
      </c>
    </row>
    <row r="3333" spans="1:47" x14ac:dyDescent="0.2">
      <c r="A3333" s="13">
        <v>6652</v>
      </c>
      <c r="B3333" s="57" t="s">
        <v>45</v>
      </c>
      <c r="C3333" s="57" t="s">
        <v>4407</v>
      </c>
      <c r="D3333" s="29"/>
      <c r="E3333" s="57" t="s">
        <v>4017</v>
      </c>
      <c r="F3333" s="31" t="s">
        <v>76</v>
      </c>
      <c r="G3333" s="31" t="s">
        <v>49</v>
      </c>
      <c r="I3333" s="31" t="s">
        <v>4552</v>
      </c>
      <c r="K3333" s="63"/>
      <c r="AQ3333" s="32" t="s">
        <v>4553</v>
      </c>
      <c r="AU3333">
        <v>3332</v>
      </c>
    </row>
    <row r="3334" spans="1:47" x14ac:dyDescent="0.2">
      <c r="A3334" s="13">
        <v>6652</v>
      </c>
      <c r="B3334" s="57" t="s">
        <v>45</v>
      </c>
      <c r="C3334" s="57" t="s">
        <v>4407</v>
      </c>
      <c r="D3334" s="29"/>
      <c r="E3334" s="57" t="s">
        <v>4551</v>
      </c>
      <c r="I3334" s="31" t="s">
        <v>4558</v>
      </c>
      <c r="K3334" s="63"/>
      <c r="AQ3334" s="32" t="s">
        <v>4553</v>
      </c>
      <c r="AU3334">
        <v>3333</v>
      </c>
    </row>
    <row r="3335" spans="1:47" x14ac:dyDescent="0.2">
      <c r="A3335" s="13">
        <v>6652</v>
      </c>
      <c r="B3335" s="57" t="s">
        <v>45</v>
      </c>
      <c r="C3335" s="57" t="s">
        <v>4407</v>
      </c>
      <c r="D3335" s="29"/>
      <c r="E3335" s="57" t="s">
        <v>4122</v>
      </c>
      <c r="F3335" s="31" t="s">
        <v>76</v>
      </c>
      <c r="G3335" s="31" t="s">
        <v>49</v>
      </c>
      <c r="I3335" s="31" t="s">
        <v>4589</v>
      </c>
      <c r="K3335" s="63"/>
      <c r="AQ3335" s="32" t="s">
        <v>4553</v>
      </c>
      <c r="AU3335">
        <v>3334</v>
      </c>
    </row>
    <row r="3336" spans="1:47" x14ac:dyDescent="0.2">
      <c r="A3336" s="13">
        <v>6652</v>
      </c>
      <c r="B3336" s="57" t="s">
        <v>45</v>
      </c>
      <c r="C3336" s="57" t="s">
        <v>4407</v>
      </c>
      <c r="D3336" s="29"/>
      <c r="E3336" s="57" t="s">
        <v>199</v>
      </c>
      <c r="F3336" s="31" t="s">
        <v>76</v>
      </c>
      <c r="G3336" s="31" t="s">
        <v>49</v>
      </c>
      <c r="I3336" s="31" t="s">
        <v>4590</v>
      </c>
      <c r="K3336" s="63"/>
      <c r="AQ3336" s="32" t="s">
        <v>4553</v>
      </c>
      <c r="AU3336">
        <v>3335</v>
      </c>
    </row>
    <row r="3337" spans="1:47" x14ac:dyDescent="0.2">
      <c r="A3337" s="13">
        <v>6652</v>
      </c>
      <c r="B3337" s="57" t="s">
        <v>45</v>
      </c>
      <c r="C3337" s="57" t="s">
        <v>4407</v>
      </c>
      <c r="D3337" s="29"/>
      <c r="E3337" s="57" t="s">
        <v>2191</v>
      </c>
      <c r="F3337" s="31" t="s">
        <v>76</v>
      </c>
      <c r="G3337" s="31" t="s">
        <v>49</v>
      </c>
      <c r="I3337" s="31" t="s">
        <v>4591</v>
      </c>
      <c r="K3337" s="63"/>
      <c r="AQ3337" s="32" t="s">
        <v>4553</v>
      </c>
      <c r="AU3337">
        <v>3336</v>
      </c>
    </row>
    <row r="3338" spans="1:47" x14ac:dyDescent="0.2">
      <c r="A3338" s="26">
        <v>6652</v>
      </c>
      <c r="B3338" s="27">
        <v>0.49513888888888885</v>
      </c>
      <c r="C3338" s="28"/>
      <c r="D3338" s="29"/>
      <c r="E3338" s="30" t="s">
        <v>869</v>
      </c>
      <c r="H3338" s="32">
        <v>0</v>
      </c>
      <c r="I3338" s="32" t="s">
        <v>4615</v>
      </c>
      <c r="AG3338" s="32">
        <v>0</v>
      </c>
      <c r="AH3338" s="32">
        <v>0</v>
      </c>
      <c r="AI3338" s="32">
        <v>0</v>
      </c>
      <c r="AK3338" s="32">
        <v>0</v>
      </c>
      <c r="AL3338" s="32">
        <f>126/60</f>
        <v>2.1</v>
      </c>
      <c r="AP3338" s="32">
        <f>126/60</f>
        <v>2.1</v>
      </c>
      <c r="AQ3338" s="32" t="s">
        <v>589</v>
      </c>
      <c r="AU3338">
        <v>3337</v>
      </c>
    </row>
    <row r="3339" spans="1:47" x14ac:dyDescent="0.2">
      <c r="A3339" s="26">
        <v>6652</v>
      </c>
      <c r="B3339" s="27">
        <v>0.51388888888888895</v>
      </c>
      <c r="C3339" s="28"/>
      <c r="D3339" s="29"/>
      <c r="E3339" s="30" t="s">
        <v>631</v>
      </c>
      <c r="H3339" s="32">
        <v>1</v>
      </c>
      <c r="I3339" s="32" t="s">
        <v>4616</v>
      </c>
      <c r="AG3339" s="32">
        <v>6</v>
      </c>
      <c r="AH3339" s="32">
        <v>18</v>
      </c>
      <c r="AK3339" s="32">
        <v>14</v>
      </c>
      <c r="AL3339" s="32">
        <v>1.67</v>
      </c>
      <c r="AO3339" s="32" t="s">
        <v>633</v>
      </c>
      <c r="AP3339" s="32">
        <v>1.67</v>
      </c>
      <c r="AQ3339" s="32">
        <v>464</v>
      </c>
      <c r="AU3339">
        <v>3338</v>
      </c>
    </row>
    <row r="3340" spans="1:47" x14ac:dyDescent="0.2">
      <c r="A3340" s="26">
        <v>6652</v>
      </c>
      <c r="B3340" s="27">
        <v>0.51388888888888895</v>
      </c>
      <c r="C3340" s="28"/>
      <c r="D3340" s="29"/>
      <c r="E3340" s="30" t="s">
        <v>3126</v>
      </c>
      <c r="H3340" s="32">
        <v>1</v>
      </c>
      <c r="I3340" s="32" t="s">
        <v>4617</v>
      </c>
      <c r="AI3340" s="32">
        <v>7201</v>
      </c>
      <c r="AK3340" s="32">
        <v>3</v>
      </c>
      <c r="AL3340" s="32">
        <v>1</v>
      </c>
      <c r="AP3340" s="32">
        <v>1.67</v>
      </c>
      <c r="AQ3340" s="32">
        <v>466</v>
      </c>
      <c r="AU3340">
        <v>3339</v>
      </c>
    </row>
    <row r="3341" spans="1:47" x14ac:dyDescent="0.2">
      <c r="A3341" s="26">
        <v>6652</v>
      </c>
      <c r="B3341" s="27">
        <v>0.57708333333333328</v>
      </c>
      <c r="C3341" s="28"/>
      <c r="D3341" s="29"/>
      <c r="E3341" s="30" t="s">
        <v>3155</v>
      </c>
      <c r="H3341" s="32">
        <v>0</v>
      </c>
      <c r="I3341" s="32" t="s">
        <v>3156</v>
      </c>
      <c r="AG3341" s="32">
        <v>0</v>
      </c>
      <c r="AH3341" s="32">
        <v>0</v>
      </c>
      <c r="AI3341" s="32">
        <v>0</v>
      </c>
      <c r="AK3341" s="32">
        <v>0</v>
      </c>
      <c r="AP3341" s="32">
        <f>28/60</f>
        <v>0.46666666666666667</v>
      </c>
      <c r="AQ3341" s="32" t="s">
        <v>1101</v>
      </c>
      <c r="AU3341">
        <v>3340</v>
      </c>
    </row>
    <row r="3342" spans="1:47" x14ac:dyDescent="0.2">
      <c r="A3342" s="26">
        <v>6652</v>
      </c>
      <c r="B3342" s="27">
        <v>0.875</v>
      </c>
      <c r="C3342" s="28"/>
      <c r="D3342" s="29"/>
      <c r="E3342" s="30" t="s">
        <v>2087</v>
      </c>
      <c r="H3342" s="32">
        <v>0</v>
      </c>
      <c r="I3342" s="32"/>
      <c r="AG3342" s="32">
        <v>0</v>
      </c>
      <c r="AH3342" s="32">
        <v>0</v>
      </c>
      <c r="AI3342" s="32">
        <v>0</v>
      </c>
      <c r="AK3342" s="32">
        <v>0</v>
      </c>
      <c r="AL3342" s="32">
        <v>0</v>
      </c>
      <c r="AP3342" s="32">
        <f>1/6</f>
        <v>0.16666666666666666</v>
      </c>
      <c r="AQ3342" s="32" t="s">
        <v>1101</v>
      </c>
      <c r="AU3342">
        <v>3341</v>
      </c>
    </row>
    <row r="3343" spans="1:47" x14ac:dyDescent="0.2">
      <c r="A3343" s="26">
        <v>6652</v>
      </c>
      <c r="B3343" s="27">
        <v>0.9375</v>
      </c>
      <c r="C3343" s="28"/>
      <c r="D3343" s="29"/>
      <c r="E3343" s="30" t="s">
        <v>2087</v>
      </c>
      <c r="H3343" s="32">
        <v>1</v>
      </c>
      <c r="I3343" s="32" t="s">
        <v>4618</v>
      </c>
      <c r="AG3343" s="32">
        <v>0</v>
      </c>
      <c r="AH3343" s="32">
        <v>0</v>
      </c>
      <c r="AK3343" s="32">
        <v>5</v>
      </c>
      <c r="AL3343" s="32">
        <v>1.5</v>
      </c>
      <c r="AP3343" s="32">
        <v>0.5</v>
      </c>
      <c r="AQ3343" s="32">
        <v>417</v>
      </c>
      <c r="AU3343">
        <v>3342</v>
      </c>
    </row>
    <row r="3344" spans="1:47" x14ac:dyDescent="0.2">
      <c r="A3344" s="26">
        <v>6652</v>
      </c>
      <c r="B3344" s="27">
        <v>0.94166666666666676</v>
      </c>
      <c r="C3344" s="28"/>
      <c r="D3344" s="29"/>
      <c r="E3344" s="30" t="s">
        <v>1282</v>
      </c>
      <c r="H3344" s="32">
        <v>0</v>
      </c>
      <c r="I3344" s="32" t="s">
        <v>4619</v>
      </c>
      <c r="AG3344" s="32">
        <v>0</v>
      </c>
      <c r="AH3344" s="32">
        <v>0</v>
      </c>
      <c r="AI3344" s="32">
        <v>0</v>
      </c>
      <c r="AK3344" s="32">
        <v>0</v>
      </c>
      <c r="AL3344" s="32">
        <f>63/60</f>
        <v>1.05</v>
      </c>
      <c r="AP3344" s="32">
        <f>63/60</f>
        <v>1.05</v>
      </c>
      <c r="AQ3344" s="32" t="s">
        <v>1101</v>
      </c>
      <c r="AU3344">
        <v>3343</v>
      </c>
    </row>
    <row r="3345" spans="1:47" x14ac:dyDescent="0.2">
      <c r="A3345" s="26">
        <v>6652</v>
      </c>
      <c r="B3345" s="27" t="s">
        <v>45</v>
      </c>
      <c r="C3345" s="28"/>
      <c r="D3345" s="29"/>
      <c r="E3345" s="30" t="s">
        <v>1531</v>
      </c>
      <c r="H3345" s="32">
        <v>0</v>
      </c>
      <c r="I3345" s="32" t="s">
        <v>2553</v>
      </c>
      <c r="AG3345" s="32">
        <v>0</v>
      </c>
      <c r="AH3345" s="32">
        <v>0</v>
      </c>
      <c r="AI3345" s="32">
        <v>0</v>
      </c>
      <c r="AK3345" s="32">
        <v>0</v>
      </c>
      <c r="AM3345" s="32">
        <f>498*135</f>
        <v>67230</v>
      </c>
      <c r="AO3345" s="32" t="s">
        <v>1533</v>
      </c>
      <c r="AQ3345" s="32" t="s">
        <v>1101</v>
      </c>
      <c r="AU3345">
        <v>3344</v>
      </c>
    </row>
    <row r="3346" spans="1:47" x14ac:dyDescent="0.2">
      <c r="A3346" s="26">
        <v>6652</v>
      </c>
      <c r="B3346" s="27" t="s">
        <v>45</v>
      </c>
      <c r="C3346" s="28"/>
      <c r="D3346" s="29"/>
      <c r="E3346" s="150" t="s">
        <v>2286</v>
      </c>
      <c r="H3346" s="32">
        <v>0</v>
      </c>
      <c r="I3346" s="32" t="s">
        <v>1824</v>
      </c>
      <c r="AG3346" s="32">
        <v>0</v>
      </c>
      <c r="AH3346" s="32">
        <v>0</v>
      </c>
      <c r="AI3346" s="32">
        <v>0</v>
      </c>
      <c r="AK3346" s="32">
        <v>0</v>
      </c>
      <c r="AM3346" s="32">
        <v>3500</v>
      </c>
      <c r="AO3346" s="73" t="s">
        <v>75</v>
      </c>
      <c r="AQ3346" s="32" t="s">
        <v>589</v>
      </c>
      <c r="AU3346">
        <v>3345</v>
      </c>
    </row>
    <row r="3347" spans="1:47" x14ac:dyDescent="0.2">
      <c r="A3347" s="26">
        <v>6652</v>
      </c>
      <c r="B3347" s="27"/>
      <c r="C3347" s="28"/>
      <c r="D3347" s="29"/>
      <c r="E3347" s="30" t="s">
        <v>3063</v>
      </c>
      <c r="H3347" s="32">
        <v>1</v>
      </c>
      <c r="I3347" s="32" t="s">
        <v>4620</v>
      </c>
      <c r="AL3347" s="32">
        <f>3*24</f>
        <v>72</v>
      </c>
      <c r="AQ3347" s="32">
        <v>375</v>
      </c>
      <c r="AU3347">
        <v>3346</v>
      </c>
    </row>
    <row r="3348" spans="1:47" x14ac:dyDescent="0.2">
      <c r="A3348" s="26">
        <v>6652</v>
      </c>
      <c r="B3348" s="27"/>
      <c r="C3348" s="28"/>
      <c r="D3348" s="29"/>
      <c r="E3348" s="30" t="s">
        <v>626</v>
      </c>
      <c r="H3348" s="32">
        <v>1</v>
      </c>
      <c r="I3348" s="32" t="s">
        <v>4621</v>
      </c>
      <c r="AI3348" s="32">
        <v>13800</v>
      </c>
      <c r="AK3348" s="32">
        <v>5</v>
      </c>
      <c r="AQ3348" s="32" t="s">
        <v>4622</v>
      </c>
      <c r="AU3348">
        <v>3347</v>
      </c>
    </row>
    <row r="3349" spans="1:47" x14ac:dyDescent="0.2">
      <c r="A3349" s="26">
        <v>6652</v>
      </c>
      <c r="B3349" s="27"/>
      <c r="C3349" s="28"/>
      <c r="D3349" s="29"/>
      <c r="E3349" s="30" t="s">
        <v>3909</v>
      </c>
      <c r="H3349" s="32">
        <v>1</v>
      </c>
      <c r="I3349" s="32" t="s">
        <v>4623</v>
      </c>
      <c r="AK3349" s="32">
        <v>4</v>
      </c>
      <c r="AQ3349" s="32" t="s">
        <v>4622</v>
      </c>
      <c r="AU3349">
        <v>3348</v>
      </c>
    </row>
    <row r="3350" spans="1:47" x14ac:dyDescent="0.2">
      <c r="A3350" s="13">
        <v>6653</v>
      </c>
      <c r="B3350" s="57" t="s">
        <v>85</v>
      </c>
      <c r="C3350" s="57" t="s">
        <v>1234</v>
      </c>
      <c r="D3350" s="29"/>
      <c r="E3350" s="57" t="s">
        <v>4304</v>
      </c>
      <c r="F3350" s="31" t="s">
        <v>4571</v>
      </c>
      <c r="G3350" s="31" t="s">
        <v>69</v>
      </c>
      <c r="I3350" s="31" t="s">
        <v>4531</v>
      </c>
      <c r="K3350" s="31">
        <v>202.4</v>
      </c>
      <c r="AK3350" s="32">
        <v>8</v>
      </c>
      <c r="AQ3350" s="32" t="s">
        <v>4572</v>
      </c>
      <c r="AU3350">
        <v>3349</v>
      </c>
    </row>
    <row r="3351" spans="1:47" x14ac:dyDescent="0.2">
      <c r="A3351" s="13">
        <v>6653</v>
      </c>
      <c r="B3351" s="57" t="s">
        <v>45</v>
      </c>
      <c r="C3351" s="57" t="s">
        <v>4407</v>
      </c>
      <c r="D3351" s="29"/>
      <c r="E3351" s="57" t="s">
        <v>4122</v>
      </c>
      <c r="F3351" s="31" t="s">
        <v>76</v>
      </c>
      <c r="G3351" s="31" t="s">
        <v>49</v>
      </c>
      <c r="I3351" s="31" t="s">
        <v>4452</v>
      </c>
      <c r="K3351" s="31">
        <v>946</v>
      </c>
      <c r="AK3351" s="32">
        <v>20</v>
      </c>
      <c r="AQ3351" s="32" t="s">
        <v>4572</v>
      </c>
      <c r="AU3351">
        <v>3350</v>
      </c>
    </row>
    <row r="3352" spans="1:47" x14ac:dyDescent="0.2">
      <c r="A3352" s="26">
        <v>6653</v>
      </c>
      <c r="B3352" s="27">
        <v>0.25</v>
      </c>
      <c r="C3352" s="28"/>
      <c r="D3352" s="29"/>
      <c r="E3352" s="30" t="s">
        <v>464</v>
      </c>
      <c r="H3352" s="32">
        <v>0</v>
      </c>
      <c r="I3352" s="32" t="s">
        <v>4624</v>
      </c>
      <c r="AG3352" s="32">
        <v>0</v>
      </c>
      <c r="AH3352" s="32">
        <v>0</v>
      </c>
      <c r="AL3352" s="32">
        <f>12/60</f>
        <v>0.2</v>
      </c>
      <c r="AO3352" s="32" t="s">
        <v>4067</v>
      </c>
      <c r="AP3352" s="32">
        <f>12/60</f>
        <v>0.2</v>
      </c>
      <c r="AQ3352" s="32" t="s">
        <v>1522</v>
      </c>
      <c r="AU3352">
        <v>3351</v>
      </c>
    </row>
    <row r="3353" spans="1:47" x14ac:dyDescent="0.2">
      <c r="A3353" s="26">
        <v>6653</v>
      </c>
      <c r="B3353" s="27">
        <v>0.9375</v>
      </c>
      <c r="C3353" s="28"/>
      <c r="D3353" s="29"/>
      <c r="E3353" s="30" t="s">
        <v>2087</v>
      </c>
      <c r="H3353" s="32">
        <v>0</v>
      </c>
      <c r="I3353" s="32"/>
      <c r="AG3353" s="32">
        <v>0</v>
      </c>
      <c r="AH3353" s="32">
        <v>0</v>
      </c>
      <c r="AI3353" s="32">
        <v>0</v>
      </c>
      <c r="AK3353" s="32">
        <v>0</v>
      </c>
      <c r="AL3353" s="32">
        <v>0</v>
      </c>
      <c r="AP3353" s="32">
        <v>1</v>
      </c>
      <c r="AQ3353" s="32" t="s">
        <v>1101</v>
      </c>
      <c r="AU3353">
        <v>3352</v>
      </c>
    </row>
    <row r="3354" spans="1:47" x14ac:dyDescent="0.2">
      <c r="A3354" s="133">
        <v>6655</v>
      </c>
      <c r="B3354" s="42" t="s">
        <v>45</v>
      </c>
      <c r="C3354" s="43" t="s">
        <v>142</v>
      </c>
      <c r="D3354" s="29"/>
      <c r="E3354" s="39" t="s">
        <v>4625</v>
      </c>
      <c r="F3354" s="31" t="s">
        <v>4626</v>
      </c>
      <c r="G3354" s="31" t="s">
        <v>73</v>
      </c>
      <c r="H3354" s="32"/>
      <c r="I3354" s="47" t="b">
        <v>1</v>
      </c>
      <c r="J3354" s="47" t="b">
        <v>1</v>
      </c>
      <c r="K3354" s="31">
        <f>1755*2.2</f>
        <v>3861.0000000000005</v>
      </c>
      <c r="L3354" s="33">
        <v>10</v>
      </c>
      <c r="S3354" s="33">
        <v>8</v>
      </c>
      <c r="Y3354" s="31" t="s">
        <v>51</v>
      </c>
      <c r="Z3354" s="31" t="s">
        <v>3855</v>
      </c>
      <c r="AE3354" s="31" t="s">
        <v>4124</v>
      </c>
      <c r="AQ3354" s="32" t="s">
        <v>4584</v>
      </c>
      <c r="AU3354">
        <v>3353</v>
      </c>
    </row>
    <row r="3355" spans="1:47" x14ac:dyDescent="0.2">
      <c r="A3355" s="13">
        <v>6655</v>
      </c>
      <c r="B3355" s="57" t="s">
        <v>45</v>
      </c>
      <c r="C3355" s="177" t="s">
        <v>4447</v>
      </c>
      <c r="D3355" s="29"/>
      <c r="E3355" s="57" t="s">
        <v>4627</v>
      </c>
      <c r="F3355" s="31" t="s">
        <v>76</v>
      </c>
      <c r="G3355" s="31" t="s">
        <v>49</v>
      </c>
      <c r="I3355" s="47" t="b">
        <v>0</v>
      </c>
      <c r="J3355" s="47" t="b">
        <v>0</v>
      </c>
      <c r="K3355" s="31">
        <f>350*2.2</f>
        <v>770.00000000000011</v>
      </c>
      <c r="AE3355" s="31" t="s">
        <v>4449</v>
      </c>
      <c r="AF3355" s="31">
        <v>85</v>
      </c>
      <c r="AK3355" s="32">
        <v>13</v>
      </c>
      <c r="AQ3355" s="32" t="s">
        <v>4572</v>
      </c>
      <c r="AR3355" s="31" t="s">
        <v>4452</v>
      </c>
      <c r="AU3355">
        <v>3354</v>
      </c>
    </row>
    <row r="3356" spans="1:47" x14ac:dyDescent="0.2">
      <c r="A3356" s="13">
        <v>6655</v>
      </c>
      <c r="B3356" s="57" t="s">
        <v>45</v>
      </c>
      <c r="C3356" s="177" t="s">
        <v>4447</v>
      </c>
      <c r="D3356" s="29"/>
      <c r="E3356" s="57" t="s">
        <v>1531</v>
      </c>
      <c r="F3356" s="31" t="s">
        <v>3764</v>
      </c>
      <c r="G3356" s="31" t="s">
        <v>481</v>
      </c>
      <c r="I3356" s="47" t="b">
        <v>0</v>
      </c>
      <c r="J3356" s="47" t="b">
        <v>0</v>
      </c>
      <c r="K3356" s="31">
        <f>450*2.2</f>
        <v>990.00000000000011</v>
      </c>
      <c r="AE3356" s="31" t="s">
        <v>4449</v>
      </c>
      <c r="AF3356" s="31">
        <v>85</v>
      </c>
      <c r="AK3356" s="32">
        <v>13</v>
      </c>
      <c r="AQ3356" s="32" t="s">
        <v>4572</v>
      </c>
      <c r="AR3356" s="31" t="s">
        <v>4452</v>
      </c>
      <c r="AU3356">
        <v>3355</v>
      </c>
    </row>
    <row r="3357" spans="1:47" x14ac:dyDescent="0.2">
      <c r="A3357" s="13">
        <v>6655</v>
      </c>
      <c r="B3357" s="57" t="s">
        <v>45</v>
      </c>
      <c r="C3357" s="177" t="s">
        <v>4447</v>
      </c>
      <c r="D3357" s="29"/>
      <c r="E3357" s="57" t="s">
        <v>4551</v>
      </c>
      <c r="F3357" s="31" t="s">
        <v>4594</v>
      </c>
      <c r="G3357" s="31" t="s">
        <v>73</v>
      </c>
      <c r="I3357" s="47" t="b">
        <v>0</v>
      </c>
      <c r="J3357" s="47" t="b">
        <v>0</v>
      </c>
      <c r="K3357" s="31">
        <f>150*2.2</f>
        <v>330</v>
      </c>
      <c r="AE3357" s="31" t="s">
        <v>4449</v>
      </c>
      <c r="AF3357" s="31">
        <v>85</v>
      </c>
      <c r="AK3357" s="32">
        <v>6</v>
      </c>
      <c r="AQ3357" s="32" t="s">
        <v>4572</v>
      </c>
      <c r="AR3357" s="31" t="s">
        <v>4452</v>
      </c>
      <c r="AU3357">
        <v>3356</v>
      </c>
    </row>
    <row r="3358" spans="1:47" x14ac:dyDescent="0.2">
      <c r="A3358" s="13">
        <v>6655</v>
      </c>
      <c r="B3358" s="57" t="s">
        <v>45</v>
      </c>
      <c r="C3358" s="177" t="s">
        <v>4447</v>
      </c>
      <c r="D3358" s="29"/>
      <c r="E3358" s="57" t="s">
        <v>4448</v>
      </c>
      <c r="F3358" s="31" t="s">
        <v>3637</v>
      </c>
      <c r="G3358" s="31" t="s">
        <v>69</v>
      </c>
      <c r="I3358" s="47" t="b">
        <v>0</v>
      </c>
      <c r="J3358" s="47" t="b">
        <v>0</v>
      </c>
      <c r="K3358" s="31">
        <v>385</v>
      </c>
      <c r="AE3358" s="31" t="s">
        <v>4449</v>
      </c>
      <c r="AF3358" s="31">
        <v>60</v>
      </c>
      <c r="AK3358" s="32">
        <v>20</v>
      </c>
      <c r="AQ3358" s="32" t="s">
        <v>4572</v>
      </c>
      <c r="AR3358" s="31" t="s">
        <v>4460</v>
      </c>
      <c r="AU3358">
        <v>3357</v>
      </c>
    </row>
    <row r="3359" spans="1:47" x14ac:dyDescent="0.2">
      <c r="A3359" s="13">
        <v>6655</v>
      </c>
      <c r="B3359" s="57" t="s">
        <v>45</v>
      </c>
      <c r="C3359" s="57" t="s">
        <v>4179</v>
      </c>
      <c r="D3359" s="29"/>
      <c r="E3359" s="57" t="s">
        <v>4628</v>
      </c>
      <c r="F3359" s="31" t="s">
        <v>3715</v>
      </c>
      <c r="G3359" s="31" t="s">
        <v>69</v>
      </c>
      <c r="K3359" s="31">
        <v>9515</v>
      </c>
      <c r="S3359" s="33">
        <v>27</v>
      </c>
      <c r="Z3359" s="31" t="s">
        <v>3814</v>
      </c>
      <c r="AQ3359" s="32" t="s">
        <v>4568</v>
      </c>
      <c r="AU3359">
        <v>3358</v>
      </c>
    </row>
    <row r="3360" spans="1:47" x14ac:dyDescent="0.2">
      <c r="A3360" s="13">
        <v>6655</v>
      </c>
      <c r="B3360" s="57" t="s">
        <v>45</v>
      </c>
      <c r="C3360" s="57" t="s">
        <v>4407</v>
      </c>
      <c r="D3360" s="29"/>
      <c r="E3360" s="57" t="s">
        <v>4629</v>
      </c>
      <c r="I3360" s="31" t="s">
        <v>4587</v>
      </c>
      <c r="K3360" s="31">
        <v>880</v>
      </c>
      <c r="AQ3360" s="32" t="s">
        <v>4553</v>
      </c>
      <c r="AU3360">
        <v>3359</v>
      </c>
    </row>
    <row r="3361" spans="1:47" x14ac:dyDescent="0.2">
      <c r="A3361" s="13">
        <v>6655</v>
      </c>
      <c r="B3361" s="57" t="s">
        <v>45</v>
      </c>
      <c r="C3361" s="57" t="s">
        <v>4407</v>
      </c>
      <c r="D3361" s="29"/>
      <c r="E3361" s="57" t="s">
        <v>788</v>
      </c>
      <c r="F3361" s="31" t="s">
        <v>76</v>
      </c>
      <c r="G3361" s="31" t="s">
        <v>49</v>
      </c>
      <c r="I3361" s="31" t="s">
        <v>4452</v>
      </c>
      <c r="K3361" s="31">
        <v>880</v>
      </c>
      <c r="AK3361" s="32">
        <v>8</v>
      </c>
      <c r="AQ3361" s="32" t="s">
        <v>4572</v>
      </c>
      <c r="AU3361">
        <v>3360</v>
      </c>
    </row>
    <row r="3362" spans="1:47" x14ac:dyDescent="0.2">
      <c r="A3362" s="13">
        <v>6655</v>
      </c>
      <c r="B3362" s="57" t="s">
        <v>45</v>
      </c>
      <c r="C3362" s="57" t="s">
        <v>4407</v>
      </c>
      <c r="D3362" s="29"/>
      <c r="E3362" s="57" t="s">
        <v>3999</v>
      </c>
      <c r="F3362" s="31" t="s">
        <v>3764</v>
      </c>
      <c r="G3362" s="31" t="s">
        <v>459</v>
      </c>
      <c r="I3362" s="31" t="s">
        <v>4452</v>
      </c>
      <c r="K3362" s="31">
        <v>880</v>
      </c>
      <c r="AK3362" s="32">
        <v>8</v>
      </c>
      <c r="AQ3362" s="32" t="s">
        <v>4572</v>
      </c>
      <c r="AU3362">
        <v>3361</v>
      </c>
    </row>
    <row r="3363" spans="1:47" x14ac:dyDescent="0.2">
      <c r="A3363" s="13">
        <v>6655</v>
      </c>
      <c r="B3363" s="57" t="s">
        <v>45</v>
      </c>
      <c r="C3363" s="57" t="s">
        <v>4407</v>
      </c>
      <c r="D3363" s="29"/>
      <c r="E3363" s="57" t="s">
        <v>3812</v>
      </c>
      <c r="F3363" s="31" t="s">
        <v>3764</v>
      </c>
      <c r="G3363" s="31" t="s">
        <v>481</v>
      </c>
      <c r="I3363" s="31" t="s">
        <v>4452</v>
      </c>
      <c r="K3363" s="31">
        <v>880</v>
      </c>
      <c r="AK3363" s="32">
        <v>8</v>
      </c>
      <c r="AQ3363" s="32" t="s">
        <v>4572</v>
      </c>
      <c r="AU3363">
        <v>3362</v>
      </c>
    </row>
    <row r="3364" spans="1:47" x14ac:dyDescent="0.2">
      <c r="A3364" s="13">
        <v>6655</v>
      </c>
      <c r="B3364" s="57" t="s">
        <v>45</v>
      </c>
      <c r="C3364" s="57" t="s">
        <v>4456</v>
      </c>
      <c r="D3364" s="29"/>
      <c r="E3364" s="57" t="s">
        <v>3679</v>
      </c>
      <c r="F3364" s="31" t="s">
        <v>76</v>
      </c>
      <c r="G3364" s="31" t="s">
        <v>49</v>
      </c>
      <c r="I3364" s="31" t="s">
        <v>4630</v>
      </c>
      <c r="K3364" s="31">
        <f>2*8*50*2.2</f>
        <v>1760.0000000000002</v>
      </c>
      <c r="L3364" s="33">
        <v>3</v>
      </c>
      <c r="N3364" s="31">
        <v>1</v>
      </c>
      <c r="S3364" s="33">
        <v>2</v>
      </c>
      <c r="T3364" s="31">
        <v>0</v>
      </c>
      <c r="U3364" s="31">
        <v>0</v>
      </c>
      <c r="V3364" s="31">
        <v>0</v>
      </c>
      <c r="W3364" s="47">
        <f>((1800+2300)/2)*39.37/12</f>
        <v>6725.708333333333</v>
      </c>
      <c r="Y3364" s="31" t="s">
        <v>51</v>
      </c>
      <c r="Z3364" s="31" t="s">
        <v>1846</v>
      </c>
      <c r="AD3364" s="35">
        <v>3.75</v>
      </c>
      <c r="AE3364" s="31" t="s">
        <v>4173</v>
      </c>
      <c r="AF3364" s="31">
        <v>110</v>
      </c>
      <c r="AK3364" s="32">
        <v>16</v>
      </c>
      <c r="AQ3364" s="32" t="s">
        <v>4631</v>
      </c>
      <c r="AU3364">
        <v>3363</v>
      </c>
    </row>
    <row r="3365" spans="1:47" x14ac:dyDescent="0.2">
      <c r="A3365" s="13">
        <v>6655</v>
      </c>
      <c r="B3365" s="57" t="s">
        <v>45</v>
      </c>
      <c r="C3365" s="57" t="s">
        <v>4407</v>
      </c>
      <c r="D3365" s="29"/>
      <c r="E3365" s="57" t="s">
        <v>649</v>
      </c>
      <c r="F3365" s="31" t="s">
        <v>204</v>
      </c>
      <c r="G3365" s="31" t="s">
        <v>205</v>
      </c>
      <c r="I3365" s="31" t="s">
        <v>4452</v>
      </c>
      <c r="K3365" s="31">
        <v>3850</v>
      </c>
      <c r="AK3365" s="32">
        <v>47</v>
      </c>
      <c r="AQ3365" s="32" t="s">
        <v>4572</v>
      </c>
      <c r="AU3365">
        <v>3364</v>
      </c>
    </row>
    <row r="3366" spans="1:47" x14ac:dyDescent="0.2">
      <c r="A3366" s="13">
        <v>6655</v>
      </c>
      <c r="B3366" s="57" t="s">
        <v>45</v>
      </c>
      <c r="C3366" s="57" t="s">
        <v>4407</v>
      </c>
      <c r="D3366" s="29"/>
      <c r="E3366" s="57" t="s">
        <v>3063</v>
      </c>
      <c r="F3366" s="31" t="s">
        <v>76</v>
      </c>
      <c r="G3366" s="31" t="s">
        <v>49</v>
      </c>
      <c r="I3366" s="31" t="s">
        <v>4554</v>
      </c>
      <c r="K3366" s="63"/>
      <c r="AQ3366" s="32" t="s">
        <v>4553</v>
      </c>
      <c r="AU3366">
        <v>3365</v>
      </c>
    </row>
    <row r="3367" spans="1:47" x14ac:dyDescent="0.2">
      <c r="A3367" s="13">
        <v>6655</v>
      </c>
      <c r="B3367" s="57" t="s">
        <v>45</v>
      </c>
      <c r="C3367" s="57" t="s">
        <v>4407</v>
      </c>
      <c r="D3367" s="29"/>
      <c r="E3367" s="57" t="s">
        <v>1531</v>
      </c>
      <c r="F3367" s="31" t="s">
        <v>76</v>
      </c>
      <c r="G3367" s="31" t="s">
        <v>49</v>
      </c>
      <c r="I3367" s="31" t="s">
        <v>4555</v>
      </c>
      <c r="K3367" s="63"/>
      <c r="AQ3367" s="32" t="s">
        <v>4553</v>
      </c>
      <c r="AU3367">
        <v>3366</v>
      </c>
    </row>
    <row r="3368" spans="1:47" x14ac:dyDescent="0.2">
      <c r="A3368" s="13">
        <v>6655</v>
      </c>
      <c r="B3368" s="57" t="s">
        <v>45</v>
      </c>
      <c r="C3368" s="57" t="s">
        <v>4407</v>
      </c>
      <c r="D3368" s="29"/>
      <c r="E3368" s="57" t="s">
        <v>4556</v>
      </c>
      <c r="F3368" s="31" t="s">
        <v>76</v>
      </c>
      <c r="G3368" s="31" t="s">
        <v>49</v>
      </c>
      <c r="I3368" s="31" t="s">
        <v>4557</v>
      </c>
      <c r="K3368" s="63"/>
      <c r="AQ3368" s="32" t="s">
        <v>4553</v>
      </c>
      <c r="AU3368">
        <v>3367</v>
      </c>
    </row>
    <row r="3369" spans="1:47" x14ac:dyDescent="0.2">
      <c r="A3369" s="13">
        <v>6655</v>
      </c>
      <c r="B3369" s="57" t="s">
        <v>45</v>
      </c>
      <c r="C3369" s="57" t="s">
        <v>4407</v>
      </c>
      <c r="D3369" s="29"/>
      <c r="E3369" s="57" t="s">
        <v>649</v>
      </c>
      <c r="F3369" s="31" t="s">
        <v>529</v>
      </c>
      <c r="G3369" s="31" t="s">
        <v>205</v>
      </c>
      <c r="I3369" s="31" t="s">
        <v>4588</v>
      </c>
      <c r="K3369" s="63"/>
      <c r="AQ3369" s="32" t="s">
        <v>4553</v>
      </c>
      <c r="AU3369">
        <v>3368</v>
      </c>
    </row>
    <row r="3370" spans="1:47" x14ac:dyDescent="0.2">
      <c r="A3370" s="13">
        <v>6655</v>
      </c>
      <c r="B3370" s="57" t="s">
        <v>45</v>
      </c>
      <c r="C3370" s="57" t="s">
        <v>4407</v>
      </c>
      <c r="D3370" s="29"/>
      <c r="E3370" s="57" t="s">
        <v>4122</v>
      </c>
      <c r="F3370" s="31" t="s">
        <v>76</v>
      </c>
      <c r="G3370" s="31" t="s">
        <v>49</v>
      </c>
      <c r="I3370" s="31" t="s">
        <v>4589</v>
      </c>
      <c r="K3370" s="63"/>
      <c r="AQ3370" s="32" t="s">
        <v>4553</v>
      </c>
      <c r="AU3370">
        <v>3369</v>
      </c>
    </row>
    <row r="3371" spans="1:47" x14ac:dyDescent="0.2">
      <c r="A3371" s="13">
        <v>6655</v>
      </c>
      <c r="B3371" s="57" t="s">
        <v>45</v>
      </c>
      <c r="C3371" s="57" t="s">
        <v>4407</v>
      </c>
      <c r="D3371" s="29"/>
      <c r="E3371" s="57" t="s">
        <v>199</v>
      </c>
      <c r="F3371" s="31" t="s">
        <v>76</v>
      </c>
      <c r="G3371" s="31" t="s">
        <v>49</v>
      </c>
      <c r="I3371" s="31" t="s">
        <v>4590</v>
      </c>
      <c r="K3371" s="63"/>
      <c r="AQ3371" s="32" t="s">
        <v>4553</v>
      </c>
      <c r="AU3371">
        <v>3370</v>
      </c>
    </row>
    <row r="3372" spans="1:47" x14ac:dyDescent="0.2">
      <c r="A3372" s="13">
        <v>6655</v>
      </c>
      <c r="B3372" s="57" t="s">
        <v>45</v>
      </c>
      <c r="C3372" s="57" t="s">
        <v>4407</v>
      </c>
      <c r="D3372" s="29"/>
      <c r="E3372" s="57" t="s">
        <v>788</v>
      </c>
      <c r="F3372" s="31" t="s">
        <v>76</v>
      </c>
      <c r="G3372" s="31" t="s">
        <v>49</v>
      </c>
      <c r="I3372" s="31" t="s">
        <v>4632</v>
      </c>
      <c r="K3372" s="63"/>
      <c r="AQ3372" s="32" t="s">
        <v>4553</v>
      </c>
      <c r="AU3372">
        <v>3371</v>
      </c>
    </row>
    <row r="3373" spans="1:47" x14ac:dyDescent="0.2">
      <c r="A3373" s="26">
        <v>6655</v>
      </c>
      <c r="B3373" s="27">
        <v>0.90972222222222221</v>
      </c>
      <c r="C3373" s="28"/>
      <c r="D3373" s="29"/>
      <c r="E3373" s="30" t="s">
        <v>1282</v>
      </c>
      <c r="H3373" s="32">
        <v>0</v>
      </c>
      <c r="I3373" s="32" t="s">
        <v>4633</v>
      </c>
      <c r="AG3373" s="32">
        <v>0</v>
      </c>
      <c r="AH3373" s="32">
        <v>0</v>
      </c>
      <c r="AI3373" s="32">
        <v>0</v>
      </c>
      <c r="AK3373" s="32">
        <v>0</v>
      </c>
      <c r="AL3373" s="32">
        <f>(57+105+32)/60</f>
        <v>3.2333333333333334</v>
      </c>
      <c r="AP3373" s="32">
        <f>(57+105+32)/60</f>
        <v>3.2333333333333334</v>
      </c>
      <c r="AQ3373" s="32" t="s">
        <v>1101</v>
      </c>
      <c r="AU3373">
        <v>3372</v>
      </c>
    </row>
    <row r="3374" spans="1:47" x14ac:dyDescent="0.2">
      <c r="A3374" s="26">
        <v>6655</v>
      </c>
      <c r="B3374" s="27">
        <v>0.90972222222222221</v>
      </c>
      <c r="C3374" s="28"/>
      <c r="D3374" s="29"/>
      <c r="E3374" s="30" t="s">
        <v>464</v>
      </c>
      <c r="H3374" s="32">
        <v>0</v>
      </c>
      <c r="I3374" s="32" t="s">
        <v>4634</v>
      </c>
      <c r="AG3374" s="32">
        <v>0</v>
      </c>
      <c r="AH3374" s="32">
        <v>0</v>
      </c>
      <c r="AL3374" s="32">
        <v>3</v>
      </c>
      <c r="AO3374" s="32" t="s">
        <v>4067</v>
      </c>
      <c r="AP3374" s="32">
        <v>3</v>
      </c>
      <c r="AQ3374" s="32" t="s">
        <v>1522</v>
      </c>
      <c r="AU3374">
        <v>3373</v>
      </c>
    </row>
    <row r="3375" spans="1:47" x14ac:dyDescent="0.2">
      <c r="A3375" s="26">
        <v>6655</v>
      </c>
      <c r="B3375" s="27">
        <v>0.91666666666666663</v>
      </c>
      <c r="C3375" s="28"/>
      <c r="D3375" s="29"/>
      <c r="E3375" s="30" t="s">
        <v>2323</v>
      </c>
      <c r="H3375" s="32">
        <v>1</v>
      </c>
      <c r="I3375" s="32" t="s">
        <v>2755</v>
      </c>
      <c r="AG3375" s="32">
        <v>0</v>
      </c>
      <c r="AH3375" s="32">
        <v>0</v>
      </c>
      <c r="AJ3375" s="32">
        <v>2500</v>
      </c>
      <c r="AK3375" s="32">
        <v>4</v>
      </c>
      <c r="AL3375" s="32">
        <v>0</v>
      </c>
      <c r="AO3375" s="32" t="s">
        <v>2325</v>
      </c>
      <c r="AQ3375" s="32">
        <v>418</v>
      </c>
      <c r="AU3375">
        <v>3374</v>
      </c>
    </row>
    <row r="3376" spans="1:47" x14ac:dyDescent="0.2">
      <c r="A3376" s="26">
        <v>6655</v>
      </c>
      <c r="B3376" s="27" t="s">
        <v>45</v>
      </c>
      <c r="C3376" s="28"/>
      <c r="D3376" s="29"/>
      <c r="E3376" s="30" t="s">
        <v>1531</v>
      </c>
      <c r="H3376" s="32">
        <v>1</v>
      </c>
      <c r="I3376" s="32" t="s">
        <v>4635</v>
      </c>
      <c r="AO3376" s="32" t="s">
        <v>1533</v>
      </c>
      <c r="AQ3376" s="32" t="s">
        <v>1101</v>
      </c>
      <c r="AU3376">
        <v>3375</v>
      </c>
    </row>
    <row r="3377" spans="1:47" x14ac:dyDescent="0.2">
      <c r="A3377" s="13">
        <v>6656</v>
      </c>
      <c r="B3377" s="57" t="s">
        <v>45</v>
      </c>
      <c r="C3377" s="57" t="s">
        <v>4179</v>
      </c>
      <c r="D3377" s="29"/>
      <c r="E3377" s="39" t="s">
        <v>4636</v>
      </c>
      <c r="F3377" s="31" t="s">
        <v>3715</v>
      </c>
      <c r="G3377" s="31" t="s">
        <v>69</v>
      </c>
      <c r="I3377" s="32" t="s">
        <v>4637</v>
      </c>
      <c r="K3377" s="31">
        <f>10050*2.2</f>
        <v>22110</v>
      </c>
      <c r="S3377" s="33">
        <v>43</v>
      </c>
      <c r="Z3377" s="31" t="s">
        <v>3814</v>
      </c>
      <c r="AQ3377" s="32" t="s">
        <v>4568</v>
      </c>
      <c r="AU3377">
        <v>3376</v>
      </c>
    </row>
    <row r="3378" spans="1:47" x14ac:dyDescent="0.2">
      <c r="A3378" s="133">
        <v>6656</v>
      </c>
      <c r="B3378" s="42" t="s">
        <v>45</v>
      </c>
      <c r="C3378" s="43" t="s">
        <v>4179</v>
      </c>
      <c r="D3378" s="29"/>
      <c r="E3378" s="39" t="s">
        <v>4638</v>
      </c>
      <c r="F3378" s="31" t="s">
        <v>4639</v>
      </c>
      <c r="G3378" s="31" t="s">
        <v>73</v>
      </c>
      <c r="H3378" s="32"/>
      <c r="I3378" s="32"/>
      <c r="K3378" s="31">
        <f>13500*2.2</f>
        <v>29700.000000000004</v>
      </c>
      <c r="Z3378" s="31" t="s">
        <v>3814</v>
      </c>
      <c r="AU3378">
        <v>3377</v>
      </c>
    </row>
    <row r="3379" spans="1:47" x14ac:dyDescent="0.2">
      <c r="A3379" s="133">
        <v>6656</v>
      </c>
      <c r="B3379" s="42" t="s">
        <v>45</v>
      </c>
      <c r="C3379" s="43" t="s">
        <v>142</v>
      </c>
      <c r="D3379" s="29"/>
      <c r="E3379" s="39" t="s">
        <v>4640</v>
      </c>
      <c r="F3379" s="31" t="s">
        <v>3246</v>
      </c>
      <c r="G3379" s="31" t="s">
        <v>69</v>
      </c>
      <c r="H3379" s="32"/>
      <c r="I3379" s="47" t="b">
        <v>1</v>
      </c>
      <c r="J3379" s="47" t="b">
        <v>1</v>
      </c>
      <c r="K3379" s="31">
        <f>(1990+450)*2.2</f>
        <v>5368</v>
      </c>
      <c r="L3379" s="33">
        <v>14</v>
      </c>
      <c r="S3379" s="33">
        <v>12</v>
      </c>
      <c r="T3379" s="31">
        <v>0</v>
      </c>
      <c r="U3379" s="31">
        <v>0</v>
      </c>
      <c r="V3379" s="31">
        <v>0</v>
      </c>
      <c r="Y3379" s="31" t="s">
        <v>51</v>
      </c>
      <c r="Z3379" s="31" t="s">
        <v>3855</v>
      </c>
      <c r="AE3379" s="31" t="s">
        <v>4124</v>
      </c>
      <c r="AK3379" s="32">
        <f>6+10+10+8+31+5+8+10</f>
        <v>88</v>
      </c>
      <c r="AQ3379" s="32" t="s">
        <v>4641</v>
      </c>
      <c r="AR3379" s="32" t="s">
        <v>4642</v>
      </c>
      <c r="AU3379">
        <v>3378</v>
      </c>
    </row>
    <row r="3380" spans="1:47" x14ac:dyDescent="0.2">
      <c r="A3380" s="13">
        <v>6656</v>
      </c>
      <c r="B3380" s="57" t="s">
        <v>45</v>
      </c>
      <c r="C3380" s="177" t="s">
        <v>4447</v>
      </c>
      <c r="D3380" s="29"/>
      <c r="E3380" s="57" t="s">
        <v>2191</v>
      </c>
      <c r="F3380" s="31" t="s">
        <v>76</v>
      </c>
      <c r="G3380" s="31" t="s">
        <v>49</v>
      </c>
      <c r="I3380" s="47" t="b">
        <v>0</v>
      </c>
      <c r="J3380" s="47" t="b">
        <v>0</v>
      </c>
      <c r="K3380" s="31">
        <v>330</v>
      </c>
      <c r="AE3380" s="31" t="s">
        <v>4449</v>
      </c>
      <c r="AF3380" s="31">
        <v>60</v>
      </c>
      <c r="AK3380" s="32">
        <v>6</v>
      </c>
      <c r="AQ3380" s="32" t="s">
        <v>4572</v>
      </c>
      <c r="AR3380" s="31" t="s">
        <v>4452</v>
      </c>
      <c r="AU3380">
        <v>3379</v>
      </c>
    </row>
    <row r="3381" spans="1:47" x14ac:dyDescent="0.2">
      <c r="A3381" s="13">
        <v>6656</v>
      </c>
      <c r="B3381" s="57" t="s">
        <v>45</v>
      </c>
      <c r="C3381" s="177" t="s">
        <v>4447</v>
      </c>
      <c r="D3381" s="29"/>
      <c r="E3381" s="57" t="s">
        <v>3812</v>
      </c>
      <c r="F3381" s="31" t="s">
        <v>3764</v>
      </c>
      <c r="G3381" s="31" t="s">
        <v>481</v>
      </c>
      <c r="I3381" s="47" t="b">
        <v>0</v>
      </c>
      <c r="J3381" s="47" t="b">
        <v>0</v>
      </c>
      <c r="K3381" s="31">
        <v>550</v>
      </c>
      <c r="AE3381" s="31" t="s">
        <v>4449</v>
      </c>
      <c r="AF3381" s="31">
        <v>90</v>
      </c>
      <c r="AK3381" s="32">
        <v>10</v>
      </c>
      <c r="AQ3381" s="32" t="s">
        <v>4572</v>
      </c>
      <c r="AR3381" s="31" t="s">
        <v>4452</v>
      </c>
      <c r="AU3381">
        <v>3380</v>
      </c>
    </row>
    <row r="3382" spans="1:47" x14ac:dyDescent="0.2">
      <c r="A3382" s="13">
        <v>6656</v>
      </c>
      <c r="B3382" s="57" t="s">
        <v>45</v>
      </c>
      <c r="C3382" s="177" t="s">
        <v>4447</v>
      </c>
      <c r="D3382" s="29"/>
      <c r="E3382" s="57" t="s">
        <v>3423</v>
      </c>
      <c r="F3382" s="31" t="s">
        <v>3637</v>
      </c>
      <c r="G3382" s="31" t="s">
        <v>69</v>
      </c>
      <c r="I3382" s="47" t="b">
        <v>0</v>
      </c>
      <c r="J3382" s="47" t="b">
        <v>0</v>
      </c>
      <c r="K3382" s="31">
        <v>528</v>
      </c>
      <c r="AE3382" s="31" t="s">
        <v>4449</v>
      </c>
      <c r="AF3382" s="31">
        <v>70</v>
      </c>
      <c r="AK3382" s="32">
        <v>10</v>
      </c>
      <c r="AQ3382" s="32" t="s">
        <v>4572</v>
      </c>
      <c r="AR3382" s="31" t="s">
        <v>4460</v>
      </c>
      <c r="AU3382">
        <v>3381</v>
      </c>
    </row>
    <row r="3383" spans="1:47" x14ac:dyDescent="0.2">
      <c r="A3383" s="13">
        <v>6656</v>
      </c>
      <c r="B3383" s="57" t="s">
        <v>45</v>
      </c>
      <c r="C3383" s="177" t="s">
        <v>4447</v>
      </c>
      <c r="D3383" s="29"/>
      <c r="E3383" s="57" t="s">
        <v>4643</v>
      </c>
      <c r="F3383" s="31" t="s">
        <v>3637</v>
      </c>
      <c r="G3383" s="31" t="s">
        <v>69</v>
      </c>
      <c r="I3383" s="47" t="b">
        <v>0</v>
      </c>
      <c r="J3383" s="47" t="b">
        <v>0</v>
      </c>
      <c r="K3383" s="31">
        <v>605</v>
      </c>
      <c r="AE3383" s="31" t="s">
        <v>4449</v>
      </c>
      <c r="AF3383" s="31">
        <v>55</v>
      </c>
      <c r="AK3383" s="32">
        <v>8</v>
      </c>
      <c r="AQ3383" s="32" t="s">
        <v>4572</v>
      </c>
      <c r="AR3383" s="31" t="s">
        <v>4460</v>
      </c>
      <c r="AU3383">
        <v>3382</v>
      </c>
    </row>
    <row r="3384" spans="1:47" x14ac:dyDescent="0.2">
      <c r="A3384" s="13">
        <v>6656</v>
      </c>
      <c r="B3384" s="57" t="s">
        <v>45</v>
      </c>
      <c r="C3384" s="177" t="s">
        <v>4447</v>
      </c>
      <c r="D3384" s="29"/>
      <c r="E3384" s="57" t="s">
        <v>4448</v>
      </c>
      <c r="F3384" s="31" t="s">
        <v>3637</v>
      </c>
      <c r="G3384" s="31" t="s">
        <v>69</v>
      </c>
      <c r="I3384" s="47" t="b">
        <v>0</v>
      </c>
      <c r="J3384" s="47" t="b">
        <v>0</v>
      </c>
      <c r="K3384" s="31">
        <v>2090</v>
      </c>
      <c r="AE3384" s="31" t="s">
        <v>4449</v>
      </c>
      <c r="AF3384" s="31">
        <v>60</v>
      </c>
      <c r="AK3384" s="32">
        <v>31</v>
      </c>
      <c r="AQ3384" s="32" t="s">
        <v>4572</v>
      </c>
      <c r="AR3384" s="31" t="s">
        <v>4460</v>
      </c>
      <c r="AU3384">
        <v>3383</v>
      </c>
    </row>
    <row r="3385" spans="1:47" x14ac:dyDescent="0.2">
      <c r="A3385" s="13">
        <v>6656</v>
      </c>
      <c r="B3385" s="57" t="s">
        <v>45</v>
      </c>
      <c r="C3385" s="177" t="s">
        <v>4447</v>
      </c>
      <c r="D3385" s="29"/>
      <c r="E3385" s="57" t="s">
        <v>4644</v>
      </c>
      <c r="F3385" s="31" t="s">
        <v>2761</v>
      </c>
      <c r="G3385" s="31" t="s">
        <v>69</v>
      </c>
      <c r="I3385" s="47" t="b">
        <v>0</v>
      </c>
      <c r="J3385" s="47" t="b">
        <v>0</v>
      </c>
      <c r="K3385" s="31">
        <v>275</v>
      </c>
      <c r="AE3385" s="31" t="s">
        <v>4449</v>
      </c>
      <c r="AK3385" s="32">
        <v>5</v>
      </c>
      <c r="AQ3385" s="32" t="s">
        <v>4572</v>
      </c>
      <c r="AR3385" s="31" t="s">
        <v>4460</v>
      </c>
      <c r="AU3385">
        <v>3384</v>
      </c>
    </row>
    <row r="3386" spans="1:47" x14ac:dyDescent="0.2">
      <c r="A3386" s="13">
        <v>6656</v>
      </c>
      <c r="B3386" s="57" t="s">
        <v>45</v>
      </c>
      <c r="C3386" s="177" t="s">
        <v>4447</v>
      </c>
      <c r="D3386" s="29"/>
      <c r="E3386" s="57" t="s">
        <v>4645</v>
      </c>
      <c r="F3386" s="31" t="s">
        <v>4104</v>
      </c>
      <c r="G3386" s="31" t="s">
        <v>49</v>
      </c>
      <c r="I3386" s="47" t="b">
        <v>0</v>
      </c>
      <c r="J3386" s="47" t="b">
        <v>0</v>
      </c>
      <c r="K3386" s="31">
        <v>440</v>
      </c>
      <c r="AE3386" s="31" t="s">
        <v>4449</v>
      </c>
      <c r="AF3386" s="31">
        <v>85</v>
      </c>
      <c r="AK3386" s="32">
        <v>8</v>
      </c>
      <c r="AQ3386" s="32" t="s">
        <v>4572</v>
      </c>
      <c r="AR3386" s="31" t="s">
        <v>4452</v>
      </c>
      <c r="AU3386">
        <v>3385</v>
      </c>
    </row>
    <row r="3387" spans="1:47" x14ac:dyDescent="0.2">
      <c r="A3387" s="13">
        <v>6656</v>
      </c>
      <c r="B3387" s="57" t="s">
        <v>45</v>
      </c>
      <c r="C3387" s="177" t="s">
        <v>4447</v>
      </c>
      <c r="D3387" s="29"/>
      <c r="E3387" s="57" t="s">
        <v>3063</v>
      </c>
      <c r="F3387" s="31" t="s">
        <v>76</v>
      </c>
      <c r="G3387" s="31" t="s">
        <v>49</v>
      </c>
      <c r="I3387" s="47" t="b">
        <v>0</v>
      </c>
      <c r="J3387" s="47" t="b">
        <v>0</v>
      </c>
      <c r="K3387" s="31">
        <v>550</v>
      </c>
      <c r="AE3387" s="31" t="s">
        <v>4449</v>
      </c>
      <c r="AF3387" s="31">
        <v>70</v>
      </c>
      <c r="AK3387" s="32">
        <v>10</v>
      </c>
      <c r="AQ3387" s="32" t="s">
        <v>4572</v>
      </c>
      <c r="AR3387" s="31" t="s">
        <v>4452</v>
      </c>
      <c r="AU3387">
        <v>3386</v>
      </c>
    </row>
    <row r="3388" spans="1:47" x14ac:dyDescent="0.2">
      <c r="A3388" s="13">
        <v>6656</v>
      </c>
      <c r="B3388" s="57" t="s">
        <v>45</v>
      </c>
      <c r="C3388" s="57" t="s">
        <v>4407</v>
      </c>
      <c r="D3388" s="29"/>
      <c r="E3388" s="57" t="s">
        <v>649</v>
      </c>
      <c r="F3388" s="31" t="s">
        <v>204</v>
      </c>
      <c r="G3388" s="31" t="s">
        <v>205</v>
      </c>
      <c r="I3388" s="31" t="s">
        <v>4452</v>
      </c>
      <c r="K3388" s="31">
        <v>440</v>
      </c>
      <c r="AK3388" s="32">
        <v>6</v>
      </c>
      <c r="AQ3388" s="32" t="s">
        <v>4572</v>
      </c>
      <c r="AU3388">
        <v>3387</v>
      </c>
    </row>
    <row r="3389" spans="1:47" x14ac:dyDescent="0.2">
      <c r="A3389" s="13">
        <v>6656</v>
      </c>
      <c r="B3389" s="57" t="s">
        <v>45</v>
      </c>
      <c r="C3389" s="57" t="s">
        <v>4407</v>
      </c>
      <c r="D3389" s="29"/>
      <c r="E3389" s="57" t="s">
        <v>190</v>
      </c>
      <c r="F3389" s="31" t="s">
        <v>76</v>
      </c>
      <c r="G3389" s="31" t="s">
        <v>49</v>
      </c>
      <c r="I3389" s="31" t="s">
        <v>4460</v>
      </c>
      <c r="K3389" s="31">
        <v>550</v>
      </c>
      <c r="AK3389" s="32">
        <v>5</v>
      </c>
      <c r="AQ3389" s="32" t="s">
        <v>4572</v>
      </c>
      <c r="AU3389">
        <v>3388</v>
      </c>
    </row>
    <row r="3390" spans="1:47" x14ac:dyDescent="0.2">
      <c r="A3390" s="13">
        <v>6656</v>
      </c>
      <c r="B3390" s="57" t="s">
        <v>45</v>
      </c>
      <c r="C3390" s="57" t="s">
        <v>4407</v>
      </c>
      <c r="D3390" s="29"/>
      <c r="E3390" s="57" t="s">
        <v>512</v>
      </c>
      <c r="F3390" s="31" t="s">
        <v>76</v>
      </c>
      <c r="G3390" s="31" t="s">
        <v>49</v>
      </c>
      <c r="I3390" s="31" t="s">
        <v>4460</v>
      </c>
      <c r="K3390" s="31">
        <v>660</v>
      </c>
      <c r="AK3390" s="32">
        <v>4</v>
      </c>
      <c r="AQ3390" s="32" t="s">
        <v>4572</v>
      </c>
      <c r="AU3390">
        <v>3389</v>
      </c>
    </row>
    <row r="3391" spans="1:47" x14ac:dyDescent="0.2">
      <c r="A3391" s="13">
        <v>6656</v>
      </c>
      <c r="B3391" s="57" t="s">
        <v>45</v>
      </c>
      <c r="C3391" s="57" t="s">
        <v>4407</v>
      </c>
      <c r="D3391" s="29"/>
      <c r="E3391" s="57" t="s">
        <v>3063</v>
      </c>
      <c r="F3391" s="31" t="s">
        <v>76</v>
      </c>
      <c r="G3391" s="31" t="s">
        <v>49</v>
      </c>
      <c r="I3391" s="31" t="s">
        <v>4554</v>
      </c>
      <c r="K3391" s="63"/>
      <c r="AQ3391" s="32" t="s">
        <v>4553</v>
      </c>
      <c r="AU3391">
        <v>3390</v>
      </c>
    </row>
    <row r="3392" spans="1:47" x14ac:dyDescent="0.2">
      <c r="A3392" s="13">
        <v>6656</v>
      </c>
      <c r="B3392" s="57" t="s">
        <v>45</v>
      </c>
      <c r="C3392" s="57" t="s">
        <v>4407</v>
      </c>
      <c r="D3392" s="29"/>
      <c r="E3392" s="57" t="s">
        <v>4556</v>
      </c>
      <c r="F3392" s="31" t="s">
        <v>76</v>
      </c>
      <c r="G3392" s="31" t="s">
        <v>49</v>
      </c>
      <c r="I3392" s="31" t="s">
        <v>4557</v>
      </c>
      <c r="K3392" s="63"/>
      <c r="AQ3392" s="32" t="s">
        <v>4553</v>
      </c>
      <c r="AU3392">
        <v>3391</v>
      </c>
    </row>
    <row r="3393" spans="1:47" x14ac:dyDescent="0.2">
      <c r="A3393" s="13">
        <v>6656</v>
      </c>
      <c r="B3393" s="57" t="s">
        <v>45</v>
      </c>
      <c r="C3393" s="57" t="s">
        <v>4407</v>
      </c>
      <c r="D3393" s="29"/>
      <c r="E3393" s="57" t="s">
        <v>649</v>
      </c>
      <c r="F3393" s="31" t="s">
        <v>529</v>
      </c>
      <c r="G3393" s="31" t="s">
        <v>205</v>
      </c>
      <c r="I3393" s="31" t="s">
        <v>4588</v>
      </c>
      <c r="K3393" s="63"/>
      <c r="AQ3393" s="32" t="s">
        <v>4553</v>
      </c>
      <c r="AU3393">
        <v>3392</v>
      </c>
    </row>
    <row r="3394" spans="1:47" x14ac:dyDescent="0.2">
      <c r="A3394" s="13">
        <v>6656</v>
      </c>
      <c r="B3394" s="57" t="s">
        <v>45</v>
      </c>
      <c r="C3394" s="57" t="s">
        <v>4407</v>
      </c>
      <c r="D3394" s="29"/>
      <c r="E3394" s="57" t="s">
        <v>199</v>
      </c>
      <c r="F3394" s="31" t="s">
        <v>76</v>
      </c>
      <c r="G3394" s="31" t="s">
        <v>49</v>
      </c>
      <c r="I3394" s="31" t="s">
        <v>4590</v>
      </c>
      <c r="K3394" s="63"/>
      <c r="AQ3394" s="32" t="s">
        <v>4553</v>
      </c>
      <c r="AU3394">
        <v>3393</v>
      </c>
    </row>
    <row r="3395" spans="1:47" x14ac:dyDescent="0.2">
      <c r="A3395" s="13">
        <v>6656</v>
      </c>
      <c r="B3395" s="57" t="s">
        <v>45</v>
      </c>
      <c r="C3395" s="57" t="s">
        <v>4407</v>
      </c>
      <c r="D3395" s="29"/>
      <c r="E3395" s="57" t="s">
        <v>2191</v>
      </c>
      <c r="F3395" s="31" t="s">
        <v>76</v>
      </c>
      <c r="G3395" s="31" t="s">
        <v>49</v>
      </c>
      <c r="I3395" s="31" t="s">
        <v>4591</v>
      </c>
      <c r="K3395" s="63"/>
      <c r="AQ3395" s="32" t="s">
        <v>4553</v>
      </c>
      <c r="AU3395">
        <v>3394</v>
      </c>
    </row>
    <row r="3396" spans="1:47" x14ac:dyDescent="0.2">
      <c r="A3396" s="13">
        <v>6656</v>
      </c>
      <c r="B3396" s="57" t="s">
        <v>45</v>
      </c>
      <c r="C3396" s="57" t="s">
        <v>4407</v>
      </c>
      <c r="D3396" s="29"/>
      <c r="E3396" s="57" t="s">
        <v>4597</v>
      </c>
      <c r="F3396" s="31" t="s">
        <v>4598</v>
      </c>
      <c r="G3396" s="31" t="s">
        <v>69</v>
      </c>
      <c r="I3396" s="31" t="s">
        <v>4599</v>
      </c>
      <c r="K3396" s="63"/>
      <c r="AQ3396" s="32" t="s">
        <v>4553</v>
      </c>
      <c r="AU3396">
        <v>3395</v>
      </c>
    </row>
    <row r="3397" spans="1:47" x14ac:dyDescent="0.2">
      <c r="A3397" s="26">
        <v>6656</v>
      </c>
      <c r="B3397" s="27">
        <v>7.013888888888889E-2</v>
      </c>
      <c r="C3397" s="28"/>
      <c r="D3397" s="29"/>
      <c r="E3397" s="30" t="s">
        <v>464</v>
      </c>
      <c r="H3397" s="32">
        <v>0</v>
      </c>
      <c r="I3397" s="32" t="s">
        <v>4646</v>
      </c>
      <c r="AG3397" s="32">
        <v>0</v>
      </c>
      <c r="AH3397" s="32">
        <v>0</v>
      </c>
      <c r="AL3397" s="32">
        <v>0.33300000000000002</v>
      </c>
      <c r="AO3397" s="32" t="s">
        <v>4067</v>
      </c>
      <c r="AP3397" s="32">
        <v>0.33300000000000002</v>
      </c>
      <c r="AQ3397" s="32" t="s">
        <v>1522</v>
      </c>
      <c r="AU3397">
        <v>3396</v>
      </c>
    </row>
    <row r="3398" spans="1:47" x14ac:dyDescent="0.2">
      <c r="A3398" s="26">
        <v>6656</v>
      </c>
      <c r="B3398" s="27">
        <v>0.20833333333333334</v>
      </c>
      <c r="C3398" s="28"/>
      <c r="D3398" s="29"/>
      <c r="E3398" s="30" t="s">
        <v>2023</v>
      </c>
      <c r="H3398" s="32">
        <v>1</v>
      </c>
      <c r="I3398" s="32" t="s">
        <v>2024</v>
      </c>
      <c r="AI3398" s="32">
        <v>0</v>
      </c>
      <c r="AK3398" s="32">
        <v>10</v>
      </c>
      <c r="AM3398" s="32">
        <v>5000</v>
      </c>
      <c r="AO3398" s="32" t="s">
        <v>2025</v>
      </c>
      <c r="AQ3398" s="32">
        <v>416</v>
      </c>
      <c r="AU3398">
        <v>3397</v>
      </c>
    </row>
    <row r="3399" spans="1:47" x14ac:dyDescent="0.2">
      <c r="A3399" s="26">
        <v>6656</v>
      </c>
      <c r="B3399" s="27">
        <v>0.90277777777777779</v>
      </c>
      <c r="C3399" s="28"/>
      <c r="D3399" s="29"/>
      <c r="E3399" s="30" t="s">
        <v>464</v>
      </c>
      <c r="H3399" s="32">
        <v>0</v>
      </c>
      <c r="I3399" s="32" t="s">
        <v>4561</v>
      </c>
      <c r="AG3399" s="32">
        <v>0</v>
      </c>
      <c r="AH3399" s="32">
        <v>0</v>
      </c>
      <c r="AL3399" s="32">
        <v>0.75</v>
      </c>
      <c r="AO3399" s="32" t="s">
        <v>4067</v>
      </c>
      <c r="AP3399" s="32">
        <v>0.75</v>
      </c>
      <c r="AQ3399" s="32" t="s">
        <v>1522</v>
      </c>
      <c r="AU3399">
        <v>3398</v>
      </c>
    </row>
    <row r="3400" spans="1:47" x14ac:dyDescent="0.2">
      <c r="A3400" s="26">
        <v>6656</v>
      </c>
      <c r="B3400" s="27">
        <v>0.9375</v>
      </c>
      <c r="C3400" s="28"/>
      <c r="D3400" s="29"/>
      <c r="E3400" s="30" t="s">
        <v>2087</v>
      </c>
      <c r="H3400" s="32">
        <v>0</v>
      </c>
      <c r="I3400" s="32"/>
      <c r="AG3400" s="32">
        <v>0</v>
      </c>
      <c r="AH3400" s="32">
        <v>0</v>
      </c>
      <c r="AI3400" s="32">
        <v>0</v>
      </c>
      <c r="AK3400" s="32">
        <v>0</v>
      </c>
      <c r="AL3400" s="32">
        <v>0</v>
      </c>
      <c r="AP3400" s="32">
        <v>1.5</v>
      </c>
      <c r="AQ3400" s="32" t="s">
        <v>1101</v>
      </c>
      <c r="AU3400">
        <v>3399</v>
      </c>
    </row>
    <row r="3401" spans="1:47" x14ac:dyDescent="0.2">
      <c r="A3401" s="13">
        <v>6657</v>
      </c>
      <c r="B3401" s="57" t="s">
        <v>85</v>
      </c>
      <c r="C3401" s="57" t="s">
        <v>332</v>
      </c>
      <c r="D3401" s="29"/>
      <c r="E3401" s="57" t="s">
        <v>688</v>
      </c>
      <c r="F3401" s="31" t="s">
        <v>4647</v>
      </c>
      <c r="G3401" s="31" t="s">
        <v>69</v>
      </c>
      <c r="I3401" s="127" t="s">
        <v>4648</v>
      </c>
      <c r="J3401" s="127"/>
      <c r="K3401" s="31">
        <v>3621.2</v>
      </c>
      <c r="S3401" s="33">
        <v>12</v>
      </c>
      <c r="Z3401" s="31" t="s">
        <v>3724</v>
      </c>
      <c r="AE3401" s="31" t="s">
        <v>4649</v>
      </c>
      <c r="AQ3401" s="32" t="s">
        <v>4568</v>
      </c>
      <c r="AU3401">
        <v>3400</v>
      </c>
    </row>
    <row r="3402" spans="1:47" x14ac:dyDescent="0.2">
      <c r="A3402" s="13">
        <v>6657</v>
      </c>
      <c r="B3402" s="57" t="s">
        <v>85</v>
      </c>
      <c r="C3402" s="57" t="s">
        <v>1234</v>
      </c>
      <c r="D3402" s="29"/>
      <c r="E3402" s="57" t="s">
        <v>4304</v>
      </c>
      <c r="F3402" s="31" t="s">
        <v>4571</v>
      </c>
      <c r="G3402" s="31" t="s">
        <v>69</v>
      </c>
      <c r="I3402" s="31" t="s">
        <v>4531</v>
      </c>
      <c r="K3402" s="31">
        <v>3894</v>
      </c>
      <c r="AK3402" s="32">
        <v>96</v>
      </c>
      <c r="AQ3402" s="32" t="s">
        <v>4572</v>
      </c>
      <c r="AU3402">
        <v>3401</v>
      </c>
    </row>
    <row r="3403" spans="1:47" x14ac:dyDescent="0.2">
      <c r="A3403" s="133">
        <v>6657</v>
      </c>
      <c r="B3403" s="39" t="s">
        <v>45</v>
      </c>
      <c r="C3403" s="39">
        <v>100</v>
      </c>
      <c r="D3403" s="29" t="b">
        <v>0</v>
      </c>
      <c r="E3403" s="39" t="s">
        <v>649</v>
      </c>
      <c r="F3403" s="47" t="s">
        <v>529</v>
      </c>
      <c r="G3403" s="47" t="s">
        <v>205</v>
      </c>
      <c r="H3403"/>
      <c r="I3403" s="47" t="b">
        <v>0</v>
      </c>
      <c r="J3403" s="47" t="b">
        <v>1</v>
      </c>
      <c r="K3403" s="47">
        <v>3088</v>
      </c>
      <c r="L3403" s="48">
        <v>16</v>
      </c>
      <c r="M3403" s="47">
        <v>5</v>
      </c>
      <c r="N3403" s="47">
        <v>0</v>
      </c>
      <c r="O3403" s="47">
        <v>0</v>
      </c>
      <c r="P3403" s="47">
        <v>0</v>
      </c>
      <c r="Q3403" s="47">
        <v>0</v>
      </c>
      <c r="R3403" s="47">
        <v>0</v>
      </c>
      <c r="S3403" s="48">
        <v>11</v>
      </c>
      <c r="T3403" s="47">
        <v>0</v>
      </c>
      <c r="U3403" s="47">
        <v>0</v>
      </c>
      <c r="V3403" s="47">
        <v>0</v>
      </c>
      <c r="W3403" s="47">
        <v>1000</v>
      </c>
      <c r="X3403" s="47">
        <v>445</v>
      </c>
      <c r="Y3403" s="47"/>
      <c r="Z3403" s="47" t="s">
        <v>2524</v>
      </c>
      <c r="AA3403" s="49"/>
      <c r="AB3403" s="49"/>
      <c r="AC3403" s="49"/>
      <c r="AD3403" s="50"/>
      <c r="AE3403" s="47" t="s">
        <v>1312</v>
      </c>
      <c r="AF3403" s="31">
        <v>55</v>
      </c>
      <c r="AG3403"/>
      <c r="AH3403"/>
      <c r="AI3403"/>
      <c r="AJ3403"/>
      <c r="AK3403"/>
      <c r="AL3403"/>
      <c r="AM3403"/>
      <c r="AN3403"/>
      <c r="AO3403"/>
      <c r="AP3403"/>
      <c r="AQ3403" t="s">
        <v>2526</v>
      </c>
      <c r="AU3403">
        <v>3402</v>
      </c>
    </row>
    <row r="3404" spans="1:47" x14ac:dyDescent="0.2">
      <c r="A3404" s="133">
        <v>6657</v>
      </c>
      <c r="B3404" s="39" t="s">
        <v>45</v>
      </c>
      <c r="C3404" s="39">
        <v>216</v>
      </c>
      <c r="D3404" s="29" t="b">
        <v>0</v>
      </c>
      <c r="E3404" s="39" t="s">
        <v>4650</v>
      </c>
      <c r="F3404" s="47" t="s">
        <v>4651</v>
      </c>
      <c r="G3404" s="47" t="s">
        <v>49</v>
      </c>
      <c r="H3404"/>
      <c r="I3404" s="47" t="b">
        <v>1</v>
      </c>
      <c r="J3404" s="47" t="b">
        <v>1</v>
      </c>
      <c r="K3404" s="47">
        <v>1120</v>
      </c>
      <c r="L3404" s="48">
        <v>2</v>
      </c>
      <c r="M3404" s="47">
        <v>1</v>
      </c>
      <c r="N3404" s="47">
        <v>0</v>
      </c>
      <c r="O3404" s="47">
        <v>0</v>
      </c>
      <c r="P3404" s="47">
        <v>0</v>
      </c>
      <c r="Q3404" s="47">
        <v>0</v>
      </c>
      <c r="R3404" s="47">
        <v>0</v>
      </c>
      <c r="S3404" s="48">
        <v>1</v>
      </c>
      <c r="T3404" s="47">
        <v>0</v>
      </c>
      <c r="U3404" s="47">
        <v>0</v>
      </c>
      <c r="V3404" s="47">
        <v>0</v>
      </c>
      <c r="W3404" s="47">
        <v>6000</v>
      </c>
      <c r="X3404" s="47">
        <v>446</v>
      </c>
      <c r="Y3404" s="47"/>
      <c r="Z3404" s="47" t="s">
        <v>2466</v>
      </c>
      <c r="AA3404" s="49"/>
      <c r="AB3404" s="49"/>
      <c r="AC3404" s="49"/>
      <c r="AD3404" s="50"/>
      <c r="AE3404" s="47" t="s">
        <v>1312</v>
      </c>
      <c r="AF3404" s="47">
        <v>130</v>
      </c>
      <c r="AG3404"/>
      <c r="AH3404"/>
      <c r="AI3404"/>
      <c r="AJ3404"/>
      <c r="AK3404"/>
      <c r="AL3404"/>
      <c r="AM3404"/>
      <c r="AN3404"/>
      <c r="AO3404"/>
      <c r="AP3404"/>
      <c r="AQ3404" t="s">
        <v>2526</v>
      </c>
      <c r="AU3404">
        <v>3403</v>
      </c>
    </row>
    <row r="3405" spans="1:47" x14ac:dyDescent="0.2">
      <c r="A3405" s="133">
        <v>6657</v>
      </c>
      <c r="B3405" s="39" t="s">
        <v>45</v>
      </c>
      <c r="C3405" s="39">
        <v>216</v>
      </c>
      <c r="D3405" s="29" t="b">
        <v>0</v>
      </c>
      <c r="E3405" s="39" t="s">
        <v>4650</v>
      </c>
      <c r="F3405" s="47" t="s">
        <v>4651</v>
      </c>
      <c r="G3405" s="47" t="s">
        <v>49</v>
      </c>
      <c r="H3405"/>
      <c r="I3405" s="47" t="b">
        <v>0</v>
      </c>
      <c r="J3405" s="47" t="b">
        <v>0</v>
      </c>
      <c r="K3405" s="47">
        <v>896</v>
      </c>
      <c r="L3405" s="48">
        <v>2</v>
      </c>
      <c r="M3405" s="47">
        <v>1</v>
      </c>
      <c r="N3405" s="47">
        <v>0</v>
      </c>
      <c r="O3405" s="47">
        <v>0</v>
      </c>
      <c r="P3405" s="47">
        <v>0</v>
      </c>
      <c r="Q3405" s="47">
        <v>0</v>
      </c>
      <c r="R3405" s="47">
        <v>0</v>
      </c>
      <c r="S3405" s="48">
        <v>1</v>
      </c>
      <c r="T3405" s="47">
        <v>0</v>
      </c>
      <c r="U3405" s="47">
        <v>0</v>
      </c>
      <c r="V3405" s="47">
        <v>0</v>
      </c>
      <c r="W3405" s="47">
        <v>6000</v>
      </c>
      <c r="X3405" s="47">
        <v>447</v>
      </c>
      <c r="Y3405" s="47"/>
      <c r="Z3405" s="47" t="s">
        <v>2466</v>
      </c>
      <c r="AA3405" s="49"/>
      <c r="AB3405" s="49"/>
      <c r="AC3405" s="49"/>
      <c r="AD3405" s="50"/>
      <c r="AE3405" s="47" t="s">
        <v>1312</v>
      </c>
      <c r="AF3405" s="47">
        <v>130</v>
      </c>
      <c r="AG3405"/>
      <c r="AH3405"/>
      <c r="AI3405"/>
      <c r="AJ3405"/>
      <c r="AK3405"/>
      <c r="AL3405"/>
      <c r="AM3405"/>
      <c r="AN3405"/>
      <c r="AO3405"/>
      <c r="AP3405"/>
      <c r="AQ3405" t="s">
        <v>2526</v>
      </c>
      <c r="AU3405">
        <v>3404</v>
      </c>
    </row>
    <row r="3406" spans="1:47" x14ac:dyDescent="0.2">
      <c r="A3406" s="133">
        <v>6657</v>
      </c>
      <c r="B3406" s="39" t="s">
        <v>45</v>
      </c>
      <c r="C3406" s="39">
        <v>216</v>
      </c>
      <c r="D3406" s="29" t="b">
        <v>0</v>
      </c>
      <c r="E3406" s="39" t="s">
        <v>4652</v>
      </c>
      <c r="F3406" s="47" t="s">
        <v>4653</v>
      </c>
      <c r="G3406" s="47" t="s">
        <v>49</v>
      </c>
      <c r="H3406"/>
      <c r="I3406" s="47" t="b">
        <v>0</v>
      </c>
      <c r="J3406" s="47" t="b">
        <v>0</v>
      </c>
      <c r="K3406" s="47">
        <v>224</v>
      </c>
      <c r="L3406" s="48">
        <v>2</v>
      </c>
      <c r="M3406" s="47">
        <v>1</v>
      </c>
      <c r="N3406" s="47">
        <v>0</v>
      </c>
      <c r="O3406" s="47">
        <v>0</v>
      </c>
      <c r="P3406" s="47">
        <v>0</v>
      </c>
      <c r="Q3406" s="47">
        <v>0</v>
      </c>
      <c r="R3406" s="47">
        <v>0</v>
      </c>
      <c r="S3406" s="48">
        <v>1</v>
      </c>
      <c r="T3406" s="47">
        <v>0</v>
      </c>
      <c r="U3406" s="47">
        <v>0</v>
      </c>
      <c r="V3406" s="47">
        <v>0</v>
      </c>
      <c r="W3406" s="47">
        <v>6000</v>
      </c>
      <c r="X3406" s="47">
        <v>448</v>
      </c>
      <c r="Y3406" s="47"/>
      <c r="Z3406" s="47" t="s">
        <v>2466</v>
      </c>
      <c r="AA3406" s="49"/>
      <c r="AB3406" s="49"/>
      <c r="AC3406" s="49"/>
      <c r="AD3406" s="50"/>
      <c r="AE3406" s="47" t="s">
        <v>1312</v>
      </c>
      <c r="AF3406" s="47">
        <v>130</v>
      </c>
      <c r="AG3406"/>
      <c r="AH3406"/>
      <c r="AI3406"/>
      <c r="AJ3406"/>
      <c r="AK3406"/>
      <c r="AL3406"/>
      <c r="AM3406"/>
      <c r="AN3406"/>
      <c r="AO3406"/>
      <c r="AP3406"/>
      <c r="AQ3406" t="s">
        <v>2526</v>
      </c>
      <c r="AU3406">
        <v>3405</v>
      </c>
    </row>
    <row r="3407" spans="1:47" x14ac:dyDescent="0.2">
      <c r="A3407" s="133">
        <v>6657</v>
      </c>
      <c r="B3407" s="39" t="s">
        <v>45</v>
      </c>
      <c r="C3407" s="39" t="s">
        <v>4171</v>
      </c>
      <c r="D3407" s="29"/>
      <c r="E3407" s="39" t="s">
        <v>364</v>
      </c>
      <c r="F3407" s="47" t="s">
        <v>529</v>
      </c>
      <c r="G3407" s="47" t="s">
        <v>205</v>
      </c>
      <c r="H3407"/>
      <c r="I3407" s="47" t="s">
        <v>4654</v>
      </c>
      <c r="J3407" s="47"/>
      <c r="K3407" s="47"/>
      <c r="L3407" s="48">
        <v>3</v>
      </c>
      <c r="M3407" s="47"/>
      <c r="N3407" s="47"/>
      <c r="O3407" s="47"/>
      <c r="P3407" s="47"/>
      <c r="Q3407" s="47"/>
      <c r="R3407" s="47"/>
      <c r="S3407" s="48"/>
      <c r="T3407" s="47"/>
      <c r="U3407" s="47"/>
      <c r="V3407" s="47"/>
      <c r="W3407" s="47"/>
      <c r="X3407" s="47"/>
      <c r="Y3407" s="47"/>
      <c r="Z3407" s="31" t="s">
        <v>1846</v>
      </c>
      <c r="AA3407" s="49"/>
      <c r="AB3407" s="49"/>
      <c r="AC3407" s="49"/>
      <c r="AD3407" s="50"/>
      <c r="AE3407" s="47" t="s">
        <v>4173</v>
      </c>
      <c r="AF3407" s="47">
        <v>75</v>
      </c>
      <c r="AG3407"/>
      <c r="AH3407"/>
      <c r="AI3407"/>
      <c r="AJ3407"/>
      <c r="AK3407"/>
      <c r="AL3407"/>
      <c r="AM3407"/>
      <c r="AN3407"/>
      <c r="AO3407"/>
      <c r="AP3407"/>
      <c r="AQ3407" t="s">
        <v>4655</v>
      </c>
      <c r="AU3407">
        <v>3406</v>
      </c>
    </row>
    <row r="3408" spans="1:47" x14ac:dyDescent="0.2">
      <c r="A3408" s="13">
        <v>6657</v>
      </c>
      <c r="B3408" s="57" t="s">
        <v>45</v>
      </c>
      <c r="C3408" s="57" t="s">
        <v>4407</v>
      </c>
      <c r="D3408" s="29"/>
      <c r="E3408" s="57" t="s">
        <v>3063</v>
      </c>
      <c r="F3408" s="31" t="s">
        <v>76</v>
      </c>
      <c r="G3408" s="31" t="s">
        <v>49</v>
      </c>
      <c r="I3408" s="31" t="s">
        <v>4452</v>
      </c>
      <c r="K3408" s="31">
        <v>440</v>
      </c>
      <c r="AK3408" s="32">
        <v>8</v>
      </c>
      <c r="AQ3408" s="32" t="s">
        <v>4572</v>
      </c>
      <c r="AU3408">
        <v>3407</v>
      </c>
    </row>
    <row r="3409" spans="1:47" x14ac:dyDescent="0.2">
      <c r="A3409" s="13">
        <v>6657</v>
      </c>
      <c r="B3409" s="57" t="s">
        <v>45</v>
      </c>
      <c r="C3409" s="57" t="s">
        <v>4407</v>
      </c>
      <c r="D3409" s="29"/>
      <c r="E3409" s="57" t="s">
        <v>4656</v>
      </c>
      <c r="F3409" s="31" t="s">
        <v>4657</v>
      </c>
      <c r="G3409" s="31" t="s">
        <v>69</v>
      </c>
      <c r="I3409" s="31" t="s">
        <v>4460</v>
      </c>
      <c r="K3409" s="31">
        <v>442.2</v>
      </c>
      <c r="AK3409" s="32">
        <v>9</v>
      </c>
      <c r="AQ3409" s="32" t="s">
        <v>4572</v>
      </c>
      <c r="AU3409">
        <v>3408</v>
      </c>
    </row>
    <row r="3410" spans="1:47" x14ac:dyDescent="0.2">
      <c r="A3410" s="13">
        <v>6657</v>
      </c>
      <c r="B3410" s="57" t="s">
        <v>45</v>
      </c>
      <c r="C3410" s="57" t="s">
        <v>4407</v>
      </c>
      <c r="D3410" s="29"/>
      <c r="E3410" s="57" t="s">
        <v>4658</v>
      </c>
      <c r="F3410" s="31" t="s">
        <v>76</v>
      </c>
      <c r="G3410" s="31" t="s">
        <v>49</v>
      </c>
      <c r="I3410" s="31" t="s">
        <v>4460</v>
      </c>
      <c r="K3410" s="31">
        <v>880</v>
      </c>
      <c r="AK3410" s="32">
        <v>8</v>
      </c>
      <c r="AQ3410" s="32" t="s">
        <v>4572</v>
      </c>
      <c r="AU3410">
        <v>3409</v>
      </c>
    </row>
    <row r="3411" spans="1:47" x14ac:dyDescent="0.2">
      <c r="A3411" s="13">
        <v>6657</v>
      </c>
      <c r="B3411" s="57" t="s">
        <v>45</v>
      </c>
      <c r="C3411" s="57" t="s">
        <v>4407</v>
      </c>
      <c r="D3411" s="29"/>
      <c r="E3411" s="57" t="s">
        <v>788</v>
      </c>
      <c r="F3411" s="31" t="s">
        <v>76</v>
      </c>
      <c r="G3411" s="31" t="s">
        <v>49</v>
      </c>
      <c r="I3411" s="31" t="s">
        <v>4452</v>
      </c>
      <c r="K3411" s="31">
        <v>880</v>
      </c>
      <c r="AK3411" s="32">
        <v>8</v>
      </c>
      <c r="AQ3411" s="32" t="s">
        <v>4572</v>
      </c>
      <c r="AU3411">
        <v>3410</v>
      </c>
    </row>
    <row r="3412" spans="1:47" x14ac:dyDescent="0.2">
      <c r="A3412" s="178">
        <v>6657</v>
      </c>
      <c r="B3412" s="179" t="s">
        <v>45</v>
      </c>
      <c r="C3412" s="179" t="s">
        <v>4407</v>
      </c>
      <c r="D3412" s="180"/>
      <c r="E3412" s="179" t="s">
        <v>631</v>
      </c>
      <c r="F3412" s="181" t="s">
        <v>3764</v>
      </c>
      <c r="G3412" s="181" t="s">
        <v>627</v>
      </c>
      <c r="H3412" s="181"/>
      <c r="I3412" s="181" t="s">
        <v>4659</v>
      </c>
      <c r="J3412" s="181"/>
      <c r="K3412" s="181">
        <f>7040-3520</f>
        <v>3520</v>
      </c>
      <c r="AK3412" s="32">
        <f>64-32</f>
        <v>32</v>
      </c>
      <c r="AQ3412" s="32" t="s">
        <v>4660</v>
      </c>
      <c r="AU3412">
        <v>3411</v>
      </c>
    </row>
    <row r="3413" spans="1:47" x14ac:dyDescent="0.2">
      <c r="A3413" s="13">
        <v>6657</v>
      </c>
      <c r="B3413" s="57" t="s">
        <v>45</v>
      </c>
      <c r="C3413" s="57" t="s">
        <v>4456</v>
      </c>
      <c r="D3413" s="29"/>
      <c r="E3413" s="57" t="s">
        <v>631</v>
      </c>
      <c r="F3413" s="31" t="s">
        <v>3764</v>
      </c>
      <c r="G3413" s="31" t="s">
        <v>627</v>
      </c>
      <c r="I3413" s="31" t="s">
        <v>4661</v>
      </c>
      <c r="K3413" s="135">
        <f>4*8*50*2.2</f>
        <v>3520.0000000000005</v>
      </c>
      <c r="L3413" s="33">
        <v>5</v>
      </c>
      <c r="N3413" s="31">
        <v>1</v>
      </c>
      <c r="S3413" s="33">
        <v>4</v>
      </c>
      <c r="T3413" s="31">
        <v>0</v>
      </c>
      <c r="U3413" s="31">
        <v>0</v>
      </c>
      <c r="V3413" s="31">
        <v>0</v>
      </c>
      <c r="W3413" s="47">
        <f>((2600+2700+2800+2400)/4)*39.37/12</f>
        <v>8612.1875</v>
      </c>
      <c r="Y3413" s="31" t="s">
        <v>51</v>
      </c>
      <c r="Z3413" s="31" t="s">
        <v>1846</v>
      </c>
      <c r="AD3413" s="35">
        <v>5.75</v>
      </c>
      <c r="AE3413" s="31" t="s">
        <v>4173</v>
      </c>
      <c r="AF3413" s="31">
        <v>225</v>
      </c>
      <c r="AK3413" s="130">
        <f>4*8</f>
        <v>32</v>
      </c>
      <c r="AQ3413" s="32" t="s">
        <v>4662</v>
      </c>
      <c r="AU3413">
        <v>3412</v>
      </c>
    </row>
    <row r="3414" spans="1:47" x14ac:dyDescent="0.2">
      <c r="A3414" s="13">
        <v>6657</v>
      </c>
      <c r="B3414" s="57" t="s">
        <v>45</v>
      </c>
      <c r="C3414" s="57" t="s">
        <v>4407</v>
      </c>
      <c r="D3414" s="29"/>
      <c r="E3414" s="57" t="s">
        <v>649</v>
      </c>
      <c r="F3414" s="31" t="s">
        <v>204</v>
      </c>
      <c r="G3414" s="31" t="s">
        <v>205</v>
      </c>
      <c r="I3414" s="31" t="s">
        <v>4452</v>
      </c>
      <c r="K3414" s="31">
        <v>14528.8</v>
      </c>
      <c r="AK3414" s="32">
        <v>211</v>
      </c>
      <c r="AQ3414" s="32" t="s">
        <v>4572</v>
      </c>
      <c r="AU3414">
        <v>3413</v>
      </c>
    </row>
    <row r="3415" spans="1:47" x14ac:dyDescent="0.2">
      <c r="A3415" s="13">
        <v>6657</v>
      </c>
      <c r="B3415" s="57" t="s">
        <v>45</v>
      </c>
      <c r="C3415" s="57" t="s">
        <v>4179</v>
      </c>
      <c r="D3415" s="29"/>
      <c r="E3415" s="57" t="s">
        <v>688</v>
      </c>
      <c r="F3415" s="31" t="s">
        <v>4647</v>
      </c>
      <c r="G3415" s="31" t="s">
        <v>69</v>
      </c>
      <c r="K3415" s="31">
        <v>29700</v>
      </c>
      <c r="S3415" s="33">
        <v>56</v>
      </c>
      <c r="Z3415" s="31" t="s">
        <v>3814</v>
      </c>
      <c r="AQ3415" s="32" t="s">
        <v>4568</v>
      </c>
      <c r="AU3415">
        <v>3414</v>
      </c>
    </row>
    <row r="3416" spans="1:47" x14ac:dyDescent="0.2">
      <c r="A3416" s="13">
        <v>6657</v>
      </c>
      <c r="B3416" s="57" t="s">
        <v>45</v>
      </c>
      <c r="C3416" s="57" t="s">
        <v>4407</v>
      </c>
      <c r="D3416" s="29"/>
      <c r="E3416" s="57" t="s">
        <v>649</v>
      </c>
      <c r="F3416" s="31" t="s">
        <v>529</v>
      </c>
      <c r="G3416" s="31" t="s">
        <v>205</v>
      </c>
      <c r="I3416" s="31" t="s">
        <v>4588</v>
      </c>
      <c r="K3416" s="63"/>
      <c r="AQ3416" s="32" t="s">
        <v>4553</v>
      </c>
      <c r="AU3416">
        <v>3415</v>
      </c>
    </row>
    <row r="3417" spans="1:47" x14ac:dyDescent="0.2">
      <c r="A3417" s="13">
        <v>6657</v>
      </c>
      <c r="B3417" s="57" t="s">
        <v>45</v>
      </c>
      <c r="C3417" s="57" t="s">
        <v>4407</v>
      </c>
      <c r="D3417" s="29"/>
      <c r="E3417" s="57" t="s">
        <v>788</v>
      </c>
      <c r="F3417" s="31" t="s">
        <v>76</v>
      </c>
      <c r="G3417" s="31" t="s">
        <v>49</v>
      </c>
      <c r="I3417" s="31" t="s">
        <v>4632</v>
      </c>
      <c r="K3417" s="63"/>
      <c r="AQ3417" s="32" t="s">
        <v>4553</v>
      </c>
      <c r="AU3417">
        <v>3416</v>
      </c>
    </row>
    <row r="3418" spans="1:47" x14ac:dyDescent="0.2">
      <c r="A3418" s="26">
        <v>6657</v>
      </c>
      <c r="B3418" s="27">
        <v>0.6875</v>
      </c>
      <c r="C3418" s="28"/>
      <c r="D3418" s="29"/>
      <c r="E3418" s="30" t="s">
        <v>869</v>
      </c>
      <c r="H3418" s="32">
        <v>0</v>
      </c>
      <c r="I3418" s="32" t="s">
        <v>4663</v>
      </c>
      <c r="AG3418" s="32">
        <v>0</v>
      </c>
      <c r="AH3418" s="32">
        <v>0</v>
      </c>
      <c r="AI3418" s="32">
        <v>0</v>
      </c>
      <c r="AK3418" s="32">
        <v>0</v>
      </c>
      <c r="AL3418" s="32">
        <v>1.25</v>
      </c>
      <c r="AP3418" s="32">
        <v>1.25</v>
      </c>
      <c r="AQ3418" s="32" t="s">
        <v>589</v>
      </c>
      <c r="AU3418">
        <v>3417</v>
      </c>
    </row>
    <row r="3419" spans="1:47" x14ac:dyDescent="0.2">
      <c r="A3419" s="26">
        <v>6657</v>
      </c>
      <c r="B3419" s="27">
        <v>0.69791666666666663</v>
      </c>
      <c r="C3419" s="28"/>
      <c r="D3419" s="29"/>
      <c r="E3419" s="30" t="s">
        <v>4219</v>
      </c>
      <c r="H3419" s="32">
        <v>0</v>
      </c>
      <c r="I3419" s="32" t="s">
        <v>4249</v>
      </c>
      <c r="AG3419" s="32">
        <v>0</v>
      </c>
      <c r="AH3419" s="32">
        <v>0</v>
      </c>
      <c r="AI3419" s="32">
        <v>0</v>
      </c>
      <c r="AK3419" s="32">
        <v>0</v>
      </c>
      <c r="AL3419" s="32">
        <f>5/60</f>
        <v>8.3333333333333329E-2</v>
      </c>
      <c r="AO3419" s="32" t="s">
        <v>858</v>
      </c>
      <c r="AP3419" s="32">
        <f>5/60</f>
        <v>8.3333333333333329E-2</v>
      </c>
      <c r="AQ3419" s="32" t="s">
        <v>1101</v>
      </c>
      <c r="AU3419">
        <v>3418</v>
      </c>
    </row>
    <row r="3420" spans="1:47" x14ac:dyDescent="0.2">
      <c r="A3420" s="26">
        <v>6657</v>
      </c>
      <c r="B3420" s="27">
        <v>0.90277777777777779</v>
      </c>
      <c r="C3420" s="28"/>
      <c r="D3420" s="29"/>
      <c r="E3420" s="182" t="s">
        <v>1124</v>
      </c>
      <c r="H3420" s="32">
        <v>1</v>
      </c>
      <c r="I3420" s="32"/>
      <c r="AG3420" s="32">
        <v>0</v>
      </c>
      <c r="AH3420" s="32">
        <v>0</v>
      </c>
      <c r="AK3420" s="32">
        <v>5</v>
      </c>
      <c r="AL3420" s="32">
        <f>50/60</f>
        <v>0.83333333333333337</v>
      </c>
      <c r="AO3420" s="46" t="s">
        <v>1126</v>
      </c>
      <c r="AP3420" s="32">
        <f>50/60</f>
        <v>0.83333333333333337</v>
      </c>
      <c r="AQ3420" s="32" t="s">
        <v>589</v>
      </c>
      <c r="AU3420">
        <v>3419</v>
      </c>
    </row>
    <row r="3421" spans="1:47" x14ac:dyDescent="0.2">
      <c r="A3421" s="26">
        <v>6657</v>
      </c>
      <c r="B3421" s="27">
        <v>0.90277777777777779</v>
      </c>
      <c r="C3421" s="28"/>
      <c r="D3421" s="29"/>
      <c r="E3421" s="30" t="s">
        <v>464</v>
      </c>
      <c r="H3421" s="32">
        <v>0</v>
      </c>
      <c r="I3421" s="32" t="s">
        <v>4664</v>
      </c>
      <c r="AG3421" s="32">
        <v>0</v>
      </c>
      <c r="AH3421" s="32">
        <v>0</v>
      </c>
      <c r="AL3421" s="32">
        <f>55/60</f>
        <v>0.91666666666666663</v>
      </c>
      <c r="AO3421" s="32" t="s">
        <v>4067</v>
      </c>
      <c r="AP3421" s="32">
        <f>55/60</f>
        <v>0.91666666666666663</v>
      </c>
      <c r="AQ3421" s="32" t="s">
        <v>1522</v>
      </c>
      <c r="AU3421">
        <v>3420</v>
      </c>
    </row>
    <row r="3422" spans="1:47" x14ac:dyDescent="0.2">
      <c r="A3422" s="26">
        <v>6657</v>
      </c>
      <c r="B3422" s="27">
        <v>0.90625</v>
      </c>
      <c r="C3422" s="28"/>
      <c r="D3422" s="29"/>
      <c r="E3422" s="30" t="s">
        <v>1282</v>
      </c>
      <c r="H3422" s="32">
        <v>0</v>
      </c>
      <c r="I3422" s="32" t="s">
        <v>4665</v>
      </c>
      <c r="AG3422" s="32">
        <v>0</v>
      </c>
      <c r="AH3422" s="32">
        <v>0</v>
      </c>
      <c r="AI3422" s="32">
        <v>0</v>
      </c>
      <c r="AK3422" s="32">
        <v>0</v>
      </c>
      <c r="AL3422" s="32">
        <v>2.5</v>
      </c>
      <c r="AP3422" s="32">
        <v>2.5</v>
      </c>
      <c r="AQ3422" s="32" t="s">
        <v>1101</v>
      </c>
      <c r="AU3422">
        <v>3421</v>
      </c>
    </row>
    <row r="3423" spans="1:47" x14ac:dyDescent="0.2">
      <c r="A3423" s="26">
        <v>6657</v>
      </c>
      <c r="B3423" s="27">
        <v>0.99097222222222225</v>
      </c>
      <c r="C3423" s="28"/>
      <c r="D3423" s="29"/>
      <c r="E3423" s="30" t="s">
        <v>869</v>
      </c>
      <c r="H3423" s="32">
        <v>0</v>
      </c>
      <c r="I3423" s="32" t="s">
        <v>2344</v>
      </c>
      <c r="AG3423" s="32">
        <v>0</v>
      </c>
      <c r="AH3423" s="32">
        <v>0</v>
      </c>
      <c r="AI3423" s="32">
        <v>0</v>
      </c>
      <c r="AK3423" s="32">
        <v>0</v>
      </c>
      <c r="AL3423" s="32">
        <f>3+13/60</f>
        <v>3.2166666666666668</v>
      </c>
      <c r="AP3423" s="32">
        <f>3+13/60</f>
        <v>3.2166666666666668</v>
      </c>
      <c r="AQ3423" s="32" t="s">
        <v>589</v>
      </c>
      <c r="AU3423">
        <v>3422</v>
      </c>
    </row>
    <row r="3424" spans="1:47" x14ac:dyDescent="0.2">
      <c r="A3424" s="26">
        <v>6657</v>
      </c>
      <c r="B3424" s="27"/>
      <c r="C3424" s="28"/>
      <c r="D3424" s="29"/>
      <c r="E3424" s="30" t="s">
        <v>4666</v>
      </c>
      <c r="H3424" s="32">
        <v>1</v>
      </c>
      <c r="I3424" s="32" t="s">
        <v>4667</v>
      </c>
      <c r="AG3424" s="32">
        <v>0</v>
      </c>
      <c r="AH3424" s="32">
        <v>0</v>
      </c>
      <c r="AI3424" s="32">
        <v>0</v>
      </c>
      <c r="AL3424" s="32">
        <v>4</v>
      </c>
      <c r="AO3424" s="32" t="s">
        <v>4668</v>
      </c>
      <c r="AP3424" s="32">
        <v>4</v>
      </c>
      <c r="AQ3424" s="32">
        <v>407</v>
      </c>
      <c r="AU3424">
        <v>3423</v>
      </c>
    </row>
    <row r="3425" spans="1:47" x14ac:dyDescent="0.2">
      <c r="A3425" s="133">
        <v>6658</v>
      </c>
      <c r="B3425" s="39" t="s">
        <v>85</v>
      </c>
      <c r="C3425" s="39">
        <v>55</v>
      </c>
      <c r="D3425" s="29" t="b">
        <v>0</v>
      </c>
      <c r="E3425" s="39" t="s">
        <v>631</v>
      </c>
      <c r="F3425" s="47" t="s">
        <v>626</v>
      </c>
      <c r="G3425" s="47" t="s">
        <v>274</v>
      </c>
      <c r="H3425"/>
      <c r="I3425" s="47" t="b">
        <v>0</v>
      </c>
      <c r="J3425" s="47" t="b">
        <v>1</v>
      </c>
      <c r="K3425" s="47">
        <v>3083</v>
      </c>
      <c r="L3425" s="48">
        <v>12</v>
      </c>
      <c r="M3425" s="47">
        <v>0</v>
      </c>
      <c r="N3425" s="47">
        <v>0</v>
      </c>
      <c r="O3425" s="47">
        <v>0</v>
      </c>
      <c r="P3425" s="47">
        <v>0</v>
      </c>
      <c r="Q3425" s="47">
        <v>0</v>
      </c>
      <c r="R3425" s="47">
        <v>0</v>
      </c>
      <c r="S3425" s="48">
        <v>12</v>
      </c>
      <c r="T3425" s="47">
        <v>2</v>
      </c>
      <c r="U3425" s="47">
        <v>0</v>
      </c>
      <c r="V3425" s="47">
        <v>0</v>
      </c>
      <c r="W3425" s="47">
        <v>12000</v>
      </c>
      <c r="X3425" s="47">
        <v>449</v>
      </c>
      <c r="Y3425" s="47" t="s">
        <v>120</v>
      </c>
      <c r="Z3425" s="47" t="s">
        <v>3618</v>
      </c>
      <c r="AA3425" s="49"/>
      <c r="AB3425" s="49"/>
      <c r="AC3425" s="49"/>
      <c r="AD3425" s="50"/>
      <c r="AE3425" s="47" t="s">
        <v>3798</v>
      </c>
      <c r="AF3425" s="47">
        <v>200</v>
      </c>
      <c r="AG3425"/>
      <c r="AH3425"/>
      <c r="AI3425"/>
      <c r="AJ3425"/>
      <c r="AK3425"/>
      <c r="AL3425"/>
      <c r="AM3425"/>
      <c r="AN3425"/>
      <c r="AO3425"/>
      <c r="AP3425"/>
      <c r="AQ3425" t="s">
        <v>2526</v>
      </c>
      <c r="AU3425">
        <v>3424</v>
      </c>
    </row>
    <row r="3426" spans="1:47" x14ac:dyDescent="0.2">
      <c r="A3426" s="44">
        <v>6658</v>
      </c>
      <c r="B3426" s="42" t="s">
        <v>85</v>
      </c>
      <c r="C3426" s="43" t="s">
        <v>4669</v>
      </c>
      <c r="D3426" s="29"/>
      <c r="E3426" s="36" t="s">
        <v>4670</v>
      </c>
      <c r="F3426" s="31" t="s">
        <v>4671</v>
      </c>
      <c r="G3426" s="31" t="s">
        <v>69</v>
      </c>
      <c r="H3426" s="32"/>
      <c r="I3426" s="32" t="s">
        <v>4672</v>
      </c>
      <c r="L3426" s="33">
        <v>6</v>
      </c>
      <c r="S3426" s="33">
        <v>6</v>
      </c>
      <c r="T3426" s="31">
        <v>2</v>
      </c>
      <c r="Z3426" s="31" t="s">
        <v>3724</v>
      </c>
      <c r="AU3426">
        <v>3425</v>
      </c>
    </row>
    <row r="3427" spans="1:47" x14ac:dyDescent="0.2">
      <c r="A3427" s="13">
        <v>6658</v>
      </c>
      <c r="B3427" s="57" t="s">
        <v>85</v>
      </c>
      <c r="C3427" s="57" t="s">
        <v>1234</v>
      </c>
      <c r="D3427" s="29"/>
      <c r="E3427" s="57" t="s">
        <v>4304</v>
      </c>
      <c r="F3427" s="31" t="s">
        <v>4571</v>
      </c>
      <c r="G3427" s="31" t="s">
        <v>69</v>
      </c>
      <c r="I3427" s="31" t="s">
        <v>4531</v>
      </c>
      <c r="K3427" s="31">
        <v>1265</v>
      </c>
      <c r="AK3427" s="32">
        <v>40</v>
      </c>
      <c r="AQ3427" s="32" t="s">
        <v>4572</v>
      </c>
      <c r="AU3427">
        <v>3426</v>
      </c>
    </row>
    <row r="3428" spans="1:47" x14ac:dyDescent="0.2">
      <c r="A3428" s="13">
        <v>6658</v>
      </c>
      <c r="B3428" s="57" t="s">
        <v>85</v>
      </c>
      <c r="C3428" s="57" t="s">
        <v>332</v>
      </c>
      <c r="D3428" s="29"/>
      <c r="E3428" s="57" t="s">
        <v>688</v>
      </c>
      <c r="F3428" s="31" t="s">
        <v>4647</v>
      </c>
      <c r="G3428" s="31" t="s">
        <v>69</v>
      </c>
      <c r="I3428" s="127" t="s">
        <v>4648</v>
      </c>
      <c r="J3428" s="127"/>
      <c r="K3428" s="31">
        <v>9633.7999999999993</v>
      </c>
      <c r="S3428" s="33">
        <v>31</v>
      </c>
      <c r="Z3428" s="31" t="s">
        <v>3724</v>
      </c>
      <c r="AE3428" s="31" t="s">
        <v>4649</v>
      </c>
      <c r="AQ3428" s="32" t="s">
        <v>4568</v>
      </c>
      <c r="AU3428">
        <v>3427</v>
      </c>
    </row>
    <row r="3429" spans="1:47" x14ac:dyDescent="0.2">
      <c r="A3429" s="133">
        <v>6658</v>
      </c>
      <c r="B3429" s="39" t="s">
        <v>45</v>
      </c>
      <c r="C3429" s="39">
        <v>100</v>
      </c>
      <c r="D3429" s="29" t="b">
        <v>0</v>
      </c>
      <c r="E3429" s="39" t="s">
        <v>4673</v>
      </c>
      <c r="F3429" s="47" t="s">
        <v>4674</v>
      </c>
      <c r="G3429" s="47" t="s">
        <v>49</v>
      </c>
      <c r="H3429"/>
      <c r="I3429" s="47" t="b">
        <v>1</v>
      </c>
      <c r="J3429" s="47" t="b">
        <v>1</v>
      </c>
      <c r="K3429" s="47">
        <v>4773</v>
      </c>
      <c r="L3429" s="48">
        <v>19</v>
      </c>
      <c r="M3429" s="47">
        <v>0</v>
      </c>
      <c r="N3429" s="47">
        <v>3</v>
      </c>
      <c r="O3429" s="47">
        <v>2</v>
      </c>
      <c r="P3429" s="47">
        <v>0</v>
      </c>
      <c r="Q3429" s="47">
        <v>0</v>
      </c>
      <c r="R3429" s="47">
        <v>0</v>
      </c>
      <c r="S3429" s="48">
        <v>14</v>
      </c>
      <c r="T3429" s="47">
        <v>0</v>
      </c>
      <c r="U3429" s="47">
        <v>0</v>
      </c>
      <c r="V3429" s="47">
        <v>0</v>
      </c>
      <c r="W3429" s="47">
        <v>829</v>
      </c>
      <c r="X3429" s="47">
        <v>450</v>
      </c>
      <c r="Y3429" s="47"/>
      <c r="Z3429" s="47" t="s">
        <v>2524</v>
      </c>
      <c r="AA3429" s="49"/>
      <c r="AB3429" s="49"/>
      <c r="AC3429" s="49"/>
      <c r="AD3429" s="50"/>
      <c r="AE3429" s="47" t="s">
        <v>1312</v>
      </c>
      <c r="AF3429" s="47">
        <v>85</v>
      </c>
      <c r="AG3429"/>
      <c r="AH3429"/>
      <c r="AI3429"/>
      <c r="AJ3429"/>
      <c r="AK3429"/>
      <c r="AL3429"/>
      <c r="AM3429"/>
      <c r="AN3429"/>
      <c r="AO3429"/>
      <c r="AP3429"/>
      <c r="AQ3429" t="s">
        <v>2526</v>
      </c>
      <c r="AU3429">
        <v>3428</v>
      </c>
    </row>
    <row r="3430" spans="1:47" x14ac:dyDescent="0.2">
      <c r="A3430" s="133">
        <v>6658</v>
      </c>
      <c r="B3430" s="39" t="s">
        <v>45</v>
      </c>
      <c r="C3430" s="39">
        <v>100</v>
      </c>
      <c r="D3430" s="29" t="b">
        <v>0</v>
      </c>
      <c r="E3430" s="39" t="s">
        <v>1764</v>
      </c>
      <c r="F3430" s="47" t="s">
        <v>4674</v>
      </c>
      <c r="G3430" s="47" t="s">
        <v>49</v>
      </c>
      <c r="H3430"/>
      <c r="I3430" s="47" t="b">
        <v>0</v>
      </c>
      <c r="J3430" s="47" t="b">
        <v>0</v>
      </c>
      <c r="K3430" s="47">
        <v>604</v>
      </c>
      <c r="L3430" s="48">
        <v>3</v>
      </c>
      <c r="M3430" s="47">
        <v>0</v>
      </c>
      <c r="N3430" s="47">
        <v>1</v>
      </c>
      <c r="O3430" s="47">
        <v>0</v>
      </c>
      <c r="P3430" s="47">
        <v>0</v>
      </c>
      <c r="Q3430" s="47">
        <v>0</v>
      </c>
      <c r="R3430" s="47">
        <v>0</v>
      </c>
      <c r="S3430" s="48">
        <v>2</v>
      </c>
      <c r="T3430" s="47">
        <v>0</v>
      </c>
      <c r="U3430" s="47">
        <v>0</v>
      </c>
      <c r="V3430" s="47">
        <v>0</v>
      </c>
      <c r="W3430" s="47">
        <v>1000</v>
      </c>
      <c r="X3430" s="47">
        <v>451</v>
      </c>
      <c r="Y3430" s="47"/>
      <c r="Z3430" s="47" t="s">
        <v>2524</v>
      </c>
      <c r="AA3430" s="49"/>
      <c r="AB3430" s="49"/>
      <c r="AC3430" s="49"/>
      <c r="AD3430" s="50"/>
      <c r="AE3430" s="47" t="s">
        <v>1312</v>
      </c>
      <c r="AF3430" s="31">
        <v>85</v>
      </c>
      <c r="AG3430"/>
      <c r="AH3430"/>
      <c r="AI3430"/>
      <c r="AJ3430"/>
      <c r="AK3430"/>
      <c r="AL3430"/>
      <c r="AM3430"/>
      <c r="AN3430"/>
      <c r="AO3430"/>
      <c r="AP3430"/>
      <c r="AQ3430" t="s">
        <v>2526</v>
      </c>
      <c r="AU3430">
        <v>3429</v>
      </c>
    </row>
    <row r="3431" spans="1:47" x14ac:dyDescent="0.2">
      <c r="A3431" s="133">
        <v>6658</v>
      </c>
      <c r="B3431" s="39" t="s">
        <v>45</v>
      </c>
      <c r="C3431" s="39">
        <v>100</v>
      </c>
      <c r="D3431" s="29" t="b">
        <v>0</v>
      </c>
      <c r="E3431" s="39" t="s">
        <v>364</v>
      </c>
      <c r="F3431" s="47" t="s">
        <v>4674</v>
      </c>
      <c r="G3431" s="47" t="s">
        <v>49</v>
      </c>
      <c r="H3431"/>
      <c r="I3431" s="47" t="b">
        <v>0</v>
      </c>
      <c r="J3431" s="47" t="b">
        <v>0</v>
      </c>
      <c r="K3431" s="47">
        <v>1935</v>
      </c>
      <c r="L3431" s="48">
        <v>8</v>
      </c>
      <c r="M3431" s="47">
        <v>0</v>
      </c>
      <c r="N3431" s="47">
        <v>2</v>
      </c>
      <c r="O3431" s="47">
        <v>0</v>
      </c>
      <c r="P3431" s="47">
        <v>0</v>
      </c>
      <c r="Q3431" s="47">
        <v>0</v>
      </c>
      <c r="R3431" s="47">
        <v>0</v>
      </c>
      <c r="S3431" s="48">
        <v>6</v>
      </c>
      <c r="T3431" s="47">
        <v>0</v>
      </c>
      <c r="U3431" s="47">
        <v>0</v>
      </c>
      <c r="V3431" s="47">
        <v>0</v>
      </c>
      <c r="W3431" s="47">
        <v>800</v>
      </c>
      <c r="X3431" s="47">
        <v>452</v>
      </c>
      <c r="Y3431" s="47"/>
      <c r="Z3431" s="47" t="s">
        <v>2524</v>
      </c>
      <c r="AA3431" s="49"/>
      <c r="AB3431" s="49"/>
      <c r="AC3431" s="49"/>
      <c r="AD3431" s="50"/>
      <c r="AE3431" s="47" t="s">
        <v>1312</v>
      </c>
      <c r="AF3431" s="47">
        <v>60</v>
      </c>
      <c r="AG3431"/>
      <c r="AH3431"/>
      <c r="AI3431"/>
      <c r="AJ3431"/>
      <c r="AK3431"/>
      <c r="AL3431"/>
      <c r="AM3431"/>
      <c r="AN3431"/>
      <c r="AO3431"/>
      <c r="AP3431"/>
      <c r="AQ3431" t="s">
        <v>2526</v>
      </c>
      <c r="AU3431">
        <v>3430</v>
      </c>
    </row>
    <row r="3432" spans="1:47" x14ac:dyDescent="0.2">
      <c r="A3432" s="133">
        <v>6658</v>
      </c>
      <c r="B3432" s="39" t="s">
        <v>45</v>
      </c>
      <c r="C3432" s="39">
        <v>100</v>
      </c>
      <c r="D3432" s="29" t="b">
        <v>0</v>
      </c>
      <c r="E3432" s="39" t="s">
        <v>364</v>
      </c>
      <c r="F3432" s="47" t="s">
        <v>4674</v>
      </c>
      <c r="G3432" s="47" t="s">
        <v>49</v>
      </c>
      <c r="H3432"/>
      <c r="I3432" s="47" t="b">
        <v>0</v>
      </c>
      <c r="J3432" s="47" t="b">
        <v>0</v>
      </c>
      <c r="K3432" s="47">
        <v>1934</v>
      </c>
      <c r="L3432" s="48">
        <v>8</v>
      </c>
      <c r="M3432" s="47">
        <v>0</v>
      </c>
      <c r="N3432" s="47">
        <v>0</v>
      </c>
      <c r="O3432" s="47">
        <v>2</v>
      </c>
      <c r="P3432" s="47">
        <v>0</v>
      </c>
      <c r="Q3432" s="47">
        <v>0</v>
      </c>
      <c r="R3432" s="47">
        <v>0</v>
      </c>
      <c r="S3432" s="48">
        <v>6</v>
      </c>
      <c r="T3432" s="47">
        <v>0</v>
      </c>
      <c r="U3432" s="47">
        <v>0</v>
      </c>
      <c r="V3432" s="47">
        <v>0</v>
      </c>
      <c r="W3432" s="47">
        <v>800</v>
      </c>
      <c r="X3432" s="47">
        <v>453</v>
      </c>
      <c r="Y3432" s="47"/>
      <c r="Z3432" s="47" t="s">
        <v>2524</v>
      </c>
      <c r="AA3432" s="49"/>
      <c r="AB3432" s="49"/>
      <c r="AC3432" s="49"/>
      <c r="AD3432" s="50"/>
      <c r="AE3432" s="47" t="s">
        <v>1312</v>
      </c>
      <c r="AF3432" s="47">
        <v>60</v>
      </c>
      <c r="AG3432"/>
      <c r="AH3432"/>
      <c r="AI3432"/>
      <c r="AJ3432"/>
      <c r="AK3432"/>
      <c r="AL3432"/>
      <c r="AM3432"/>
      <c r="AN3432"/>
      <c r="AO3432"/>
      <c r="AP3432"/>
      <c r="AQ3432" t="s">
        <v>2526</v>
      </c>
      <c r="AU3432">
        <v>3431</v>
      </c>
    </row>
    <row r="3433" spans="1:47" x14ac:dyDescent="0.2">
      <c r="A3433" s="133">
        <v>6658</v>
      </c>
      <c r="B3433" s="39" t="s">
        <v>45</v>
      </c>
      <c r="C3433" s="39">
        <v>216</v>
      </c>
      <c r="D3433" s="29" t="b">
        <v>0</v>
      </c>
      <c r="E3433" s="39" t="s">
        <v>4675</v>
      </c>
      <c r="F3433" s="47" t="s">
        <v>4676</v>
      </c>
      <c r="G3433" s="47" t="s">
        <v>49</v>
      </c>
      <c r="H3433"/>
      <c r="I3433" s="47" t="b">
        <v>1</v>
      </c>
      <c r="J3433" s="47" t="b">
        <v>1</v>
      </c>
      <c r="K3433" s="47">
        <v>3584</v>
      </c>
      <c r="L3433" s="48">
        <v>4</v>
      </c>
      <c r="M3433" s="47">
        <v>0</v>
      </c>
      <c r="N3433" s="47">
        <v>1</v>
      </c>
      <c r="O3433" s="47">
        <v>0</v>
      </c>
      <c r="P3433" s="47">
        <v>0</v>
      </c>
      <c r="Q3433" s="47">
        <v>1</v>
      </c>
      <c r="R3433" s="47">
        <v>0</v>
      </c>
      <c r="S3433" s="48">
        <v>3</v>
      </c>
      <c r="T3433" s="47">
        <v>0</v>
      </c>
      <c r="U3433" s="47">
        <v>0</v>
      </c>
      <c r="V3433" s="47">
        <v>0</v>
      </c>
      <c r="W3433" s="47">
        <v>4167</v>
      </c>
      <c r="X3433" s="47">
        <v>454</v>
      </c>
      <c r="Y3433" s="47"/>
      <c r="Z3433" s="47" t="s">
        <v>2466</v>
      </c>
      <c r="AA3433" s="49"/>
      <c r="AB3433" s="49"/>
      <c r="AC3433" s="49"/>
      <c r="AD3433" s="50"/>
      <c r="AE3433" s="47" t="s">
        <v>1312</v>
      </c>
      <c r="AF3433" s="47">
        <v>290</v>
      </c>
      <c r="AG3433"/>
      <c r="AH3433"/>
      <c r="AI3433"/>
      <c r="AJ3433"/>
      <c r="AK3433"/>
      <c r="AL3433"/>
      <c r="AM3433"/>
      <c r="AN3433"/>
      <c r="AO3433"/>
      <c r="AP3433"/>
      <c r="AQ3433" t="s">
        <v>2526</v>
      </c>
      <c r="AU3433">
        <v>3432</v>
      </c>
    </row>
    <row r="3434" spans="1:47" x14ac:dyDescent="0.2">
      <c r="A3434" s="133">
        <v>6658</v>
      </c>
      <c r="B3434" s="39" t="s">
        <v>45</v>
      </c>
      <c r="C3434" s="39">
        <v>216</v>
      </c>
      <c r="D3434" s="29" t="b">
        <v>0</v>
      </c>
      <c r="E3434" s="39" t="s">
        <v>110</v>
      </c>
      <c r="F3434" s="47" t="s">
        <v>4677</v>
      </c>
      <c r="G3434" s="47" t="s">
        <v>459</v>
      </c>
      <c r="H3434"/>
      <c r="I3434" s="47" t="b">
        <v>0</v>
      </c>
      <c r="J3434" s="47" t="b">
        <v>0</v>
      </c>
      <c r="K3434" s="47">
        <v>1120</v>
      </c>
      <c r="L3434" s="48">
        <v>2</v>
      </c>
      <c r="M3434" s="47">
        <v>0</v>
      </c>
      <c r="N3434" s="47">
        <v>1</v>
      </c>
      <c r="O3434" s="47">
        <v>0</v>
      </c>
      <c r="P3434" s="47">
        <v>0</v>
      </c>
      <c r="Q3434" s="47">
        <v>0</v>
      </c>
      <c r="R3434" s="47">
        <v>0</v>
      </c>
      <c r="S3434" s="48">
        <v>1</v>
      </c>
      <c r="T3434" s="47">
        <v>0</v>
      </c>
      <c r="U3434" s="47">
        <v>0</v>
      </c>
      <c r="V3434" s="47">
        <v>0</v>
      </c>
      <c r="W3434" s="47">
        <v>5500</v>
      </c>
      <c r="X3434" s="47">
        <v>455</v>
      </c>
      <c r="Y3434" s="47"/>
      <c r="Z3434" s="47" t="s">
        <v>2466</v>
      </c>
      <c r="AA3434" s="49"/>
      <c r="AB3434" s="49"/>
      <c r="AC3434" s="49"/>
      <c r="AD3434" s="50"/>
      <c r="AE3434" s="47" t="s">
        <v>1312</v>
      </c>
      <c r="AF3434" s="47">
        <v>290</v>
      </c>
      <c r="AG3434"/>
      <c r="AH3434"/>
      <c r="AI3434"/>
      <c r="AJ3434"/>
      <c r="AK3434"/>
      <c r="AL3434"/>
      <c r="AM3434"/>
      <c r="AN3434"/>
      <c r="AO3434"/>
      <c r="AP3434"/>
      <c r="AQ3434" t="s">
        <v>2526</v>
      </c>
      <c r="AU3434">
        <v>3433</v>
      </c>
    </row>
    <row r="3435" spans="1:47" x14ac:dyDescent="0.2">
      <c r="A3435" s="133">
        <v>6658</v>
      </c>
      <c r="B3435" s="39" t="s">
        <v>45</v>
      </c>
      <c r="C3435" s="39">
        <v>216</v>
      </c>
      <c r="D3435" s="29" t="b">
        <v>0</v>
      </c>
      <c r="E3435" s="39" t="s">
        <v>75</v>
      </c>
      <c r="F3435" s="47" t="s">
        <v>2398</v>
      </c>
      <c r="G3435" s="47" t="s">
        <v>49</v>
      </c>
      <c r="H3435"/>
      <c r="I3435" s="47" t="b">
        <v>0</v>
      </c>
      <c r="J3435" s="47" t="b">
        <v>0</v>
      </c>
      <c r="K3435" s="47">
        <v>1344</v>
      </c>
      <c r="L3435" s="48">
        <v>2</v>
      </c>
      <c r="M3435" s="47">
        <v>0</v>
      </c>
      <c r="N3435" s="47">
        <v>0</v>
      </c>
      <c r="O3435" s="47">
        <v>0</v>
      </c>
      <c r="P3435" s="47">
        <v>0</v>
      </c>
      <c r="Q3435" s="47">
        <v>1</v>
      </c>
      <c r="R3435" s="47">
        <v>0</v>
      </c>
      <c r="S3435" s="48">
        <v>1</v>
      </c>
      <c r="T3435" s="47">
        <v>0</v>
      </c>
      <c r="U3435" s="47">
        <v>0</v>
      </c>
      <c r="V3435" s="47">
        <v>0</v>
      </c>
      <c r="W3435" s="47">
        <v>2000</v>
      </c>
      <c r="X3435" s="47">
        <v>456</v>
      </c>
      <c r="Y3435" s="47"/>
      <c r="Z3435" s="47" t="s">
        <v>2466</v>
      </c>
      <c r="AA3435" s="49"/>
      <c r="AB3435" s="49"/>
      <c r="AC3435" s="49"/>
      <c r="AD3435" s="50"/>
      <c r="AE3435" s="47" t="s">
        <v>1312</v>
      </c>
      <c r="AF3435" s="47">
        <v>135</v>
      </c>
      <c r="AG3435"/>
      <c r="AH3435"/>
      <c r="AI3435"/>
      <c r="AJ3435"/>
      <c r="AK3435"/>
      <c r="AL3435"/>
      <c r="AM3435"/>
      <c r="AN3435"/>
      <c r="AO3435"/>
      <c r="AP3435"/>
      <c r="AQ3435" t="s">
        <v>2526</v>
      </c>
      <c r="AU3435">
        <v>3434</v>
      </c>
    </row>
    <row r="3436" spans="1:47" x14ac:dyDescent="0.2">
      <c r="A3436" s="133">
        <v>6658</v>
      </c>
      <c r="B3436" s="39" t="s">
        <v>45</v>
      </c>
      <c r="C3436" s="39">
        <v>216</v>
      </c>
      <c r="D3436" s="29" t="b">
        <v>0</v>
      </c>
      <c r="E3436" s="39" t="s">
        <v>405</v>
      </c>
      <c r="F3436" s="47" t="s">
        <v>3801</v>
      </c>
      <c r="G3436" s="47" t="s">
        <v>49</v>
      </c>
      <c r="H3436"/>
      <c r="I3436" s="47" t="b">
        <v>0</v>
      </c>
      <c r="J3436" s="47" t="b">
        <v>0</v>
      </c>
      <c r="K3436" s="47">
        <v>1120</v>
      </c>
      <c r="L3436" s="48">
        <v>1</v>
      </c>
      <c r="M3436" s="47">
        <v>0</v>
      </c>
      <c r="N3436" s="47">
        <v>0</v>
      </c>
      <c r="O3436" s="47">
        <v>0</v>
      </c>
      <c r="P3436" s="47">
        <v>0</v>
      </c>
      <c r="Q3436" s="47">
        <v>1</v>
      </c>
      <c r="R3436" s="47">
        <v>0</v>
      </c>
      <c r="S3436" s="48">
        <v>1</v>
      </c>
      <c r="T3436" s="47">
        <v>0</v>
      </c>
      <c r="U3436" s="47">
        <v>0</v>
      </c>
      <c r="V3436" s="47">
        <v>0</v>
      </c>
      <c r="W3436" s="47">
        <v>5000</v>
      </c>
      <c r="X3436" s="47">
        <v>457</v>
      </c>
      <c r="Y3436" s="47"/>
      <c r="Z3436" s="47" t="s">
        <v>2466</v>
      </c>
      <c r="AA3436" s="49"/>
      <c r="AB3436" s="49"/>
      <c r="AC3436" s="49"/>
      <c r="AD3436" s="50"/>
      <c r="AE3436" s="47" t="s">
        <v>1312</v>
      </c>
      <c r="AF3436" s="47">
        <v>60</v>
      </c>
      <c r="AG3436"/>
      <c r="AH3436"/>
      <c r="AI3436"/>
      <c r="AJ3436"/>
      <c r="AK3436"/>
      <c r="AL3436"/>
      <c r="AM3436"/>
      <c r="AN3436"/>
      <c r="AO3436"/>
      <c r="AP3436"/>
      <c r="AQ3436" t="s">
        <v>2526</v>
      </c>
      <c r="AU3436">
        <v>3435</v>
      </c>
    </row>
    <row r="3437" spans="1:47" x14ac:dyDescent="0.2">
      <c r="A3437" s="13">
        <v>6658</v>
      </c>
      <c r="B3437" s="57" t="s">
        <v>45</v>
      </c>
      <c r="C3437" s="57" t="s">
        <v>4407</v>
      </c>
      <c r="D3437" s="29"/>
      <c r="E3437" s="57" t="s">
        <v>649</v>
      </c>
      <c r="F3437" s="31" t="s">
        <v>204</v>
      </c>
      <c r="G3437" s="31" t="s">
        <v>205</v>
      </c>
      <c r="I3437" s="31" t="s">
        <v>4452</v>
      </c>
      <c r="K3437" s="31">
        <v>770</v>
      </c>
      <c r="AK3437" s="32">
        <v>15</v>
      </c>
      <c r="AQ3437" s="32" t="s">
        <v>4572</v>
      </c>
      <c r="AU3437">
        <v>3436</v>
      </c>
    </row>
    <row r="3438" spans="1:47" x14ac:dyDescent="0.2">
      <c r="A3438" s="13">
        <v>6658</v>
      </c>
      <c r="B3438" s="57" t="s">
        <v>45</v>
      </c>
      <c r="C3438" s="57" t="s">
        <v>4407</v>
      </c>
      <c r="D3438" s="29"/>
      <c r="E3438" s="57" t="s">
        <v>4678</v>
      </c>
      <c r="F3438" s="31" t="s">
        <v>3764</v>
      </c>
      <c r="G3438" s="31" t="s">
        <v>481</v>
      </c>
      <c r="I3438" s="31" t="s">
        <v>4452</v>
      </c>
      <c r="K3438" s="31">
        <v>880</v>
      </c>
      <c r="AK3438" s="32">
        <v>8</v>
      </c>
      <c r="AQ3438" s="32" t="s">
        <v>4572</v>
      </c>
      <c r="AU3438">
        <v>3437</v>
      </c>
    </row>
    <row r="3439" spans="1:47" x14ac:dyDescent="0.2">
      <c r="A3439" s="13">
        <v>6658</v>
      </c>
      <c r="B3439" s="57" t="s">
        <v>45</v>
      </c>
      <c r="C3439" s="57" t="s">
        <v>4456</v>
      </c>
      <c r="D3439" s="29"/>
      <c r="E3439" s="57" t="s">
        <v>4487</v>
      </c>
      <c r="F3439" s="31" t="s">
        <v>3764</v>
      </c>
      <c r="G3439" s="31" t="s">
        <v>481</v>
      </c>
      <c r="I3439" s="31" t="s">
        <v>4679</v>
      </c>
      <c r="K3439" s="31">
        <v>880</v>
      </c>
      <c r="L3439" s="33">
        <v>1</v>
      </c>
      <c r="S3439" s="33">
        <v>1</v>
      </c>
      <c r="T3439" s="31">
        <v>0</v>
      </c>
      <c r="U3439" s="31">
        <v>0</v>
      </c>
      <c r="V3439" s="31">
        <v>0</v>
      </c>
      <c r="W3439" s="47">
        <f>3000*39.37/12</f>
        <v>9842.4999999999982</v>
      </c>
      <c r="Y3439" s="31" t="s">
        <v>51</v>
      </c>
      <c r="Z3439" s="31" t="s">
        <v>1846</v>
      </c>
      <c r="AD3439" s="35">
        <f>1+55/60</f>
        <v>1.9166666666666665</v>
      </c>
      <c r="AE3439" s="31" t="s">
        <v>4173</v>
      </c>
      <c r="AF3439" s="31">
        <v>105</v>
      </c>
      <c r="AK3439" s="32">
        <v>8</v>
      </c>
      <c r="AQ3439" s="32" t="s">
        <v>4680</v>
      </c>
      <c r="AU3439">
        <v>3438</v>
      </c>
    </row>
    <row r="3440" spans="1:47" x14ac:dyDescent="0.2">
      <c r="A3440" s="13">
        <v>6658</v>
      </c>
      <c r="B3440" s="57" t="s">
        <v>45</v>
      </c>
      <c r="C3440" s="57" t="s">
        <v>1077</v>
      </c>
      <c r="D3440" s="29"/>
      <c r="E3440" s="57" t="s">
        <v>4681</v>
      </c>
      <c r="F3440" s="31" t="s">
        <v>3992</v>
      </c>
      <c r="G3440" s="31" t="s">
        <v>49</v>
      </c>
      <c r="K3440" s="31">
        <v>1601.6</v>
      </c>
      <c r="S3440" s="33">
        <v>7</v>
      </c>
      <c r="Z3440" s="31" t="s">
        <v>3814</v>
      </c>
      <c r="AE3440" s="31" t="s">
        <v>2470</v>
      </c>
      <c r="AQ3440" s="32" t="s">
        <v>4568</v>
      </c>
      <c r="AU3440">
        <v>3439</v>
      </c>
    </row>
    <row r="3441" spans="1:47" x14ac:dyDescent="0.2">
      <c r="A3441" s="13">
        <v>6658</v>
      </c>
      <c r="B3441" s="57" t="s">
        <v>45</v>
      </c>
      <c r="C3441" s="57" t="s">
        <v>4407</v>
      </c>
      <c r="D3441" s="29"/>
      <c r="E3441" s="57" t="s">
        <v>1764</v>
      </c>
      <c r="F3441" s="31" t="s">
        <v>76</v>
      </c>
      <c r="G3441" s="31" t="s">
        <v>49</v>
      </c>
      <c r="I3441" s="31" t="s">
        <v>4452</v>
      </c>
      <c r="K3441" s="31">
        <v>4587</v>
      </c>
      <c r="AK3441" s="32">
        <v>84</v>
      </c>
      <c r="AQ3441" s="32" t="s">
        <v>4572</v>
      </c>
      <c r="AU3441">
        <v>3440</v>
      </c>
    </row>
    <row r="3442" spans="1:47" x14ac:dyDescent="0.2">
      <c r="A3442" s="13">
        <v>6658</v>
      </c>
      <c r="B3442" s="57" t="s">
        <v>45</v>
      </c>
      <c r="C3442" s="57" t="s">
        <v>4407</v>
      </c>
      <c r="D3442" s="29"/>
      <c r="E3442" s="57" t="s">
        <v>1048</v>
      </c>
      <c r="F3442" s="31" t="s">
        <v>76</v>
      </c>
      <c r="G3442" s="31" t="s">
        <v>49</v>
      </c>
      <c r="I3442" s="31" t="s">
        <v>4452</v>
      </c>
      <c r="K3442" s="31">
        <v>5390</v>
      </c>
      <c r="AK3442" s="32">
        <v>77</v>
      </c>
      <c r="AQ3442" s="32" t="s">
        <v>4572</v>
      </c>
      <c r="AU3442">
        <v>3441</v>
      </c>
    </row>
    <row r="3443" spans="1:47" x14ac:dyDescent="0.2">
      <c r="A3443" s="13">
        <v>6658</v>
      </c>
      <c r="B3443" s="57" t="s">
        <v>45</v>
      </c>
      <c r="C3443" s="57" t="s">
        <v>4456</v>
      </c>
      <c r="D3443" s="29"/>
      <c r="E3443" s="57" t="s">
        <v>75</v>
      </c>
      <c r="F3443" s="31" t="s">
        <v>76</v>
      </c>
      <c r="G3443" s="31" t="s">
        <v>49</v>
      </c>
      <c r="I3443" s="31" t="s">
        <v>4682</v>
      </c>
      <c r="K3443" s="31">
        <f>4*8*50*2.2</f>
        <v>3520.0000000000005</v>
      </c>
      <c r="L3443" s="33">
        <v>4</v>
      </c>
      <c r="S3443" s="33">
        <v>4</v>
      </c>
      <c r="T3443" s="31">
        <v>0</v>
      </c>
      <c r="U3443" s="31">
        <v>0</v>
      </c>
      <c r="V3443" s="31">
        <v>0</v>
      </c>
      <c r="W3443" s="47">
        <f>((2200+3000+2700+2700)/4)*39.37/12</f>
        <v>8694.2083333333339</v>
      </c>
      <c r="Y3443" s="31" t="s">
        <v>51</v>
      </c>
      <c r="Z3443" s="31" t="s">
        <v>1846</v>
      </c>
      <c r="AD3443" s="35">
        <v>3</v>
      </c>
      <c r="AE3443" s="31" t="s">
        <v>4173</v>
      </c>
      <c r="AF3443" s="31">
        <v>145</v>
      </c>
      <c r="AK3443" s="32">
        <f>4*8</f>
        <v>32</v>
      </c>
      <c r="AQ3443" s="32" t="s">
        <v>4680</v>
      </c>
      <c r="AU3443">
        <v>3442</v>
      </c>
    </row>
    <row r="3444" spans="1:47" x14ac:dyDescent="0.2">
      <c r="A3444" s="13">
        <v>6658</v>
      </c>
      <c r="B3444" s="57" t="s">
        <v>45</v>
      </c>
      <c r="C3444" s="57" t="s">
        <v>4407</v>
      </c>
      <c r="D3444" s="29"/>
      <c r="E3444" s="57" t="s">
        <v>75</v>
      </c>
      <c r="F3444" s="31" t="s">
        <v>76</v>
      </c>
      <c r="G3444" s="31" t="s">
        <v>49</v>
      </c>
      <c r="I3444" s="31" t="s">
        <v>4683</v>
      </c>
      <c r="K3444" s="31">
        <f>7458-3520</f>
        <v>3938</v>
      </c>
      <c r="AK3444" s="32">
        <f>71-32</f>
        <v>39</v>
      </c>
      <c r="AQ3444" s="32" t="s">
        <v>4572</v>
      </c>
      <c r="AU3444">
        <v>3443</v>
      </c>
    </row>
    <row r="3445" spans="1:47" x14ac:dyDescent="0.2">
      <c r="A3445" s="13">
        <v>6658</v>
      </c>
      <c r="B3445" s="57" t="s">
        <v>45</v>
      </c>
      <c r="C3445" s="57" t="s">
        <v>4179</v>
      </c>
      <c r="D3445" s="29"/>
      <c r="E3445" s="57" t="s">
        <v>688</v>
      </c>
      <c r="F3445" s="31" t="s">
        <v>4647</v>
      </c>
      <c r="G3445" s="31" t="s">
        <v>69</v>
      </c>
      <c r="K3445" s="31">
        <v>16225</v>
      </c>
      <c r="S3445" s="33">
        <v>32</v>
      </c>
      <c r="Z3445" s="31" t="s">
        <v>3814</v>
      </c>
      <c r="AQ3445" s="32" t="s">
        <v>4568</v>
      </c>
      <c r="AU3445">
        <v>3444</v>
      </c>
    </row>
    <row r="3446" spans="1:47" x14ac:dyDescent="0.2">
      <c r="A3446" s="13">
        <v>6658</v>
      </c>
      <c r="B3446" s="57" t="s">
        <v>45</v>
      </c>
      <c r="C3446" s="57" t="s">
        <v>4407</v>
      </c>
      <c r="D3446" s="29"/>
      <c r="E3446" s="57" t="s">
        <v>649</v>
      </c>
      <c r="F3446" s="31" t="s">
        <v>529</v>
      </c>
      <c r="G3446" s="31" t="s">
        <v>205</v>
      </c>
      <c r="I3446" s="31" t="s">
        <v>4588</v>
      </c>
      <c r="K3446" s="63"/>
      <c r="AQ3446" s="32" t="s">
        <v>4553</v>
      </c>
      <c r="AU3446">
        <v>3445</v>
      </c>
    </row>
    <row r="3447" spans="1:47" x14ac:dyDescent="0.2">
      <c r="A3447" s="13">
        <v>6658</v>
      </c>
      <c r="B3447" s="57" t="s">
        <v>45</v>
      </c>
      <c r="C3447" s="57" t="s">
        <v>4407</v>
      </c>
      <c r="D3447" s="29"/>
      <c r="E3447" s="57" t="s">
        <v>1168</v>
      </c>
      <c r="F3447" s="31" t="s">
        <v>76</v>
      </c>
      <c r="G3447" s="31" t="s">
        <v>49</v>
      </c>
      <c r="I3447" s="31" t="s">
        <v>4595</v>
      </c>
      <c r="K3447" s="63"/>
      <c r="AQ3447" s="32" t="s">
        <v>4553</v>
      </c>
      <c r="AU3447">
        <v>3446</v>
      </c>
    </row>
    <row r="3448" spans="1:47" x14ac:dyDescent="0.2">
      <c r="A3448" s="13">
        <v>6658</v>
      </c>
      <c r="B3448" s="57" t="s">
        <v>45</v>
      </c>
      <c r="C3448" s="57" t="s">
        <v>4407</v>
      </c>
      <c r="D3448" s="29"/>
      <c r="E3448" s="57" t="s">
        <v>1764</v>
      </c>
      <c r="F3448" s="31" t="s">
        <v>76</v>
      </c>
      <c r="G3448" s="31" t="s">
        <v>49</v>
      </c>
      <c r="I3448" s="31" t="s">
        <v>4596</v>
      </c>
      <c r="K3448" s="63"/>
      <c r="AQ3448" s="32" t="s">
        <v>4553</v>
      </c>
      <c r="AU3448">
        <v>3447</v>
      </c>
    </row>
    <row r="3449" spans="1:47" x14ac:dyDescent="0.2">
      <c r="A3449" s="26">
        <v>6658</v>
      </c>
      <c r="B3449" s="27">
        <v>1.2500000000000001E-2</v>
      </c>
      <c r="C3449" s="28"/>
      <c r="D3449" s="29"/>
      <c r="E3449" s="30" t="s">
        <v>464</v>
      </c>
      <c r="H3449" s="32">
        <v>0</v>
      </c>
      <c r="I3449" s="32" t="s">
        <v>4684</v>
      </c>
      <c r="AG3449" s="32">
        <v>0</v>
      </c>
      <c r="AH3449" s="32">
        <v>0</v>
      </c>
      <c r="AL3449" s="32">
        <f>4+7/60</f>
        <v>4.1166666666666663</v>
      </c>
      <c r="AO3449" s="32" t="s">
        <v>4067</v>
      </c>
      <c r="AP3449" s="32">
        <f>4+7/60</f>
        <v>4.1166666666666663</v>
      </c>
      <c r="AQ3449" s="32" t="s">
        <v>1522</v>
      </c>
      <c r="AU3449">
        <v>3448</v>
      </c>
    </row>
    <row r="3450" spans="1:47" x14ac:dyDescent="0.2">
      <c r="A3450" s="26">
        <v>6658</v>
      </c>
      <c r="B3450" s="27">
        <v>1.3888888888888888E-2</v>
      </c>
      <c r="C3450" s="28"/>
      <c r="D3450" s="29"/>
      <c r="E3450" s="30" t="s">
        <v>631</v>
      </c>
      <c r="H3450" s="32">
        <v>1</v>
      </c>
      <c r="I3450" s="32" t="s">
        <v>4685</v>
      </c>
      <c r="AG3450" s="32">
        <v>4</v>
      </c>
      <c r="AH3450" s="32">
        <v>13</v>
      </c>
      <c r="AI3450" s="32">
        <v>210000</v>
      </c>
      <c r="AK3450" s="32">
        <v>13</v>
      </c>
      <c r="AL3450" s="32">
        <f>2+1/12</f>
        <v>2.0833333333333335</v>
      </c>
      <c r="AO3450" s="32" t="s">
        <v>633</v>
      </c>
      <c r="AP3450" s="32">
        <f>2+1/12</f>
        <v>2.0833333333333335</v>
      </c>
      <c r="AQ3450" s="91">
        <v>464465</v>
      </c>
      <c r="AU3450">
        <v>3449</v>
      </c>
    </row>
    <row r="3451" spans="1:47" x14ac:dyDescent="0.2">
      <c r="A3451" s="26">
        <v>6658</v>
      </c>
      <c r="B3451" s="27">
        <v>3.4722222222222224E-2</v>
      </c>
      <c r="C3451" s="28"/>
      <c r="D3451" s="29"/>
      <c r="E3451" s="30" t="s">
        <v>3155</v>
      </c>
      <c r="H3451" s="32">
        <v>0</v>
      </c>
      <c r="I3451" s="32" t="s">
        <v>4686</v>
      </c>
      <c r="AG3451" s="32">
        <v>0</v>
      </c>
      <c r="AH3451" s="32">
        <v>0</v>
      </c>
      <c r="AI3451" s="32">
        <v>0</v>
      </c>
      <c r="AK3451" s="32">
        <v>0</v>
      </c>
      <c r="AP3451" s="32">
        <f>73/60</f>
        <v>1.2166666666666666</v>
      </c>
      <c r="AQ3451" s="32" t="s">
        <v>1101</v>
      </c>
      <c r="AU3451">
        <v>3450</v>
      </c>
    </row>
    <row r="3452" spans="1:47" x14ac:dyDescent="0.2">
      <c r="A3452" s="26">
        <v>6658</v>
      </c>
      <c r="B3452" s="27">
        <v>7.4999999999999997E-2</v>
      </c>
      <c r="C3452" s="28"/>
      <c r="D3452" s="29"/>
      <c r="E3452" s="102" t="s">
        <v>1102</v>
      </c>
      <c r="H3452" s="32">
        <v>0</v>
      </c>
      <c r="I3452" s="32" t="s">
        <v>1103</v>
      </c>
      <c r="AG3452" s="32">
        <v>0</v>
      </c>
      <c r="AH3452" s="32">
        <v>0</v>
      </c>
      <c r="AI3452" s="32">
        <v>0</v>
      </c>
      <c r="AK3452" s="32">
        <v>0</v>
      </c>
      <c r="AL3452" s="32">
        <f>32/60</f>
        <v>0.53333333333333333</v>
      </c>
      <c r="AO3452" s="73" t="s">
        <v>1006</v>
      </c>
      <c r="AP3452" s="32">
        <f>32/60</f>
        <v>0.53333333333333333</v>
      </c>
      <c r="AQ3452" s="32" t="s">
        <v>589</v>
      </c>
      <c r="AU3452">
        <v>3451</v>
      </c>
    </row>
    <row r="3453" spans="1:47" x14ac:dyDescent="0.2">
      <c r="A3453" s="26">
        <v>6658</v>
      </c>
      <c r="B3453" s="27">
        <v>0.46875</v>
      </c>
      <c r="C3453" s="28"/>
      <c r="D3453" s="29"/>
      <c r="E3453" s="30" t="s">
        <v>869</v>
      </c>
      <c r="H3453" s="32">
        <v>0</v>
      </c>
      <c r="I3453" s="32" t="s">
        <v>2344</v>
      </c>
      <c r="AG3453" s="32">
        <v>0</v>
      </c>
      <c r="AH3453" s="32">
        <v>0</v>
      </c>
      <c r="AI3453" s="32">
        <v>0</v>
      </c>
      <c r="AK3453" s="32">
        <v>0</v>
      </c>
      <c r="AL3453" s="32">
        <v>1.75</v>
      </c>
      <c r="AP3453" s="32">
        <v>1.75</v>
      </c>
      <c r="AQ3453" s="32" t="s">
        <v>589</v>
      </c>
      <c r="AU3453">
        <v>3452</v>
      </c>
    </row>
    <row r="3454" spans="1:47" x14ac:dyDescent="0.2">
      <c r="A3454" s="26">
        <v>6658</v>
      </c>
      <c r="B3454" s="27">
        <v>0.51666666666666672</v>
      </c>
      <c r="C3454" s="28"/>
      <c r="D3454" s="29"/>
      <c r="E3454" s="30" t="s">
        <v>3155</v>
      </c>
      <c r="H3454" s="32">
        <v>0</v>
      </c>
      <c r="I3454" s="32" t="s">
        <v>3156</v>
      </c>
      <c r="AG3454" s="32">
        <v>0</v>
      </c>
      <c r="AH3454" s="32">
        <v>0</v>
      </c>
      <c r="AI3454" s="32">
        <v>0</v>
      </c>
      <c r="AK3454" s="32">
        <v>0</v>
      </c>
      <c r="AP3454" s="32">
        <f>27/60</f>
        <v>0.45</v>
      </c>
      <c r="AQ3454" s="32" t="s">
        <v>1101</v>
      </c>
      <c r="AU3454">
        <v>3453</v>
      </c>
    </row>
    <row r="3455" spans="1:47" x14ac:dyDescent="0.2">
      <c r="A3455" s="26">
        <v>6658</v>
      </c>
      <c r="B3455" s="27">
        <v>0.53125</v>
      </c>
      <c r="C3455" s="28"/>
      <c r="D3455" s="29"/>
      <c r="E3455" s="30" t="s">
        <v>631</v>
      </c>
      <c r="H3455" s="32">
        <v>1</v>
      </c>
      <c r="I3455" s="32" t="s">
        <v>4687</v>
      </c>
      <c r="AG3455" s="32">
        <v>0</v>
      </c>
      <c r="AH3455" s="32">
        <v>9</v>
      </c>
      <c r="AK3455" s="32">
        <v>14</v>
      </c>
      <c r="AL3455" s="32">
        <f>55/60</f>
        <v>0.91666666666666663</v>
      </c>
      <c r="AO3455" s="32" t="s">
        <v>633</v>
      </c>
      <c r="AP3455" s="32">
        <f>55/60</f>
        <v>0.91666666666666663</v>
      </c>
      <c r="AQ3455" s="32">
        <v>464</v>
      </c>
      <c r="AU3455">
        <v>3454</v>
      </c>
    </row>
    <row r="3456" spans="1:47" x14ac:dyDescent="0.2">
      <c r="A3456" s="26">
        <v>6658</v>
      </c>
      <c r="B3456" s="27">
        <v>0.53125</v>
      </c>
      <c r="C3456" s="28"/>
      <c r="D3456" s="29"/>
      <c r="E3456" s="30" t="s">
        <v>3126</v>
      </c>
      <c r="H3456" s="32">
        <v>1</v>
      </c>
      <c r="I3456" s="32" t="s">
        <v>4688</v>
      </c>
      <c r="AI3456" s="32">
        <v>28000</v>
      </c>
      <c r="AK3456" s="32">
        <v>4</v>
      </c>
      <c r="AL3456" s="32">
        <v>3</v>
      </c>
      <c r="AP3456" s="32">
        <f>25/12</f>
        <v>2.0833333333333335</v>
      </c>
      <c r="AQ3456" s="32">
        <v>466</v>
      </c>
      <c r="AU3456">
        <v>3455</v>
      </c>
    </row>
    <row r="3457" spans="1:47" x14ac:dyDescent="0.2">
      <c r="A3457" s="26">
        <v>6658</v>
      </c>
      <c r="B3457" s="27">
        <v>0.73263888888888884</v>
      </c>
      <c r="C3457" s="28"/>
      <c r="D3457" s="29"/>
      <c r="E3457" s="30" t="s">
        <v>869</v>
      </c>
      <c r="H3457" s="32">
        <v>0</v>
      </c>
      <c r="I3457" s="32" t="s">
        <v>2344</v>
      </c>
      <c r="AG3457" s="32">
        <v>0</v>
      </c>
      <c r="AH3457" s="32">
        <v>0</v>
      </c>
      <c r="AI3457" s="32">
        <v>0</v>
      </c>
      <c r="AK3457" s="32">
        <v>0</v>
      </c>
      <c r="AL3457" s="32">
        <f>8/60</f>
        <v>0.13333333333333333</v>
      </c>
      <c r="AP3457" s="32">
        <f>8/60</f>
        <v>0.13333333333333333</v>
      </c>
      <c r="AQ3457" s="32" t="s">
        <v>589</v>
      </c>
      <c r="AU3457">
        <v>3456</v>
      </c>
    </row>
    <row r="3458" spans="1:47" x14ac:dyDescent="0.2">
      <c r="A3458" s="26">
        <v>6658</v>
      </c>
      <c r="B3458" s="27">
        <v>0.79166666666666663</v>
      </c>
      <c r="C3458" s="28"/>
      <c r="D3458" s="29"/>
      <c r="E3458" s="30" t="s">
        <v>869</v>
      </c>
      <c r="H3458" s="32">
        <v>0</v>
      </c>
      <c r="I3458" s="32" t="s">
        <v>2344</v>
      </c>
      <c r="AG3458" s="32">
        <v>0</v>
      </c>
      <c r="AH3458" s="32">
        <v>0</v>
      </c>
      <c r="AI3458" s="32">
        <v>0</v>
      </c>
      <c r="AK3458" s="32">
        <v>0</v>
      </c>
      <c r="AL3458" s="32">
        <v>1.75</v>
      </c>
      <c r="AP3458" s="32">
        <v>1.75</v>
      </c>
      <c r="AQ3458" s="32" t="s">
        <v>589</v>
      </c>
      <c r="AU3458">
        <v>3457</v>
      </c>
    </row>
    <row r="3459" spans="1:47" x14ac:dyDescent="0.2">
      <c r="A3459" s="26">
        <v>6658</v>
      </c>
      <c r="B3459" s="27">
        <v>0.84722222222222221</v>
      </c>
      <c r="C3459" s="28"/>
      <c r="D3459" s="29"/>
      <c r="E3459" s="30" t="s">
        <v>464</v>
      </c>
      <c r="H3459" s="32">
        <v>1</v>
      </c>
      <c r="I3459" s="32" t="s">
        <v>4689</v>
      </c>
      <c r="AG3459" s="32">
        <v>0</v>
      </c>
      <c r="AH3459" s="32">
        <v>0</v>
      </c>
      <c r="AK3459" s="32">
        <v>4</v>
      </c>
      <c r="AL3459" s="32">
        <f>5.75</f>
        <v>5.75</v>
      </c>
      <c r="AO3459" s="32" t="s">
        <v>1898</v>
      </c>
      <c r="AP3459" s="32">
        <v>5.75</v>
      </c>
      <c r="AQ3459" s="32" t="s">
        <v>3652</v>
      </c>
      <c r="AU3459">
        <v>3458</v>
      </c>
    </row>
    <row r="3460" spans="1:47" x14ac:dyDescent="0.2">
      <c r="A3460" s="26">
        <v>6658</v>
      </c>
      <c r="B3460" s="27">
        <v>0.87152777777777779</v>
      </c>
      <c r="C3460" s="28"/>
      <c r="D3460" s="29"/>
      <c r="E3460" s="30" t="s">
        <v>1124</v>
      </c>
      <c r="H3460" s="32">
        <v>1</v>
      </c>
      <c r="I3460" s="32" t="s">
        <v>4690</v>
      </c>
      <c r="AG3460" s="32">
        <v>2</v>
      </c>
      <c r="AH3460" s="32">
        <v>6</v>
      </c>
      <c r="AI3460" s="32">
        <v>2000000</v>
      </c>
      <c r="AK3460" s="32">
        <v>21</v>
      </c>
      <c r="AL3460" s="32">
        <f>5+35/60</f>
        <v>5.583333333333333</v>
      </c>
      <c r="AO3460" s="46" t="s">
        <v>1126</v>
      </c>
      <c r="AP3460" s="32">
        <f>5+35/60</f>
        <v>5.583333333333333</v>
      </c>
      <c r="AQ3460" s="32" t="s">
        <v>4691</v>
      </c>
      <c r="AU3460">
        <v>3459</v>
      </c>
    </row>
    <row r="3461" spans="1:47" x14ac:dyDescent="0.2">
      <c r="A3461" s="26">
        <v>6658</v>
      </c>
      <c r="B3461" s="27">
        <v>0.87986111111111109</v>
      </c>
      <c r="C3461" s="28"/>
      <c r="D3461" s="29"/>
      <c r="E3461" s="30" t="s">
        <v>1282</v>
      </c>
      <c r="H3461" s="32">
        <v>0</v>
      </c>
      <c r="I3461" s="32" t="s">
        <v>4692</v>
      </c>
      <c r="AG3461" s="32">
        <v>0</v>
      </c>
      <c r="AH3461" s="32">
        <v>0</v>
      </c>
      <c r="AI3461" s="32">
        <v>0</v>
      </c>
      <c r="AK3461" s="32">
        <v>0</v>
      </c>
      <c r="AL3461" s="32">
        <f>5+38/60</f>
        <v>5.6333333333333329</v>
      </c>
      <c r="AP3461" s="32">
        <f>5+38/60</f>
        <v>5.6333333333333329</v>
      </c>
      <c r="AQ3461" s="32" t="s">
        <v>1101</v>
      </c>
      <c r="AU3461">
        <v>3460</v>
      </c>
    </row>
    <row r="3462" spans="1:47" x14ac:dyDescent="0.2">
      <c r="A3462" s="26">
        <v>6658</v>
      </c>
      <c r="B3462" s="27">
        <v>0.88194444444444453</v>
      </c>
      <c r="C3462" s="28"/>
      <c r="D3462" s="29"/>
      <c r="E3462" s="30" t="s">
        <v>4219</v>
      </c>
      <c r="H3462" s="32">
        <v>1</v>
      </c>
      <c r="I3462" s="32" t="s">
        <v>4693</v>
      </c>
      <c r="AL3462" s="32">
        <f>35/60</f>
        <v>0.58333333333333337</v>
      </c>
      <c r="AO3462" s="32" t="s">
        <v>858</v>
      </c>
      <c r="AP3462" s="32">
        <f>35/60</f>
        <v>0.58333333333333337</v>
      </c>
      <c r="AQ3462" s="32" t="s">
        <v>1101</v>
      </c>
      <c r="AU3462">
        <v>3461</v>
      </c>
    </row>
    <row r="3463" spans="1:47" x14ac:dyDescent="0.2">
      <c r="A3463" s="26">
        <v>6658</v>
      </c>
      <c r="B3463" s="27">
        <v>0.89583333333333337</v>
      </c>
      <c r="C3463" s="28"/>
      <c r="D3463" s="29"/>
      <c r="E3463" s="30" t="s">
        <v>78</v>
      </c>
      <c r="H3463" s="32">
        <v>1</v>
      </c>
      <c r="I3463" s="32"/>
      <c r="AG3463" s="32">
        <v>0</v>
      </c>
      <c r="AH3463" s="32">
        <v>0</v>
      </c>
      <c r="AJ3463" s="32">
        <v>1307</v>
      </c>
      <c r="AK3463" s="32">
        <v>12</v>
      </c>
      <c r="AO3463" s="32" t="s">
        <v>80</v>
      </c>
      <c r="AP3463" s="32">
        <v>2</v>
      </c>
      <c r="AQ3463" s="32" t="s">
        <v>1101</v>
      </c>
      <c r="AU3463">
        <v>3462</v>
      </c>
    </row>
    <row r="3464" spans="1:47" x14ac:dyDescent="0.2">
      <c r="A3464" s="26">
        <v>6658</v>
      </c>
      <c r="B3464" s="27">
        <v>0.9243055555555556</v>
      </c>
      <c r="C3464" s="28"/>
      <c r="D3464" s="29"/>
      <c r="E3464" s="102" t="s">
        <v>1102</v>
      </c>
      <c r="H3464" s="32">
        <v>0</v>
      </c>
      <c r="I3464" s="32" t="s">
        <v>4694</v>
      </c>
      <c r="AG3464" s="32">
        <v>0</v>
      </c>
      <c r="AH3464" s="32">
        <v>0</v>
      </c>
      <c r="AI3464" s="32">
        <v>0</v>
      </c>
      <c r="AK3464" s="32">
        <v>0</v>
      </c>
      <c r="AL3464" s="32">
        <f>122/60</f>
        <v>2.0333333333333332</v>
      </c>
      <c r="AO3464" s="73" t="s">
        <v>1006</v>
      </c>
      <c r="AP3464" s="32">
        <f>122/60</f>
        <v>2.0333333333333332</v>
      </c>
      <c r="AQ3464" s="32" t="s">
        <v>589</v>
      </c>
      <c r="AU3464">
        <v>3463</v>
      </c>
    </row>
    <row r="3465" spans="1:47" x14ac:dyDescent="0.2">
      <c r="A3465" s="26">
        <v>6658</v>
      </c>
      <c r="B3465" s="27">
        <v>0.97569444444444453</v>
      </c>
      <c r="C3465" s="28"/>
      <c r="D3465" s="29"/>
      <c r="E3465" s="30" t="s">
        <v>2964</v>
      </c>
      <c r="H3465" s="32">
        <v>0</v>
      </c>
      <c r="I3465" s="32" t="s">
        <v>4695</v>
      </c>
      <c r="AG3465" s="32">
        <v>0</v>
      </c>
      <c r="AH3465" s="32">
        <v>0</v>
      </c>
      <c r="AI3465" s="32">
        <v>0</v>
      </c>
      <c r="AK3465" s="32">
        <v>0</v>
      </c>
      <c r="AL3465" s="32">
        <v>2</v>
      </c>
      <c r="AP3465" s="32">
        <v>2</v>
      </c>
      <c r="AQ3465" s="32" t="s">
        <v>1101</v>
      </c>
      <c r="AU3465">
        <v>3464</v>
      </c>
    </row>
    <row r="3466" spans="1:47" x14ac:dyDescent="0.2">
      <c r="A3466" s="26">
        <v>6658</v>
      </c>
      <c r="B3466" s="27" t="s">
        <v>85</v>
      </c>
      <c r="C3466" s="28"/>
      <c r="D3466" s="29"/>
      <c r="E3466" s="30" t="s">
        <v>1531</v>
      </c>
      <c r="H3466" s="32">
        <v>0</v>
      </c>
      <c r="I3466" s="32" t="s">
        <v>4696</v>
      </c>
      <c r="AG3466" s="32">
        <v>0</v>
      </c>
      <c r="AH3466" s="32">
        <v>0</v>
      </c>
      <c r="AI3466" s="32">
        <v>0</v>
      </c>
      <c r="AK3466" s="32">
        <v>0</v>
      </c>
      <c r="AM3466" s="32">
        <f>498*12</f>
        <v>5976</v>
      </c>
      <c r="AO3466" s="32" t="s">
        <v>1533</v>
      </c>
      <c r="AQ3466" s="32" t="s">
        <v>1101</v>
      </c>
      <c r="AU3466">
        <v>3465</v>
      </c>
    </row>
    <row r="3467" spans="1:47" x14ac:dyDescent="0.2">
      <c r="A3467" s="26">
        <v>6658</v>
      </c>
      <c r="B3467" s="27" t="s">
        <v>45</v>
      </c>
      <c r="C3467" s="28"/>
      <c r="D3467" s="29"/>
      <c r="E3467" s="30" t="s">
        <v>1531</v>
      </c>
      <c r="H3467" s="32">
        <v>0</v>
      </c>
      <c r="I3467" s="32" t="s">
        <v>4697</v>
      </c>
      <c r="AG3467" s="32">
        <v>0</v>
      </c>
      <c r="AH3467" s="32">
        <v>0</v>
      </c>
      <c r="AI3467" s="32">
        <v>0</v>
      </c>
      <c r="AK3467" s="32">
        <v>0</v>
      </c>
      <c r="AM3467" s="32">
        <f>498*214</f>
        <v>106572</v>
      </c>
      <c r="AO3467" s="32" t="s">
        <v>1533</v>
      </c>
      <c r="AQ3467" s="32" t="s">
        <v>1101</v>
      </c>
      <c r="AU3467">
        <v>3466</v>
      </c>
    </row>
    <row r="3468" spans="1:47" x14ac:dyDescent="0.2">
      <c r="A3468" s="26">
        <v>6658</v>
      </c>
      <c r="B3468" s="27" t="s">
        <v>45</v>
      </c>
      <c r="C3468" s="28"/>
      <c r="D3468" s="29"/>
      <c r="E3468" s="150" t="s">
        <v>2286</v>
      </c>
      <c r="H3468" s="32">
        <v>0</v>
      </c>
      <c r="I3468" s="32" t="s">
        <v>1824</v>
      </c>
      <c r="AG3468" s="32">
        <v>0</v>
      </c>
      <c r="AH3468" s="32">
        <v>0</v>
      </c>
      <c r="AI3468" s="32">
        <v>0</v>
      </c>
      <c r="AK3468" s="32">
        <v>0</v>
      </c>
      <c r="AM3468" s="32">
        <v>5000</v>
      </c>
      <c r="AO3468" s="73" t="s">
        <v>75</v>
      </c>
      <c r="AQ3468" s="32" t="s">
        <v>589</v>
      </c>
      <c r="AU3468">
        <v>3467</v>
      </c>
    </row>
    <row r="3469" spans="1:47" x14ac:dyDescent="0.2">
      <c r="A3469" s="26">
        <v>6658</v>
      </c>
      <c r="B3469" s="27"/>
      <c r="C3469" s="28"/>
      <c r="D3469" s="29"/>
      <c r="E3469" s="30" t="s">
        <v>4666</v>
      </c>
      <c r="H3469" s="32">
        <v>1</v>
      </c>
      <c r="I3469" s="32" t="s">
        <v>4698</v>
      </c>
      <c r="AG3469" s="32">
        <v>0</v>
      </c>
      <c r="AH3469" s="32">
        <v>0</v>
      </c>
      <c r="AI3469" s="32">
        <v>0</v>
      </c>
      <c r="AL3469" s="32">
        <v>4</v>
      </c>
      <c r="AO3469" s="32" t="s">
        <v>4668</v>
      </c>
      <c r="AP3469" s="32">
        <v>4</v>
      </c>
      <c r="AQ3469" s="32">
        <v>407</v>
      </c>
      <c r="AU3469">
        <v>3468</v>
      </c>
    </row>
    <row r="3470" spans="1:47" x14ac:dyDescent="0.2">
      <c r="A3470" s="26">
        <v>6658</v>
      </c>
      <c r="B3470" s="27"/>
      <c r="C3470" s="28"/>
      <c r="D3470" s="29"/>
      <c r="E3470" s="30" t="s">
        <v>75</v>
      </c>
      <c r="H3470" s="32">
        <v>1</v>
      </c>
      <c r="I3470" s="32" t="s">
        <v>4699</v>
      </c>
      <c r="AG3470" s="32">
        <v>0</v>
      </c>
      <c r="AH3470" s="32">
        <v>0</v>
      </c>
      <c r="AI3470" s="32">
        <v>25</v>
      </c>
      <c r="AQ3470" s="32">
        <v>413</v>
      </c>
      <c r="AU3470">
        <v>3469</v>
      </c>
    </row>
    <row r="3471" spans="1:47" x14ac:dyDescent="0.2">
      <c r="A3471" s="26">
        <v>6658</v>
      </c>
      <c r="B3471" s="27"/>
      <c r="C3471" s="28"/>
      <c r="D3471" s="29"/>
      <c r="E3471" s="30" t="s">
        <v>1144</v>
      </c>
      <c r="H3471" s="32">
        <v>1</v>
      </c>
      <c r="I3471" s="32" t="s">
        <v>4700</v>
      </c>
      <c r="AG3471" s="32">
        <v>0</v>
      </c>
      <c r="AH3471" s="32">
        <v>0</v>
      </c>
      <c r="AI3471" s="32">
        <v>1500</v>
      </c>
      <c r="AO3471" s="32" t="s">
        <v>1006</v>
      </c>
      <c r="AQ3471" s="32" t="s">
        <v>4701</v>
      </c>
      <c r="AU3471">
        <v>3470</v>
      </c>
    </row>
    <row r="3472" spans="1:47" x14ac:dyDescent="0.2">
      <c r="A3472" s="44">
        <v>6659</v>
      </c>
      <c r="B3472" s="42">
        <v>0.625</v>
      </c>
      <c r="C3472" s="43" t="s">
        <v>4702</v>
      </c>
      <c r="D3472" s="29"/>
      <c r="E3472" s="36" t="s">
        <v>4703</v>
      </c>
      <c r="F3472" s="31" t="s">
        <v>4704</v>
      </c>
      <c r="G3472" s="31" t="s">
        <v>73</v>
      </c>
      <c r="H3472" s="32"/>
      <c r="I3472" s="32" t="s">
        <v>4705</v>
      </c>
      <c r="K3472" s="31">
        <f>3750*2.2</f>
        <v>8250</v>
      </c>
      <c r="L3472" s="33">
        <v>16</v>
      </c>
      <c r="S3472" s="33">
        <v>16</v>
      </c>
      <c r="Z3472" s="31" t="s">
        <v>3724</v>
      </c>
      <c r="AU3472">
        <v>3471</v>
      </c>
    </row>
    <row r="3473" spans="1:47" x14ac:dyDescent="0.2">
      <c r="A3473" s="44">
        <v>6659</v>
      </c>
      <c r="B3473" s="42" t="s">
        <v>85</v>
      </c>
      <c r="C3473" s="43" t="s">
        <v>4669</v>
      </c>
      <c r="D3473" s="29"/>
      <c r="E3473" s="36" t="s">
        <v>4670</v>
      </c>
      <c r="F3473" s="31" t="s">
        <v>4671</v>
      </c>
      <c r="G3473" s="31" t="s">
        <v>69</v>
      </c>
      <c r="H3473" s="32"/>
      <c r="I3473" s="32" t="s">
        <v>4672</v>
      </c>
      <c r="L3473" s="33">
        <v>6</v>
      </c>
      <c r="S3473" s="33">
        <v>6</v>
      </c>
      <c r="T3473" s="31">
        <v>2</v>
      </c>
      <c r="Z3473" s="31" t="s">
        <v>3724</v>
      </c>
      <c r="AU3473">
        <v>3472</v>
      </c>
    </row>
    <row r="3474" spans="1:47" x14ac:dyDescent="0.2">
      <c r="A3474" s="44">
        <v>6659</v>
      </c>
      <c r="B3474" s="42" t="s">
        <v>85</v>
      </c>
      <c r="C3474" s="43" t="s">
        <v>4702</v>
      </c>
      <c r="D3474" s="29"/>
      <c r="E3474" s="36" t="s">
        <v>4706</v>
      </c>
      <c r="F3474" s="31" t="s">
        <v>170</v>
      </c>
      <c r="G3474" s="31" t="s">
        <v>69</v>
      </c>
      <c r="H3474" s="32"/>
      <c r="I3474" s="32" t="s">
        <v>4707</v>
      </c>
      <c r="L3474" s="33">
        <v>20</v>
      </c>
      <c r="Y3474" s="31" t="s">
        <v>120</v>
      </c>
      <c r="Z3474" s="31" t="s">
        <v>3724</v>
      </c>
      <c r="AU3474">
        <v>3473</v>
      </c>
    </row>
    <row r="3475" spans="1:47" x14ac:dyDescent="0.2">
      <c r="A3475" s="13">
        <v>6659</v>
      </c>
      <c r="B3475" s="57" t="s">
        <v>85</v>
      </c>
      <c r="C3475" s="57" t="s">
        <v>4213</v>
      </c>
      <c r="D3475" s="29"/>
      <c r="E3475" s="57" t="s">
        <v>4708</v>
      </c>
      <c r="F3475" s="31" t="s">
        <v>3992</v>
      </c>
      <c r="G3475" s="31" t="s">
        <v>49</v>
      </c>
      <c r="K3475" s="31">
        <v>3960</v>
      </c>
      <c r="S3475" s="33">
        <v>17</v>
      </c>
      <c r="Z3475" s="31" t="s">
        <v>3724</v>
      </c>
      <c r="AE3475" s="31" t="s">
        <v>4217</v>
      </c>
      <c r="AQ3475" s="32" t="s">
        <v>4568</v>
      </c>
      <c r="AU3475">
        <v>3474</v>
      </c>
    </row>
    <row r="3476" spans="1:47" x14ac:dyDescent="0.2">
      <c r="A3476" s="13">
        <v>6659</v>
      </c>
      <c r="B3476" s="57" t="s">
        <v>85</v>
      </c>
      <c r="C3476" s="57" t="s">
        <v>332</v>
      </c>
      <c r="D3476" s="29"/>
      <c r="E3476" s="57" t="s">
        <v>688</v>
      </c>
      <c r="F3476" s="31" t="s">
        <v>4647</v>
      </c>
      <c r="G3476" s="31" t="s">
        <v>69</v>
      </c>
      <c r="I3476" s="127" t="s">
        <v>4648</v>
      </c>
      <c r="J3476" s="127"/>
      <c r="K3476" s="31">
        <v>5203</v>
      </c>
      <c r="S3476" s="33">
        <v>17</v>
      </c>
      <c r="Z3476" s="31" t="s">
        <v>3724</v>
      </c>
      <c r="AE3476" s="31" t="s">
        <v>4649</v>
      </c>
      <c r="AQ3476" s="32" t="s">
        <v>4568</v>
      </c>
      <c r="AU3476">
        <v>3475</v>
      </c>
    </row>
    <row r="3477" spans="1:47" x14ac:dyDescent="0.2">
      <c r="A3477" s="26">
        <v>6659</v>
      </c>
      <c r="B3477" s="27">
        <v>2.4305555555555556E-2</v>
      </c>
      <c r="C3477" s="28"/>
      <c r="D3477" s="29"/>
      <c r="E3477" s="30" t="s">
        <v>4709</v>
      </c>
      <c r="H3477" s="32">
        <v>0</v>
      </c>
      <c r="I3477" s="32" t="s">
        <v>4710</v>
      </c>
      <c r="AG3477" s="32">
        <v>0</v>
      </c>
      <c r="AH3477" s="32">
        <v>0</v>
      </c>
      <c r="AI3477" s="32">
        <v>0</v>
      </c>
      <c r="AK3477" s="32">
        <v>0</v>
      </c>
      <c r="AL3477" s="32">
        <v>1.667</v>
      </c>
      <c r="AM3477" s="32">
        <f>AL3477*(261300+974800)/18.75</f>
        <v>109897.53066666666</v>
      </c>
      <c r="AP3477" s="32">
        <v>1.667</v>
      </c>
      <c r="AQ3477" s="32" t="s">
        <v>589</v>
      </c>
      <c r="AU3477">
        <v>3476</v>
      </c>
    </row>
    <row r="3478" spans="1:47" x14ac:dyDescent="0.2">
      <c r="A3478" s="26">
        <v>6659</v>
      </c>
      <c r="B3478" s="27">
        <v>3.6111111111111115E-2</v>
      </c>
      <c r="C3478" s="28"/>
      <c r="D3478" s="29"/>
      <c r="E3478" s="30" t="s">
        <v>110</v>
      </c>
      <c r="H3478" s="32">
        <v>1</v>
      </c>
      <c r="I3478" s="32" t="s">
        <v>4711</v>
      </c>
      <c r="AG3478" s="32">
        <v>0</v>
      </c>
      <c r="AH3478" s="32">
        <v>0</v>
      </c>
      <c r="AK3478" s="32">
        <v>10</v>
      </c>
      <c r="AL3478" s="32">
        <f>63/60</f>
        <v>1.05</v>
      </c>
      <c r="AP3478" s="32">
        <f>63/60</f>
        <v>1.05</v>
      </c>
      <c r="AQ3478" s="32" t="s">
        <v>4712</v>
      </c>
      <c r="AU3478">
        <v>3477</v>
      </c>
    </row>
    <row r="3479" spans="1:47" x14ac:dyDescent="0.2">
      <c r="A3479" s="26">
        <v>6659</v>
      </c>
      <c r="B3479" s="27">
        <v>0.10347222222222223</v>
      </c>
      <c r="C3479" s="28"/>
      <c r="D3479" s="29"/>
      <c r="E3479" s="102" t="s">
        <v>1102</v>
      </c>
      <c r="H3479" s="32">
        <v>0</v>
      </c>
      <c r="I3479" s="32" t="s">
        <v>1103</v>
      </c>
      <c r="AG3479" s="32">
        <v>0</v>
      </c>
      <c r="AH3479" s="32">
        <v>0</v>
      </c>
      <c r="AI3479" s="32">
        <v>0</v>
      </c>
      <c r="AK3479" s="32">
        <v>0</v>
      </c>
      <c r="AL3479" s="32">
        <f>31/60</f>
        <v>0.51666666666666672</v>
      </c>
      <c r="AO3479" s="73" t="s">
        <v>1006</v>
      </c>
      <c r="AP3479" s="32">
        <f>31/60</f>
        <v>0.51666666666666672</v>
      </c>
      <c r="AQ3479" s="32" t="s">
        <v>589</v>
      </c>
      <c r="AU3479">
        <v>3478</v>
      </c>
    </row>
    <row r="3480" spans="1:47" x14ac:dyDescent="0.2">
      <c r="A3480" s="26">
        <v>6659</v>
      </c>
      <c r="B3480" s="27">
        <v>0.5625</v>
      </c>
      <c r="C3480" s="28"/>
      <c r="D3480" s="29"/>
      <c r="E3480" s="30" t="s">
        <v>2087</v>
      </c>
      <c r="H3480" s="32">
        <v>0</v>
      </c>
      <c r="I3480" s="32"/>
      <c r="AG3480" s="32">
        <v>0</v>
      </c>
      <c r="AH3480" s="32">
        <v>0</v>
      </c>
      <c r="AI3480" s="32">
        <v>0</v>
      </c>
      <c r="AK3480" s="32">
        <v>0</v>
      </c>
      <c r="AL3480" s="32">
        <v>0</v>
      </c>
      <c r="AP3480" s="32">
        <v>0.25</v>
      </c>
      <c r="AQ3480" s="32" t="s">
        <v>1101</v>
      </c>
      <c r="AU3480">
        <v>3479</v>
      </c>
    </row>
    <row r="3481" spans="1:47" x14ac:dyDescent="0.2">
      <c r="A3481" s="26">
        <v>6659</v>
      </c>
      <c r="B3481" s="27">
        <v>0.56944444444444442</v>
      </c>
      <c r="C3481" s="28"/>
      <c r="D3481" s="29"/>
      <c r="E3481" s="30" t="s">
        <v>4713</v>
      </c>
      <c r="H3481" s="32">
        <v>0</v>
      </c>
      <c r="I3481" s="32" t="s">
        <v>4714</v>
      </c>
      <c r="AG3481" s="32">
        <v>0</v>
      </c>
      <c r="AH3481" s="32">
        <v>0</v>
      </c>
      <c r="AI3481" s="32">
        <v>0</v>
      </c>
      <c r="AK3481" s="32">
        <v>0</v>
      </c>
      <c r="AL3481" s="32">
        <f>5/6</f>
        <v>0.83333333333333337</v>
      </c>
      <c r="AP3481" s="32">
        <f>5/6</f>
        <v>0.83333333333333337</v>
      </c>
      <c r="AQ3481" s="32" t="s">
        <v>1101</v>
      </c>
      <c r="AU3481">
        <v>3480</v>
      </c>
    </row>
    <row r="3482" spans="1:47" x14ac:dyDescent="0.2">
      <c r="A3482" s="26">
        <v>6659</v>
      </c>
      <c r="B3482" s="27">
        <v>0.57986111111111105</v>
      </c>
      <c r="C3482" s="28"/>
      <c r="D3482" s="29"/>
      <c r="E3482" s="30" t="s">
        <v>869</v>
      </c>
      <c r="H3482" s="32">
        <v>0</v>
      </c>
      <c r="I3482" s="32" t="s">
        <v>4715</v>
      </c>
      <c r="AG3482" s="32">
        <v>0</v>
      </c>
      <c r="AH3482" s="32">
        <v>0</v>
      </c>
      <c r="AI3482" s="32">
        <v>0</v>
      </c>
      <c r="AK3482" s="32">
        <v>0</v>
      </c>
      <c r="AL3482" s="32">
        <f>5/6</f>
        <v>0.83333333333333337</v>
      </c>
      <c r="AP3482" s="32">
        <f>5/6</f>
        <v>0.83333333333333337</v>
      </c>
      <c r="AQ3482" s="32" t="s">
        <v>589</v>
      </c>
      <c r="AU3482">
        <v>3481</v>
      </c>
    </row>
    <row r="3483" spans="1:47" x14ac:dyDescent="0.2">
      <c r="A3483" s="26">
        <v>6659</v>
      </c>
      <c r="B3483" s="27">
        <v>0.9375</v>
      </c>
      <c r="C3483" s="28"/>
      <c r="D3483" s="29"/>
      <c r="E3483" s="30" t="s">
        <v>2087</v>
      </c>
      <c r="H3483" s="32">
        <v>0</v>
      </c>
      <c r="I3483" s="32"/>
      <c r="AG3483" s="32">
        <v>0</v>
      </c>
      <c r="AH3483" s="32">
        <v>0</v>
      </c>
      <c r="AI3483" s="32">
        <v>0</v>
      </c>
      <c r="AK3483" s="32">
        <v>0</v>
      </c>
      <c r="AL3483" s="32">
        <v>0</v>
      </c>
      <c r="AP3483" s="32">
        <v>0.25</v>
      </c>
      <c r="AQ3483" s="32" t="s">
        <v>1101</v>
      </c>
      <c r="AU3483">
        <v>3482</v>
      </c>
    </row>
    <row r="3484" spans="1:47" x14ac:dyDescent="0.2">
      <c r="A3484" s="26">
        <v>6659</v>
      </c>
      <c r="B3484" s="27"/>
      <c r="C3484" s="28"/>
      <c r="D3484" s="29"/>
      <c r="E3484" s="102" t="s">
        <v>1421</v>
      </c>
      <c r="H3484" s="32">
        <v>1</v>
      </c>
      <c r="I3484" s="32" t="s">
        <v>1422</v>
      </c>
      <c r="AK3484" s="32">
        <v>10</v>
      </c>
      <c r="AO3484" s="73"/>
      <c r="AQ3484" s="32" t="s">
        <v>589</v>
      </c>
      <c r="AU3484">
        <v>3483</v>
      </c>
    </row>
    <row r="3485" spans="1:47" x14ac:dyDescent="0.2">
      <c r="A3485" s="44">
        <v>6660</v>
      </c>
      <c r="B3485" s="42" t="s">
        <v>85</v>
      </c>
      <c r="C3485" s="43" t="s">
        <v>4669</v>
      </c>
      <c r="D3485" s="29"/>
      <c r="E3485" s="36" t="s">
        <v>4670</v>
      </c>
      <c r="F3485" s="31" t="s">
        <v>4671</v>
      </c>
      <c r="G3485" s="31" t="s">
        <v>69</v>
      </c>
      <c r="H3485" s="32"/>
      <c r="I3485" s="32" t="s">
        <v>4672</v>
      </c>
      <c r="L3485" s="33">
        <v>6</v>
      </c>
      <c r="S3485" s="33">
        <v>6</v>
      </c>
      <c r="T3485" s="31">
        <v>2</v>
      </c>
      <c r="Z3485" s="31" t="s">
        <v>3724</v>
      </c>
      <c r="AU3485">
        <v>3484</v>
      </c>
    </row>
    <row r="3486" spans="1:47" x14ac:dyDescent="0.2">
      <c r="A3486" s="13">
        <v>6660</v>
      </c>
      <c r="B3486" s="57" t="s">
        <v>85</v>
      </c>
      <c r="C3486" s="57" t="s">
        <v>332</v>
      </c>
      <c r="D3486" s="29"/>
      <c r="E3486" s="57" t="s">
        <v>688</v>
      </c>
      <c r="F3486" s="31" t="s">
        <v>4647</v>
      </c>
      <c r="G3486" s="31" t="s">
        <v>69</v>
      </c>
      <c r="I3486" s="127" t="s">
        <v>4648</v>
      </c>
      <c r="J3486" s="127"/>
      <c r="K3486" s="31">
        <v>9317</v>
      </c>
      <c r="S3486" s="33">
        <v>30</v>
      </c>
      <c r="Z3486" s="31" t="s">
        <v>3724</v>
      </c>
      <c r="AE3486" s="31" t="s">
        <v>4649</v>
      </c>
      <c r="AQ3486" s="32" t="s">
        <v>4568</v>
      </c>
      <c r="AU3486">
        <v>3485</v>
      </c>
    </row>
    <row r="3487" spans="1:47" x14ac:dyDescent="0.2">
      <c r="A3487" s="44">
        <v>6660</v>
      </c>
      <c r="B3487" s="42" t="s">
        <v>45</v>
      </c>
      <c r="C3487" s="43" t="s">
        <v>4179</v>
      </c>
      <c r="D3487" s="29"/>
      <c r="E3487" s="36" t="s">
        <v>4716</v>
      </c>
      <c r="F3487" s="31" t="s">
        <v>4717</v>
      </c>
      <c r="G3487" s="31" t="s">
        <v>73</v>
      </c>
      <c r="H3487" s="32"/>
      <c r="I3487" s="32" t="s">
        <v>4718</v>
      </c>
      <c r="L3487" s="33">
        <v>51</v>
      </c>
      <c r="Z3487" s="31" t="s">
        <v>3814</v>
      </c>
      <c r="AQ3487" s="32" t="s">
        <v>4719</v>
      </c>
      <c r="AU3487">
        <v>3486</v>
      </c>
    </row>
    <row r="3488" spans="1:47" x14ac:dyDescent="0.2">
      <c r="A3488" s="133">
        <v>6661</v>
      </c>
      <c r="B3488" s="39" t="s">
        <v>85</v>
      </c>
      <c r="C3488" s="39">
        <v>55</v>
      </c>
      <c r="D3488" s="29" t="b">
        <v>0</v>
      </c>
      <c r="E3488" s="39" t="s">
        <v>364</v>
      </c>
      <c r="F3488" s="47" t="s">
        <v>4720</v>
      </c>
      <c r="G3488" s="47" t="s">
        <v>49</v>
      </c>
      <c r="H3488"/>
      <c r="I3488" s="47" t="b">
        <v>0</v>
      </c>
      <c r="J3488" s="47" t="b">
        <v>1</v>
      </c>
      <c r="K3488" s="47">
        <v>2482</v>
      </c>
      <c r="L3488" s="48">
        <v>12</v>
      </c>
      <c r="M3488" s="47">
        <v>0</v>
      </c>
      <c r="N3488" s="47">
        <v>1</v>
      </c>
      <c r="O3488" s="47">
        <v>0</v>
      </c>
      <c r="P3488" s="47">
        <v>0</v>
      </c>
      <c r="Q3488" s="47">
        <v>0</v>
      </c>
      <c r="R3488" s="47">
        <v>0</v>
      </c>
      <c r="S3488" s="48">
        <v>11</v>
      </c>
      <c r="T3488" s="47">
        <v>0</v>
      </c>
      <c r="U3488" s="47">
        <v>0</v>
      </c>
      <c r="V3488" s="47">
        <v>0</v>
      </c>
      <c r="W3488" s="47">
        <v>14000</v>
      </c>
      <c r="X3488" s="47">
        <v>458</v>
      </c>
      <c r="Y3488" s="47"/>
      <c r="Z3488" s="47" t="s">
        <v>3618</v>
      </c>
      <c r="AA3488" s="49"/>
      <c r="AB3488" s="49"/>
      <c r="AC3488" s="49"/>
      <c r="AD3488" s="50"/>
      <c r="AE3488" s="47" t="s">
        <v>3798</v>
      </c>
      <c r="AF3488" s="47">
        <v>70</v>
      </c>
      <c r="AG3488"/>
      <c r="AH3488"/>
      <c r="AI3488"/>
      <c r="AJ3488"/>
      <c r="AK3488"/>
      <c r="AL3488"/>
      <c r="AM3488"/>
      <c r="AN3488"/>
      <c r="AO3488"/>
      <c r="AP3488"/>
      <c r="AQ3488" t="s">
        <v>2526</v>
      </c>
      <c r="AU3488">
        <v>3487</v>
      </c>
    </row>
    <row r="3489" spans="1:47" x14ac:dyDescent="0.2">
      <c r="A3489" s="133">
        <v>6661</v>
      </c>
      <c r="B3489" s="39" t="s">
        <v>45</v>
      </c>
      <c r="C3489" s="39" t="s">
        <v>142</v>
      </c>
      <c r="D3489" s="29" t="b">
        <v>0</v>
      </c>
      <c r="E3489" s="39" t="s">
        <v>4721</v>
      </c>
      <c r="F3489" s="31" t="s">
        <v>4671</v>
      </c>
      <c r="G3489" s="31" t="s">
        <v>69</v>
      </c>
      <c r="I3489" s="31" t="s">
        <v>4722</v>
      </c>
      <c r="K3489" s="31">
        <f>4275*2.2</f>
        <v>9405</v>
      </c>
      <c r="L3489" s="33">
        <v>22</v>
      </c>
      <c r="S3489" s="33">
        <v>22</v>
      </c>
      <c r="T3489" s="31">
        <v>0</v>
      </c>
      <c r="U3489" s="31">
        <v>1</v>
      </c>
      <c r="V3489" s="31">
        <v>0</v>
      </c>
      <c r="Y3489" s="31" t="s">
        <v>51</v>
      </c>
      <c r="Z3489" s="31" t="s">
        <v>3855</v>
      </c>
      <c r="AE3489" s="31" t="s">
        <v>4723</v>
      </c>
      <c r="AQ3489" s="32" t="s">
        <v>4724</v>
      </c>
      <c r="AU3489">
        <v>3488</v>
      </c>
    </row>
    <row r="3490" spans="1:47" x14ac:dyDescent="0.2">
      <c r="A3490" s="133">
        <v>6661</v>
      </c>
      <c r="B3490" s="42" t="s">
        <v>45</v>
      </c>
      <c r="C3490" s="43" t="s">
        <v>4179</v>
      </c>
      <c r="D3490" s="29"/>
      <c r="E3490" s="36" t="s">
        <v>4716</v>
      </c>
      <c r="F3490" s="31" t="s">
        <v>4717</v>
      </c>
      <c r="G3490" s="31" t="s">
        <v>73</v>
      </c>
      <c r="H3490" s="32"/>
      <c r="I3490" s="32" t="s">
        <v>4718</v>
      </c>
      <c r="L3490" s="33">
        <v>19</v>
      </c>
      <c r="Z3490" s="31" t="s">
        <v>3814</v>
      </c>
      <c r="AQ3490" s="32" t="s">
        <v>4719</v>
      </c>
      <c r="AU3490">
        <v>3489</v>
      </c>
    </row>
    <row r="3491" spans="1:47" x14ac:dyDescent="0.2">
      <c r="A3491" s="133">
        <v>6661</v>
      </c>
      <c r="B3491" s="42" t="s">
        <v>45</v>
      </c>
      <c r="C3491" s="43" t="s">
        <v>4171</v>
      </c>
      <c r="D3491" s="29"/>
      <c r="E3491" s="36" t="s">
        <v>649</v>
      </c>
      <c r="F3491" s="31" t="s">
        <v>529</v>
      </c>
      <c r="G3491" s="31" t="s">
        <v>205</v>
      </c>
      <c r="H3491" s="32"/>
      <c r="I3491" s="32" t="s">
        <v>4725</v>
      </c>
      <c r="Z3491" s="31" t="s">
        <v>1846</v>
      </c>
      <c r="AE3491" s="47" t="s">
        <v>4173</v>
      </c>
      <c r="AF3491" s="31">
        <v>75</v>
      </c>
      <c r="AQ3491" s="32" t="s">
        <v>4582</v>
      </c>
      <c r="AU3491">
        <v>3490</v>
      </c>
    </row>
    <row r="3492" spans="1:47" x14ac:dyDescent="0.2">
      <c r="A3492" s="26">
        <v>6661</v>
      </c>
      <c r="B3492" s="27">
        <v>2.4305555555555556E-2</v>
      </c>
      <c r="C3492" s="28"/>
      <c r="D3492" s="29"/>
      <c r="E3492" s="30" t="s">
        <v>464</v>
      </c>
      <c r="H3492" s="32">
        <v>0</v>
      </c>
      <c r="I3492" s="32" t="s">
        <v>4561</v>
      </c>
      <c r="AG3492" s="32">
        <v>0</v>
      </c>
      <c r="AH3492" s="32">
        <v>0</v>
      </c>
      <c r="AL3492" s="32">
        <f>5/60</f>
        <v>8.3333333333333329E-2</v>
      </c>
      <c r="AO3492" s="32" t="s">
        <v>4067</v>
      </c>
      <c r="AP3492" s="32">
        <f>5/60</f>
        <v>8.3333333333333329E-2</v>
      </c>
      <c r="AQ3492" s="32" t="s">
        <v>1522</v>
      </c>
      <c r="AU3492">
        <v>3491</v>
      </c>
    </row>
    <row r="3493" spans="1:47" x14ac:dyDescent="0.2">
      <c r="A3493" s="26">
        <v>6661</v>
      </c>
      <c r="B3493" s="27">
        <v>0.63888888888888895</v>
      </c>
      <c r="C3493" s="28"/>
      <c r="D3493" s="29"/>
      <c r="E3493" s="30" t="s">
        <v>1124</v>
      </c>
      <c r="H3493" s="32">
        <v>1</v>
      </c>
      <c r="I3493" s="32"/>
      <c r="AG3493" s="32">
        <v>1</v>
      </c>
      <c r="AH3493" s="32">
        <v>1</v>
      </c>
      <c r="AK3493" s="32">
        <v>16</v>
      </c>
      <c r="AL3493" s="32">
        <f>25/60</f>
        <v>0.41666666666666669</v>
      </c>
      <c r="AO3493" s="46" t="s">
        <v>1126</v>
      </c>
      <c r="AP3493" s="32">
        <f>25/60</f>
        <v>0.41666666666666669</v>
      </c>
      <c r="AQ3493" s="32" t="s">
        <v>589</v>
      </c>
      <c r="AU3493">
        <v>3492</v>
      </c>
    </row>
    <row r="3494" spans="1:47" x14ac:dyDescent="0.2">
      <c r="A3494" s="133">
        <v>6662</v>
      </c>
      <c r="B3494" s="39" t="s">
        <v>85</v>
      </c>
      <c r="C3494" s="39">
        <v>55</v>
      </c>
      <c r="D3494" s="29" t="b">
        <v>0</v>
      </c>
      <c r="E3494" s="39" t="s">
        <v>75</v>
      </c>
      <c r="F3494" s="47" t="s">
        <v>3801</v>
      </c>
      <c r="G3494" s="47" t="s">
        <v>49</v>
      </c>
      <c r="H3494"/>
      <c r="I3494" s="47" t="b">
        <v>0</v>
      </c>
      <c r="J3494" s="47" t="b">
        <v>1</v>
      </c>
      <c r="K3494" s="47">
        <v>2706</v>
      </c>
      <c r="L3494" s="48">
        <v>12</v>
      </c>
      <c r="M3494" s="47">
        <v>0</v>
      </c>
      <c r="N3494" s="47">
        <v>0</v>
      </c>
      <c r="O3494" s="47">
        <v>0</v>
      </c>
      <c r="P3494" s="47">
        <v>0</v>
      </c>
      <c r="Q3494" s="47">
        <v>0</v>
      </c>
      <c r="R3494" s="47">
        <v>0</v>
      </c>
      <c r="S3494" s="48">
        <v>12</v>
      </c>
      <c r="T3494" s="47">
        <v>0</v>
      </c>
      <c r="U3494" s="47">
        <v>0</v>
      </c>
      <c r="V3494" s="47">
        <v>0</v>
      </c>
      <c r="W3494" s="47">
        <v>13000</v>
      </c>
      <c r="X3494" s="47">
        <v>459</v>
      </c>
      <c r="Y3494" s="47"/>
      <c r="Z3494" s="47" t="s">
        <v>3618</v>
      </c>
      <c r="AA3494" s="49"/>
      <c r="AB3494" s="49"/>
      <c r="AC3494" s="49"/>
      <c r="AD3494" s="50"/>
      <c r="AE3494" s="47" t="s">
        <v>3798</v>
      </c>
      <c r="AF3494" s="47">
        <v>155</v>
      </c>
      <c r="AG3494"/>
      <c r="AH3494"/>
      <c r="AI3494"/>
      <c r="AJ3494"/>
      <c r="AK3494"/>
      <c r="AL3494"/>
      <c r="AM3494"/>
      <c r="AN3494"/>
      <c r="AO3494"/>
      <c r="AP3494"/>
      <c r="AQ3494" t="s">
        <v>2526</v>
      </c>
      <c r="AU3494">
        <v>3493</v>
      </c>
    </row>
    <row r="3495" spans="1:47" x14ac:dyDescent="0.2">
      <c r="A3495" s="133">
        <v>6662</v>
      </c>
      <c r="B3495" s="39" t="s">
        <v>45</v>
      </c>
      <c r="C3495" s="39" t="s">
        <v>142</v>
      </c>
      <c r="D3495" s="29" t="b">
        <v>0</v>
      </c>
      <c r="E3495" s="39" t="s">
        <v>4726</v>
      </c>
      <c r="F3495" s="47" t="s">
        <v>4727</v>
      </c>
      <c r="G3495" s="47"/>
      <c r="H3495"/>
      <c r="I3495" s="47"/>
      <c r="J3495" s="47"/>
      <c r="K3495" s="47"/>
      <c r="L3495" s="48"/>
      <c r="M3495" s="47"/>
      <c r="N3495" s="47"/>
      <c r="O3495" s="47"/>
      <c r="P3495" s="47"/>
      <c r="Q3495" s="47"/>
      <c r="R3495" s="47"/>
      <c r="S3495" s="48">
        <v>16</v>
      </c>
      <c r="T3495" s="47"/>
      <c r="U3495" s="47"/>
      <c r="V3495" s="47"/>
      <c r="W3495" s="47"/>
      <c r="X3495" s="47"/>
      <c r="Y3495" s="47"/>
      <c r="Z3495" s="31" t="s">
        <v>3855</v>
      </c>
      <c r="AA3495" s="49"/>
      <c r="AB3495" s="49"/>
      <c r="AC3495" s="49"/>
      <c r="AD3495" s="50"/>
      <c r="AE3495" s="31" t="s">
        <v>4723</v>
      </c>
      <c r="AF3495" s="47">
        <v>70</v>
      </c>
      <c r="AG3495"/>
      <c r="AH3495"/>
      <c r="AI3495"/>
      <c r="AJ3495"/>
      <c r="AK3495"/>
      <c r="AL3495"/>
      <c r="AM3495"/>
      <c r="AN3495"/>
      <c r="AO3495"/>
      <c r="AP3495"/>
      <c r="AQ3495"/>
      <c r="AU3495">
        <v>3494</v>
      </c>
    </row>
    <row r="3496" spans="1:47" x14ac:dyDescent="0.2">
      <c r="A3496" s="26">
        <v>6662</v>
      </c>
      <c r="B3496" s="27">
        <v>0.49861111111111112</v>
      </c>
      <c r="C3496" s="28"/>
      <c r="D3496" s="29"/>
      <c r="E3496" s="102" t="s">
        <v>1102</v>
      </c>
      <c r="H3496" s="32">
        <v>0</v>
      </c>
      <c r="I3496" s="32" t="s">
        <v>1103</v>
      </c>
      <c r="AG3496" s="32">
        <v>0</v>
      </c>
      <c r="AH3496" s="32">
        <v>0</v>
      </c>
      <c r="AI3496" s="32">
        <v>0</v>
      </c>
      <c r="AK3496" s="32">
        <v>0</v>
      </c>
      <c r="AL3496" s="32">
        <f>67/60</f>
        <v>1.1166666666666667</v>
      </c>
      <c r="AO3496" s="73" t="s">
        <v>1006</v>
      </c>
      <c r="AP3496" s="32">
        <f>67/60</f>
        <v>1.1166666666666667</v>
      </c>
      <c r="AQ3496" s="32" t="s">
        <v>589</v>
      </c>
      <c r="AU3496">
        <v>3495</v>
      </c>
    </row>
    <row r="3497" spans="1:47" x14ac:dyDescent="0.2">
      <c r="A3497" s="26">
        <v>6662</v>
      </c>
      <c r="B3497" s="27">
        <v>0.51736111111111105</v>
      </c>
      <c r="C3497" s="28"/>
      <c r="D3497" s="29"/>
      <c r="E3497" s="30" t="s">
        <v>869</v>
      </c>
      <c r="H3497" s="32">
        <v>0</v>
      </c>
      <c r="I3497" s="32" t="s">
        <v>2461</v>
      </c>
      <c r="AG3497" s="32">
        <v>0</v>
      </c>
      <c r="AH3497" s="32">
        <v>0</v>
      </c>
      <c r="AI3497" s="32">
        <v>0</v>
      </c>
      <c r="AK3497" s="32">
        <v>0</v>
      </c>
      <c r="AL3497" s="32">
        <v>0.5</v>
      </c>
      <c r="AP3497" s="32">
        <v>0.5</v>
      </c>
      <c r="AQ3497" s="32" t="s">
        <v>589</v>
      </c>
      <c r="AU3497">
        <v>3496</v>
      </c>
    </row>
    <row r="3498" spans="1:47" x14ac:dyDescent="0.2">
      <c r="A3498" s="26">
        <v>6662</v>
      </c>
      <c r="B3498" s="27">
        <v>0.52083333333333337</v>
      </c>
      <c r="C3498" s="28"/>
      <c r="D3498" s="29"/>
      <c r="E3498" s="30" t="s">
        <v>78</v>
      </c>
      <c r="H3498" s="32">
        <v>1</v>
      </c>
      <c r="I3498" s="32"/>
      <c r="AG3498" s="32">
        <v>10</v>
      </c>
      <c r="AH3498" s="32">
        <v>11</v>
      </c>
      <c r="AJ3498" s="32">
        <v>228587</v>
      </c>
      <c r="AK3498" s="32">
        <v>18</v>
      </c>
      <c r="AO3498" s="32" t="s">
        <v>80</v>
      </c>
      <c r="AQ3498" s="32" t="s">
        <v>1101</v>
      </c>
      <c r="AU3498">
        <v>3497</v>
      </c>
    </row>
    <row r="3499" spans="1:47" x14ac:dyDescent="0.2">
      <c r="A3499" s="26">
        <v>6662</v>
      </c>
      <c r="B3499" s="27">
        <v>0.69930555555555562</v>
      </c>
      <c r="C3499" s="28"/>
      <c r="D3499" s="29"/>
      <c r="E3499" s="30" t="s">
        <v>3155</v>
      </c>
      <c r="H3499" s="32">
        <v>0</v>
      </c>
      <c r="I3499" s="32" t="s">
        <v>3156</v>
      </c>
      <c r="AG3499" s="32">
        <v>0</v>
      </c>
      <c r="AH3499" s="32">
        <v>0</v>
      </c>
      <c r="AI3499" s="32">
        <v>0</v>
      </c>
      <c r="AK3499" s="32">
        <v>0</v>
      </c>
      <c r="AP3499" s="32">
        <f>38/60</f>
        <v>0.6333333333333333</v>
      </c>
      <c r="AQ3499" s="32" t="s">
        <v>1101</v>
      </c>
      <c r="AU3499">
        <v>3498</v>
      </c>
    </row>
    <row r="3500" spans="1:47" x14ac:dyDescent="0.2">
      <c r="A3500" s="26">
        <v>6662</v>
      </c>
      <c r="B3500" s="27" t="s">
        <v>85</v>
      </c>
      <c r="C3500" s="28"/>
      <c r="D3500" s="29"/>
      <c r="E3500" s="30" t="s">
        <v>1531</v>
      </c>
      <c r="H3500" s="32">
        <v>0</v>
      </c>
      <c r="I3500" s="32" t="s">
        <v>1532</v>
      </c>
      <c r="AG3500" s="32">
        <v>0</v>
      </c>
      <c r="AH3500" s="32">
        <v>0</v>
      </c>
      <c r="AI3500" s="32">
        <v>0</v>
      </c>
      <c r="AK3500" s="32">
        <v>0</v>
      </c>
      <c r="AM3500" s="32">
        <f>498*13</f>
        <v>6474</v>
      </c>
      <c r="AO3500" s="32" t="s">
        <v>1533</v>
      </c>
      <c r="AQ3500" s="32" t="s">
        <v>1101</v>
      </c>
      <c r="AU3500">
        <v>3499</v>
      </c>
    </row>
    <row r="3501" spans="1:47" x14ac:dyDescent="0.2">
      <c r="A3501" s="13">
        <v>6663</v>
      </c>
      <c r="B3501" s="57" t="s">
        <v>45</v>
      </c>
      <c r="C3501" s="57" t="s">
        <v>142</v>
      </c>
      <c r="D3501" s="29"/>
      <c r="E3501" s="57" t="s">
        <v>4728</v>
      </c>
      <c r="F3501" s="31" t="s">
        <v>4729</v>
      </c>
      <c r="G3501" s="31" t="s">
        <v>69</v>
      </c>
      <c r="H3501" s="32"/>
      <c r="I3501" s="47" t="b">
        <v>1</v>
      </c>
      <c r="J3501" s="47" t="b">
        <v>1</v>
      </c>
      <c r="K3501" s="31">
        <f>3240*2.2</f>
        <v>7128.0000000000009</v>
      </c>
      <c r="L3501" s="33">
        <v>17</v>
      </c>
      <c r="N3501" s="31">
        <v>1</v>
      </c>
      <c r="S3501" s="33">
        <v>16</v>
      </c>
      <c r="T3501" s="31">
        <v>0</v>
      </c>
      <c r="U3501" s="31">
        <v>1</v>
      </c>
      <c r="V3501" s="31">
        <v>2</v>
      </c>
      <c r="Y3501" s="31" t="s">
        <v>51</v>
      </c>
      <c r="Z3501" s="31" t="s">
        <v>3855</v>
      </c>
      <c r="AA3501" s="34">
        <v>0.95833333333333337</v>
      </c>
      <c r="AB3501" s="34">
        <v>0.16666666666666666</v>
      </c>
      <c r="AC3501" s="34">
        <v>6.25E-2</v>
      </c>
      <c r="AD3501" s="35">
        <v>5</v>
      </c>
      <c r="AE3501" s="31" t="s">
        <v>4723</v>
      </c>
      <c r="AF3501" s="31">
        <v>75</v>
      </c>
      <c r="AQ3501" s="32" t="s">
        <v>4724</v>
      </c>
      <c r="AR3501" s="137" t="s">
        <v>4730</v>
      </c>
      <c r="AU3501">
        <v>3500</v>
      </c>
    </row>
    <row r="3502" spans="1:47" x14ac:dyDescent="0.2">
      <c r="A3502" s="13">
        <v>6663</v>
      </c>
      <c r="B3502" s="57" t="s">
        <v>45</v>
      </c>
      <c r="C3502" s="177" t="s">
        <v>4447</v>
      </c>
      <c r="D3502" s="29"/>
      <c r="E3502" s="57" t="s">
        <v>447</v>
      </c>
      <c r="G3502" s="31" t="s">
        <v>49</v>
      </c>
      <c r="I3502" s="47" t="b">
        <v>0</v>
      </c>
      <c r="J3502" s="47" t="b">
        <v>0</v>
      </c>
      <c r="K3502" s="31">
        <v>330</v>
      </c>
      <c r="AE3502" s="31" t="s">
        <v>4723</v>
      </c>
      <c r="AF3502" s="31">
        <v>75</v>
      </c>
      <c r="AQ3502" s="32" t="s">
        <v>4553</v>
      </c>
      <c r="AR3502" s="31" t="s">
        <v>4731</v>
      </c>
      <c r="AU3502">
        <v>3501</v>
      </c>
    </row>
    <row r="3503" spans="1:47" x14ac:dyDescent="0.2">
      <c r="A3503" s="13">
        <v>6663</v>
      </c>
      <c r="B3503" s="57" t="s">
        <v>45</v>
      </c>
      <c r="C3503" s="177" t="s">
        <v>4447</v>
      </c>
      <c r="D3503" s="29"/>
      <c r="E3503" s="57" t="s">
        <v>1004</v>
      </c>
      <c r="G3503" s="31" t="s">
        <v>49</v>
      </c>
      <c r="I3503" s="47" t="b">
        <v>0</v>
      </c>
      <c r="J3503" s="47" t="b">
        <v>0</v>
      </c>
      <c r="K3503" s="31">
        <v>440</v>
      </c>
      <c r="AE3503" s="31" t="s">
        <v>4723</v>
      </c>
      <c r="AF3503" s="31">
        <v>70</v>
      </c>
      <c r="AQ3503" s="32" t="s">
        <v>4553</v>
      </c>
      <c r="AR3503" s="31" t="s">
        <v>4731</v>
      </c>
      <c r="AU3503">
        <v>3502</v>
      </c>
    </row>
    <row r="3504" spans="1:47" x14ac:dyDescent="0.2">
      <c r="A3504" s="13">
        <v>6663</v>
      </c>
      <c r="B3504" s="57" t="s">
        <v>45</v>
      </c>
      <c r="C3504" s="177" t="s">
        <v>4447</v>
      </c>
      <c r="D3504" s="29"/>
      <c r="E3504" s="57" t="s">
        <v>1895</v>
      </c>
      <c r="G3504" s="31" t="s">
        <v>49</v>
      </c>
      <c r="I3504" s="47" t="b">
        <v>0</v>
      </c>
      <c r="J3504" s="47" t="b">
        <v>0</v>
      </c>
      <c r="K3504" s="31">
        <v>440</v>
      </c>
      <c r="AE3504" s="31" t="s">
        <v>4723</v>
      </c>
      <c r="AF3504" s="31">
        <v>55</v>
      </c>
      <c r="AQ3504" s="32" t="s">
        <v>4553</v>
      </c>
      <c r="AR3504" s="31" t="s">
        <v>4731</v>
      </c>
      <c r="AU3504">
        <v>3503</v>
      </c>
    </row>
    <row r="3505" spans="1:47" x14ac:dyDescent="0.2">
      <c r="A3505" s="13">
        <v>6663</v>
      </c>
      <c r="B3505" s="57" t="s">
        <v>45</v>
      </c>
      <c r="C3505" s="177" t="s">
        <v>4447</v>
      </c>
      <c r="D3505" s="29"/>
      <c r="E3505" s="57" t="s">
        <v>1593</v>
      </c>
      <c r="G3505" s="31" t="s">
        <v>49</v>
      </c>
      <c r="I3505" s="47" t="b">
        <v>0</v>
      </c>
      <c r="J3505" s="47" t="b">
        <v>0</v>
      </c>
      <c r="K3505" s="31">
        <v>1925</v>
      </c>
      <c r="AE3505" s="31" t="s">
        <v>4723</v>
      </c>
      <c r="AF3505" s="31">
        <v>65</v>
      </c>
      <c r="AQ3505" s="32" t="s">
        <v>4553</v>
      </c>
      <c r="AR3505" s="31" t="s">
        <v>4731</v>
      </c>
      <c r="AU3505">
        <v>3504</v>
      </c>
    </row>
    <row r="3506" spans="1:47" x14ac:dyDescent="0.2">
      <c r="A3506" s="13">
        <v>6663</v>
      </c>
      <c r="B3506" s="57" t="s">
        <v>45</v>
      </c>
      <c r="C3506" s="177" t="s">
        <v>4447</v>
      </c>
      <c r="D3506" s="29"/>
      <c r="E3506" s="57" t="s">
        <v>3419</v>
      </c>
      <c r="F3506" s="31" t="s">
        <v>4732</v>
      </c>
      <c r="G3506" s="31" t="s">
        <v>69</v>
      </c>
      <c r="I3506" s="47" t="b">
        <v>0</v>
      </c>
      <c r="J3506" s="47" t="b">
        <v>0</v>
      </c>
      <c r="K3506" s="31">
        <v>3993</v>
      </c>
      <c r="AE3506" s="31" t="s">
        <v>4723</v>
      </c>
      <c r="AQ3506" s="32" t="s">
        <v>4553</v>
      </c>
      <c r="AR3506" s="31" t="s">
        <v>4731</v>
      </c>
      <c r="AU3506">
        <v>3505</v>
      </c>
    </row>
    <row r="3507" spans="1:47" x14ac:dyDescent="0.2">
      <c r="A3507" s="133">
        <v>6665</v>
      </c>
      <c r="B3507" s="39" t="s">
        <v>45</v>
      </c>
      <c r="C3507" s="39" t="s">
        <v>142</v>
      </c>
      <c r="D3507" s="29" t="b">
        <v>0</v>
      </c>
      <c r="E3507" s="39" t="s">
        <v>4733</v>
      </c>
      <c r="F3507" s="31" t="s">
        <v>4734</v>
      </c>
      <c r="G3507" s="31" t="s">
        <v>73</v>
      </c>
      <c r="H3507" s="32"/>
      <c r="I3507" s="32" t="s">
        <v>4735</v>
      </c>
      <c r="K3507" s="31">
        <f>1915*2.2</f>
        <v>4213</v>
      </c>
      <c r="L3507" s="33">
        <v>15</v>
      </c>
      <c r="N3507" s="31">
        <v>4</v>
      </c>
      <c r="S3507" s="33">
        <v>11</v>
      </c>
      <c r="T3507" s="31">
        <v>0</v>
      </c>
      <c r="U3507" s="31">
        <v>0</v>
      </c>
      <c r="V3507" s="31">
        <v>1</v>
      </c>
      <c r="Y3507" s="31" t="s">
        <v>51</v>
      </c>
      <c r="Z3507" s="31" t="s">
        <v>3855</v>
      </c>
      <c r="AE3507" s="31" t="s">
        <v>4723</v>
      </c>
      <c r="AF3507" s="31">
        <v>70</v>
      </c>
      <c r="AQ3507" s="32" t="s">
        <v>4724</v>
      </c>
      <c r="AU3507">
        <v>3506</v>
      </c>
    </row>
    <row r="3508" spans="1:47" x14ac:dyDescent="0.2">
      <c r="A3508" s="13">
        <v>6665</v>
      </c>
      <c r="B3508" s="57" t="s">
        <v>45</v>
      </c>
      <c r="C3508" s="57" t="s">
        <v>4407</v>
      </c>
      <c r="D3508" s="29"/>
      <c r="E3508" s="57" t="s">
        <v>1004</v>
      </c>
      <c r="I3508" s="31" t="s">
        <v>4736</v>
      </c>
      <c r="K3508" s="63"/>
      <c r="AQ3508" s="32" t="s">
        <v>4737</v>
      </c>
      <c r="AU3508">
        <v>3507</v>
      </c>
    </row>
    <row r="3509" spans="1:47" x14ac:dyDescent="0.2">
      <c r="A3509" s="13">
        <v>6665</v>
      </c>
      <c r="B3509" s="57" t="s">
        <v>45</v>
      </c>
      <c r="C3509" s="57" t="s">
        <v>4407</v>
      </c>
      <c r="D3509" s="29"/>
      <c r="E3509" s="57" t="s">
        <v>1830</v>
      </c>
      <c r="I3509" s="31" t="s">
        <v>4738</v>
      </c>
      <c r="K3509" s="63"/>
      <c r="AQ3509" s="32" t="s">
        <v>4737</v>
      </c>
      <c r="AU3509">
        <v>3508</v>
      </c>
    </row>
    <row r="3510" spans="1:47" x14ac:dyDescent="0.2">
      <c r="A3510" s="13">
        <v>6665</v>
      </c>
      <c r="B3510" s="57" t="s">
        <v>45</v>
      </c>
      <c r="C3510" s="57" t="s">
        <v>4407</v>
      </c>
      <c r="D3510" s="29"/>
      <c r="E3510" s="57" t="s">
        <v>4739</v>
      </c>
      <c r="F3510" s="31" t="s">
        <v>4598</v>
      </c>
      <c r="G3510" s="31" t="s">
        <v>69</v>
      </c>
      <c r="I3510" s="31" t="s">
        <v>4740</v>
      </c>
      <c r="K3510" s="63"/>
      <c r="AQ3510" s="32" t="s">
        <v>4737</v>
      </c>
      <c r="AU3510">
        <v>3509</v>
      </c>
    </row>
    <row r="3511" spans="1:47" x14ac:dyDescent="0.2">
      <c r="A3511" s="133">
        <v>6666</v>
      </c>
      <c r="B3511" s="39" t="s">
        <v>45</v>
      </c>
      <c r="C3511" s="39" t="s">
        <v>142</v>
      </c>
      <c r="D3511" s="29" t="b">
        <v>0</v>
      </c>
      <c r="E3511" s="39" t="s">
        <v>4741</v>
      </c>
      <c r="F3511" s="31" t="s">
        <v>4742</v>
      </c>
      <c r="G3511" s="31" t="s">
        <v>73</v>
      </c>
      <c r="H3511" s="32"/>
      <c r="I3511" s="31" t="s">
        <v>4743</v>
      </c>
      <c r="K3511" s="31">
        <f>2585*2.2</f>
        <v>5687.0000000000009</v>
      </c>
      <c r="L3511" s="33">
        <v>15</v>
      </c>
      <c r="S3511" s="33">
        <v>15</v>
      </c>
      <c r="T3511" s="31">
        <v>0</v>
      </c>
      <c r="U3511" s="31">
        <v>0</v>
      </c>
      <c r="V3511" s="31">
        <v>0</v>
      </c>
      <c r="Z3511" s="31" t="s">
        <v>3855</v>
      </c>
      <c r="AA3511" s="34">
        <v>0.95833333333333337</v>
      </c>
      <c r="AB3511" s="34">
        <v>0.10416666666666667</v>
      </c>
      <c r="AC3511" s="34">
        <v>3.125E-2</v>
      </c>
      <c r="AD3511" s="35">
        <v>3.5</v>
      </c>
      <c r="AE3511" s="31" t="s">
        <v>4723</v>
      </c>
      <c r="AF3511" s="31">
        <v>70</v>
      </c>
      <c r="AQ3511" s="32" t="s">
        <v>4744</v>
      </c>
      <c r="AU3511">
        <v>3510</v>
      </c>
    </row>
    <row r="3512" spans="1:47" x14ac:dyDescent="0.2">
      <c r="A3512" s="13">
        <v>6666</v>
      </c>
      <c r="B3512" s="57" t="s">
        <v>45</v>
      </c>
      <c r="C3512" s="57" t="s">
        <v>4407</v>
      </c>
      <c r="D3512" s="29"/>
      <c r="E3512" s="57" t="s">
        <v>1895</v>
      </c>
      <c r="F3512" s="31" t="s">
        <v>4598</v>
      </c>
      <c r="G3512" s="31" t="s">
        <v>69</v>
      </c>
      <c r="I3512" s="31" t="s">
        <v>4745</v>
      </c>
      <c r="K3512" s="31">
        <v>330</v>
      </c>
      <c r="AQ3512" s="32" t="s">
        <v>4746</v>
      </c>
      <c r="AU3512">
        <v>3511</v>
      </c>
    </row>
    <row r="3513" spans="1:47" x14ac:dyDescent="0.2">
      <c r="A3513" s="13">
        <v>6666</v>
      </c>
      <c r="B3513" s="57" t="s">
        <v>45</v>
      </c>
      <c r="C3513" s="57" t="s">
        <v>4407</v>
      </c>
      <c r="D3513" s="29"/>
      <c r="E3513" s="57" t="s">
        <v>4747</v>
      </c>
      <c r="I3513" s="31" t="s">
        <v>4748</v>
      </c>
      <c r="K3513" s="31">
        <v>990</v>
      </c>
      <c r="AQ3513" s="32" t="s">
        <v>4737</v>
      </c>
      <c r="AU3513">
        <v>3512</v>
      </c>
    </row>
    <row r="3514" spans="1:47" x14ac:dyDescent="0.2">
      <c r="A3514" s="13">
        <v>6666</v>
      </c>
      <c r="B3514" s="57" t="s">
        <v>45</v>
      </c>
      <c r="C3514" s="57" t="s">
        <v>4407</v>
      </c>
      <c r="D3514" s="29"/>
      <c r="E3514" s="57" t="s">
        <v>4749</v>
      </c>
      <c r="F3514" s="31" t="s">
        <v>204</v>
      </c>
      <c r="G3514" s="31" t="s">
        <v>205</v>
      </c>
      <c r="I3514" s="31" t="s">
        <v>4748</v>
      </c>
      <c r="K3514" s="31">
        <v>1113.2</v>
      </c>
      <c r="AQ3514" s="32" t="s">
        <v>4737</v>
      </c>
      <c r="AU3514">
        <v>3513</v>
      </c>
    </row>
    <row r="3515" spans="1:47" x14ac:dyDescent="0.2">
      <c r="A3515" s="13">
        <v>6666</v>
      </c>
      <c r="B3515" s="57" t="s">
        <v>45</v>
      </c>
      <c r="C3515" s="57" t="s">
        <v>4407</v>
      </c>
      <c r="D3515" s="29"/>
      <c r="E3515" s="57" t="s">
        <v>1830</v>
      </c>
      <c r="I3515" s="31" t="s">
        <v>4738</v>
      </c>
      <c r="K3515" s="63"/>
      <c r="AQ3515" s="32" t="s">
        <v>4737</v>
      </c>
      <c r="AU3515">
        <v>3514</v>
      </c>
    </row>
    <row r="3516" spans="1:47" x14ac:dyDescent="0.2">
      <c r="A3516" s="13">
        <v>6666</v>
      </c>
      <c r="B3516" s="57" t="s">
        <v>45</v>
      </c>
      <c r="C3516" s="57" t="s">
        <v>4407</v>
      </c>
      <c r="D3516" s="29"/>
      <c r="E3516" s="57" t="s">
        <v>1593</v>
      </c>
      <c r="F3516" s="31" t="s">
        <v>4750</v>
      </c>
      <c r="G3516" s="31" t="s">
        <v>69</v>
      </c>
      <c r="I3516" s="31" t="s">
        <v>4751</v>
      </c>
      <c r="K3516" s="63"/>
      <c r="AQ3516" s="32" t="s">
        <v>4737</v>
      </c>
      <c r="AU3516">
        <v>3515</v>
      </c>
    </row>
    <row r="3517" spans="1:47" x14ac:dyDescent="0.2">
      <c r="A3517" s="13">
        <v>6666</v>
      </c>
      <c r="B3517" s="57" t="s">
        <v>45</v>
      </c>
      <c r="C3517" s="57" t="s">
        <v>4407</v>
      </c>
      <c r="D3517" s="29"/>
      <c r="E3517" s="57" t="s">
        <v>4752</v>
      </c>
      <c r="F3517" s="31" t="s">
        <v>76</v>
      </c>
      <c r="G3517" s="31" t="s">
        <v>49</v>
      </c>
      <c r="I3517" s="31" t="s">
        <v>4753</v>
      </c>
      <c r="K3517" s="63"/>
      <c r="AQ3517" s="32" t="s">
        <v>4746</v>
      </c>
      <c r="AU3517">
        <v>3516</v>
      </c>
    </row>
    <row r="3518" spans="1:47" x14ac:dyDescent="0.2">
      <c r="A3518" s="13">
        <v>6666</v>
      </c>
      <c r="B3518" s="57" t="s">
        <v>45</v>
      </c>
      <c r="C3518" s="57" t="s">
        <v>4407</v>
      </c>
      <c r="D3518" s="29"/>
      <c r="E3518" s="57" t="s">
        <v>4739</v>
      </c>
      <c r="F3518" s="31" t="s">
        <v>4598</v>
      </c>
      <c r="G3518" s="31" t="s">
        <v>49</v>
      </c>
      <c r="I3518" s="31" t="s">
        <v>4740</v>
      </c>
      <c r="K3518" s="63"/>
      <c r="AQ3518" s="32" t="s">
        <v>4737</v>
      </c>
      <c r="AU3518">
        <v>3517</v>
      </c>
    </row>
    <row r="3519" spans="1:47" x14ac:dyDescent="0.2">
      <c r="A3519" s="13">
        <v>6667</v>
      </c>
      <c r="B3519" s="57" t="s">
        <v>45</v>
      </c>
      <c r="C3519" s="57" t="s">
        <v>1367</v>
      </c>
      <c r="D3519" s="29"/>
      <c r="E3519" s="57" t="s">
        <v>4754</v>
      </c>
      <c r="F3519" s="31" t="s">
        <v>83</v>
      </c>
      <c r="G3519" s="31" t="s">
        <v>69</v>
      </c>
      <c r="I3519" s="31" t="s">
        <v>4755</v>
      </c>
      <c r="K3519" s="31">
        <v>880</v>
      </c>
      <c r="AE3519" s="31" t="s">
        <v>4756</v>
      </c>
      <c r="AF3519" s="31">
        <v>60</v>
      </c>
      <c r="AQ3519" s="32" t="s">
        <v>4757</v>
      </c>
      <c r="AU3519">
        <v>3518</v>
      </c>
    </row>
    <row r="3520" spans="1:47" x14ac:dyDescent="0.2">
      <c r="A3520" s="13">
        <v>6667</v>
      </c>
      <c r="B3520" s="57" t="s">
        <v>45</v>
      </c>
      <c r="C3520" s="57" t="s">
        <v>4456</v>
      </c>
      <c r="D3520" s="29"/>
      <c r="E3520" s="57" t="s">
        <v>4758</v>
      </c>
      <c r="F3520" s="31" t="s">
        <v>409</v>
      </c>
      <c r="G3520" s="31" t="s">
        <v>49</v>
      </c>
      <c r="I3520" s="47" t="b">
        <v>1</v>
      </c>
      <c r="J3520" s="47" t="b">
        <v>1</v>
      </c>
      <c r="K3520" s="135">
        <f>4*8*50*2.2</f>
        <v>3520.0000000000005</v>
      </c>
      <c r="L3520" s="33">
        <v>5</v>
      </c>
      <c r="M3520" s="31">
        <v>1</v>
      </c>
      <c r="S3520" s="33">
        <v>4</v>
      </c>
      <c r="T3520" s="31">
        <v>0</v>
      </c>
      <c r="U3520" s="31">
        <v>0</v>
      </c>
      <c r="V3520" s="31">
        <v>0</v>
      </c>
      <c r="W3520" s="47">
        <f>((2400+2300+2500+1800)/4)*39.37/12</f>
        <v>7381.875</v>
      </c>
      <c r="Y3520" s="31" t="s">
        <v>51</v>
      </c>
      <c r="Z3520" s="31" t="s">
        <v>1846</v>
      </c>
      <c r="AA3520" s="34">
        <v>0.85416666666666663</v>
      </c>
      <c r="AB3520" s="34">
        <v>1</v>
      </c>
      <c r="AC3520" s="49">
        <f>AVERAGE(AA3520:AB3520)</f>
        <v>0.92708333333333326</v>
      </c>
      <c r="AD3520" s="35">
        <f>2+5/6</f>
        <v>2.8333333333333335</v>
      </c>
      <c r="AE3520" s="31" t="s">
        <v>4756</v>
      </c>
      <c r="AF3520" s="31">
        <v>120</v>
      </c>
      <c r="AK3520" s="130">
        <f>4*8</f>
        <v>32</v>
      </c>
      <c r="AQ3520" s="32" t="s">
        <v>4759</v>
      </c>
      <c r="AR3520" s="32" t="s">
        <v>4760</v>
      </c>
      <c r="AU3520">
        <v>3519</v>
      </c>
    </row>
    <row r="3521" spans="1:47" x14ac:dyDescent="0.2">
      <c r="A3521" s="13">
        <v>6667</v>
      </c>
      <c r="B3521" s="57" t="s">
        <v>45</v>
      </c>
      <c r="C3521" s="57" t="s">
        <v>4456</v>
      </c>
      <c r="D3521" s="29"/>
      <c r="E3521" s="57" t="s">
        <v>1397</v>
      </c>
      <c r="F3521" s="31" t="s">
        <v>76</v>
      </c>
      <c r="G3521" s="31" t="s">
        <v>49</v>
      </c>
      <c r="I3521" s="47" t="b">
        <v>0</v>
      </c>
      <c r="J3521" s="47" t="b">
        <v>0</v>
      </c>
      <c r="K3521" s="135">
        <f>2*8*50*2.2</f>
        <v>1760.0000000000002</v>
      </c>
      <c r="S3521" s="33">
        <v>2</v>
      </c>
      <c r="T3521" s="31">
        <v>0</v>
      </c>
      <c r="U3521" s="31">
        <v>0</v>
      </c>
      <c r="V3521" s="31">
        <v>0</v>
      </c>
      <c r="W3521" s="47">
        <f>((2400+2300)/2)*39.37/12</f>
        <v>7709.958333333333</v>
      </c>
      <c r="Y3521" s="31" t="s">
        <v>51</v>
      </c>
      <c r="Z3521" s="31" t="s">
        <v>1846</v>
      </c>
      <c r="AA3521" s="34">
        <v>0.85416666666666663</v>
      </c>
      <c r="AB3521" s="34">
        <v>0.97916666666666663</v>
      </c>
      <c r="AC3521" s="49">
        <f>AVERAGE(AA3521:AB3521)</f>
        <v>0.91666666666666663</v>
      </c>
      <c r="AD3521" s="35">
        <v>2.5</v>
      </c>
      <c r="AE3521" s="31" t="s">
        <v>4756</v>
      </c>
      <c r="AF3521" s="31">
        <v>80</v>
      </c>
      <c r="AK3521" s="130">
        <f>2*8</f>
        <v>16</v>
      </c>
      <c r="AQ3521" s="32" t="s">
        <v>4759</v>
      </c>
      <c r="AR3521" s="32" t="s">
        <v>4761</v>
      </c>
      <c r="AU3521">
        <v>3520</v>
      </c>
    </row>
    <row r="3522" spans="1:47" x14ac:dyDescent="0.2">
      <c r="A3522" s="13">
        <v>6667</v>
      </c>
      <c r="B3522" s="57" t="s">
        <v>45</v>
      </c>
      <c r="C3522" s="57" t="s">
        <v>4456</v>
      </c>
      <c r="D3522" s="29"/>
      <c r="E3522" s="57" t="s">
        <v>1682</v>
      </c>
      <c r="F3522" s="31" t="s">
        <v>76</v>
      </c>
      <c r="G3522" s="31" t="s">
        <v>49</v>
      </c>
      <c r="I3522" s="47" t="b">
        <v>0</v>
      </c>
      <c r="J3522" s="47" t="b">
        <v>0</v>
      </c>
      <c r="K3522" s="135">
        <f>2*8*50*2.2</f>
        <v>1760.0000000000002</v>
      </c>
      <c r="S3522" s="33">
        <v>2</v>
      </c>
      <c r="T3522" s="31">
        <v>0</v>
      </c>
      <c r="U3522" s="31">
        <v>0</v>
      </c>
      <c r="V3522" s="31">
        <v>0</v>
      </c>
      <c r="W3522" s="47">
        <f>((2500+1800)/2)*39.37/12</f>
        <v>7053.791666666667</v>
      </c>
      <c r="Y3522" s="31" t="s">
        <v>51</v>
      </c>
      <c r="Z3522" s="31" t="s">
        <v>1846</v>
      </c>
      <c r="AA3522" s="34">
        <v>0.875</v>
      </c>
      <c r="AB3522" s="34">
        <v>1</v>
      </c>
      <c r="AC3522" s="49">
        <f>AVERAGE(AA3522:AB3522)</f>
        <v>0.9375</v>
      </c>
      <c r="AD3522" s="35">
        <f>2+5/6</f>
        <v>2.8333333333333335</v>
      </c>
      <c r="AE3522" s="31" t="s">
        <v>4756</v>
      </c>
      <c r="AF3522" s="31">
        <v>120</v>
      </c>
      <c r="AK3522" s="130">
        <f>2*8</f>
        <v>16</v>
      </c>
      <c r="AQ3522" s="32" t="s">
        <v>4759</v>
      </c>
      <c r="AR3522" s="32" t="s">
        <v>4762</v>
      </c>
      <c r="AU3522">
        <v>3521</v>
      </c>
    </row>
    <row r="3523" spans="1:47" x14ac:dyDescent="0.2">
      <c r="A3523" s="13">
        <v>6667</v>
      </c>
      <c r="B3523" s="57" t="s">
        <v>45</v>
      </c>
      <c r="C3523" s="57" t="s">
        <v>1367</v>
      </c>
      <c r="D3523" s="29"/>
      <c r="E3523" s="57" t="s">
        <v>1397</v>
      </c>
      <c r="F3523" s="31" t="s">
        <v>76</v>
      </c>
      <c r="G3523" s="31" t="s">
        <v>49</v>
      </c>
      <c r="I3523" s="31" t="s">
        <v>4763</v>
      </c>
      <c r="K3523" s="31">
        <f>4950-1760</f>
        <v>3190</v>
      </c>
      <c r="AE3523" s="31" t="s">
        <v>4756</v>
      </c>
      <c r="AF3523" s="31">
        <v>80</v>
      </c>
      <c r="AQ3523" s="32" t="s">
        <v>4757</v>
      </c>
      <c r="AU3523">
        <v>3522</v>
      </c>
    </row>
    <row r="3524" spans="1:47" x14ac:dyDescent="0.2">
      <c r="A3524" s="13">
        <v>6667</v>
      </c>
      <c r="B3524" s="57" t="s">
        <v>45</v>
      </c>
      <c r="C3524" s="57" t="s">
        <v>1367</v>
      </c>
      <c r="D3524" s="29"/>
      <c r="E3524" s="57" t="s">
        <v>1682</v>
      </c>
      <c r="F3524" s="31" t="s">
        <v>76</v>
      </c>
      <c r="G3524" s="31" t="s">
        <v>49</v>
      </c>
      <c r="I3524" s="31" t="s">
        <v>4763</v>
      </c>
      <c r="K3524" s="31">
        <f>3366-1760</f>
        <v>1606</v>
      </c>
      <c r="AE3524" s="31" t="s">
        <v>4756</v>
      </c>
      <c r="AF3524" s="31">
        <v>120</v>
      </c>
      <c r="AQ3524" s="32" t="s">
        <v>4757</v>
      </c>
      <c r="AU3524">
        <v>3523</v>
      </c>
    </row>
    <row r="3525" spans="1:47" x14ac:dyDescent="0.2">
      <c r="A3525" s="13">
        <v>6667</v>
      </c>
      <c r="B3525" s="57" t="s">
        <v>45</v>
      </c>
      <c r="C3525" s="57" t="s">
        <v>1367</v>
      </c>
      <c r="D3525" s="29"/>
      <c r="E3525" s="57" t="s">
        <v>4202</v>
      </c>
      <c r="F3525" s="31" t="s">
        <v>76</v>
      </c>
      <c r="G3525" s="31" t="s">
        <v>49</v>
      </c>
      <c r="I3525" s="31" t="s">
        <v>4755</v>
      </c>
      <c r="K3525" s="31">
        <v>3850</v>
      </c>
      <c r="AE3525" s="31" t="s">
        <v>4756</v>
      </c>
      <c r="AF3525" s="31">
        <v>60</v>
      </c>
      <c r="AQ3525" s="32" t="s">
        <v>4757</v>
      </c>
      <c r="AU3525">
        <v>3524</v>
      </c>
    </row>
    <row r="3526" spans="1:47" x14ac:dyDescent="0.2">
      <c r="A3526" s="13">
        <v>6667</v>
      </c>
      <c r="B3526" s="57" t="s">
        <v>45</v>
      </c>
      <c r="C3526" s="57" t="s">
        <v>4407</v>
      </c>
      <c r="D3526" s="29"/>
      <c r="E3526" s="57" t="s">
        <v>4739</v>
      </c>
      <c r="F3526" s="31" t="s">
        <v>4598</v>
      </c>
      <c r="G3526" s="31" t="s">
        <v>69</v>
      </c>
      <c r="I3526" s="31" t="s">
        <v>4740</v>
      </c>
      <c r="K3526" s="63"/>
      <c r="AQ3526" s="32" t="s">
        <v>4737</v>
      </c>
      <c r="AU3526">
        <v>3525</v>
      </c>
    </row>
    <row r="3527" spans="1:47" x14ac:dyDescent="0.2">
      <c r="A3527" s="26">
        <v>6668</v>
      </c>
      <c r="B3527" s="27">
        <v>0.80138888888888893</v>
      </c>
      <c r="C3527" s="28"/>
      <c r="D3527" s="29"/>
      <c r="E3527" s="30" t="s">
        <v>869</v>
      </c>
      <c r="H3527" s="32">
        <v>0</v>
      </c>
      <c r="I3527" s="32" t="s">
        <v>2344</v>
      </c>
      <c r="AG3527" s="32">
        <v>0</v>
      </c>
      <c r="AH3527" s="32">
        <v>0</v>
      </c>
      <c r="AI3527" s="32">
        <v>0</v>
      </c>
      <c r="AK3527" s="32">
        <v>0</v>
      </c>
      <c r="AL3527" s="32">
        <f>21/60</f>
        <v>0.35</v>
      </c>
      <c r="AP3527" s="32">
        <f>21/60</f>
        <v>0.35</v>
      </c>
      <c r="AQ3527" s="32" t="s">
        <v>589</v>
      </c>
      <c r="AU3527">
        <v>3526</v>
      </c>
    </row>
    <row r="3528" spans="1:47" x14ac:dyDescent="0.2">
      <c r="A3528" s="133">
        <v>6670</v>
      </c>
      <c r="B3528" s="39" t="s">
        <v>85</v>
      </c>
      <c r="C3528" s="39">
        <v>55</v>
      </c>
      <c r="D3528" s="29" t="b">
        <v>0</v>
      </c>
      <c r="E3528" s="39" t="s">
        <v>75</v>
      </c>
      <c r="F3528" s="47" t="s">
        <v>4764</v>
      </c>
      <c r="G3528" s="47" t="s">
        <v>49</v>
      </c>
      <c r="H3528"/>
      <c r="I3528" s="47" t="b">
        <v>0</v>
      </c>
      <c r="J3528" s="47" t="b">
        <v>1</v>
      </c>
      <c r="K3528" s="47">
        <v>2464</v>
      </c>
      <c r="L3528" s="48">
        <v>11</v>
      </c>
      <c r="M3528" s="47">
        <v>0</v>
      </c>
      <c r="N3528" s="47">
        <v>0</v>
      </c>
      <c r="O3528" s="47">
        <v>0</v>
      </c>
      <c r="P3528" s="47">
        <v>11</v>
      </c>
      <c r="Q3528" s="47">
        <v>0</v>
      </c>
      <c r="R3528" s="47">
        <v>0</v>
      </c>
      <c r="S3528" s="48">
        <v>11</v>
      </c>
      <c r="T3528" s="47">
        <v>1</v>
      </c>
      <c r="U3528" s="47">
        <v>0</v>
      </c>
      <c r="V3528" s="47">
        <v>0</v>
      </c>
      <c r="W3528" s="47">
        <v>13000</v>
      </c>
      <c r="X3528" s="47">
        <v>460</v>
      </c>
      <c r="Y3528" s="47"/>
      <c r="Z3528" s="47" t="s">
        <v>3618</v>
      </c>
      <c r="AA3528" s="49"/>
      <c r="AB3528" s="49"/>
      <c r="AC3528" s="49"/>
      <c r="AD3528" s="50"/>
      <c r="AE3528" s="47" t="s">
        <v>3798</v>
      </c>
      <c r="AF3528" s="47">
        <v>155</v>
      </c>
      <c r="AG3528"/>
      <c r="AH3528"/>
      <c r="AI3528"/>
      <c r="AJ3528"/>
      <c r="AK3528"/>
      <c r="AL3528"/>
      <c r="AM3528"/>
      <c r="AN3528"/>
      <c r="AO3528"/>
      <c r="AP3528"/>
      <c r="AQ3528" t="s">
        <v>2526</v>
      </c>
      <c r="AU3528">
        <v>3527</v>
      </c>
    </row>
    <row r="3529" spans="1:47" x14ac:dyDescent="0.2">
      <c r="A3529" s="26">
        <v>6670</v>
      </c>
      <c r="B3529" s="27">
        <v>0.51041666666666663</v>
      </c>
      <c r="C3529" s="28"/>
      <c r="D3529" s="29"/>
      <c r="E3529" s="30" t="s">
        <v>78</v>
      </c>
      <c r="H3529" s="32">
        <v>1</v>
      </c>
      <c r="I3529" s="32"/>
      <c r="AG3529" s="32">
        <v>5</v>
      </c>
      <c r="AH3529" s="32">
        <v>8</v>
      </c>
      <c r="AK3529" s="32">
        <v>15</v>
      </c>
      <c r="AO3529" s="32" t="s">
        <v>80</v>
      </c>
      <c r="AQ3529" s="32" t="s">
        <v>1101</v>
      </c>
      <c r="AU3529">
        <v>3528</v>
      </c>
    </row>
    <row r="3530" spans="1:47" x14ac:dyDescent="0.2">
      <c r="A3530" s="26">
        <v>6670</v>
      </c>
      <c r="B3530" s="27">
        <v>0.55763888888888891</v>
      </c>
      <c r="C3530" s="28"/>
      <c r="D3530" s="29"/>
      <c r="E3530" s="102" t="s">
        <v>1102</v>
      </c>
      <c r="H3530" s="32">
        <v>0</v>
      </c>
      <c r="I3530" s="32" t="s">
        <v>1103</v>
      </c>
      <c r="AG3530" s="32">
        <v>0</v>
      </c>
      <c r="AH3530" s="32">
        <v>0</v>
      </c>
      <c r="AI3530" s="32">
        <v>0</v>
      </c>
      <c r="AK3530" s="32">
        <v>0</v>
      </c>
      <c r="AL3530" s="32">
        <f>9/60</f>
        <v>0.15</v>
      </c>
      <c r="AO3530" s="73" t="s">
        <v>1006</v>
      </c>
      <c r="AP3530" s="32">
        <f>9/60</f>
        <v>0.15</v>
      </c>
      <c r="AQ3530" s="32" t="s">
        <v>589</v>
      </c>
      <c r="AU3530">
        <v>3529</v>
      </c>
    </row>
    <row r="3531" spans="1:47" x14ac:dyDescent="0.2">
      <c r="A3531" s="26">
        <v>6670</v>
      </c>
      <c r="B3531" s="27" t="s">
        <v>85</v>
      </c>
      <c r="C3531" s="28"/>
      <c r="D3531" s="29"/>
      <c r="E3531" s="30" t="s">
        <v>1531</v>
      </c>
      <c r="H3531" s="32">
        <v>0</v>
      </c>
      <c r="I3531" s="32" t="s">
        <v>1532</v>
      </c>
      <c r="AG3531" s="32">
        <v>0</v>
      </c>
      <c r="AH3531" s="32">
        <v>0</v>
      </c>
      <c r="AI3531" s="32">
        <v>0</v>
      </c>
      <c r="AK3531" s="32">
        <v>0</v>
      </c>
      <c r="AM3531" s="32">
        <f>498*51</f>
        <v>25398</v>
      </c>
      <c r="AO3531" s="32" t="s">
        <v>1533</v>
      </c>
      <c r="AQ3531" s="32" t="s">
        <v>1101</v>
      </c>
      <c r="AU3531">
        <v>3530</v>
      </c>
    </row>
    <row r="3532" spans="1:47" x14ac:dyDescent="0.2">
      <c r="A3532" s="133">
        <v>6671</v>
      </c>
      <c r="B3532" s="42" t="s">
        <v>85</v>
      </c>
      <c r="C3532" s="43" t="s">
        <v>4765</v>
      </c>
      <c r="D3532" s="29"/>
      <c r="E3532" s="36" t="s">
        <v>4766</v>
      </c>
      <c r="F3532" s="31" t="s">
        <v>4767</v>
      </c>
      <c r="G3532" s="31" t="s">
        <v>73</v>
      </c>
      <c r="H3532" s="32"/>
      <c r="I3532" s="32"/>
      <c r="Z3532" s="31" t="s">
        <v>3724</v>
      </c>
      <c r="AQ3532" s="32" t="s">
        <v>4768</v>
      </c>
      <c r="AU3532">
        <v>3531</v>
      </c>
    </row>
    <row r="3533" spans="1:47" x14ac:dyDescent="0.2">
      <c r="A3533" s="133">
        <v>6671</v>
      </c>
      <c r="B3533" s="42" t="s">
        <v>85</v>
      </c>
      <c r="C3533" s="43" t="s">
        <v>4769</v>
      </c>
      <c r="D3533" s="29"/>
      <c r="E3533" s="36" t="s">
        <v>4770</v>
      </c>
      <c r="F3533" s="31" t="s">
        <v>4771</v>
      </c>
      <c r="G3533" s="31" t="s">
        <v>69</v>
      </c>
      <c r="H3533" s="32"/>
      <c r="I3533" s="32"/>
      <c r="AQ3533" s="32" t="s">
        <v>4768</v>
      </c>
      <c r="AU3533">
        <v>3532</v>
      </c>
    </row>
    <row r="3534" spans="1:47" x14ac:dyDescent="0.2">
      <c r="A3534" s="26">
        <v>6672</v>
      </c>
      <c r="B3534" s="27">
        <v>0.65069444444444446</v>
      </c>
      <c r="C3534" s="28"/>
      <c r="D3534" s="29"/>
      <c r="E3534" s="102" t="s">
        <v>1102</v>
      </c>
      <c r="H3534" s="32">
        <v>0</v>
      </c>
      <c r="I3534" s="32" t="s">
        <v>4772</v>
      </c>
      <c r="AG3534" s="32">
        <v>0</v>
      </c>
      <c r="AH3534" s="32">
        <v>0</v>
      </c>
      <c r="AI3534" s="32">
        <v>0</v>
      </c>
      <c r="AK3534" s="32">
        <v>0</v>
      </c>
      <c r="AL3534" s="32">
        <f>29/60</f>
        <v>0.48333333333333334</v>
      </c>
      <c r="AO3534" s="73" t="s">
        <v>1006</v>
      </c>
      <c r="AP3534" s="32">
        <f>29/60</f>
        <v>0.48333333333333334</v>
      </c>
      <c r="AQ3534" s="32" t="s">
        <v>589</v>
      </c>
      <c r="AU3534">
        <v>3533</v>
      </c>
    </row>
    <row r="3535" spans="1:47" x14ac:dyDescent="0.2">
      <c r="A3535" s="133">
        <v>6673</v>
      </c>
      <c r="B3535" s="42" t="s">
        <v>85</v>
      </c>
      <c r="C3535" s="43" t="s">
        <v>253</v>
      </c>
      <c r="D3535" s="29"/>
      <c r="E3535" s="36" t="s">
        <v>1895</v>
      </c>
      <c r="F3535" s="31" t="s">
        <v>4771</v>
      </c>
      <c r="G3535" s="31" t="s">
        <v>69</v>
      </c>
      <c r="H3535" s="32"/>
      <c r="I3535" s="32"/>
      <c r="AO3535" s="73"/>
      <c r="AQ3535" s="32" t="s">
        <v>4768</v>
      </c>
      <c r="AU3535">
        <v>3534</v>
      </c>
    </row>
    <row r="3536" spans="1:47" x14ac:dyDescent="0.2">
      <c r="A3536" s="37">
        <v>6675</v>
      </c>
      <c r="B3536" s="38" t="s">
        <v>85</v>
      </c>
      <c r="C3536" s="39" t="s">
        <v>4769</v>
      </c>
      <c r="D3536" s="29"/>
      <c r="E3536" s="38" t="s">
        <v>4773</v>
      </c>
      <c r="F3536" s="32" t="s">
        <v>4774</v>
      </c>
      <c r="G3536" s="47" t="s">
        <v>73</v>
      </c>
      <c r="H3536"/>
      <c r="I3536" s="32"/>
      <c r="J3536" s="47"/>
      <c r="K3536" s="47">
        <f>3433*2.2</f>
        <v>7552.6</v>
      </c>
      <c r="L3536" s="48"/>
      <c r="M3536" s="47"/>
      <c r="N3536" s="47"/>
      <c r="O3536" s="47"/>
      <c r="P3536" s="47"/>
      <c r="Q3536" s="47"/>
      <c r="R3536" s="47"/>
      <c r="S3536" s="48"/>
      <c r="T3536" s="47"/>
      <c r="U3536" s="47"/>
      <c r="V3536" s="47"/>
      <c r="W3536" s="47"/>
      <c r="X3536" s="47"/>
      <c r="Y3536" s="47"/>
      <c r="Z3536" s="47"/>
      <c r="AA3536" s="49"/>
      <c r="AB3536" s="49"/>
      <c r="AC3536" s="49"/>
      <c r="AD3536" s="50"/>
      <c r="AE3536" s="47"/>
      <c r="AF3536" s="47"/>
      <c r="AG3536"/>
      <c r="AH3536"/>
      <c r="AI3536"/>
      <c r="AJ3536"/>
      <c r="AK3536"/>
      <c r="AL3536"/>
      <c r="AM3536"/>
      <c r="AN3536"/>
      <c r="AO3536"/>
      <c r="AP3536"/>
      <c r="AQ3536" t="s">
        <v>4408</v>
      </c>
      <c r="AU3536">
        <v>3535</v>
      </c>
    </row>
    <row r="3537" spans="1:47" x14ac:dyDescent="0.2">
      <c r="A3537" s="133">
        <v>6676</v>
      </c>
      <c r="B3537" s="39" t="s">
        <v>85</v>
      </c>
      <c r="C3537" s="39">
        <v>55</v>
      </c>
      <c r="D3537" s="29" t="b">
        <v>0</v>
      </c>
      <c r="E3537" s="39" t="s">
        <v>75</v>
      </c>
      <c r="F3537" s="47" t="s">
        <v>4764</v>
      </c>
      <c r="G3537" s="47" t="s">
        <v>49</v>
      </c>
      <c r="H3537"/>
      <c r="I3537" s="47" t="b">
        <v>0</v>
      </c>
      <c r="J3537" s="47" t="b">
        <v>1</v>
      </c>
      <c r="K3537" s="47">
        <v>2464</v>
      </c>
      <c r="L3537" s="48">
        <v>12</v>
      </c>
      <c r="M3537" s="47">
        <v>0</v>
      </c>
      <c r="N3537" s="47">
        <v>1</v>
      </c>
      <c r="O3537" s="47">
        <v>0</v>
      </c>
      <c r="P3537" s="47">
        <v>11</v>
      </c>
      <c r="Q3537" s="47">
        <v>0</v>
      </c>
      <c r="R3537" s="47">
        <v>0</v>
      </c>
      <c r="S3537" s="48">
        <v>11</v>
      </c>
      <c r="T3537" s="47">
        <v>0</v>
      </c>
      <c r="U3537" s="47">
        <v>0</v>
      </c>
      <c r="V3537" s="47">
        <v>0</v>
      </c>
      <c r="W3537" s="47">
        <v>12000</v>
      </c>
      <c r="X3537" s="47">
        <v>461</v>
      </c>
      <c r="Y3537" s="47"/>
      <c r="Z3537" s="47" t="s">
        <v>3618</v>
      </c>
      <c r="AA3537" s="49"/>
      <c r="AB3537" s="49"/>
      <c r="AC3537" s="49"/>
      <c r="AD3537" s="50"/>
      <c r="AE3537" s="47" t="s">
        <v>3798</v>
      </c>
      <c r="AF3537" s="47">
        <v>155</v>
      </c>
      <c r="AG3537"/>
      <c r="AH3537"/>
      <c r="AI3537"/>
      <c r="AJ3537"/>
      <c r="AK3537"/>
      <c r="AL3537"/>
      <c r="AM3537"/>
      <c r="AN3537"/>
      <c r="AO3537"/>
      <c r="AP3537"/>
      <c r="AQ3537" t="s">
        <v>2526</v>
      </c>
      <c r="AU3537">
        <v>3536</v>
      </c>
    </row>
    <row r="3538" spans="1:47" x14ac:dyDescent="0.2">
      <c r="A3538" s="37">
        <v>6676</v>
      </c>
      <c r="B3538" s="38" t="s">
        <v>85</v>
      </c>
      <c r="C3538" s="39" t="s">
        <v>4775</v>
      </c>
      <c r="D3538" s="29"/>
      <c r="E3538" s="38" t="s">
        <v>4776</v>
      </c>
      <c r="F3538" s="32" t="s">
        <v>278</v>
      </c>
      <c r="G3538" s="47" t="s">
        <v>49</v>
      </c>
      <c r="H3538"/>
      <c r="I3538" s="32" t="s">
        <v>4777</v>
      </c>
      <c r="J3538" s="47"/>
      <c r="K3538" s="47"/>
      <c r="L3538" s="48"/>
      <c r="M3538" s="47"/>
      <c r="N3538" s="47"/>
      <c r="O3538" s="47"/>
      <c r="P3538" s="47"/>
      <c r="Q3538" s="47"/>
      <c r="R3538" s="47"/>
      <c r="S3538" s="48"/>
      <c r="T3538" s="47"/>
      <c r="U3538" s="47"/>
      <c r="V3538" s="47"/>
      <c r="W3538" s="47"/>
      <c r="X3538" s="47"/>
      <c r="Y3538" s="47"/>
      <c r="Z3538" s="47"/>
      <c r="AA3538" s="49"/>
      <c r="AB3538" s="49"/>
      <c r="AC3538" s="49"/>
      <c r="AD3538" s="50"/>
      <c r="AE3538" s="47"/>
      <c r="AF3538" s="47"/>
      <c r="AG3538"/>
      <c r="AH3538"/>
      <c r="AI3538"/>
      <c r="AJ3538"/>
      <c r="AK3538"/>
      <c r="AL3538"/>
      <c r="AM3538"/>
      <c r="AN3538"/>
      <c r="AO3538"/>
      <c r="AP3538"/>
      <c r="AQ3538" t="s">
        <v>4778</v>
      </c>
      <c r="AU3538">
        <v>3537</v>
      </c>
    </row>
    <row r="3539" spans="1:47" x14ac:dyDescent="0.2">
      <c r="A3539" s="26">
        <v>6676</v>
      </c>
      <c r="B3539" s="27">
        <v>0.53819444444444442</v>
      </c>
      <c r="C3539" s="28"/>
      <c r="D3539" s="29"/>
      <c r="E3539" s="30" t="s">
        <v>78</v>
      </c>
      <c r="H3539" s="32">
        <v>1</v>
      </c>
      <c r="I3539" s="32"/>
      <c r="AG3539" s="32">
        <v>0</v>
      </c>
      <c r="AH3539" s="32">
        <v>1</v>
      </c>
      <c r="AK3539" s="32">
        <v>13</v>
      </c>
      <c r="AO3539" s="32" t="s">
        <v>80</v>
      </c>
      <c r="AP3539" s="32">
        <f>25/60</f>
        <v>0.41666666666666669</v>
      </c>
      <c r="AQ3539" s="32" t="s">
        <v>1101</v>
      </c>
      <c r="AU3539">
        <v>3538</v>
      </c>
    </row>
    <row r="3540" spans="1:47" x14ac:dyDescent="0.2">
      <c r="A3540" s="26">
        <v>6676</v>
      </c>
      <c r="B3540" s="27">
        <v>0.55208333333333337</v>
      </c>
      <c r="C3540" s="28"/>
      <c r="D3540" s="29"/>
      <c r="E3540" s="102" t="s">
        <v>1102</v>
      </c>
      <c r="H3540" s="32">
        <v>0</v>
      </c>
      <c r="I3540" s="32" t="s">
        <v>1103</v>
      </c>
      <c r="AG3540" s="32">
        <v>0</v>
      </c>
      <c r="AH3540" s="32">
        <v>0</v>
      </c>
      <c r="AI3540" s="32">
        <v>0</v>
      </c>
      <c r="AK3540" s="32">
        <v>0</v>
      </c>
      <c r="AL3540" s="32">
        <v>0.25</v>
      </c>
      <c r="AO3540" s="73" t="s">
        <v>1006</v>
      </c>
      <c r="AP3540" s="32">
        <v>0.25</v>
      </c>
      <c r="AQ3540" s="32" t="s">
        <v>589</v>
      </c>
      <c r="AU3540">
        <v>3539</v>
      </c>
    </row>
    <row r="3541" spans="1:47" x14ac:dyDescent="0.2">
      <c r="A3541" s="26">
        <v>6676</v>
      </c>
      <c r="B3541" s="27" t="s">
        <v>85</v>
      </c>
      <c r="C3541" s="28"/>
      <c r="D3541" s="29"/>
      <c r="E3541" s="30" t="s">
        <v>1531</v>
      </c>
      <c r="H3541" s="32">
        <v>0</v>
      </c>
      <c r="I3541" s="32" t="s">
        <v>1532</v>
      </c>
      <c r="AG3541" s="32">
        <v>0</v>
      </c>
      <c r="AH3541" s="32">
        <v>0</v>
      </c>
      <c r="AI3541" s="32">
        <v>0</v>
      </c>
      <c r="AK3541" s="32">
        <v>0</v>
      </c>
      <c r="AM3541" s="32">
        <f>498*34</f>
        <v>16932</v>
      </c>
      <c r="AO3541" s="32" t="s">
        <v>1533</v>
      </c>
      <c r="AQ3541" s="32" t="s">
        <v>1101</v>
      </c>
      <c r="AU3541">
        <v>3540</v>
      </c>
    </row>
    <row r="3542" spans="1:47" x14ac:dyDescent="0.2">
      <c r="A3542" s="133">
        <v>6677</v>
      </c>
      <c r="B3542" s="39" t="s">
        <v>85</v>
      </c>
      <c r="C3542" s="39">
        <v>55</v>
      </c>
      <c r="D3542" s="29" t="b">
        <v>0</v>
      </c>
      <c r="E3542" s="39" t="s">
        <v>1104</v>
      </c>
      <c r="F3542" s="47" t="s">
        <v>4779</v>
      </c>
      <c r="G3542" s="47" t="s">
        <v>49</v>
      </c>
      <c r="H3542"/>
      <c r="I3542" s="47" t="b">
        <v>0</v>
      </c>
      <c r="J3542" s="47" t="b">
        <v>1</v>
      </c>
      <c r="K3542" s="47">
        <v>2464</v>
      </c>
      <c r="L3542" s="48">
        <v>12</v>
      </c>
      <c r="M3542" s="47">
        <v>0</v>
      </c>
      <c r="N3542" s="47">
        <v>1</v>
      </c>
      <c r="O3542" s="47">
        <v>0</v>
      </c>
      <c r="P3542" s="47">
        <v>11</v>
      </c>
      <c r="Q3542" s="47">
        <v>0</v>
      </c>
      <c r="R3542" s="47">
        <v>0</v>
      </c>
      <c r="S3542" s="48">
        <v>11</v>
      </c>
      <c r="T3542" s="47">
        <v>0</v>
      </c>
      <c r="U3542" s="47">
        <v>0</v>
      </c>
      <c r="V3542" s="47">
        <v>0</v>
      </c>
      <c r="W3542" s="47">
        <v>14000</v>
      </c>
      <c r="X3542" s="47">
        <v>462</v>
      </c>
      <c r="Y3542" s="47"/>
      <c r="Z3542" s="47" t="s">
        <v>3618</v>
      </c>
      <c r="AA3542" s="49"/>
      <c r="AB3542" s="49"/>
      <c r="AC3542" s="49"/>
      <c r="AD3542" s="50"/>
      <c r="AE3542" s="47" t="s">
        <v>3798</v>
      </c>
      <c r="AF3542" s="47">
        <v>70</v>
      </c>
      <c r="AG3542"/>
      <c r="AH3542"/>
      <c r="AI3542"/>
      <c r="AJ3542"/>
      <c r="AK3542"/>
      <c r="AL3542"/>
      <c r="AM3542"/>
      <c r="AN3542"/>
      <c r="AO3542"/>
      <c r="AP3542"/>
      <c r="AQ3542" t="s">
        <v>2526</v>
      </c>
      <c r="AU3542">
        <v>3541</v>
      </c>
    </row>
    <row r="3543" spans="1:47" x14ac:dyDescent="0.2">
      <c r="A3543" s="37">
        <v>6677</v>
      </c>
      <c r="B3543" s="38" t="s">
        <v>85</v>
      </c>
      <c r="C3543" s="39" t="s">
        <v>4769</v>
      </c>
      <c r="D3543" s="29"/>
      <c r="E3543" s="38" t="s">
        <v>4780</v>
      </c>
      <c r="F3543" s="32" t="s">
        <v>246</v>
      </c>
      <c r="G3543" s="47" t="s">
        <v>49</v>
      </c>
      <c r="H3543"/>
      <c r="I3543" s="32" t="s">
        <v>4781</v>
      </c>
      <c r="J3543" s="47"/>
      <c r="K3543" s="47">
        <f>16688*2.2</f>
        <v>36713.600000000006</v>
      </c>
      <c r="L3543" s="48">
        <v>113</v>
      </c>
      <c r="M3543" s="47"/>
      <c r="N3543" s="47"/>
      <c r="O3543" s="47"/>
      <c r="P3543" s="47"/>
      <c r="Q3543" s="47"/>
      <c r="R3543" s="47"/>
      <c r="S3543" s="48"/>
      <c r="T3543" s="47">
        <v>0</v>
      </c>
      <c r="U3543" s="47"/>
      <c r="V3543" s="47"/>
      <c r="W3543" s="47"/>
      <c r="X3543" s="47"/>
      <c r="Y3543" s="47"/>
      <c r="Z3543" s="47"/>
      <c r="AA3543" s="49"/>
      <c r="AB3543" s="49"/>
      <c r="AC3543" s="49"/>
      <c r="AD3543" s="50"/>
      <c r="AE3543" s="47"/>
      <c r="AF3543" s="47"/>
      <c r="AG3543"/>
      <c r="AH3543"/>
      <c r="AI3543"/>
      <c r="AJ3543"/>
      <c r="AK3543"/>
      <c r="AL3543"/>
      <c r="AM3543"/>
      <c r="AN3543"/>
      <c r="AO3543"/>
      <c r="AP3543"/>
      <c r="AQ3543" t="s">
        <v>4778</v>
      </c>
      <c r="AU3543">
        <v>3542</v>
      </c>
    </row>
    <row r="3544" spans="1:47" x14ac:dyDescent="0.2">
      <c r="A3544" s="37">
        <v>6677</v>
      </c>
      <c r="B3544" s="38" t="s">
        <v>85</v>
      </c>
      <c r="C3544" s="43" t="s">
        <v>4702</v>
      </c>
      <c r="D3544" s="29"/>
      <c r="E3544" s="38" t="s">
        <v>4782</v>
      </c>
      <c r="F3544" s="32" t="s">
        <v>246</v>
      </c>
      <c r="G3544" s="47" t="s">
        <v>49</v>
      </c>
      <c r="H3544"/>
      <c r="I3544" s="32" t="s">
        <v>4783</v>
      </c>
      <c r="J3544" s="47"/>
      <c r="K3544" s="47"/>
      <c r="L3544" s="48"/>
      <c r="M3544" s="47"/>
      <c r="N3544" s="47"/>
      <c r="O3544" s="47"/>
      <c r="P3544" s="47"/>
      <c r="Q3544" s="47"/>
      <c r="R3544" s="47"/>
      <c r="S3544" s="48"/>
      <c r="T3544" s="47"/>
      <c r="U3544" s="47"/>
      <c r="V3544" s="47"/>
      <c r="W3544" s="47"/>
      <c r="X3544" s="47"/>
      <c r="Y3544" s="47" t="s">
        <v>120</v>
      </c>
      <c r="Z3544" s="31" t="s">
        <v>3724</v>
      </c>
      <c r="AA3544" s="49"/>
      <c r="AB3544" s="49"/>
      <c r="AC3544" s="49"/>
      <c r="AD3544" s="50"/>
      <c r="AE3544" s="47"/>
      <c r="AF3544" s="47"/>
      <c r="AG3544"/>
      <c r="AH3544"/>
      <c r="AI3544"/>
      <c r="AJ3544"/>
      <c r="AK3544"/>
      <c r="AL3544"/>
      <c r="AM3544"/>
      <c r="AN3544"/>
      <c r="AO3544"/>
      <c r="AP3544"/>
      <c r="AQ3544" t="s">
        <v>4784</v>
      </c>
      <c r="AU3544">
        <v>3543</v>
      </c>
    </row>
    <row r="3545" spans="1:47" x14ac:dyDescent="0.2">
      <c r="A3545" s="133">
        <v>6677</v>
      </c>
      <c r="B3545" s="39" t="s">
        <v>45</v>
      </c>
      <c r="C3545" s="39">
        <v>100</v>
      </c>
      <c r="D3545" s="29" t="b">
        <v>0</v>
      </c>
      <c r="E3545" s="39" t="s">
        <v>3875</v>
      </c>
      <c r="F3545" s="47" t="s">
        <v>4779</v>
      </c>
      <c r="G3545" s="47" t="s">
        <v>49</v>
      </c>
      <c r="H3545"/>
      <c r="I3545" s="47" t="b">
        <v>0</v>
      </c>
      <c r="J3545" s="47" t="b">
        <v>1</v>
      </c>
      <c r="K3545" s="47">
        <v>1344</v>
      </c>
      <c r="L3545" s="48">
        <v>8</v>
      </c>
      <c r="M3545" s="47">
        <v>2</v>
      </c>
      <c r="N3545" s="47">
        <v>0</v>
      </c>
      <c r="O3545" s="47">
        <v>0</v>
      </c>
      <c r="P3545" s="47">
        <v>0</v>
      </c>
      <c r="Q3545" s="47">
        <v>0</v>
      </c>
      <c r="R3545" s="47">
        <v>0</v>
      </c>
      <c r="S3545" s="48">
        <v>6</v>
      </c>
      <c r="T3545" s="47">
        <v>0</v>
      </c>
      <c r="U3545" s="47">
        <v>1</v>
      </c>
      <c r="V3545" s="47">
        <v>0</v>
      </c>
      <c r="W3545" s="47">
        <v>1000</v>
      </c>
      <c r="X3545" s="47">
        <v>463</v>
      </c>
      <c r="Y3545" s="47"/>
      <c r="Z3545" s="47" t="s">
        <v>2524</v>
      </c>
      <c r="AA3545" s="49"/>
      <c r="AB3545" s="49"/>
      <c r="AC3545" s="49"/>
      <c r="AD3545" s="50"/>
      <c r="AE3545" s="47" t="s">
        <v>4785</v>
      </c>
      <c r="AF3545" s="47">
        <v>80</v>
      </c>
      <c r="AG3545"/>
      <c r="AH3545"/>
      <c r="AI3545"/>
      <c r="AJ3545"/>
      <c r="AK3545"/>
      <c r="AL3545"/>
      <c r="AM3545"/>
      <c r="AN3545"/>
      <c r="AO3545"/>
      <c r="AP3545"/>
      <c r="AQ3545" t="s">
        <v>2526</v>
      </c>
      <c r="AU3545">
        <v>3544</v>
      </c>
    </row>
    <row r="3546" spans="1:47" x14ac:dyDescent="0.2">
      <c r="A3546" s="133">
        <v>6677</v>
      </c>
      <c r="B3546" s="39" t="s">
        <v>45</v>
      </c>
      <c r="C3546" s="39">
        <v>216</v>
      </c>
      <c r="D3546" s="29" t="b">
        <v>0</v>
      </c>
      <c r="E3546" s="39" t="s">
        <v>4786</v>
      </c>
      <c r="F3546" s="47" t="s">
        <v>4787</v>
      </c>
      <c r="G3546" s="47" t="s">
        <v>49</v>
      </c>
      <c r="H3546"/>
      <c r="I3546" s="47" t="b">
        <v>1</v>
      </c>
      <c r="J3546" s="47" t="b">
        <v>1</v>
      </c>
      <c r="K3546" s="47">
        <v>4032</v>
      </c>
      <c r="L3546" s="48">
        <v>3</v>
      </c>
      <c r="M3546" s="47">
        <v>0</v>
      </c>
      <c r="N3546" s="47">
        <v>0</v>
      </c>
      <c r="O3546" s="47">
        <v>0</v>
      </c>
      <c r="P3546" s="47">
        <v>0</v>
      </c>
      <c r="Q3546" s="47">
        <v>0</v>
      </c>
      <c r="R3546" s="47">
        <v>0</v>
      </c>
      <c r="S3546" s="48">
        <v>3</v>
      </c>
      <c r="T3546" s="47">
        <v>0</v>
      </c>
      <c r="U3546" s="47">
        <v>0</v>
      </c>
      <c r="V3546" s="47">
        <v>0</v>
      </c>
      <c r="W3546" s="47">
        <v>4333</v>
      </c>
      <c r="X3546" s="47">
        <v>464</v>
      </c>
      <c r="Y3546" s="47"/>
      <c r="Z3546" s="47" t="s">
        <v>2466</v>
      </c>
      <c r="AA3546" s="49"/>
      <c r="AB3546" s="49"/>
      <c r="AC3546" s="49"/>
      <c r="AD3546" s="50"/>
      <c r="AE3546" s="47" t="s">
        <v>4788</v>
      </c>
      <c r="AF3546" s="47">
        <v>80</v>
      </c>
      <c r="AG3546"/>
      <c r="AH3546"/>
      <c r="AI3546"/>
      <c r="AJ3546"/>
      <c r="AK3546"/>
      <c r="AL3546"/>
      <c r="AM3546"/>
      <c r="AN3546"/>
      <c r="AO3546"/>
      <c r="AP3546"/>
      <c r="AQ3546" t="s">
        <v>2526</v>
      </c>
      <c r="AU3546">
        <v>3545</v>
      </c>
    </row>
    <row r="3547" spans="1:47" x14ac:dyDescent="0.2">
      <c r="A3547" s="133">
        <v>6677</v>
      </c>
      <c r="B3547" s="39" t="s">
        <v>45</v>
      </c>
      <c r="C3547" s="39">
        <v>216</v>
      </c>
      <c r="D3547" s="29" t="b">
        <v>0</v>
      </c>
      <c r="E3547" s="39" t="s">
        <v>3876</v>
      </c>
      <c r="F3547" s="47" t="s">
        <v>4789</v>
      </c>
      <c r="G3547" s="47" t="s">
        <v>49</v>
      </c>
      <c r="H3547"/>
      <c r="I3547" s="47" t="b">
        <v>0</v>
      </c>
      <c r="J3547" s="47" t="b">
        <v>0</v>
      </c>
      <c r="K3547" s="47">
        <v>2688</v>
      </c>
      <c r="L3547" s="48">
        <v>2</v>
      </c>
      <c r="M3547" s="47">
        <v>0</v>
      </c>
      <c r="N3547" s="47">
        <v>0</v>
      </c>
      <c r="O3547" s="47">
        <v>0</v>
      </c>
      <c r="P3547" s="47">
        <v>0</v>
      </c>
      <c r="Q3547" s="47">
        <v>0</v>
      </c>
      <c r="R3547" s="47">
        <v>0</v>
      </c>
      <c r="S3547" s="48">
        <v>2</v>
      </c>
      <c r="T3547" s="47">
        <v>0</v>
      </c>
      <c r="U3547" s="47">
        <v>0</v>
      </c>
      <c r="V3547" s="47">
        <v>0</v>
      </c>
      <c r="W3547" s="47">
        <v>4000</v>
      </c>
      <c r="X3547" s="47">
        <v>465</v>
      </c>
      <c r="Y3547" s="47"/>
      <c r="Z3547" s="47" t="s">
        <v>2466</v>
      </c>
      <c r="AA3547" s="49"/>
      <c r="AB3547" s="49"/>
      <c r="AC3547" s="49"/>
      <c r="AD3547" s="50"/>
      <c r="AE3547" s="47" t="s">
        <v>4788</v>
      </c>
      <c r="AF3547" s="47">
        <v>80</v>
      </c>
      <c r="AG3547"/>
      <c r="AH3547"/>
      <c r="AI3547"/>
      <c r="AJ3547"/>
      <c r="AK3547"/>
      <c r="AL3547"/>
      <c r="AM3547"/>
      <c r="AN3547"/>
      <c r="AO3547"/>
      <c r="AP3547"/>
      <c r="AQ3547" t="s">
        <v>2526</v>
      </c>
      <c r="AU3547">
        <v>3546</v>
      </c>
    </row>
    <row r="3548" spans="1:47" x14ac:dyDescent="0.2">
      <c r="A3548" s="133">
        <v>6677</v>
      </c>
      <c r="B3548" s="39" t="s">
        <v>45</v>
      </c>
      <c r="C3548" s="39">
        <v>216</v>
      </c>
      <c r="D3548" s="29" t="b">
        <v>0</v>
      </c>
      <c r="E3548" s="39" t="s">
        <v>3875</v>
      </c>
      <c r="F3548" s="47" t="s">
        <v>4790</v>
      </c>
      <c r="G3548" s="47" t="s">
        <v>49</v>
      </c>
      <c r="H3548"/>
      <c r="I3548" s="47" t="b">
        <v>0</v>
      </c>
      <c r="J3548" s="47" t="b">
        <v>0</v>
      </c>
      <c r="K3548" s="47">
        <v>1344</v>
      </c>
      <c r="L3548" s="48">
        <v>1</v>
      </c>
      <c r="M3548" s="47">
        <v>0</v>
      </c>
      <c r="N3548" s="47">
        <v>0</v>
      </c>
      <c r="O3548" s="47">
        <v>0</v>
      </c>
      <c r="P3548" s="47">
        <v>0</v>
      </c>
      <c r="Q3548" s="47">
        <v>0</v>
      </c>
      <c r="R3548" s="47">
        <v>0</v>
      </c>
      <c r="S3548" s="48">
        <v>1</v>
      </c>
      <c r="T3548" s="47">
        <v>0</v>
      </c>
      <c r="U3548" s="47">
        <v>0</v>
      </c>
      <c r="V3548" s="47">
        <v>0</v>
      </c>
      <c r="W3548" s="47">
        <v>5000</v>
      </c>
      <c r="X3548" s="47">
        <v>466</v>
      </c>
      <c r="Y3548" s="47"/>
      <c r="Z3548" s="47" t="s">
        <v>2466</v>
      </c>
      <c r="AA3548" s="49"/>
      <c r="AB3548" s="49"/>
      <c r="AC3548" s="49"/>
      <c r="AD3548" s="50"/>
      <c r="AE3548" s="47" t="s">
        <v>4788</v>
      </c>
      <c r="AF3548" s="47">
        <v>80</v>
      </c>
      <c r="AG3548"/>
      <c r="AH3548"/>
      <c r="AI3548"/>
      <c r="AJ3548"/>
      <c r="AK3548"/>
      <c r="AL3548"/>
      <c r="AM3548"/>
      <c r="AN3548"/>
      <c r="AO3548"/>
      <c r="AP3548"/>
      <c r="AQ3548" t="s">
        <v>2526</v>
      </c>
      <c r="AU3548">
        <v>3547</v>
      </c>
    </row>
    <row r="3549" spans="1:47" x14ac:dyDescent="0.2">
      <c r="A3549" s="37">
        <v>6677</v>
      </c>
      <c r="B3549" s="38" t="s">
        <v>45</v>
      </c>
      <c r="C3549" s="39" t="s">
        <v>142</v>
      </c>
      <c r="D3549" s="29"/>
      <c r="E3549" s="38" t="s">
        <v>4791</v>
      </c>
      <c r="F3549" s="31" t="s">
        <v>4792</v>
      </c>
      <c r="G3549" s="47" t="s">
        <v>49</v>
      </c>
      <c r="H3549"/>
      <c r="I3549" s="32" t="s">
        <v>4793</v>
      </c>
      <c r="J3549" s="47"/>
      <c r="K3549" s="47">
        <f>7165*2.2</f>
        <v>15763.000000000002</v>
      </c>
      <c r="L3549" s="48">
        <v>36</v>
      </c>
      <c r="M3549" s="47"/>
      <c r="N3549" s="47">
        <v>1</v>
      </c>
      <c r="O3549" s="47">
        <v>1</v>
      </c>
      <c r="P3549" s="47"/>
      <c r="Q3549" s="47"/>
      <c r="R3549" s="47"/>
      <c r="S3549" s="48">
        <v>34</v>
      </c>
      <c r="T3549" s="47">
        <v>0</v>
      </c>
      <c r="U3549" s="47">
        <v>4</v>
      </c>
      <c r="V3549" s="47">
        <v>2</v>
      </c>
      <c r="W3549" s="47"/>
      <c r="X3549" s="47"/>
      <c r="Y3549" s="47" t="s">
        <v>51</v>
      </c>
      <c r="Z3549" s="31" t="s">
        <v>3855</v>
      </c>
      <c r="AA3549" s="49"/>
      <c r="AB3549" s="49"/>
      <c r="AC3549" s="49"/>
      <c r="AD3549" s="50"/>
      <c r="AE3549" s="31" t="s">
        <v>4723</v>
      </c>
      <c r="AF3549" s="47">
        <v>70</v>
      </c>
      <c r="AG3549"/>
      <c r="AH3549"/>
      <c r="AI3549"/>
      <c r="AJ3549"/>
      <c r="AK3549"/>
      <c r="AL3549"/>
      <c r="AM3549"/>
      <c r="AN3549"/>
      <c r="AO3549"/>
      <c r="AP3549"/>
      <c r="AQ3549" t="s">
        <v>4794</v>
      </c>
      <c r="AU3549">
        <v>3548</v>
      </c>
    </row>
    <row r="3550" spans="1:47" x14ac:dyDescent="0.2">
      <c r="A3550" s="13">
        <v>6677</v>
      </c>
      <c r="B3550" s="57" t="s">
        <v>45</v>
      </c>
      <c r="C3550" s="57" t="s">
        <v>4407</v>
      </c>
      <c r="D3550" s="29"/>
      <c r="E3550" s="57" t="s">
        <v>1593</v>
      </c>
      <c r="F3550" s="31" t="s">
        <v>4750</v>
      </c>
      <c r="G3550" s="31" t="s">
        <v>69</v>
      </c>
      <c r="I3550" s="31" t="s">
        <v>4751</v>
      </c>
      <c r="K3550" s="63"/>
      <c r="AQ3550" s="32" t="s">
        <v>4737</v>
      </c>
      <c r="AU3550">
        <v>3549</v>
      </c>
    </row>
    <row r="3551" spans="1:47" x14ac:dyDescent="0.2">
      <c r="A3551" s="13">
        <v>6677</v>
      </c>
      <c r="B3551" s="57" t="s">
        <v>45</v>
      </c>
      <c r="C3551" s="57" t="s">
        <v>4407</v>
      </c>
      <c r="D3551" s="29"/>
      <c r="E3551" s="57" t="s">
        <v>1004</v>
      </c>
      <c r="F3551" s="31" t="s">
        <v>4795</v>
      </c>
      <c r="G3551" s="31" t="s">
        <v>73</v>
      </c>
      <c r="I3551" s="31" t="s">
        <v>4736</v>
      </c>
      <c r="K3551" s="63"/>
      <c r="AQ3551" s="32" t="s">
        <v>4746</v>
      </c>
      <c r="AU3551">
        <v>3550</v>
      </c>
    </row>
    <row r="3552" spans="1:47" x14ac:dyDescent="0.2">
      <c r="A3552" s="13">
        <v>6677</v>
      </c>
      <c r="B3552" s="57" t="s">
        <v>45</v>
      </c>
      <c r="C3552" s="57" t="s">
        <v>4407</v>
      </c>
      <c r="D3552" s="29"/>
      <c r="E3552" s="57" t="s">
        <v>4752</v>
      </c>
      <c r="F3552" s="31" t="s">
        <v>76</v>
      </c>
      <c r="G3552" s="31" t="s">
        <v>49</v>
      </c>
      <c r="I3552" s="31" t="s">
        <v>4753</v>
      </c>
      <c r="K3552" s="63"/>
      <c r="AQ3552" s="32" t="s">
        <v>4746</v>
      </c>
      <c r="AU3552">
        <v>3551</v>
      </c>
    </row>
    <row r="3553" spans="1:47" x14ac:dyDescent="0.2">
      <c r="A3553" s="13">
        <v>6677</v>
      </c>
      <c r="B3553" s="57" t="s">
        <v>45</v>
      </c>
      <c r="C3553" s="57" t="s">
        <v>4407</v>
      </c>
      <c r="D3553" s="29"/>
      <c r="E3553" s="57" t="s">
        <v>4739</v>
      </c>
      <c r="F3553" s="31" t="s">
        <v>4598</v>
      </c>
      <c r="G3553" s="31" t="s">
        <v>69</v>
      </c>
      <c r="I3553" s="31" t="s">
        <v>4740</v>
      </c>
      <c r="K3553" s="63"/>
      <c r="AQ3553" s="32" t="s">
        <v>4737</v>
      </c>
      <c r="AU3553">
        <v>3552</v>
      </c>
    </row>
    <row r="3554" spans="1:47" x14ac:dyDescent="0.2">
      <c r="A3554" s="13">
        <v>6677</v>
      </c>
      <c r="B3554" s="57" t="s">
        <v>45</v>
      </c>
      <c r="C3554" s="57" t="s">
        <v>4456</v>
      </c>
      <c r="D3554" s="29"/>
      <c r="E3554" s="57" t="s">
        <v>3816</v>
      </c>
      <c r="F3554" s="31" t="s">
        <v>76</v>
      </c>
      <c r="G3554" s="31" t="s">
        <v>49</v>
      </c>
      <c r="I3554" s="19" t="s">
        <v>4796</v>
      </c>
      <c r="K3554" s="183">
        <f>3*8*50*2.02</f>
        <v>2424</v>
      </c>
      <c r="L3554" s="33">
        <v>4</v>
      </c>
      <c r="N3554" s="31">
        <v>1</v>
      </c>
      <c r="S3554" s="33">
        <v>3</v>
      </c>
      <c r="T3554" s="31">
        <v>0</v>
      </c>
      <c r="U3554" s="31">
        <v>0</v>
      </c>
      <c r="V3554" s="31">
        <v>0</v>
      </c>
      <c r="W3554" s="47">
        <f>((2300+2200+2500)/3)*39.37/12</f>
        <v>7655.2777777777774</v>
      </c>
      <c r="Y3554" s="31" t="s">
        <v>51</v>
      </c>
      <c r="Z3554" s="31" t="s">
        <v>1846</v>
      </c>
      <c r="AA3554" s="34">
        <v>0.85763888888888884</v>
      </c>
      <c r="AB3554" s="34">
        <v>0.95486111111111116</v>
      </c>
      <c r="AC3554" s="49">
        <f>AVERAGE(AA3554:AB3554)</f>
        <v>0.90625</v>
      </c>
      <c r="AD3554" s="35">
        <v>2.75</v>
      </c>
      <c r="AE3554" s="31" t="s">
        <v>4756</v>
      </c>
      <c r="AF3554" s="31">
        <v>110</v>
      </c>
      <c r="AK3554" s="130">
        <f>3*8</f>
        <v>24</v>
      </c>
      <c r="AQ3554" s="32" t="s">
        <v>4797</v>
      </c>
      <c r="AU3554">
        <v>3553</v>
      </c>
    </row>
    <row r="3555" spans="1:47" x14ac:dyDescent="0.2">
      <c r="A3555" s="13">
        <v>6677</v>
      </c>
      <c r="B3555" s="57" t="s">
        <v>45</v>
      </c>
      <c r="C3555" s="57" t="s">
        <v>4456</v>
      </c>
      <c r="D3555" s="29"/>
      <c r="E3555" s="57" t="s">
        <v>3884</v>
      </c>
      <c r="F3555" s="31" t="s">
        <v>76</v>
      </c>
      <c r="G3555" s="31" t="s">
        <v>49</v>
      </c>
      <c r="I3555" s="31" t="s">
        <v>4798</v>
      </c>
      <c r="K3555" s="183">
        <f>8*50*2.2</f>
        <v>880.00000000000011</v>
      </c>
      <c r="L3555" s="33">
        <v>1</v>
      </c>
      <c r="S3555" s="33">
        <v>1</v>
      </c>
      <c r="T3555" s="31">
        <v>0</v>
      </c>
      <c r="U3555" s="31">
        <v>0</v>
      </c>
      <c r="V3555" s="31">
        <v>0</v>
      </c>
      <c r="W3555" s="47">
        <f>2000*39.37/12</f>
        <v>6561.666666666667</v>
      </c>
      <c r="Y3555" s="31" t="s">
        <v>51</v>
      </c>
      <c r="Z3555" s="31" t="s">
        <v>1846</v>
      </c>
      <c r="AA3555" s="34">
        <v>4.1666666666666664E-2</v>
      </c>
      <c r="AB3555" s="34">
        <v>0.11805555555555557</v>
      </c>
      <c r="AC3555" s="49">
        <f>AVERAGE(AA3555:AB3555)</f>
        <v>7.9861111111111119E-2</v>
      </c>
      <c r="AD3555" s="35">
        <f>1+5/6</f>
        <v>1.8333333333333335</v>
      </c>
      <c r="AE3555" s="31" t="s">
        <v>4756</v>
      </c>
      <c r="AF3555" s="31">
        <v>85</v>
      </c>
      <c r="AK3555" s="130">
        <v>8</v>
      </c>
      <c r="AQ3555" s="32" t="s">
        <v>4797</v>
      </c>
      <c r="AU3555">
        <v>3554</v>
      </c>
    </row>
    <row r="3556" spans="1:47" x14ac:dyDescent="0.2">
      <c r="A3556" s="37">
        <v>6677</v>
      </c>
      <c r="B3556" s="38" t="s">
        <v>45</v>
      </c>
      <c r="C3556" s="39" t="s">
        <v>1367</v>
      </c>
      <c r="D3556" s="29"/>
      <c r="E3556" s="38" t="s">
        <v>4799</v>
      </c>
      <c r="F3556" s="32" t="s">
        <v>4800</v>
      </c>
      <c r="G3556" s="47" t="s">
        <v>73</v>
      </c>
      <c r="H3556"/>
      <c r="I3556" s="32" t="s">
        <v>4801</v>
      </c>
      <c r="J3556" s="47"/>
      <c r="K3556" s="47"/>
      <c r="L3556" s="48">
        <v>15</v>
      </c>
      <c r="M3556" s="47"/>
      <c r="N3556" s="47"/>
      <c r="O3556" s="47"/>
      <c r="P3556" s="47"/>
      <c r="Q3556" s="47"/>
      <c r="R3556" s="47"/>
      <c r="S3556" s="48"/>
      <c r="T3556" s="47"/>
      <c r="U3556" s="47"/>
      <c r="V3556" s="47"/>
      <c r="W3556" s="47"/>
      <c r="X3556" s="47"/>
      <c r="Y3556" s="47"/>
      <c r="Z3556" s="47" t="s">
        <v>4802</v>
      </c>
      <c r="AA3556" s="49"/>
      <c r="AB3556" s="49"/>
      <c r="AC3556" s="49"/>
      <c r="AD3556" s="50"/>
      <c r="AE3556" s="31" t="s">
        <v>4756</v>
      </c>
      <c r="AF3556" s="47"/>
      <c r="AG3556"/>
      <c r="AH3556"/>
      <c r="AI3556"/>
      <c r="AJ3556"/>
      <c r="AK3556"/>
      <c r="AL3556"/>
      <c r="AM3556"/>
      <c r="AN3556"/>
      <c r="AO3556"/>
      <c r="AP3556"/>
      <c r="AQ3556" s="32" t="s">
        <v>4757</v>
      </c>
      <c r="AU3556">
        <v>3555</v>
      </c>
    </row>
    <row r="3557" spans="1:47" x14ac:dyDescent="0.2">
      <c r="A3557" s="13">
        <v>6677</v>
      </c>
      <c r="B3557" s="57" t="s">
        <v>45</v>
      </c>
      <c r="C3557" s="57" t="s">
        <v>1367</v>
      </c>
      <c r="D3557" s="29"/>
      <c r="E3557" s="57" t="s">
        <v>3816</v>
      </c>
      <c r="F3557" s="31" t="s">
        <v>76</v>
      </c>
      <c r="G3557" s="31" t="s">
        <v>49</v>
      </c>
      <c r="I3557" s="19" t="s">
        <v>4803</v>
      </c>
      <c r="K3557" s="31">
        <f>8272-2424</f>
        <v>5848</v>
      </c>
      <c r="AE3557" s="31" t="s">
        <v>4756</v>
      </c>
      <c r="AF3557" s="31">
        <v>110</v>
      </c>
      <c r="AQ3557" s="32" t="s">
        <v>4757</v>
      </c>
      <c r="AU3557">
        <v>3556</v>
      </c>
    </row>
    <row r="3558" spans="1:47" x14ac:dyDescent="0.2">
      <c r="A3558" s="13">
        <v>6677</v>
      </c>
      <c r="B3558" s="57" t="s">
        <v>45</v>
      </c>
      <c r="C3558" s="57" t="s">
        <v>1367</v>
      </c>
      <c r="D3558" s="29"/>
      <c r="E3558" s="57" t="s">
        <v>1397</v>
      </c>
      <c r="F3558" s="31" t="s">
        <v>76</v>
      </c>
      <c r="G3558" s="31" t="s">
        <v>49</v>
      </c>
      <c r="I3558" s="31" t="s">
        <v>4804</v>
      </c>
      <c r="K3558" s="31">
        <v>3300</v>
      </c>
      <c r="AE3558" s="31" t="s">
        <v>4756</v>
      </c>
      <c r="AF3558" s="31">
        <v>80</v>
      </c>
      <c r="AQ3558" s="32" t="s">
        <v>4757</v>
      </c>
      <c r="AU3558">
        <v>3557</v>
      </c>
    </row>
    <row r="3559" spans="1:47" x14ac:dyDescent="0.2">
      <c r="A3559" s="13">
        <v>6677</v>
      </c>
      <c r="B3559" s="57" t="s">
        <v>45</v>
      </c>
      <c r="C3559" s="57" t="s">
        <v>1367</v>
      </c>
      <c r="D3559" s="29"/>
      <c r="E3559" s="57" t="s">
        <v>4182</v>
      </c>
      <c r="F3559" s="31" t="s">
        <v>76</v>
      </c>
      <c r="G3559" s="31" t="s">
        <v>49</v>
      </c>
      <c r="I3559" s="31" t="s">
        <v>4804</v>
      </c>
      <c r="K3559" s="31">
        <v>1760</v>
      </c>
      <c r="AE3559" s="31" t="s">
        <v>4756</v>
      </c>
      <c r="AF3559" s="31">
        <v>95</v>
      </c>
      <c r="AQ3559" s="32" t="s">
        <v>4757</v>
      </c>
      <c r="AU3559">
        <v>3558</v>
      </c>
    </row>
    <row r="3560" spans="1:47" x14ac:dyDescent="0.2">
      <c r="A3560" s="13">
        <v>6677</v>
      </c>
      <c r="B3560" s="57" t="s">
        <v>45</v>
      </c>
      <c r="C3560" s="57" t="s">
        <v>1367</v>
      </c>
      <c r="D3560" s="29"/>
      <c r="E3560" s="57" t="s">
        <v>3884</v>
      </c>
      <c r="F3560" s="31" t="s">
        <v>76</v>
      </c>
      <c r="G3560" s="31" t="s">
        <v>49</v>
      </c>
      <c r="I3560" s="19" t="s">
        <v>4803</v>
      </c>
      <c r="K3560" s="31">
        <f>1870-880</f>
        <v>990</v>
      </c>
      <c r="AE3560" s="31" t="s">
        <v>4756</v>
      </c>
      <c r="AF3560" s="31">
        <v>85</v>
      </c>
      <c r="AQ3560" s="32" t="s">
        <v>4757</v>
      </c>
      <c r="AU3560">
        <v>3559</v>
      </c>
    </row>
    <row r="3561" spans="1:47" x14ac:dyDescent="0.2">
      <c r="A3561" s="13">
        <v>6677</v>
      </c>
      <c r="B3561" s="57" t="s">
        <v>45</v>
      </c>
      <c r="C3561" s="57" t="s">
        <v>1367</v>
      </c>
      <c r="D3561" s="29"/>
      <c r="E3561" s="57" t="s">
        <v>4197</v>
      </c>
      <c r="F3561" s="31" t="s">
        <v>204</v>
      </c>
      <c r="G3561" s="31" t="s">
        <v>205</v>
      </c>
      <c r="I3561" s="31" t="s">
        <v>4804</v>
      </c>
      <c r="K3561" s="31">
        <v>440</v>
      </c>
      <c r="AE3561" s="31" t="s">
        <v>4756</v>
      </c>
      <c r="AF3561" s="31">
        <v>80</v>
      </c>
      <c r="AQ3561" s="32" t="s">
        <v>4757</v>
      </c>
      <c r="AU3561">
        <v>3560</v>
      </c>
    </row>
    <row r="3562" spans="1:47" x14ac:dyDescent="0.2">
      <c r="A3562" s="13">
        <v>6677</v>
      </c>
      <c r="B3562" s="57" t="s">
        <v>45</v>
      </c>
      <c r="C3562" s="57" t="s">
        <v>4805</v>
      </c>
      <c r="D3562" s="29"/>
      <c r="E3562" s="57" t="s">
        <v>3884</v>
      </c>
      <c r="F3562" s="31" t="s">
        <v>76</v>
      </c>
      <c r="G3562" s="31" t="s">
        <v>49</v>
      </c>
      <c r="K3562" s="31">
        <v>3326.4</v>
      </c>
      <c r="S3562" s="33">
        <v>6</v>
      </c>
      <c r="Z3562" s="31" t="s">
        <v>1846</v>
      </c>
      <c r="AE3562" s="31" t="s">
        <v>4756</v>
      </c>
      <c r="AF3562" s="31">
        <v>85</v>
      </c>
      <c r="AQ3562" s="32" t="s">
        <v>4757</v>
      </c>
      <c r="AU3562">
        <v>3561</v>
      </c>
    </row>
    <row r="3563" spans="1:47" x14ac:dyDescent="0.2">
      <c r="A3563" s="13">
        <v>6677</v>
      </c>
      <c r="B3563" s="57" t="s">
        <v>45</v>
      </c>
      <c r="C3563" s="57" t="s">
        <v>4407</v>
      </c>
      <c r="D3563" s="29"/>
      <c r="E3563" s="57" t="s">
        <v>4806</v>
      </c>
      <c r="F3563" s="31" t="s">
        <v>204</v>
      </c>
      <c r="G3563" s="31" t="s">
        <v>205</v>
      </c>
      <c r="I3563" s="31" t="s">
        <v>4748</v>
      </c>
      <c r="K3563" s="31">
        <v>4697</v>
      </c>
      <c r="AQ3563" s="32" t="s">
        <v>4737</v>
      </c>
      <c r="AU3563">
        <v>3562</v>
      </c>
    </row>
    <row r="3564" spans="1:47" x14ac:dyDescent="0.2">
      <c r="A3564" s="13">
        <v>6677</v>
      </c>
      <c r="B3564" s="57" t="s">
        <v>45</v>
      </c>
      <c r="C3564" s="57" t="s">
        <v>4407</v>
      </c>
      <c r="D3564" s="29"/>
      <c r="E3564" s="57" t="s">
        <v>4807</v>
      </c>
      <c r="F3564" s="31" t="s">
        <v>204</v>
      </c>
      <c r="G3564" s="31" t="s">
        <v>205</v>
      </c>
      <c r="I3564" s="31" t="s">
        <v>4748</v>
      </c>
      <c r="K3564" s="31">
        <v>2332</v>
      </c>
      <c r="AQ3564" s="32" t="s">
        <v>4737</v>
      </c>
      <c r="AU3564">
        <v>3563</v>
      </c>
    </row>
    <row r="3565" spans="1:47" x14ac:dyDescent="0.2">
      <c r="A3565" s="13">
        <v>6677</v>
      </c>
      <c r="B3565" s="57" t="s">
        <v>45</v>
      </c>
      <c r="C3565" s="57" t="s">
        <v>4407</v>
      </c>
      <c r="D3565" s="29"/>
      <c r="E3565" s="57" t="s">
        <v>1682</v>
      </c>
      <c r="F3565" s="31" t="s">
        <v>76</v>
      </c>
      <c r="G3565" s="31" t="s">
        <v>49</v>
      </c>
      <c r="I3565" s="31" t="s">
        <v>4748</v>
      </c>
      <c r="K3565" s="31">
        <v>9240</v>
      </c>
      <c r="AQ3565" s="32" t="s">
        <v>4737</v>
      </c>
      <c r="AU3565">
        <v>3564</v>
      </c>
    </row>
    <row r="3566" spans="1:47" x14ac:dyDescent="0.2">
      <c r="A3566" s="13">
        <v>6677</v>
      </c>
      <c r="B3566" s="57" t="s">
        <v>45</v>
      </c>
      <c r="C3566" s="57" t="s">
        <v>4407</v>
      </c>
      <c r="D3566" s="29"/>
      <c r="E3566" s="57" t="s">
        <v>1830</v>
      </c>
      <c r="F3566" s="31" t="s">
        <v>4808</v>
      </c>
      <c r="G3566" s="31" t="s">
        <v>49</v>
      </c>
      <c r="I3566" s="31" t="s">
        <v>4809</v>
      </c>
      <c r="K3566" s="63"/>
      <c r="AQ3566" s="32" t="s">
        <v>4737</v>
      </c>
      <c r="AU3566">
        <v>3565</v>
      </c>
    </row>
    <row r="3567" spans="1:47" x14ac:dyDescent="0.2">
      <c r="A3567" s="26">
        <v>6677</v>
      </c>
      <c r="B3567" s="27">
        <v>0.48055555555555557</v>
      </c>
      <c r="C3567" s="28"/>
      <c r="D3567" s="29"/>
      <c r="E3567" s="30" t="s">
        <v>3737</v>
      </c>
      <c r="H3567" s="32">
        <v>0</v>
      </c>
      <c r="I3567" s="32" t="s">
        <v>4810</v>
      </c>
      <c r="AG3567" s="32">
        <v>0</v>
      </c>
      <c r="AH3567" s="32">
        <v>0</v>
      </c>
      <c r="AI3567" s="32">
        <v>0</v>
      </c>
      <c r="AK3567" s="32">
        <v>0</v>
      </c>
      <c r="AM3567" s="74"/>
      <c r="AQ3567" s="32" t="s">
        <v>1101</v>
      </c>
      <c r="AU3567">
        <v>3566</v>
      </c>
    </row>
    <row r="3568" spans="1:47" x14ac:dyDescent="0.2">
      <c r="A3568" s="26">
        <v>6677</v>
      </c>
      <c r="B3568" s="27">
        <v>0.49652777777777773</v>
      </c>
      <c r="C3568" s="28"/>
      <c r="D3568" s="29"/>
      <c r="E3568" s="30" t="s">
        <v>1124</v>
      </c>
      <c r="H3568" s="32">
        <v>1</v>
      </c>
      <c r="I3568" s="32" t="s">
        <v>1534</v>
      </c>
      <c r="AG3568" s="32">
        <v>2</v>
      </c>
      <c r="AH3568" s="32">
        <v>4</v>
      </c>
      <c r="AK3568" s="32">
        <v>19</v>
      </c>
      <c r="AL3568" s="32">
        <v>0.25</v>
      </c>
      <c r="AO3568" s="46" t="s">
        <v>1126</v>
      </c>
      <c r="AP3568" s="32">
        <v>0.25</v>
      </c>
      <c r="AQ3568" s="32" t="s">
        <v>589</v>
      </c>
      <c r="AU3568">
        <v>3567</v>
      </c>
    </row>
    <row r="3569" spans="1:47" x14ac:dyDescent="0.2">
      <c r="A3569" s="26">
        <v>6677</v>
      </c>
      <c r="B3569" s="27">
        <v>0.4993055555555555</v>
      </c>
      <c r="C3569" s="28"/>
      <c r="D3569" s="29"/>
      <c r="E3569" s="30" t="s">
        <v>3155</v>
      </c>
      <c r="H3569" s="32">
        <v>0</v>
      </c>
      <c r="I3569" s="32" t="s">
        <v>3156</v>
      </c>
      <c r="AG3569" s="32">
        <v>0</v>
      </c>
      <c r="AH3569" s="32">
        <v>0</v>
      </c>
      <c r="AI3569" s="32">
        <v>0</v>
      </c>
      <c r="AK3569" s="32">
        <v>0</v>
      </c>
      <c r="AP3569" s="32">
        <f>31/60</f>
        <v>0.51666666666666672</v>
      </c>
      <c r="AQ3569" s="32" t="s">
        <v>1101</v>
      </c>
      <c r="AU3569">
        <v>3568</v>
      </c>
    </row>
    <row r="3570" spans="1:47" x14ac:dyDescent="0.2">
      <c r="A3570" s="26">
        <v>6677</v>
      </c>
      <c r="B3570" s="27">
        <v>0.50694444444444442</v>
      </c>
      <c r="C3570" s="28"/>
      <c r="D3570" s="29"/>
      <c r="E3570" s="30" t="s">
        <v>4219</v>
      </c>
      <c r="H3570" s="32">
        <v>0</v>
      </c>
      <c r="I3570" s="32" t="s">
        <v>4249</v>
      </c>
      <c r="AL3570" s="32">
        <f>25/60</f>
        <v>0.41666666666666669</v>
      </c>
      <c r="AO3570" s="32" t="s">
        <v>858</v>
      </c>
      <c r="AP3570" s="32">
        <f>25/60</f>
        <v>0.41666666666666669</v>
      </c>
      <c r="AQ3570" s="32" t="s">
        <v>1101</v>
      </c>
      <c r="AU3570">
        <v>3569</v>
      </c>
    </row>
    <row r="3571" spans="1:47" x14ac:dyDescent="0.2">
      <c r="A3571" s="37">
        <v>6678</v>
      </c>
      <c r="B3571" s="38" t="s">
        <v>85</v>
      </c>
      <c r="C3571" s="43" t="s">
        <v>4702</v>
      </c>
      <c r="D3571" s="29"/>
      <c r="E3571" s="38" t="s">
        <v>4811</v>
      </c>
      <c r="F3571" s="31" t="s">
        <v>4812</v>
      </c>
      <c r="G3571" s="31" t="s">
        <v>69</v>
      </c>
      <c r="H3571" s="32"/>
      <c r="I3571" s="32"/>
      <c r="Z3571" s="31" t="s">
        <v>3724</v>
      </c>
      <c r="AQ3571" s="32" t="s">
        <v>4784</v>
      </c>
      <c r="AU3571">
        <v>3570</v>
      </c>
    </row>
    <row r="3572" spans="1:47" x14ac:dyDescent="0.2">
      <c r="A3572" s="37">
        <v>6678</v>
      </c>
      <c r="B3572" s="38" t="s">
        <v>45</v>
      </c>
      <c r="C3572" s="43" t="s">
        <v>4171</v>
      </c>
      <c r="D3572" s="29"/>
      <c r="E3572" s="38" t="s">
        <v>3884</v>
      </c>
      <c r="F3572" s="31" t="s">
        <v>743</v>
      </c>
      <c r="G3572" s="31" t="s">
        <v>49</v>
      </c>
      <c r="H3572" s="32"/>
      <c r="I3572" s="32" t="s">
        <v>4813</v>
      </c>
      <c r="Z3572" s="31" t="s">
        <v>1846</v>
      </c>
      <c r="AE3572" s="31" t="s">
        <v>4756</v>
      </c>
      <c r="AF3572" s="31">
        <v>85</v>
      </c>
      <c r="AQ3572" s="32" t="s">
        <v>4655</v>
      </c>
      <c r="AU3572">
        <v>3571</v>
      </c>
    </row>
    <row r="3573" spans="1:47" x14ac:dyDescent="0.2">
      <c r="A3573" s="26">
        <v>6680</v>
      </c>
      <c r="B3573" s="27"/>
      <c r="C3573" s="28"/>
      <c r="D3573" s="29"/>
      <c r="E3573" s="30" t="s">
        <v>3837</v>
      </c>
      <c r="H3573" s="32">
        <v>1</v>
      </c>
      <c r="I3573" s="32" t="s">
        <v>4814</v>
      </c>
      <c r="AG3573" s="32">
        <v>0</v>
      </c>
      <c r="AH3573" s="32">
        <v>0</v>
      </c>
      <c r="AQ3573" s="32">
        <v>395</v>
      </c>
      <c r="AU3573">
        <v>3572</v>
      </c>
    </row>
    <row r="3574" spans="1:47" x14ac:dyDescent="0.2">
      <c r="A3574" s="13">
        <v>6683</v>
      </c>
      <c r="B3574" s="57" t="s">
        <v>45</v>
      </c>
      <c r="C3574" s="57" t="s">
        <v>4179</v>
      </c>
      <c r="D3574" s="29"/>
      <c r="E3574" s="57" t="s">
        <v>4815</v>
      </c>
      <c r="F3574" s="31" t="s">
        <v>4598</v>
      </c>
      <c r="G3574" s="31" t="s">
        <v>69</v>
      </c>
      <c r="K3574" s="31">
        <v>3520</v>
      </c>
      <c r="S3574" s="33">
        <v>9</v>
      </c>
      <c r="Z3574" s="31" t="s">
        <v>3814</v>
      </c>
      <c r="AK3574" s="32">
        <v>46</v>
      </c>
      <c r="AQ3574" s="32" t="s">
        <v>4816</v>
      </c>
      <c r="AU3574">
        <v>3573</v>
      </c>
    </row>
    <row r="3575" spans="1:47" x14ac:dyDescent="0.2">
      <c r="A3575" s="13">
        <v>6683</v>
      </c>
      <c r="B3575" s="57" t="s">
        <v>45</v>
      </c>
      <c r="C3575" s="57" t="s">
        <v>4179</v>
      </c>
      <c r="D3575" s="29"/>
      <c r="E3575" s="57" t="s">
        <v>4749</v>
      </c>
      <c r="F3575" s="31" t="s">
        <v>204</v>
      </c>
      <c r="G3575" s="31" t="s">
        <v>205</v>
      </c>
      <c r="K3575" s="31">
        <v>3960</v>
      </c>
      <c r="S3575" s="33">
        <v>11</v>
      </c>
      <c r="Z3575" s="31" t="s">
        <v>3814</v>
      </c>
      <c r="AK3575" s="32">
        <v>72</v>
      </c>
      <c r="AQ3575" s="32" t="s">
        <v>4816</v>
      </c>
      <c r="AU3575">
        <v>3574</v>
      </c>
    </row>
    <row r="3576" spans="1:47" x14ac:dyDescent="0.2">
      <c r="A3576" s="37">
        <v>6684</v>
      </c>
      <c r="B3576" s="38" t="s">
        <v>85</v>
      </c>
      <c r="C3576" s="43" t="s">
        <v>4702</v>
      </c>
      <c r="D3576" s="29"/>
      <c r="E3576" s="38" t="s">
        <v>4817</v>
      </c>
      <c r="F3576" s="32" t="s">
        <v>246</v>
      </c>
      <c r="G3576" s="31" t="s">
        <v>49</v>
      </c>
      <c r="H3576" s="32"/>
      <c r="I3576" s="32" t="s">
        <v>4818</v>
      </c>
      <c r="Z3576" s="31" t="s">
        <v>3724</v>
      </c>
      <c r="AQ3576" s="32" t="s">
        <v>4784</v>
      </c>
      <c r="AU3576">
        <v>3575</v>
      </c>
    </row>
    <row r="3577" spans="1:47" x14ac:dyDescent="0.2">
      <c r="A3577" s="13">
        <v>6684</v>
      </c>
      <c r="B3577" s="57" t="s">
        <v>85</v>
      </c>
      <c r="C3577" s="57" t="s">
        <v>332</v>
      </c>
      <c r="D3577" s="29"/>
      <c r="E3577" s="57" t="s">
        <v>4819</v>
      </c>
      <c r="K3577" s="31">
        <v>336.6</v>
      </c>
      <c r="S3577" s="33">
        <v>1</v>
      </c>
      <c r="Z3577" s="31" t="s">
        <v>3724</v>
      </c>
      <c r="AE3577" s="31" t="s">
        <v>4649</v>
      </c>
      <c r="AF3577" s="31">
        <v>110</v>
      </c>
      <c r="AK3577" s="32">
        <v>12</v>
      </c>
      <c r="AQ3577" s="32" t="s">
        <v>4816</v>
      </c>
      <c r="AU3577">
        <v>3576</v>
      </c>
    </row>
    <row r="3578" spans="1:47" x14ac:dyDescent="0.2">
      <c r="A3578" s="13">
        <v>6684</v>
      </c>
      <c r="B3578" s="57" t="s">
        <v>85</v>
      </c>
      <c r="C3578" s="57" t="s">
        <v>332</v>
      </c>
      <c r="D3578" s="29"/>
      <c r="E3578" s="57" t="s">
        <v>4820</v>
      </c>
      <c r="K3578" s="31">
        <v>338.8</v>
      </c>
      <c r="S3578" s="33">
        <v>1</v>
      </c>
      <c r="Z3578" s="31" t="s">
        <v>3724</v>
      </c>
      <c r="AE3578" s="31" t="s">
        <v>4649</v>
      </c>
      <c r="AF3578" s="31">
        <v>105</v>
      </c>
      <c r="AK3578" s="32">
        <v>12</v>
      </c>
      <c r="AQ3578" s="32" t="s">
        <v>4816</v>
      </c>
      <c r="AU3578">
        <v>3577</v>
      </c>
    </row>
    <row r="3579" spans="1:47" x14ac:dyDescent="0.2">
      <c r="A3579" s="13">
        <v>6684</v>
      </c>
      <c r="B3579" s="57" t="s">
        <v>85</v>
      </c>
      <c r="C3579" s="57" t="s">
        <v>332</v>
      </c>
      <c r="D3579" s="29"/>
      <c r="E3579" s="57" t="s">
        <v>4821</v>
      </c>
      <c r="K3579" s="31">
        <v>341</v>
      </c>
      <c r="S3579" s="33">
        <v>1</v>
      </c>
      <c r="Z3579" s="31" t="s">
        <v>3724</v>
      </c>
      <c r="AE3579" s="31" t="s">
        <v>4649</v>
      </c>
      <c r="AF3579" s="31">
        <v>110</v>
      </c>
      <c r="AK3579" s="32">
        <v>12</v>
      </c>
      <c r="AQ3579" s="32" t="s">
        <v>4816</v>
      </c>
      <c r="AU3579">
        <v>3578</v>
      </c>
    </row>
    <row r="3580" spans="1:47" x14ac:dyDescent="0.2">
      <c r="A3580" s="13">
        <v>6684</v>
      </c>
      <c r="B3580" s="57" t="s">
        <v>85</v>
      </c>
      <c r="C3580" s="57" t="s">
        <v>332</v>
      </c>
      <c r="D3580" s="29"/>
      <c r="E3580" s="57" t="s">
        <v>4822</v>
      </c>
      <c r="K3580" s="31">
        <v>341</v>
      </c>
      <c r="S3580" s="33">
        <v>1</v>
      </c>
      <c r="Z3580" s="31" t="s">
        <v>3724</v>
      </c>
      <c r="AE3580" s="31" t="s">
        <v>4649</v>
      </c>
      <c r="AF3580" s="31">
        <v>95</v>
      </c>
      <c r="AK3580" s="32">
        <v>12</v>
      </c>
      <c r="AQ3580" s="32" t="s">
        <v>4816</v>
      </c>
      <c r="AU3580">
        <v>3579</v>
      </c>
    </row>
    <row r="3581" spans="1:47" x14ac:dyDescent="0.2">
      <c r="A3581" s="13">
        <v>6684</v>
      </c>
      <c r="B3581" s="57" t="s">
        <v>85</v>
      </c>
      <c r="C3581" s="57" t="s">
        <v>332</v>
      </c>
      <c r="D3581" s="29"/>
      <c r="E3581" s="57" t="s">
        <v>4823</v>
      </c>
      <c r="K3581" s="31">
        <v>653.4</v>
      </c>
      <c r="S3581" s="33">
        <v>2</v>
      </c>
      <c r="Z3581" s="31" t="s">
        <v>3724</v>
      </c>
      <c r="AE3581" s="31" t="s">
        <v>4649</v>
      </c>
      <c r="AK3581" s="32">
        <v>24</v>
      </c>
      <c r="AQ3581" s="32" t="s">
        <v>4816</v>
      </c>
      <c r="AU3581">
        <v>3580</v>
      </c>
    </row>
    <row r="3582" spans="1:47" x14ac:dyDescent="0.2">
      <c r="A3582" s="13">
        <v>6684</v>
      </c>
      <c r="B3582" s="57" t="s">
        <v>85</v>
      </c>
      <c r="C3582" s="57" t="s">
        <v>332</v>
      </c>
      <c r="D3582" s="29"/>
      <c r="E3582" s="57" t="s">
        <v>4824</v>
      </c>
      <c r="K3582" s="31">
        <v>2244</v>
      </c>
      <c r="S3582" s="33">
        <v>7</v>
      </c>
      <c r="Z3582" s="31" t="s">
        <v>3724</v>
      </c>
      <c r="AE3582" s="31" t="s">
        <v>4649</v>
      </c>
      <c r="AF3582" s="31">
        <v>105</v>
      </c>
      <c r="AK3582" s="32">
        <v>89</v>
      </c>
      <c r="AQ3582" s="32" t="s">
        <v>4816</v>
      </c>
      <c r="AU3582">
        <v>3581</v>
      </c>
    </row>
    <row r="3583" spans="1:47" x14ac:dyDescent="0.2">
      <c r="A3583" s="133">
        <v>6684</v>
      </c>
      <c r="B3583" s="39" t="s">
        <v>45</v>
      </c>
      <c r="C3583" s="39">
        <v>100</v>
      </c>
      <c r="D3583" s="29" t="b">
        <v>0</v>
      </c>
      <c r="E3583" s="39" t="s">
        <v>3875</v>
      </c>
      <c r="F3583" s="47" t="s">
        <v>4825</v>
      </c>
      <c r="G3583" s="47" t="s">
        <v>49</v>
      </c>
      <c r="H3583"/>
      <c r="I3583" s="47" t="b">
        <v>0</v>
      </c>
      <c r="J3583" s="47" t="b">
        <v>1</v>
      </c>
      <c r="K3583" s="47">
        <v>1568</v>
      </c>
      <c r="L3583" s="48">
        <v>10</v>
      </c>
      <c r="M3583" s="47">
        <v>2</v>
      </c>
      <c r="N3583" s="47">
        <v>2</v>
      </c>
      <c r="O3583" s="47">
        <v>0</v>
      </c>
      <c r="P3583" s="47">
        <v>0</v>
      </c>
      <c r="Q3583" s="47">
        <v>0</v>
      </c>
      <c r="R3583" s="47">
        <v>0</v>
      </c>
      <c r="S3583" s="48">
        <v>6</v>
      </c>
      <c r="T3583" s="47">
        <v>0</v>
      </c>
      <c r="U3583" s="47">
        <v>0</v>
      </c>
      <c r="V3583" s="47">
        <v>0</v>
      </c>
      <c r="W3583" s="47">
        <v>800</v>
      </c>
      <c r="X3583" s="47">
        <v>467</v>
      </c>
      <c r="Y3583" s="47"/>
      <c r="Z3583" s="47" t="s">
        <v>2524</v>
      </c>
      <c r="AA3583" s="49"/>
      <c r="AB3583" s="49"/>
      <c r="AC3583" s="49"/>
      <c r="AD3583" s="50"/>
      <c r="AE3583" s="47" t="s">
        <v>4785</v>
      </c>
      <c r="AF3583" s="47">
        <v>80</v>
      </c>
      <c r="AG3583"/>
      <c r="AH3583"/>
      <c r="AI3583"/>
      <c r="AJ3583"/>
      <c r="AK3583"/>
      <c r="AL3583"/>
      <c r="AM3583"/>
      <c r="AN3583"/>
      <c r="AO3583"/>
      <c r="AP3583"/>
      <c r="AQ3583" t="s">
        <v>2526</v>
      </c>
      <c r="AU3583">
        <v>3582</v>
      </c>
    </row>
    <row r="3584" spans="1:47" x14ac:dyDescent="0.2">
      <c r="A3584" s="133">
        <v>6684</v>
      </c>
      <c r="B3584" s="39" t="s">
        <v>45</v>
      </c>
      <c r="C3584" s="39">
        <v>216</v>
      </c>
      <c r="D3584" s="29" t="b">
        <v>0</v>
      </c>
      <c r="E3584" s="39" t="s">
        <v>4826</v>
      </c>
      <c r="F3584" s="47" t="s">
        <v>4790</v>
      </c>
      <c r="G3584" s="47" t="s">
        <v>49</v>
      </c>
      <c r="H3584"/>
      <c r="I3584" s="47" t="b">
        <v>1</v>
      </c>
      <c r="J3584" s="47" t="b">
        <v>1</v>
      </c>
      <c r="K3584" s="47">
        <v>4704</v>
      </c>
      <c r="L3584" s="48">
        <v>4</v>
      </c>
      <c r="M3584" s="47">
        <v>1</v>
      </c>
      <c r="N3584" s="47">
        <v>0</v>
      </c>
      <c r="O3584" s="47">
        <v>0</v>
      </c>
      <c r="P3584" s="47">
        <v>1</v>
      </c>
      <c r="Q3584" s="47">
        <v>0</v>
      </c>
      <c r="R3584" s="47">
        <v>0</v>
      </c>
      <c r="S3584" s="48">
        <v>3</v>
      </c>
      <c r="T3584" s="47">
        <v>0</v>
      </c>
      <c r="U3584" s="47">
        <v>0</v>
      </c>
      <c r="V3584" s="47">
        <v>0</v>
      </c>
      <c r="W3584" s="47">
        <v>4733</v>
      </c>
      <c r="X3584" s="47">
        <v>468</v>
      </c>
      <c r="Y3584" s="47"/>
      <c r="Z3584" s="47" t="s">
        <v>2466</v>
      </c>
      <c r="AA3584" s="49"/>
      <c r="AB3584" s="49"/>
      <c r="AC3584" s="49"/>
      <c r="AD3584" s="50"/>
      <c r="AE3584" s="47" t="s">
        <v>4788</v>
      </c>
      <c r="AF3584" s="47">
        <v>80</v>
      </c>
      <c r="AG3584"/>
      <c r="AH3584"/>
      <c r="AI3584"/>
      <c r="AJ3584"/>
      <c r="AK3584"/>
      <c r="AL3584"/>
      <c r="AM3584"/>
      <c r="AN3584"/>
      <c r="AO3584"/>
      <c r="AP3584"/>
      <c r="AQ3584" t="s">
        <v>2526</v>
      </c>
      <c r="AU3584">
        <v>3583</v>
      </c>
    </row>
    <row r="3585" spans="1:47" x14ac:dyDescent="0.2">
      <c r="A3585" s="133">
        <v>6684</v>
      </c>
      <c r="B3585" s="39" t="s">
        <v>45</v>
      </c>
      <c r="C3585" s="39">
        <v>216</v>
      </c>
      <c r="D3585" s="29" t="b">
        <v>0</v>
      </c>
      <c r="E3585" s="39" t="s">
        <v>3875</v>
      </c>
      <c r="F3585" s="47" t="s">
        <v>4827</v>
      </c>
      <c r="G3585" s="47" t="s">
        <v>49</v>
      </c>
      <c r="H3585"/>
      <c r="I3585" s="47" t="b">
        <v>0</v>
      </c>
      <c r="J3585" s="47" t="b">
        <v>0</v>
      </c>
      <c r="K3585" s="47">
        <v>3136</v>
      </c>
      <c r="L3585" s="48">
        <v>4</v>
      </c>
      <c r="M3585" s="47">
        <v>1</v>
      </c>
      <c r="N3585" s="47">
        <v>0</v>
      </c>
      <c r="O3585" s="47">
        <v>0</v>
      </c>
      <c r="P3585" s="47">
        <v>1</v>
      </c>
      <c r="Q3585" s="47">
        <v>0</v>
      </c>
      <c r="R3585" s="47">
        <v>0</v>
      </c>
      <c r="S3585" s="48">
        <v>2</v>
      </c>
      <c r="T3585" s="47">
        <v>0</v>
      </c>
      <c r="U3585" s="47">
        <v>0</v>
      </c>
      <c r="V3585" s="47">
        <v>0</v>
      </c>
      <c r="W3585" s="47">
        <v>4700</v>
      </c>
      <c r="X3585" s="47">
        <v>469</v>
      </c>
      <c r="Y3585" s="47"/>
      <c r="Z3585" s="47" t="s">
        <v>2466</v>
      </c>
      <c r="AA3585" s="49"/>
      <c r="AB3585" s="49"/>
      <c r="AC3585" s="49"/>
      <c r="AD3585" s="50"/>
      <c r="AE3585" s="47" t="s">
        <v>4788</v>
      </c>
      <c r="AF3585" s="47">
        <v>80</v>
      </c>
      <c r="AG3585"/>
      <c r="AH3585"/>
      <c r="AI3585"/>
      <c r="AJ3585"/>
      <c r="AK3585"/>
      <c r="AL3585"/>
      <c r="AM3585"/>
      <c r="AN3585"/>
      <c r="AO3585"/>
      <c r="AP3585"/>
      <c r="AQ3585" t="s">
        <v>2526</v>
      </c>
      <c r="AU3585">
        <v>3584</v>
      </c>
    </row>
    <row r="3586" spans="1:47" x14ac:dyDescent="0.2">
      <c r="A3586" s="133">
        <v>6684</v>
      </c>
      <c r="B3586" s="39" t="s">
        <v>45</v>
      </c>
      <c r="C3586" s="39">
        <v>216</v>
      </c>
      <c r="D3586" s="29" t="b">
        <v>0</v>
      </c>
      <c r="E3586" s="39" t="s">
        <v>4828</v>
      </c>
      <c r="F3586" s="47" t="s">
        <v>4829</v>
      </c>
      <c r="G3586" s="47" t="s">
        <v>49</v>
      </c>
      <c r="H3586"/>
      <c r="I3586" s="47" t="b">
        <v>0</v>
      </c>
      <c r="J3586" s="47" t="b">
        <v>0</v>
      </c>
      <c r="K3586" s="47">
        <v>1568</v>
      </c>
      <c r="L3586" s="48">
        <v>4</v>
      </c>
      <c r="M3586" s="47">
        <v>1</v>
      </c>
      <c r="N3586" s="47">
        <v>0</v>
      </c>
      <c r="O3586" s="47">
        <v>0</v>
      </c>
      <c r="P3586" s="47">
        <v>1</v>
      </c>
      <c r="Q3586" s="47">
        <v>0</v>
      </c>
      <c r="R3586" s="47">
        <v>0</v>
      </c>
      <c r="S3586" s="48">
        <v>1</v>
      </c>
      <c r="T3586" s="47">
        <v>0</v>
      </c>
      <c r="U3586" s="47">
        <v>0</v>
      </c>
      <c r="V3586" s="47">
        <v>0</v>
      </c>
      <c r="W3586" s="47">
        <v>4800</v>
      </c>
      <c r="X3586" s="47">
        <v>470</v>
      </c>
      <c r="Y3586" s="47"/>
      <c r="Z3586" s="47" t="s">
        <v>2466</v>
      </c>
      <c r="AA3586" s="49"/>
      <c r="AB3586" s="49"/>
      <c r="AC3586" s="49"/>
      <c r="AD3586" s="50"/>
      <c r="AE3586" s="47" t="s">
        <v>4788</v>
      </c>
      <c r="AF3586" s="47">
        <v>50</v>
      </c>
      <c r="AG3586"/>
      <c r="AH3586"/>
      <c r="AI3586"/>
      <c r="AJ3586"/>
      <c r="AK3586"/>
      <c r="AL3586"/>
      <c r="AM3586"/>
      <c r="AN3586"/>
      <c r="AO3586"/>
      <c r="AP3586"/>
      <c r="AQ3586" t="s">
        <v>2526</v>
      </c>
      <c r="AU3586">
        <v>3585</v>
      </c>
    </row>
    <row r="3587" spans="1:47" x14ac:dyDescent="0.2">
      <c r="A3587" s="13">
        <v>6684</v>
      </c>
      <c r="B3587" s="57" t="s">
        <v>45</v>
      </c>
      <c r="C3587" s="57" t="s">
        <v>142</v>
      </c>
      <c r="D3587" s="29"/>
      <c r="E3587" s="39" t="s">
        <v>4830</v>
      </c>
      <c r="F3587" s="47" t="s">
        <v>4831</v>
      </c>
      <c r="G3587" s="47" t="s">
        <v>69</v>
      </c>
      <c r="H3587"/>
      <c r="I3587" s="47" t="b">
        <v>1</v>
      </c>
      <c r="J3587" s="47" t="b">
        <v>1</v>
      </c>
      <c r="K3587" s="47">
        <f>4550*2.2</f>
        <v>10010</v>
      </c>
      <c r="L3587" s="48">
        <v>24</v>
      </c>
      <c r="M3587" s="47">
        <v>1</v>
      </c>
      <c r="N3587" s="47">
        <v>1</v>
      </c>
      <c r="O3587" s="47"/>
      <c r="P3587" s="47"/>
      <c r="Q3587" s="47"/>
      <c r="R3587" s="47"/>
      <c r="S3587" s="48">
        <v>22</v>
      </c>
      <c r="T3587" s="47">
        <v>0</v>
      </c>
      <c r="U3587" s="47">
        <v>0</v>
      </c>
      <c r="V3587" s="47">
        <v>0</v>
      </c>
      <c r="W3587" s="47"/>
      <c r="X3587" s="47"/>
      <c r="Y3587" s="47" t="s">
        <v>51</v>
      </c>
      <c r="Z3587" s="31" t="s">
        <v>3855</v>
      </c>
      <c r="AA3587" s="49">
        <v>0.98958333333333337</v>
      </c>
      <c r="AB3587" s="49"/>
      <c r="AC3587" s="49"/>
      <c r="AD3587" s="50"/>
      <c r="AE3587" s="31" t="s">
        <v>4723</v>
      </c>
      <c r="AF3587" s="47"/>
      <c r="AG3587"/>
      <c r="AH3587"/>
      <c r="AI3587"/>
      <c r="AJ3587"/>
      <c r="AK3587"/>
      <c r="AL3587"/>
      <c r="AM3587"/>
      <c r="AN3587"/>
      <c r="AO3587"/>
      <c r="AP3587"/>
      <c r="AQ3587" t="s">
        <v>4832</v>
      </c>
      <c r="AR3587" s="47" t="s">
        <v>4833</v>
      </c>
      <c r="AU3587">
        <v>3586</v>
      </c>
    </row>
    <row r="3588" spans="1:47" x14ac:dyDescent="0.2">
      <c r="A3588" s="13">
        <v>6684</v>
      </c>
      <c r="B3588" s="57" t="s">
        <v>45</v>
      </c>
      <c r="C3588" s="57" t="s">
        <v>142</v>
      </c>
      <c r="D3588" s="29"/>
      <c r="E3588" s="57" t="s">
        <v>4834</v>
      </c>
      <c r="F3588" s="31" t="s">
        <v>1900</v>
      </c>
      <c r="G3588" s="47" t="s">
        <v>69</v>
      </c>
      <c r="I3588" s="47" t="b">
        <v>0</v>
      </c>
      <c r="J3588" s="47" t="b">
        <v>0</v>
      </c>
      <c r="K3588" s="31">
        <v>1540</v>
      </c>
      <c r="S3588" s="33">
        <v>3</v>
      </c>
      <c r="Z3588" s="31" t="s">
        <v>3855</v>
      </c>
      <c r="AE3588" s="31" t="s">
        <v>4723</v>
      </c>
      <c r="AF3588" s="31">
        <v>80</v>
      </c>
      <c r="AK3588" s="32">
        <v>23</v>
      </c>
      <c r="AQ3588" s="32" t="s">
        <v>4816</v>
      </c>
      <c r="AU3588">
        <v>3587</v>
      </c>
    </row>
    <row r="3589" spans="1:47" x14ac:dyDescent="0.2">
      <c r="A3589" s="13">
        <v>6684</v>
      </c>
      <c r="B3589" s="57" t="s">
        <v>45</v>
      </c>
      <c r="C3589" s="57" t="s">
        <v>142</v>
      </c>
      <c r="D3589" s="29"/>
      <c r="E3589" s="57" t="s">
        <v>4824</v>
      </c>
      <c r="F3589" s="31" t="s">
        <v>1900</v>
      </c>
      <c r="G3589" s="47" t="s">
        <v>69</v>
      </c>
      <c r="I3589" s="47" t="b">
        <v>0</v>
      </c>
      <c r="J3589" s="47" t="b">
        <v>0</v>
      </c>
      <c r="K3589" s="184">
        <v>2948</v>
      </c>
      <c r="S3589" s="33">
        <v>8</v>
      </c>
      <c r="Z3589" s="31" t="s">
        <v>3855</v>
      </c>
      <c r="AE3589" s="31" t="s">
        <v>4723</v>
      </c>
      <c r="AF3589" s="31">
        <v>80</v>
      </c>
      <c r="AK3589" s="32">
        <v>51</v>
      </c>
      <c r="AQ3589" s="32" t="s">
        <v>4816</v>
      </c>
      <c r="AR3589" s="185" t="s">
        <v>4835</v>
      </c>
      <c r="AU3589">
        <v>3588</v>
      </c>
    </row>
    <row r="3590" spans="1:47" x14ac:dyDescent="0.2">
      <c r="A3590" s="13">
        <v>6684</v>
      </c>
      <c r="B3590" s="57" t="s">
        <v>45</v>
      </c>
      <c r="C3590" s="57" t="s">
        <v>142</v>
      </c>
      <c r="D3590" s="29"/>
      <c r="E3590" s="57" t="s">
        <v>4836</v>
      </c>
      <c r="F3590" s="31" t="s">
        <v>1900</v>
      </c>
      <c r="G3590" s="47" t="s">
        <v>69</v>
      </c>
      <c r="I3590" s="47" t="b">
        <v>0</v>
      </c>
      <c r="J3590" s="47" t="b">
        <v>0</v>
      </c>
      <c r="K3590" s="31">
        <v>825</v>
      </c>
      <c r="S3590" s="33">
        <v>2</v>
      </c>
      <c r="Z3590" s="31" t="s">
        <v>3855</v>
      </c>
      <c r="AE3590" s="31" t="s">
        <v>4723</v>
      </c>
      <c r="AF3590" s="31">
        <v>80</v>
      </c>
      <c r="AK3590" s="32">
        <v>11</v>
      </c>
      <c r="AQ3590" s="32" t="s">
        <v>4816</v>
      </c>
      <c r="AU3590">
        <v>3589</v>
      </c>
    </row>
    <row r="3591" spans="1:47" x14ac:dyDescent="0.2">
      <c r="A3591" s="13">
        <v>6684</v>
      </c>
      <c r="B3591" s="57" t="s">
        <v>45</v>
      </c>
      <c r="C3591" s="57" t="s">
        <v>142</v>
      </c>
      <c r="D3591" s="29"/>
      <c r="E3591" s="57" t="s">
        <v>1593</v>
      </c>
      <c r="F3591" s="31" t="s">
        <v>1900</v>
      </c>
      <c r="G3591" s="47" t="s">
        <v>69</v>
      </c>
      <c r="I3591" s="47" t="b">
        <v>0</v>
      </c>
      <c r="J3591" s="47" t="b">
        <v>0</v>
      </c>
      <c r="K3591" s="31">
        <v>605</v>
      </c>
      <c r="S3591" s="33">
        <v>1</v>
      </c>
      <c r="Z3591" s="31" t="s">
        <v>3855</v>
      </c>
      <c r="AE3591" s="31" t="s">
        <v>4723</v>
      </c>
      <c r="AF3591" s="31">
        <v>65</v>
      </c>
      <c r="AK3591" s="32">
        <v>8</v>
      </c>
      <c r="AQ3591" s="32" t="s">
        <v>4816</v>
      </c>
      <c r="AU3591">
        <v>3590</v>
      </c>
    </row>
    <row r="3592" spans="1:47" x14ac:dyDescent="0.2">
      <c r="A3592" s="13">
        <v>6684</v>
      </c>
      <c r="B3592" s="57" t="s">
        <v>45</v>
      </c>
      <c r="C3592" s="57" t="s">
        <v>142</v>
      </c>
      <c r="D3592" s="29"/>
      <c r="E3592" s="57" t="s">
        <v>4837</v>
      </c>
      <c r="F3592" s="31" t="s">
        <v>2331</v>
      </c>
      <c r="G3592" s="47" t="s">
        <v>69</v>
      </c>
      <c r="I3592" s="47" t="b">
        <v>0</v>
      </c>
      <c r="J3592" s="47" t="b">
        <v>0</v>
      </c>
      <c r="K3592" s="31">
        <v>770</v>
      </c>
      <c r="S3592" s="33">
        <v>2</v>
      </c>
      <c r="Z3592" s="31" t="s">
        <v>3855</v>
      </c>
      <c r="AE3592" s="31" t="s">
        <v>4723</v>
      </c>
      <c r="AF3592" s="31">
        <v>55</v>
      </c>
      <c r="AK3592" s="32">
        <v>13</v>
      </c>
      <c r="AQ3592" s="32" t="s">
        <v>4816</v>
      </c>
      <c r="AU3592">
        <v>3591</v>
      </c>
    </row>
    <row r="3593" spans="1:47" x14ac:dyDescent="0.2">
      <c r="A3593" s="13">
        <v>6684</v>
      </c>
      <c r="B3593" s="57" t="s">
        <v>45</v>
      </c>
      <c r="C3593" s="57" t="s">
        <v>142</v>
      </c>
      <c r="D3593" s="29"/>
      <c r="E3593" s="57" t="s">
        <v>4838</v>
      </c>
      <c r="F3593" s="31" t="s">
        <v>204</v>
      </c>
      <c r="G3593" s="31" t="s">
        <v>205</v>
      </c>
      <c r="I3593" s="47" t="b">
        <v>0</v>
      </c>
      <c r="J3593" s="47" t="b">
        <v>0</v>
      </c>
      <c r="K3593" s="31">
        <v>330</v>
      </c>
      <c r="S3593" s="33">
        <v>1</v>
      </c>
      <c r="Z3593" s="31" t="s">
        <v>3855</v>
      </c>
      <c r="AE3593" s="31" t="s">
        <v>4723</v>
      </c>
      <c r="AF3593" s="31">
        <v>75</v>
      </c>
      <c r="AK3593" s="32">
        <v>6</v>
      </c>
      <c r="AQ3593" s="32" t="s">
        <v>4816</v>
      </c>
      <c r="AU3593">
        <v>3592</v>
      </c>
    </row>
    <row r="3594" spans="1:47" x14ac:dyDescent="0.2">
      <c r="A3594" s="13">
        <v>6684</v>
      </c>
      <c r="B3594" s="57" t="s">
        <v>45</v>
      </c>
      <c r="C3594" s="57" t="s">
        <v>142</v>
      </c>
      <c r="D3594" s="29"/>
      <c r="E3594" s="57" t="s">
        <v>4752</v>
      </c>
      <c r="F3594" s="31" t="s">
        <v>76</v>
      </c>
      <c r="G3594" s="31" t="s">
        <v>49</v>
      </c>
      <c r="I3594" s="47" t="b">
        <v>0</v>
      </c>
      <c r="J3594" s="47" t="b">
        <v>0</v>
      </c>
      <c r="K3594" s="31">
        <v>330</v>
      </c>
      <c r="S3594" s="33">
        <v>1</v>
      </c>
      <c r="Z3594" s="31" t="s">
        <v>3855</v>
      </c>
      <c r="AE3594" s="31" t="s">
        <v>4723</v>
      </c>
      <c r="AF3594" s="31">
        <v>80</v>
      </c>
      <c r="AK3594" s="32">
        <v>6</v>
      </c>
      <c r="AQ3594" s="32" t="s">
        <v>4816</v>
      </c>
      <c r="AU3594">
        <v>3593</v>
      </c>
    </row>
    <row r="3595" spans="1:47" x14ac:dyDescent="0.2">
      <c r="A3595" s="13">
        <v>6684</v>
      </c>
      <c r="B3595" s="57" t="s">
        <v>45</v>
      </c>
      <c r="C3595" s="57" t="s">
        <v>142</v>
      </c>
      <c r="D3595" s="29"/>
      <c r="E3595" s="57" t="s">
        <v>447</v>
      </c>
      <c r="F3595" s="31" t="s">
        <v>76</v>
      </c>
      <c r="G3595" s="31" t="s">
        <v>49</v>
      </c>
      <c r="I3595" s="47" t="b">
        <v>0</v>
      </c>
      <c r="J3595" s="47" t="b">
        <v>0</v>
      </c>
      <c r="K3595" s="31">
        <v>1650</v>
      </c>
      <c r="S3595" s="33">
        <v>5</v>
      </c>
      <c r="Z3595" s="31" t="s">
        <v>3855</v>
      </c>
      <c r="AE3595" s="31" t="s">
        <v>4723</v>
      </c>
      <c r="AF3595" s="31">
        <v>75</v>
      </c>
      <c r="AK3595" s="32">
        <v>29</v>
      </c>
      <c r="AQ3595" s="32" t="s">
        <v>4816</v>
      </c>
      <c r="AU3595">
        <v>3594</v>
      </c>
    </row>
    <row r="3596" spans="1:47" x14ac:dyDescent="0.2">
      <c r="A3596" s="13">
        <v>6684</v>
      </c>
      <c r="B3596" s="57" t="s">
        <v>45</v>
      </c>
      <c r="C3596" s="57" t="s">
        <v>142</v>
      </c>
      <c r="D3596" s="29"/>
      <c r="E3596" s="57" t="s">
        <v>4839</v>
      </c>
      <c r="F3596" s="31" t="s">
        <v>76</v>
      </c>
      <c r="G3596" s="31" t="s">
        <v>49</v>
      </c>
      <c r="I3596" s="47" t="b">
        <v>0</v>
      </c>
      <c r="J3596" s="47" t="b">
        <v>0</v>
      </c>
      <c r="K3596" s="31">
        <v>572</v>
      </c>
      <c r="S3596" s="33">
        <v>1</v>
      </c>
      <c r="Z3596" s="31" t="s">
        <v>3855</v>
      </c>
      <c r="AE3596" s="31" t="s">
        <v>4723</v>
      </c>
      <c r="AF3596" s="31">
        <v>60</v>
      </c>
      <c r="AK3596" s="32">
        <v>10</v>
      </c>
      <c r="AQ3596" s="32" t="s">
        <v>4816</v>
      </c>
      <c r="AU3596">
        <v>3595</v>
      </c>
    </row>
    <row r="3597" spans="1:47" x14ac:dyDescent="0.2">
      <c r="A3597" s="13">
        <v>6684</v>
      </c>
      <c r="B3597" s="57" t="s">
        <v>45</v>
      </c>
      <c r="C3597" s="57" t="s">
        <v>142</v>
      </c>
      <c r="D3597" s="29"/>
      <c r="E3597" s="57" t="s">
        <v>4840</v>
      </c>
      <c r="F3597" s="31" t="s">
        <v>1900</v>
      </c>
      <c r="G3597" s="31" t="s">
        <v>69</v>
      </c>
      <c r="I3597" s="47" t="b">
        <v>0</v>
      </c>
      <c r="J3597" s="47" t="b">
        <v>0</v>
      </c>
      <c r="K3597" s="31">
        <v>440</v>
      </c>
      <c r="S3597" s="33">
        <v>1</v>
      </c>
      <c r="Z3597" s="31" t="s">
        <v>3855</v>
      </c>
      <c r="AE3597" s="31" t="s">
        <v>4723</v>
      </c>
      <c r="AF3597" s="31">
        <v>65</v>
      </c>
      <c r="AK3597" s="32">
        <v>8</v>
      </c>
      <c r="AQ3597" s="32" t="s">
        <v>4816</v>
      </c>
      <c r="AU3597">
        <v>3596</v>
      </c>
    </row>
    <row r="3598" spans="1:47" x14ac:dyDescent="0.2">
      <c r="A3598" s="13">
        <v>6684</v>
      </c>
      <c r="B3598" s="57" t="s">
        <v>45</v>
      </c>
      <c r="C3598" s="57" t="s">
        <v>1367</v>
      </c>
      <c r="D3598" s="29"/>
      <c r="E3598" s="57" t="s">
        <v>4197</v>
      </c>
      <c r="F3598" s="31" t="s">
        <v>204</v>
      </c>
      <c r="G3598" s="31" t="s">
        <v>205</v>
      </c>
      <c r="I3598" s="31" t="s">
        <v>4841</v>
      </c>
      <c r="K3598" s="31">
        <v>880</v>
      </c>
      <c r="AE3598" s="31" t="s">
        <v>4756</v>
      </c>
      <c r="AF3598" s="31">
        <v>80</v>
      </c>
      <c r="AQ3598" s="32" t="s">
        <v>4842</v>
      </c>
      <c r="AU3598">
        <v>3597</v>
      </c>
    </row>
    <row r="3599" spans="1:47" x14ac:dyDescent="0.2">
      <c r="A3599" s="13">
        <v>6684</v>
      </c>
      <c r="B3599" s="57" t="s">
        <v>45</v>
      </c>
      <c r="C3599" s="57" t="s">
        <v>1367</v>
      </c>
      <c r="D3599" s="29"/>
      <c r="E3599" s="57" t="s">
        <v>3816</v>
      </c>
      <c r="F3599" s="31" t="s">
        <v>76</v>
      </c>
      <c r="G3599" s="31" t="s">
        <v>49</v>
      </c>
      <c r="I3599" s="31" t="s">
        <v>4841</v>
      </c>
      <c r="K3599" s="31">
        <v>968</v>
      </c>
      <c r="AE3599" s="31" t="s">
        <v>4756</v>
      </c>
      <c r="AF3599" s="31">
        <v>110</v>
      </c>
      <c r="AQ3599" s="32" t="s">
        <v>4842</v>
      </c>
      <c r="AU3599">
        <v>3598</v>
      </c>
    </row>
    <row r="3600" spans="1:47" x14ac:dyDescent="0.2">
      <c r="A3600" s="13">
        <v>6684</v>
      </c>
      <c r="B3600" s="57" t="s">
        <v>45</v>
      </c>
      <c r="C3600" s="57" t="s">
        <v>1367</v>
      </c>
      <c r="D3600" s="29"/>
      <c r="E3600" s="57" t="s">
        <v>3895</v>
      </c>
      <c r="F3600" s="31" t="s">
        <v>76</v>
      </c>
      <c r="G3600" s="31" t="s">
        <v>49</v>
      </c>
      <c r="I3600" s="31" t="s">
        <v>4841</v>
      </c>
      <c r="K3600" s="31">
        <v>1540</v>
      </c>
      <c r="AE3600" s="31" t="s">
        <v>4756</v>
      </c>
      <c r="AF3600" s="31">
        <v>60</v>
      </c>
      <c r="AQ3600" s="32" t="s">
        <v>4842</v>
      </c>
      <c r="AU3600">
        <v>3599</v>
      </c>
    </row>
    <row r="3601" spans="1:47" x14ac:dyDescent="0.2">
      <c r="A3601" s="13">
        <v>6684</v>
      </c>
      <c r="B3601" s="57" t="s">
        <v>45</v>
      </c>
      <c r="C3601" s="57" t="s">
        <v>1367</v>
      </c>
      <c r="D3601" s="29"/>
      <c r="E3601" s="57" t="s">
        <v>3884</v>
      </c>
      <c r="F3601" s="31" t="s">
        <v>76</v>
      </c>
      <c r="G3601" s="31" t="s">
        <v>49</v>
      </c>
      <c r="I3601" s="31" t="s">
        <v>4841</v>
      </c>
      <c r="K3601" s="31">
        <v>1760</v>
      </c>
      <c r="AE3601" s="31" t="s">
        <v>4756</v>
      </c>
      <c r="AF3601" s="31">
        <v>85</v>
      </c>
      <c r="AQ3601" s="32" t="s">
        <v>4842</v>
      </c>
      <c r="AU3601">
        <v>3600</v>
      </c>
    </row>
    <row r="3602" spans="1:47" x14ac:dyDescent="0.2">
      <c r="A3602" s="13">
        <v>6684</v>
      </c>
      <c r="B3602" s="57" t="s">
        <v>45</v>
      </c>
      <c r="C3602" s="57" t="s">
        <v>4843</v>
      </c>
      <c r="D3602" s="29"/>
      <c r="E3602" s="57" t="s">
        <v>4844</v>
      </c>
      <c r="F3602" s="31" t="s">
        <v>4598</v>
      </c>
      <c r="G3602" s="31" t="s">
        <v>69</v>
      </c>
      <c r="K3602" s="31">
        <v>1892</v>
      </c>
      <c r="S3602" s="33">
        <v>3</v>
      </c>
      <c r="Z3602" s="31" t="s">
        <v>3814</v>
      </c>
      <c r="AE3602" s="31" t="s">
        <v>4845</v>
      </c>
      <c r="AF3602" s="31">
        <v>40</v>
      </c>
      <c r="AK3602" s="32">
        <v>34</v>
      </c>
      <c r="AQ3602" s="32" t="s">
        <v>4816</v>
      </c>
      <c r="AU3602">
        <v>3601</v>
      </c>
    </row>
    <row r="3603" spans="1:47" x14ac:dyDescent="0.2">
      <c r="A3603" s="13">
        <v>6684</v>
      </c>
      <c r="B3603" s="57" t="s">
        <v>45</v>
      </c>
      <c r="C3603" s="57" t="s">
        <v>4843</v>
      </c>
      <c r="D3603" s="29"/>
      <c r="E3603" s="57" t="s">
        <v>124</v>
      </c>
      <c r="F3603" s="31" t="s">
        <v>76</v>
      </c>
      <c r="G3603" s="31" t="s">
        <v>49</v>
      </c>
      <c r="K3603" s="31">
        <v>528</v>
      </c>
      <c r="S3603" s="33">
        <v>1</v>
      </c>
      <c r="Z3603" s="31" t="s">
        <v>3814</v>
      </c>
      <c r="AE3603" s="31" t="s">
        <v>4845</v>
      </c>
      <c r="AF3603" s="31">
        <v>50</v>
      </c>
      <c r="AK3603" s="32">
        <v>12</v>
      </c>
      <c r="AQ3603" s="32" t="s">
        <v>4816</v>
      </c>
      <c r="AU3603">
        <v>3602</v>
      </c>
    </row>
    <row r="3604" spans="1:47" x14ac:dyDescent="0.2">
      <c r="A3604" s="13">
        <v>6684</v>
      </c>
      <c r="B3604" s="57" t="s">
        <v>45</v>
      </c>
      <c r="C3604" s="57" t="s">
        <v>4843</v>
      </c>
      <c r="D3604" s="29"/>
      <c r="E3604" s="57" t="s">
        <v>4839</v>
      </c>
      <c r="F3604" s="31" t="s">
        <v>76</v>
      </c>
      <c r="G3604" s="31" t="s">
        <v>49</v>
      </c>
      <c r="K3604" s="31">
        <v>4048</v>
      </c>
      <c r="S3604" s="33">
        <v>8</v>
      </c>
      <c r="Z3604" s="31" t="s">
        <v>3814</v>
      </c>
      <c r="AE3604" s="31" t="s">
        <v>4845</v>
      </c>
      <c r="AF3604" s="31">
        <v>55</v>
      </c>
      <c r="AK3604" s="32">
        <v>46</v>
      </c>
      <c r="AQ3604" s="32" t="s">
        <v>4816</v>
      </c>
      <c r="AU3604">
        <v>3603</v>
      </c>
    </row>
    <row r="3605" spans="1:47" x14ac:dyDescent="0.2">
      <c r="A3605" s="13">
        <v>6684</v>
      </c>
      <c r="B3605" s="57" t="s">
        <v>45</v>
      </c>
      <c r="C3605" s="57" t="s">
        <v>4843</v>
      </c>
      <c r="D3605" s="29"/>
      <c r="E3605" s="57" t="s">
        <v>447</v>
      </c>
      <c r="F3605" s="31" t="s">
        <v>76</v>
      </c>
      <c r="G3605" s="31" t="s">
        <v>49</v>
      </c>
      <c r="K3605" s="31">
        <v>5720</v>
      </c>
      <c r="S3605" s="33">
        <v>12</v>
      </c>
      <c r="Z3605" s="31" t="s">
        <v>3814</v>
      </c>
      <c r="AE3605" s="31" t="s">
        <v>4845</v>
      </c>
      <c r="AF3605" s="31">
        <v>70</v>
      </c>
      <c r="AK3605" s="32">
        <v>54</v>
      </c>
      <c r="AQ3605" s="32" t="s">
        <v>4816</v>
      </c>
      <c r="AU3605">
        <v>3604</v>
      </c>
    </row>
    <row r="3606" spans="1:47" x14ac:dyDescent="0.2">
      <c r="A3606" s="13">
        <v>6684</v>
      </c>
      <c r="B3606" s="57" t="s">
        <v>45</v>
      </c>
      <c r="C3606" s="57" t="s">
        <v>4179</v>
      </c>
      <c r="D3606" s="29"/>
      <c r="E3606" s="57" t="s">
        <v>4846</v>
      </c>
      <c r="F3606" s="31" t="s">
        <v>204</v>
      </c>
      <c r="G3606" s="31" t="s">
        <v>205</v>
      </c>
      <c r="K3606" s="31">
        <v>1925</v>
      </c>
      <c r="S3606" s="33">
        <v>4</v>
      </c>
      <c r="Z3606" s="31" t="s">
        <v>3814</v>
      </c>
      <c r="AK3606" s="32">
        <v>35</v>
      </c>
      <c r="AQ3606" s="32" t="s">
        <v>4816</v>
      </c>
      <c r="AU3606">
        <v>3605</v>
      </c>
    </row>
    <row r="3607" spans="1:47" x14ac:dyDescent="0.2">
      <c r="A3607" s="13">
        <v>6684</v>
      </c>
      <c r="B3607" s="57" t="s">
        <v>45</v>
      </c>
      <c r="C3607" s="57" t="s">
        <v>4179</v>
      </c>
      <c r="D3607" s="29"/>
      <c r="E3607" s="57" t="s">
        <v>4807</v>
      </c>
      <c r="F3607" s="31" t="s">
        <v>204</v>
      </c>
      <c r="G3607" s="31" t="s">
        <v>205</v>
      </c>
      <c r="K3607" s="31">
        <v>2530</v>
      </c>
      <c r="S3607" s="33">
        <v>5</v>
      </c>
      <c r="Z3607" s="31" t="s">
        <v>3814</v>
      </c>
      <c r="AK3607" s="32">
        <v>46</v>
      </c>
      <c r="AQ3607" s="32" t="s">
        <v>4816</v>
      </c>
      <c r="AU3607">
        <v>3606</v>
      </c>
    </row>
    <row r="3608" spans="1:47" x14ac:dyDescent="0.2">
      <c r="A3608" s="13">
        <v>6684</v>
      </c>
      <c r="B3608" s="57" t="s">
        <v>45</v>
      </c>
      <c r="C3608" s="57" t="s">
        <v>4179</v>
      </c>
      <c r="D3608" s="29"/>
      <c r="E3608" s="57" t="s">
        <v>4806</v>
      </c>
      <c r="F3608" s="31" t="s">
        <v>204</v>
      </c>
      <c r="G3608" s="31" t="s">
        <v>205</v>
      </c>
      <c r="K3608" s="31">
        <v>3080</v>
      </c>
      <c r="S3608" s="33">
        <v>6</v>
      </c>
      <c r="Z3608" s="31" t="s">
        <v>3814</v>
      </c>
      <c r="AK3608" s="32">
        <v>56</v>
      </c>
      <c r="AQ3608" s="32" t="s">
        <v>4816</v>
      </c>
      <c r="AU3608">
        <v>3607</v>
      </c>
    </row>
    <row r="3609" spans="1:47" x14ac:dyDescent="0.2">
      <c r="A3609" s="13">
        <v>6684</v>
      </c>
      <c r="B3609" s="57" t="s">
        <v>45</v>
      </c>
      <c r="C3609" s="57" t="s">
        <v>4179</v>
      </c>
      <c r="D3609" s="29"/>
      <c r="E3609" s="57" t="s">
        <v>4815</v>
      </c>
      <c r="F3609" s="31" t="s">
        <v>4598</v>
      </c>
      <c r="G3609" s="31" t="s">
        <v>69</v>
      </c>
      <c r="K3609" s="31">
        <v>3300</v>
      </c>
      <c r="S3609" s="33">
        <v>8</v>
      </c>
      <c r="Z3609" s="31" t="s">
        <v>3814</v>
      </c>
      <c r="AK3609" s="32">
        <v>45</v>
      </c>
      <c r="AQ3609" s="32" t="s">
        <v>4816</v>
      </c>
      <c r="AU3609">
        <v>3608</v>
      </c>
    </row>
    <row r="3610" spans="1:47" x14ac:dyDescent="0.2">
      <c r="A3610" s="13">
        <v>6684</v>
      </c>
      <c r="B3610" s="57" t="s">
        <v>45</v>
      </c>
      <c r="C3610" s="57" t="s">
        <v>4179</v>
      </c>
      <c r="D3610" s="29"/>
      <c r="E3610" s="57" t="s">
        <v>1830</v>
      </c>
      <c r="F3610" s="31" t="s">
        <v>4847</v>
      </c>
      <c r="G3610" s="31" t="s">
        <v>49</v>
      </c>
      <c r="K3610" s="31">
        <v>3410</v>
      </c>
      <c r="S3610" s="33">
        <v>9</v>
      </c>
      <c r="Z3610" s="31" t="s">
        <v>3814</v>
      </c>
      <c r="AK3610" s="32">
        <v>54</v>
      </c>
      <c r="AQ3610" s="32" t="s">
        <v>4816</v>
      </c>
      <c r="AU3610">
        <v>3609</v>
      </c>
    </row>
    <row r="3611" spans="1:47" x14ac:dyDescent="0.2">
      <c r="A3611" s="13">
        <v>6684</v>
      </c>
      <c r="B3611" s="57" t="s">
        <v>45</v>
      </c>
      <c r="C3611" s="57" t="s">
        <v>4179</v>
      </c>
      <c r="D3611" s="29"/>
      <c r="E3611" s="57" t="s">
        <v>4848</v>
      </c>
      <c r="F3611" s="31" t="s">
        <v>204</v>
      </c>
      <c r="G3611" s="31" t="s">
        <v>205</v>
      </c>
      <c r="K3611" s="31">
        <v>880</v>
      </c>
      <c r="S3611" s="33">
        <v>2</v>
      </c>
      <c r="Z3611" s="31" t="s">
        <v>3814</v>
      </c>
      <c r="AK3611" s="32">
        <v>16</v>
      </c>
      <c r="AQ3611" s="32" t="s">
        <v>4816</v>
      </c>
      <c r="AU3611">
        <v>3610</v>
      </c>
    </row>
    <row r="3612" spans="1:47" x14ac:dyDescent="0.2">
      <c r="A3612" s="133">
        <v>6685</v>
      </c>
      <c r="B3612" s="39" t="s">
        <v>85</v>
      </c>
      <c r="C3612" s="39" t="s">
        <v>4849</v>
      </c>
      <c r="D3612" s="29"/>
      <c r="E3612" s="39" t="s">
        <v>4850</v>
      </c>
      <c r="F3612" s="47"/>
      <c r="G3612" s="47"/>
      <c r="H3612"/>
      <c r="I3612" s="47"/>
      <c r="J3612" s="47"/>
      <c r="K3612" s="47">
        <f>8510*2.2</f>
        <v>18722</v>
      </c>
      <c r="L3612" s="48">
        <v>40</v>
      </c>
      <c r="M3612" s="47"/>
      <c r="N3612" s="47"/>
      <c r="O3612" s="47"/>
      <c r="P3612" s="47"/>
      <c r="Q3612" s="47"/>
      <c r="R3612" s="47"/>
      <c r="S3612" s="48">
        <v>40</v>
      </c>
      <c r="T3612" s="47"/>
      <c r="U3612" s="47"/>
      <c r="V3612" s="47"/>
      <c r="W3612" s="47"/>
      <c r="X3612" s="47"/>
      <c r="Y3612" s="47"/>
      <c r="Z3612" s="31" t="s">
        <v>3724</v>
      </c>
      <c r="AA3612" s="49"/>
      <c r="AB3612" s="49"/>
      <c r="AC3612" s="49"/>
      <c r="AD3612" s="50"/>
      <c r="AE3612" s="47"/>
      <c r="AF3612" s="47"/>
      <c r="AG3612"/>
      <c r="AH3612"/>
      <c r="AI3612"/>
      <c r="AJ3612"/>
      <c r="AK3612"/>
      <c r="AL3612"/>
      <c r="AM3612"/>
      <c r="AN3612"/>
      <c r="AO3612"/>
      <c r="AP3612"/>
      <c r="AQ3612"/>
      <c r="AU3612">
        <v>3611</v>
      </c>
    </row>
    <row r="3613" spans="1:47" x14ac:dyDescent="0.2">
      <c r="A3613" s="133">
        <v>6685</v>
      </c>
      <c r="B3613" s="39" t="s">
        <v>85</v>
      </c>
      <c r="C3613" s="39" t="s">
        <v>4849</v>
      </c>
      <c r="D3613" s="29"/>
      <c r="E3613" s="39" t="s">
        <v>4851</v>
      </c>
      <c r="F3613" s="47" t="s">
        <v>409</v>
      </c>
      <c r="G3613" s="47" t="s">
        <v>49</v>
      </c>
      <c r="H3613"/>
      <c r="I3613" s="47"/>
      <c r="J3613" s="47"/>
      <c r="K3613" s="47">
        <f>12410*2.2</f>
        <v>27302.000000000004</v>
      </c>
      <c r="L3613" s="48">
        <v>78</v>
      </c>
      <c r="M3613" s="47"/>
      <c r="N3613" s="47"/>
      <c r="O3613" s="47"/>
      <c r="P3613" s="47"/>
      <c r="Q3613" s="47"/>
      <c r="R3613" s="47"/>
      <c r="S3613" s="48">
        <v>78</v>
      </c>
      <c r="T3613" s="47">
        <v>1</v>
      </c>
      <c r="U3613" s="47"/>
      <c r="V3613" s="47"/>
      <c r="W3613" s="47"/>
      <c r="X3613" s="47"/>
      <c r="Y3613" s="47"/>
      <c r="Z3613" s="31" t="s">
        <v>3724</v>
      </c>
      <c r="AA3613" s="49"/>
      <c r="AB3613" s="49"/>
      <c r="AC3613" s="49"/>
      <c r="AD3613" s="50"/>
      <c r="AE3613" s="47"/>
      <c r="AF3613" s="47"/>
      <c r="AG3613"/>
      <c r="AH3613"/>
      <c r="AI3613"/>
      <c r="AJ3613"/>
      <c r="AK3613"/>
      <c r="AL3613"/>
      <c r="AM3613"/>
      <c r="AN3613"/>
      <c r="AO3613"/>
      <c r="AP3613"/>
      <c r="AQ3613"/>
      <c r="AU3613">
        <v>3612</v>
      </c>
    </row>
    <row r="3614" spans="1:47" x14ac:dyDescent="0.2">
      <c r="A3614" s="133">
        <v>6685</v>
      </c>
      <c r="B3614" s="39" t="s">
        <v>85</v>
      </c>
      <c r="C3614" s="39" t="s">
        <v>4849</v>
      </c>
      <c r="D3614" s="29"/>
      <c r="E3614" s="39" t="s">
        <v>1576</v>
      </c>
      <c r="F3614" s="47" t="s">
        <v>1900</v>
      </c>
      <c r="G3614" s="47" t="s">
        <v>69</v>
      </c>
      <c r="H3614"/>
      <c r="I3614" s="47"/>
      <c r="J3614" s="47"/>
      <c r="K3614" s="47"/>
      <c r="L3614" s="48">
        <v>6</v>
      </c>
      <c r="M3614" s="47"/>
      <c r="N3614" s="47"/>
      <c r="O3614" s="47"/>
      <c r="P3614" s="47"/>
      <c r="Q3614" s="47"/>
      <c r="R3614" s="47"/>
      <c r="S3614" s="48">
        <v>6</v>
      </c>
      <c r="T3614" s="47"/>
      <c r="U3614" s="47"/>
      <c r="V3614" s="47"/>
      <c r="W3614" s="47"/>
      <c r="X3614" s="47"/>
      <c r="Y3614" s="47"/>
      <c r="Z3614" s="31" t="s">
        <v>3724</v>
      </c>
      <c r="AA3614" s="49"/>
      <c r="AB3614" s="49"/>
      <c r="AC3614" s="49"/>
      <c r="AD3614" s="50"/>
      <c r="AE3614" s="47"/>
      <c r="AF3614" s="47"/>
      <c r="AG3614"/>
      <c r="AH3614"/>
      <c r="AI3614"/>
      <c r="AJ3614"/>
      <c r="AK3614"/>
      <c r="AL3614"/>
      <c r="AM3614"/>
      <c r="AN3614"/>
      <c r="AO3614"/>
      <c r="AP3614"/>
      <c r="AQ3614"/>
      <c r="AU3614">
        <v>3613</v>
      </c>
    </row>
    <row r="3615" spans="1:47" x14ac:dyDescent="0.2">
      <c r="A3615" s="13">
        <v>6685</v>
      </c>
      <c r="B3615" s="57" t="s">
        <v>85</v>
      </c>
      <c r="C3615" s="57" t="s">
        <v>332</v>
      </c>
      <c r="D3615" s="29"/>
      <c r="E3615" s="57" t="s">
        <v>4834</v>
      </c>
      <c r="K3615" s="31">
        <v>1361.8</v>
      </c>
      <c r="S3615" s="33">
        <v>4</v>
      </c>
      <c r="Z3615" s="31" t="s">
        <v>3724</v>
      </c>
      <c r="AE3615" s="31" t="s">
        <v>4649</v>
      </c>
      <c r="AF3615" s="31">
        <v>110</v>
      </c>
      <c r="AK3615" s="32">
        <v>58</v>
      </c>
      <c r="AQ3615" s="32" t="s">
        <v>4816</v>
      </c>
      <c r="AU3615">
        <v>3614</v>
      </c>
    </row>
    <row r="3616" spans="1:47" x14ac:dyDescent="0.2">
      <c r="A3616" s="13">
        <v>6685</v>
      </c>
      <c r="B3616" s="57" t="s">
        <v>85</v>
      </c>
      <c r="C3616" s="57" t="s">
        <v>332</v>
      </c>
      <c r="D3616" s="29"/>
      <c r="E3616" s="57" t="s">
        <v>4824</v>
      </c>
      <c r="K3616" s="31">
        <v>6325</v>
      </c>
      <c r="S3616" s="33">
        <v>19</v>
      </c>
      <c r="Z3616" s="31" t="s">
        <v>3724</v>
      </c>
      <c r="AE3616" s="31" t="s">
        <v>4649</v>
      </c>
      <c r="AF3616" s="31">
        <v>105</v>
      </c>
      <c r="AK3616" s="32">
        <v>283</v>
      </c>
      <c r="AQ3616" s="32" t="s">
        <v>4816</v>
      </c>
      <c r="AU3616">
        <v>3615</v>
      </c>
    </row>
    <row r="3617" spans="1:47" x14ac:dyDescent="0.2">
      <c r="A3617" s="133">
        <v>6685</v>
      </c>
      <c r="B3617" s="39" t="s">
        <v>45</v>
      </c>
      <c r="C3617" s="39">
        <v>100</v>
      </c>
      <c r="D3617" s="29" t="b">
        <v>0</v>
      </c>
      <c r="E3617" s="39" t="s">
        <v>4852</v>
      </c>
      <c r="F3617" s="47" t="s">
        <v>4853</v>
      </c>
      <c r="G3617" s="47" t="s">
        <v>49</v>
      </c>
      <c r="H3617"/>
      <c r="I3617" s="47" t="b">
        <v>1</v>
      </c>
      <c r="J3617" s="47" t="b">
        <v>1</v>
      </c>
      <c r="K3617" s="47">
        <v>2128</v>
      </c>
      <c r="L3617" s="48">
        <v>18</v>
      </c>
      <c r="M3617" s="47">
        <v>0</v>
      </c>
      <c r="N3617" s="47">
        <v>1</v>
      </c>
      <c r="O3617" s="47">
        <v>9</v>
      </c>
      <c r="P3617" s="47">
        <v>2</v>
      </c>
      <c r="Q3617" s="47">
        <v>0</v>
      </c>
      <c r="R3617" s="47">
        <v>0</v>
      </c>
      <c r="S3617" s="48">
        <v>7</v>
      </c>
      <c r="T3617" s="47">
        <v>0</v>
      </c>
      <c r="U3617" s="47">
        <v>0</v>
      </c>
      <c r="V3617" s="47">
        <v>1</v>
      </c>
      <c r="W3617" s="47">
        <v>1500</v>
      </c>
      <c r="X3617" s="47">
        <v>471</v>
      </c>
      <c r="Y3617" s="47"/>
      <c r="Z3617" s="47" t="s">
        <v>2524</v>
      </c>
      <c r="AA3617" s="49"/>
      <c r="AB3617" s="49"/>
      <c r="AC3617" s="49"/>
      <c r="AD3617" s="50"/>
      <c r="AE3617" s="47" t="s">
        <v>4785</v>
      </c>
      <c r="AF3617" s="47">
        <v>145</v>
      </c>
      <c r="AG3617"/>
      <c r="AH3617"/>
      <c r="AI3617"/>
      <c r="AJ3617"/>
      <c r="AK3617"/>
      <c r="AL3617"/>
      <c r="AM3617"/>
      <c r="AN3617"/>
      <c r="AO3617"/>
      <c r="AP3617"/>
      <c r="AQ3617" t="s">
        <v>2526</v>
      </c>
      <c r="AU3617">
        <v>3616</v>
      </c>
    </row>
    <row r="3618" spans="1:47" x14ac:dyDescent="0.2">
      <c r="A3618" s="133">
        <v>6685</v>
      </c>
      <c r="B3618" s="39" t="s">
        <v>45</v>
      </c>
      <c r="C3618" s="39">
        <v>100</v>
      </c>
      <c r="D3618" s="29" t="b">
        <v>0</v>
      </c>
      <c r="E3618" s="39" t="s">
        <v>4854</v>
      </c>
      <c r="F3618" s="47" t="s">
        <v>48</v>
      </c>
      <c r="G3618" s="47" t="s">
        <v>49</v>
      </c>
      <c r="H3618"/>
      <c r="I3618" s="47" t="b">
        <v>0</v>
      </c>
      <c r="J3618" s="47" t="b">
        <v>0</v>
      </c>
      <c r="K3618" s="47">
        <v>1456</v>
      </c>
      <c r="L3618" s="48">
        <v>18</v>
      </c>
      <c r="M3618" s="47">
        <v>0</v>
      </c>
      <c r="N3618" s="47">
        <v>1</v>
      </c>
      <c r="O3618" s="47">
        <v>9</v>
      </c>
      <c r="P3618" s="47">
        <v>2</v>
      </c>
      <c r="Q3618" s="47">
        <v>0</v>
      </c>
      <c r="R3618" s="47">
        <v>0</v>
      </c>
      <c r="S3618" s="48">
        <v>5</v>
      </c>
      <c r="T3618" s="47">
        <v>0</v>
      </c>
      <c r="U3618" s="47">
        <v>0</v>
      </c>
      <c r="V3618" s="47">
        <v>1</v>
      </c>
      <c r="W3618" s="47">
        <v>1500</v>
      </c>
      <c r="X3618" s="47">
        <v>472</v>
      </c>
      <c r="Y3618" s="47"/>
      <c r="Z3618" s="47" t="s">
        <v>2524</v>
      </c>
      <c r="AA3618" s="49"/>
      <c r="AB3618" s="49"/>
      <c r="AC3618" s="49"/>
      <c r="AD3618" s="50"/>
      <c r="AE3618" s="47" t="s">
        <v>4785</v>
      </c>
      <c r="AF3618" s="47">
        <v>145</v>
      </c>
      <c r="AG3618"/>
      <c r="AH3618"/>
      <c r="AI3618"/>
      <c r="AJ3618"/>
      <c r="AK3618"/>
      <c r="AL3618"/>
      <c r="AM3618"/>
      <c r="AN3618"/>
      <c r="AO3618"/>
      <c r="AP3618"/>
      <c r="AQ3618" t="s">
        <v>2526</v>
      </c>
      <c r="AU3618">
        <v>3617</v>
      </c>
    </row>
    <row r="3619" spans="1:47" x14ac:dyDescent="0.2">
      <c r="A3619" s="133">
        <v>6685</v>
      </c>
      <c r="B3619" s="39" t="s">
        <v>45</v>
      </c>
      <c r="C3619" s="39">
        <v>100</v>
      </c>
      <c r="D3619" s="29" t="b">
        <v>0</v>
      </c>
      <c r="E3619" s="39" t="s">
        <v>1593</v>
      </c>
      <c r="F3619" s="47" t="s">
        <v>3663</v>
      </c>
      <c r="G3619" s="47" t="s">
        <v>49</v>
      </c>
      <c r="H3619"/>
      <c r="I3619" s="47" t="b">
        <v>0</v>
      </c>
      <c r="J3619" s="47" t="b">
        <v>0</v>
      </c>
      <c r="K3619" s="47">
        <v>336</v>
      </c>
      <c r="L3619" s="48">
        <v>18</v>
      </c>
      <c r="M3619" s="47">
        <v>0</v>
      </c>
      <c r="N3619" s="47">
        <v>1</v>
      </c>
      <c r="O3619" s="47">
        <v>9</v>
      </c>
      <c r="P3619" s="47">
        <v>2</v>
      </c>
      <c r="Q3619" s="47">
        <v>0</v>
      </c>
      <c r="R3619" s="47">
        <v>0</v>
      </c>
      <c r="S3619" s="48">
        <v>1</v>
      </c>
      <c r="T3619" s="47">
        <v>0</v>
      </c>
      <c r="U3619" s="47">
        <v>0</v>
      </c>
      <c r="V3619" s="47">
        <v>1</v>
      </c>
      <c r="W3619" s="47">
        <v>1500</v>
      </c>
      <c r="X3619" s="47">
        <v>473</v>
      </c>
      <c r="Y3619" s="47"/>
      <c r="Z3619" s="47" t="s">
        <v>2524</v>
      </c>
      <c r="AA3619" s="49"/>
      <c r="AB3619" s="49"/>
      <c r="AC3619" s="49"/>
      <c r="AD3619" s="50"/>
      <c r="AE3619" s="47" t="s">
        <v>4785</v>
      </c>
      <c r="AF3619" s="47">
        <v>135</v>
      </c>
      <c r="AG3619"/>
      <c r="AH3619"/>
      <c r="AI3619"/>
      <c r="AJ3619"/>
      <c r="AK3619"/>
      <c r="AL3619"/>
      <c r="AM3619"/>
      <c r="AN3619"/>
      <c r="AO3619"/>
      <c r="AP3619"/>
      <c r="AQ3619" t="s">
        <v>2526</v>
      </c>
      <c r="AU3619">
        <v>3618</v>
      </c>
    </row>
    <row r="3620" spans="1:47" x14ac:dyDescent="0.2">
      <c r="A3620" s="133">
        <v>6685</v>
      </c>
      <c r="B3620" s="39" t="s">
        <v>45</v>
      </c>
      <c r="C3620" s="39">
        <v>100</v>
      </c>
      <c r="D3620" s="29" t="b">
        <v>0</v>
      </c>
      <c r="E3620" s="39" t="s">
        <v>1830</v>
      </c>
      <c r="F3620" s="47" t="s">
        <v>48</v>
      </c>
      <c r="G3620" s="47" t="s">
        <v>49</v>
      </c>
      <c r="H3620"/>
      <c r="I3620" s="47" t="b">
        <v>0</v>
      </c>
      <c r="J3620" s="47" t="b">
        <v>0</v>
      </c>
      <c r="K3620" s="47">
        <v>336</v>
      </c>
      <c r="L3620" s="48">
        <v>18</v>
      </c>
      <c r="M3620" s="47">
        <v>0</v>
      </c>
      <c r="N3620" s="47">
        <v>1</v>
      </c>
      <c r="O3620" s="47">
        <v>9</v>
      </c>
      <c r="P3620" s="47">
        <v>2</v>
      </c>
      <c r="Q3620" s="47">
        <v>0</v>
      </c>
      <c r="R3620" s="47">
        <v>0</v>
      </c>
      <c r="S3620" s="48">
        <v>1</v>
      </c>
      <c r="T3620" s="47">
        <v>0</v>
      </c>
      <c r="U3620" s="47">
        <v>0</v>
      </c>
      <c r="V3620" s="47">
        <v>1</v>
      </c>
      <c r="W3620" s="47">
        <v>1500</v>
      </c>
      <c r="X3620" s="47">
        <v>474</v>
      </c>
      <c r="Y3620" s="47"/>
      <c r="Z3620" s="47" t="s">
        <v>2524</v>
      </c>
      <c r="AA3620" s="49"/>
      <c r="AB3620" s="49"/>
      <c r="AC3620" s="49"/>
      <c r="AD3620" s="50"/>
      <c r="AE3620" s="47" t="s">
        <v>4785</v>
      </c>
      <c r="AF3620" s="47">
        <v>125</v>
      </c>
      <c r="AG3620"/>
      <c r="AH3620"/>
      <c r="AI3620"/>
      <c r="AJ3620"/>
      <c r="AK3620"/>
      <c r="AL3620"/>
      <c r="AM3620"/>
      <c r="AN3620"/>
      <c r="AO3620"/>
      <c r="AP3620"/>
      <c r="AQ3620" t="s">
        <v>2526</v>
      </c>
      <c r="AU3620">
        <v>3619</v>
      </c>
    </row>
    <row r="3621" spans="1:47" x14ac:dyDescent="0.2">
      <c r="A3621" s="133">
        <v>6685</v>
      </c>
      <c r="B3621" s="39" t="s">
        <v>45</v>
      </c>
      <c r="C3621" s="39">
        <v>216</v>
      </c>
      <c r="D3621" s="29" t="b">
        <v>0</v>
      </c>
      <c r="E3621" s="39" t="s">
        <v>4752</v>
      </c>
      <c r="F3621" s="47" t="s">
        <v>4077</v>
      </c>
      <c r="G3621" s="47" t="s">
        <v>49</v>
      </c>
      <c r="H3621"/>
      <c r="I3621" s="47" t="b">
        <v>0</v>
      </c>
      <c r="J3621" s="47" t="b">
        <v>1</v>
      </c>
      <c r="K3621" s="47">
        <v>3136</v>
      </c>
      <c r="L3621" s="48">
        <v>3</v>
      </c>
      <c r="M3621" s="47">
        <v>1</v>
      </c>
      <c r="N3621" s="47">
        <v>0</v>
      </c>
      <c r="O3621" s="47">
        <v>0</v>
      </c>
      <c r="P3621" s="47">
        <v>0</v>
      </c>
      <c r="Q3621" s="47">
        <v>0</v>
      </c>
      <c r="R3621" s="47">
        <v>0</v>
      </c>
      <c r="S3621" s="48">
        <v>2</v>
      </c>
      <c r="T3621" s="47">
        <v>0</v>
      </c>
      <c r="U3621" s="47">
        <v>0</v>
      </c>
      <c r="V3621" s="47">
        <v>0</v>
      </c>
      <c r="W3621" s="47">
        <v>4500</v>
      </c>
      <c r="X3621" s="47">
        <v>475</v>
      </c>
      <c r="Y3621" s="47"/>
      <c r="Z3621" s="47" t="s">
        <v>2466</v>
      </c>
      <c r="AA3621" s="49"/>
      <c r="AB3621" s="49"/>
      <c r="AC3621" s="49"/>
      <c r="AD3621" s="50"/>
      <c r="AE3621" s="47" t="s">
        <v>4788</v>
      </c>
      <c r="AF3621" s="47">
        <v>145</v>
      </c>
      <c r="AG3621"/>
      <c r="AH3621"/>
      <c r="AI3621"/>
      <c r="AJ3621"/>
      <c r="AK3621"/>
      <c r="AL3621"/>
      <c r="AM3621"/>
      <c r="AN3621"/>
      <c r="AO3621"/>
      <c r="AP3621"/>
      <c r="AQ3621" t="s">
        <v>2526</v>
      </c>
      <c r="AU3621">
        <v>3620</v>
      </c>
    </row>
    <row r="3622" spans="1:47" x14ac:dyDescent="0.2">
      <c r="A3622" s="133">
        <v>6685</v>
      </c>
      <c r="B3622" s="39" t="s">
        <v>45</v>
      </c>
      <c r="C3622" s="57" t="s">
        <v>142</v>
      </c>
      <c r="D3622" s="29"/>
      <c r="E3622" s="39" t="s">
        <v>4855</v>
      </c>
      <c r="F3622" s="47" t="s">
        <v>340</v>
      </c>
      <c r="G3622" s="47" t="s">
        <v>49</v>
      </c>
      <c r="H3622"/>
      <c r="I3622" s="47" t="b">
        <v>1</v>
      </c>
      <c r="J3622" s="47" t="b">
        <v>1</v>
      </c>
      <c r="K3622" s="47">
        <f>(152*25+14*50+8*9.2)*2.2</f>
        <v>10061.920000000002</v>
      </c>
      <c r="L3622" s="48">
        <v>21</v>
      </c>
      <c r="M3622" s="47"/>
      <c r="N3622" s="47"/>
      <c r="O3622" s="47"/>
      <c r="P3622" s="47"/>
      <c r="Q3622" s="47"/>
      <c r="R3622" s="47"/>
      <c r="S3622" s="48">
        <v>20</v>
      </c>
      <c r="T3622" s="47">
        <v>0</v>
      </c>
      <c r="U3622" s="47">
        <v>1</v>
      </c>
      <c r="V3622" s="47">
        <v>1</v>
      </c>
      <c r="W3622" s="47"/>
      <c r="X3622" s="47"/>
      <c r="Y3622" s="47" t="s">
        <v>51</v>
      </c>
      <c r="Z3622" s="31" t="s">
        <v>3855</v>
      </c>
      <c r="AA3622" s="49"/>
      <c r="AB3622" s="49"/>
      <c r="AC3622" s="49"/>
      <c r="AD3622" s="50"/>
      <c r="AE3622" s="31" t="s">
        <v>4723</v>
      </c>
      <c r="AF3622" s="47">
        <v>80</v>
      </c>
      <c r="AG3622"/>
      <c r="AH3622"/>
      <c r="AI3622"/>
      <c r="AJ3622"/>
      <c r="AK3622">
        <v>174</v>
      </c>
      <c r="AL3622"/>
      <c r="AM3622"/>
      <c r="AN3622"/>
      <c r="AO3622"/>
      <c r="AP3622"/>
      <c r="AQ3622" t="s">
        <v>4832</v>
      </c>
      <c r="AR3622" s="32" t="s">
        <v>4856</v>
      </c>
      <c r="AU3622">
        <v>3621</v>
      </c>
    </row>
    <row r="3623" spans="1:47" x14ac:dyDescent="0.2">
      <c r="A3623" s="13">
        <v>6685</v>
      </c>
      <c r="B3623" s="57" t="s">
        <v>45</v>
      </c>
      <c r="C3623" s="57" t="s">
        <v>142</v>
      </c>
      <c r="D3623" s="29"/>
      <c r="E3623" s="57" t="s">
        <v>1593</v>
      </c>
      <c r="F3623" s="31" t="s">
        <v>1900</v>
      </c>
      <c r="G3623" s="31" t="s">
        <v>69</v>
      </c>
      <c r="I3623" s="47" t="b">
        <v>0</v>
      </c>
      <c r="J3623" s="47" t="b">
        <v>0</v>
      </c>
      <c r="K3623" s="31">
        <v>2145</v>
      </c>
      <c r="S3623" s="33">
        <v>4</v>
      </c>
      <c r="Z3623" s="31" t="s">
        <v>3855</v>
      </c>
      <c r="AE3623" s="31" t="s">
        <v>4723</v>
      </c>
      <c r="AF3623" s="31">
        <v>65</v>
      </c>
      <c r="AK3623" s="32">
        <v>39</v>
      </c>
      <c r="AQ3623" s="32" t="s">
        <v>4816</v>
      </c>
      <c r="AU3623">
        <v>3622</v>
      </c>
    </row>
    <row r="3624" spans="1:47" x14ac:dyDescent="0.2">
      <c r="A3624" s="13">
        <v>6685</v>
      </c>
      <c r="B3624" s="57" t="s">
        <v>45</v>
      </c>
      <c r="C3624" s="57" t="s">
        <v>142</v>
      </c>
      <c r="D3624" s="29"/>
      <c r="E3624" s="57" t="s">
        <v>4824</v>
      </c>
      <c r="F3624" s="31" t="s">
        <v>1900</v>
      </c>
      <c r="G3624" s="31" t="s">
        <v>69</v>
      </c>
      <c r="I3624" s="47" t="b">
        <v>0</v>
      </c>
      <c r="J3624" s="47" t="b">
        <v>0</v>
      </c>
      <c r="K3624" s="31">
        <v>2926</v>
      </c>
      <c r="S3624" s="33">
        <v>6</v>
      </c>
      <c r="Z3624" s="31" t="s">
        <v>3855</v>
      </c>
      <c r="AE3624" s="31" t="s">
        <v>4723</v>
      </c>
      <c r="AF3624" s="31">
        <v>80</v>
      </c>
      <c r="AK3624" s="32">
        <v>57</v>
      </c>
      <c r="AQ3624" s="32" t="s">
        <v>4816</v>
      </c>
      <c r="AU3624">
        <v>3623</v>
      </c>
    </row>
    <row r="3625" spans="1:47" x14ac:dyDescent="0.2">
      <c r="A3625" s="13">
        <v>6685</v>
      </c>
      <c r="B3625" s="57" t="s">
        <v>45</v>
      </c>
      <c r="C3625" s="57" t="s">
        <v>142</v>
      </c>
      <c r="D3625" s="29"/>
      <c r="E3625" s="57" t="s">
        <v>4836</v>
      </c>
      <c r="F3625" s="31" t="s">
        <v>1900</v>
      </c>
      <c r="G3625" s="31" t="s">
        <v>69</v>
      </c>
      <c r="I3625" s="47" t="b">
        <v>0</v>
      </c>
      <c r="J3625" s="47" t="b">
        <v>0</v>
      </c>
      <c r="K3625" s="31">
        <v>1320</v>
      </c>
      <c r="S3625" s="33">
        <v>3</v>
      </c>
      <c r="Z3625" s="31" t="s">
        <v>3855</v>
      </c>
      <c r="AE3625" s="31" t="s">
        <v>4723</v>
      </c>
      <c r="AF3625" s="31">
        <v>80</v>
      </c>
      <c r="AK3625" s="32">
        <v>19</v>
      </c>
      <c r="AQ3625" s="32" t="s">
        <v>4816</v>
      </c>
      <c r="AU3625">
        <v>3624</v>
      </c>
    </row>
    <row r="3626" spans="1:47" x14ac:dyDescent="0.2">
      <c r="A3626" s="13">
        <v>6685</v>
      </c>
      <c r="B3626" s="57" t="s">
        <v>45</v>
      </c>
      <c r="C3626" s="57" t="s">
        <v>142</v>
      </c>
      <c r="D3626" s="29"/>
      <c r="E3626" s="57" t="s">
        <v>4857</v>
      </c>
      <c r="F3626" s="31" t="s">
        <v>1900</v>
      </c>
      <c r="G3626" s="31" t="s">
        <v>69</v>
      </c>
      <c r="I3626" s="47" t="b">
        <v>0</v>
      </c>
      <c r="J3626" s="47" t="b">
        <v>0</v>
      </c>
      <c r="K3626" s="31">
        <v>440</v>
      </c>
      <c r="S3626" s="33">
        <v>1</v>
      </c>
      <c r="Z3626" s="31" t="s">
        <v>3855</v>
      </c>
      <c r="AE3626" s="31" t="s">
        <v>4723</v>
      </c>
      <c r="AF3626" s="31">
        <v>55</v>
      </c>
      <c r="AK3626" s="32">
        <v>8</v>
      </c>
      <c r="AQ3626" s="32" t="s">
        <v>4816</v>
      </c>
      <c r="AU3626">
        <v>3625</v>
      </c>
    </row>
    <row r="3627" spans="1:47" x14ac:dyDescent="0.2">
      <c r="A3627" s="13">
        <v>6685</v>
      </c>
      <c r="B3627" s="57" t="s">
        <v>45</v>
      </c>
      <c r="C3627" s="57" t="s">
        <v>142</v>
      </c>
      <c r="D3627" s="29"/>
      <c r="E3627" s="57" t="s">
        <v>1576</v>
      </c>
      <c r="F3627" s="31" t="s">
        <v>1900</v>
      </c>
      <c r="G3627" s="31" t="s">
        <v>69</v>
      </c>
      <c r="I3627" s="47" t="b">
        <v>0</v>
      </c>
      <c r="J3627" s="47" t="b">
        <v>0</v>
      </c>
      <c r="K3627" s="184">
        <v>492</v>
      </c>
      <c r="AQ3627" s="32" t="s">
        <v>4816</v>
      </c>
      <c r="AR3627" s="185" t="s">
        <v>4835</v>
      </c>
      <c r="AU3627">
        <v>3626</v>
      </c>
    </row>
    <row r="3628" spans="1:47" x14ac:dyDescent="0.2">
      <c r="A3628" s="13">
        <v>6685</v>
      </c>
      <c r="B3628" s="57" t="s">
        <v>45</v>
      </c>
      <c r="C3628" s="57" t="s">
        <v>142</v>
      </c>
      <c r="D3628" s="29"/>
      <c r="E3628" s="57" t="s">
        <v>4747</v>
      </c>
      <c r="F3628" s="31" t="s">
        <v>76</v>
      </c>
      <c r="G3628" s="31" t="s">
        <v>49</v>
      </c>
      <c r="I3628" s="47" t="b">
        <v>0</v>
      </c>
      <c r="J3628" s="47" t="b">
        <v>0</v>
      </c>
      <c r="K3628" s="31">
        <v>2739</v>
      </c>
      <c r="S3628" s="33">
        <v>6</v>
      </c>
      <c r="Z3628" s="31" t="s">
        <v>3855</v>
      </c>
      <c r="AE3628" s="31" t="s">
        <v>4723</v>
      </c>
      <c r="AF3628" s="31">
        <v>80</v>
      </c>
      <c r="AK3628" s="32">
        <v>45</v>
      </c>
      <c r="AQ3628" s="32" t="s">
        <v>4816</v>
      </c>
      <c r="AR3628" s="32" t="s">
        <v>4858</v>
      </c>
      <c r="AU3628">
        <v>3627</v>
      </c>
    </row>
    <row r="3629" spans="1:47" x14ac:dyDescent="0.2">
      <c r="A3629" s="13">
        <v>6685</v>
      </c>
      <c r="B3629" s="57" t="s">
        <v>45</v>
      </c>
      <c r="C3629" s="57" t="s">
        <v>4456</v>
      </c>
      <c r="D3629" s="29"/>
      <c r="E3629" s="57" t="s">
        <v>4859</v>
      </c>
      <c r="F3629" s="31" t="s">
        <v>340</v>
      </c>
      <c r="G3629" s="31" t="s">
        <v>49</v>
      </c>
      <c r="I3629" s="47" t="b">
        <v>1</v>
      </c>
      <c r="J3629" s="47" t="b">
        <v>1</v>
      </c>
      <c r="K3629" s="135">
        <f>3*8*50*2.2</f>
        <v>2640</v>
      </c>
      <c r="L3629" s="33">
        <v>5</v>
      </c>
      <c r="M3629" s="31">
        <v>2</v>
      </c>
      <c r="S3629" s="33">
        <v>3</v>
      </c>
      <c r="T3629" s="31">
        <v>0</v>
      </c>
      <c r="U3629" s="31">
        <v>0</v>
      </c>
      <c r="V3629" s="31">
        <v>1</v>
      </c>
      <c r="W3629" s="47">
        <f>((2500+1900+2200)/3)*39.37/12</f>
        <v>7217.833333333333</v>
      </c>
      <c r="Y3629" s="31" t="s">
        <v>51</v>
      </c>
      <c r="Z3629" s="31" t="s">
        <v>1846</v>
      </c>
      <c r="AA3629" s="34">
        <v>5.2083333333333336E-2</v>
      </c>
      <c r="AB3629" s="34">
        <v>0.1875</v>
      </c>
      <c r="AC3629" s="49">
        <f>AVERAGE(AA3629:AB3629)</f>
        <v>0.11979166666666667</v>
      </c>
      <c r="AD3629" s="35">
        <v>2.25</v>
      </c>
      <c r="AE3629" s="31" t="s">
        <v>4756</v>
      </c>
      <c r="AK3629" s="130">
        <f>3*8</f>
        <v>24</v>
      </c>
      <c r="AQ3629" s="32" t="s">
        <v>4860</v>
      </c>
      <c r="AR3629" s="32" t="s">
        <v>4861</v>
      </c>
      <c r="AU3629">
        <v>3628</v>
      </c>
    </row>
    <row r="3630" spans="1:47" x14ac:dyDescent="0.2">
      <c r="A3630" s="13">
        <v>6685</v>
      </c>
      <c r="B3630" s="57" t="s">
        <v>45</v>
      </c>
      <c r="C3630" s="57" t="s">
        <v>4456</v>
      </c>
      <c r="D3630" s="29"/>
      <c r="E3630" s="57" t="s">
        <v>3816</v>
      </c>
      <c r="F3630" s="31" t="s">
        <v>76</v>
      </c>
      <c r="G3630" s="31" t="s">
        <v>49</v>
      </c>
      <c r="I3630" s="47" t="b">
        <v>0</v>
      </c>
      <c r="J3630" s="47" t="b">
        <v>0</v>
      </c>
      <c r="K3630" s="135">
        <f>8*50*2.2</f>
        <v>880.00000000000011</v>
      </c>
      <c r="S3630" s="33">
        <v>1</v>
      </c>
      <c r="W3630" s="47">
        <f>2500*39.37/12</f>
        <v>8202.0833333333339</v>
      </c>
      <c r="Y3630" s="31" t="s">
        <v>51</v>
      </c>
      <c r="Z3630" s="31" t="s">
        <v>1846</v>
      </c>
      <c r="AA3630" s="34">
        <v>9.375E-2</v>
      </c>
      <c r="AB3630" s="34">
        <v>0.1875</v>
      </c>
      <c r="AC3630" s="49">
        <f>AVERAGE(AA3630:AB3630)</f>
        <v>0.140625</v>
      </c>
      <c r="AD3630" s="35">
        <v>2.25</v>
      </c>
      <c r="AE3630" s="31" t="s">
        <v>4756</v>
      </c>
      <c r="AF3630" s="31">
        <v>110</v>
      </c>
      <c r="AK3630" s="130">
        <v>8</v>
      </c>
      <c r="AQ3630" s="32" t="s">
        <v>4860</v>
      </c>
      <c r="AR3630" s="32" t="s">
        <v>4862</v>
      </c>
      <c r="AU3630">
        <v>3629</v>
      </c>
    </row>
    <row r="3631" spans="1:47" x14ac:dyDescent="0.2">
      <c r="A3631" s="13">
        <v>6685</v>
      </c>
      <c r="B3631" s="57" t="s">
        <v>45</v>
      </c>
      <c r="C3631" s="57" t="s">
        <v>4456</v>
      </c>
      <c r="D3631" s="29"/>
      <c r="E3631" s="57" t="s">
        <v>3884</v>
      </c>
      <c r="F3631" s="31" t="s">
        <v>76</v>
      </c>
      <c r="G3631" s="31" t="s">
        <v>49</v>
      </c>
      <c r="I3631" s="47" t="b">
        <v>0</v>
      </c>
      <c r="J3631" s="47" t="b">
        <v>0</v>
      </c>
      <c r="K3631" s="135">
        <f>8*50*2.2</f>
        <v>880.00000000000011</v>
      </c>
      <c r="S3631" s="33">
        <v>1</v>
      </c>
      <c r="W3631" s="47">
        <f>1900*39.37/12</f>
        <v>6233.583333333333</v>
      </c>
      <c r="Y3631" s="31" t="s">
        <v>51</v>
      </c>
      <c r="Z3631" s="31" t="s">
        <v>1846</v>
      </c>
      <c r="AA3631" s="34">
        <v>6.25E-2</v>
      </c>
      <c r="AB3631" s="34">
        <v>0.15277777777777776</v>
      </c>
      <c r="AC3631" s="49">
        <f>AVERAGE(AA3631:AB3631)</f>
        <v>0.10763888888888888</v>
      </c>
      <c r="AD3631" s="35">
        <f>1+5/6</f>
        <v>1.8333333333333335</v>
      </c>
      <c r="AE3631" s="31" t="s">
        <v>4756</v>
      </c>
      <c r="AF3631" s="31">
        <v>85</v>
      </c>
      <c r="AK3631" s="130">
        <v>8</v>
      </c>
      <c r="AQ3631" s="32" t="s">
        <v>4860</v>
      </c>
      <c r="AR3631" s="32" t="s">
        <v>4863</v>
      </c>
      <c r="AU3631">
        <v>3630</v>
      </c>
    </row>
    <row r="3632" spans="1:47" x14ac:dyDescent="0.2">
      <c r="A3632" s="13">
        <v>6685</v>
      </c>
      <c r="B3632" s="57" t="s">
        <v>45</v>
      </c>
      <c r="C3632" s="57" t="s">
        <v>4456</v>
      </c>
      <c r="D3632" s="29"/>
      <c r="E3632" s="57" t="s">
        <v>3895</v>
      </c>
      <c r="F3632" s="31" t="s">
        <v>76</v>
      </c>
      <c r="G3632" s="31" t="s">
        <v>49</v>
      </c>
      <c r="I3632" s="47" t="b">
        <v>0</v>
      </c>
      <c r="J3632" s="47" t="b">
        <v>0</v>
      </c>
      <c r="K3632" s="135">
        <f>8*50*2.2</f>
        <v>880.00000000000011</v>
      </c>
      <c r="S3632" s="33">
        <v>1</v>
      </c>
      <c r="W3632" s="47">
        <f>2200*39.37/12</f>
        <v>7217.833333333333</v>
      </c>
      <c r="Y3632" s="31" t="s">
        <v>51</v>
      </c>
      <c r="Z3632" s="31" t="s">
        <v>1846</v>
      </c>
      <c r="AA3632" s="34">
        <v>5.2083333333333336E-2</v>
      </c>
      <c r="AB3632" s="34">
        <v>0.11458333333333333</v>
      </c>
      <c r="AC3632" s="49">
        <f>AVERAGE(AA3632:AB3632)</f>
        <v>8.3333333333333329E-2</v>
      </c>
      <c r="AD3632" s="35">
        <v>1.5</v>
      </c>
      <c r="AE3632" s="31" t="s">
        <v>4756</v>
      </c>
      <c r="AF3632" s="31">
        <v>60</v>
      </c>
      <c r="AK3632" s="130">
        <v>8</v>
      </c>
      <c r="AQ3632" s="32" t="s">
        <v>4860</v>
      </c>
      <c r="AR3632" s="32" t="s">
        <v>4864</v>
      </c>
      <c r="AU3632">
        <v>3631</v>
      </c>
    </row>
    <row r="3633" spans="1:47" x14ac:dyDescent="0.2">
      <c r="A3633" s="13">
        <v>6685</v>
      </c>
      <c r="B3633" s="57" t="s">
        <v>45</v>
      </c>
      <c r="C3633" s="57" t="s">
        <v>1367</v>
      </c>
      <c r="D3633" s="29"/>
      <c r="E3633" s="57" t="s">
        <v>3895</v>
      </c>
      <c r="F3633" s="31" t="s">
        <v>76</v>
      </c>
      <c r="G3633" s="31" t="s">
        <v>49</v>
      </c>
      <c r="I3633" s="47" t="s">
        <v>4865</v>
      </c>
      <c r="K3633" s="31">
        <f>6050-880</f>
        <v>5170</v>
      </c>
      <c r="S3633" s="33">
        <f>12-1</f>
        <v>11</v>
      </c>
      <c r="Z3633" s="47" t="s">
        <v>4802</v>
      </c>
      <c r="AE3633" s="31" t="s">
        <v>4756</v>
      </c>
      <c r="AF3633" s="31">
        <v>60</v>
      </c>
      <c r="AQ3633" s="32" t="s">
        <v>4842</v>
      </c>
      <c r="AU3633">
        <v>3632</v>
      </c>
    </row>
    <row r="3634" spans="1:47" x14ac:dyDescent="0.2">
      <c r="A3634" s="13">
        <v>6685</v>
      </c>
      <c r="B3634" s="57" t="s">
        <v>45</v>
      </c>
      <c r="C3634" s="57" t="s">
        <v>4843</v>
      </c>
      <c r="D3634" s="29"/>
      <c r="E3634" s="57" t="s">
        <v>4846</v>
      </c>
      <c r="F3634" s="31" t="s">
        <v>204</v>
      </c>
      <c r="G3634" s="31" t="s">
        <v>205</v>
      </c>
      <c r="I3634" s="31" t="s">
        <v>4866</v>
      </c>
      <c r="K3634" s="31">
        <v>528</v>
      </c>
      <c r="S3634" s="33">
        <v>1</v>
      </c>
      <c r="Z3634" s="31" t="s">
        <v>3814</v>
      </c>
      <c r="AE3634" s="31" t="s">
        <v>4845</v>
      </c>
      <c r="AF3634" s="31">
        <v>60</v>
      </c>
      <c r="AK3634" s="32">
        <v>6</v>
      </c>
      <c r="AQ3634" s="32" t="s">
        <v>4816</v>
      </c>
      <c r="AU3634">
        <v>3633</v>
      </c>
    </row>
    <row r="3635" spans="1:47" x14ac:dyDescent="0.2">
      <c r="A3635" s="13">
        <v>6685</v>
      </c>
      <c r="B3635" s="57" t="s">
        <v>45</v>
      </c>
      <c r="C3635" s="57" t="s">
        <v>4843</v>
      </c>
      <c r="D3635" s="29"/>
      <c r="E3635" s="57" t="s">
        <v>819</v>
      </c>
      <c r="K3635" s="31">
        <v>1056</v>
      </c>
      <c r="S3635" s="33">
        <v>2</v>
      </c>
      <c r="Z3635" s="31" t="s">
        <v>3814</v>
      </c>
      <c r="AE3635" s="31" t="s">
        <v>4845</v>
      </c>
      <c r="AF3635" s="31">
        <v>45</v>
      </c>
      <c r="AK3635" s="32">
        <v>24</v>
      </c>
      <c r="AQ3635" s="32" t="s">
        <v>4816</v>
      </c>
      <c r="AU3635">
        <v>3634</v>
      </c>
    </row>
    <row r="3636" spans="1:47" x14ac:dyDescent="0.2">
      <c r="A3636" s="13">
        <v>6685</v>
      </c>
      <c r="B3636" s="57" t="s">
        <v>45</v>
      </c>
      <c r="C3636" s="57" t="s">
        <v>4843</v>
      </c>
      <c r="D3636" s="29"/>
      <c r="E3636" s="57" t="s">
        <v>447</v>
      </c>
      <c r="F3636" s="31" t="s">
        <v>76</v>
      </c>
      <c r="G3636" s="31" t="s">
        <v>49</v>
      </c>
      <c r="K3636" s="31">
        <v>2200</v>
      </c>
      <c r="S3636" s="33">
        <v>5</v>
      </c>
      <c r="Z3636" s="31" t="s">
        <v>3814</v>
      </c>
      <c r="AE3636" s="31" t="s">
        <v>4845</v>
      </c>
      <c r="AF3636" s="31">
        <v>70</v>
      </c>
      <c r="AK3636" s="32">
        <v>29</v>
      </c>
      <c r="AQ3636" s="32" t="s">
        <v>4816</v>
      </c>
      <c r="AU3636">
        <v>3635</v>
      </c>
    </row>
    <row r="3637" spans="1:47" x14ac:dyDescent="0.2">
      <c r="A3637" s="13">
        <v>6685</v>
      </c>
      <c r="B3637" s="57" t="s">
        <v>45</v>
      </c>
      <c r="C3637" s="57" t="s">
        <v>4843</v>
      </c>
      <c r="D3637" s="29"/>
      <c r="E3637" s="57" t="s">
        <v>4867</v>
      </c>
      <c r="F3637" s="31" t="s">
        <v>348</v>
      </c>
      <c r="G3637" s="31" t="s">
        <v>49</v>
      </c>
      <c r="K3637" s="63"/>
      <c r="S3637" s="33">
        <v>1</v>
      </c>
      <c r="Z3637" s="31" t="s">
        <v>3814</v>
      </c>
      <c r="AE3637" s="31" t="s">
        <v>4845</v>
      </c>
      <c r="AQ3637" s="32" t="s">
        <v>4816</v>
      </c>
      <c r="AU3637">
        <v>3636</v>
      </c>
    </row>
    <row r="3638" spans="1:47" x14ac:dyDescent="0.2">
      <c r="A3638" s="13">
        <v>6685</v>
      </c>
      <c r="B3638" s="57" t="s">
        <v>45</v>
      </c>
      <c r="C3638" s="57" t="s">
        <v>4843</v>
      </c>
      <c r="D3638" s="29"/>
      <c r="E3638" s="57" t="s">
        <v>4839</v>
      </c>
      <c r="F3638" s="31" t="s">
        <v>76</v>
      </c>
      <c r="G3638" s="31" t="s">
        <v>49</v>
      </c>
      <c r="K3638" s="31">
        <v>6886</v>
      </c>
      <c r="S3638" s="33">
        <v>14</v>
      </c>
      <c r="Z3638" s="31" t="s">
        <v>3814</v>
      </c>
      <c r="AE3638" s="31" t="s">
        <v>4845</v>
      </c>
      <c r="AF3638" s="31">
        <v>55</v>
      </c>
      <c r="AK3638" s="32">
        <v>100</v>
      </c>
      <c r="AQ3638" s="32" t="s">
        <v>4816</v>
      </c>
      <c r="AU3638">
        <v>3637</v>
      </c>
    </row>
    <row r="3639" spans="1:47" x14ac:dyDescent="0.2">
      <c r="A3639" s="13">
        <v>6685</v>
      </c>
      <c r="B3639" s="57" t="s">
        <v>45</v>
      </c>
      <c r="C3639" s="57" t="s">
        <v>4843</v>
      </c>
      <c r="D3639" s="29"/>
      <c r="E3639" s="57" t="s">
        <v>4868</v>
      </c>
      <c r="F3639" s="31" t="s">
        <v>4598</v>
      </c>
      <c r="G3639" s="31" t="s">
        <v>69</v>
      </c>
      <c r="K3639" s="31">
        <v>3179</v>
      </c>
      <c r="S3639" s="33">
        <v>7</v>
      </c>
      <c r="Z3639" s="31" t="s">
        <v>3814</v>
      </c>
      <c r="AE3639" s="31" t="s">
        <v>4845</v>
      </c>
      <c r="AK3639" s="32">
        <v>41</v>
      </c>
      <c r="AQ3639" s="32" t="s">
        <v>4816</v>
      </c>
      <c r="AU3639">
        <v>3638</v>
      </c>
    </row>
    <row r="3640" spans="1:47" x14ac:dyDescent="0.2">
      <c r="A3640" s="13">
        <v>6685</v>
      </c>
      <c r="B3640" s="57" t="s">
        <v>45</v>
      </c>
      <c r="C3640" s="57" t="s">
        <v>4179</v>
      </c>
      <c r="D3640" s="29"/>
      <c r="E3640" s="57" t="s">
        <v>4752</v>
      </c>
      <c r="F3640" s="31" t="s">
        <v>76</v>
      </c>
      <c r="G3640" s="31" t="s">
        <v>49</v>
      </c>
      <c r="K3640" s="31">
        <v>1650</v>
      </c>
      <c r="S3640" s="33">
        <v>4</v>
      </c>
      <c r="Z3640" s="31" t="s">
        <v>3814</v>
      </c>
      <c r="AK3640" s="32">
        <v>18</v>
      </c>
      <c r="AQ3640" s="32" t="s">
        <v>4816</v>
      </c>
      <c r="AU3640">
        <v>3639</v>
      </c>
    </row>
    <row r="3641" spans="1:47" x14ac:dyDescent="0.2">
      <c r="A3641" s="13">
        <v>6685</v>
      </c>
      <c r="B3641" s="57" t="s">
        <v>45</v>
      </c>
      <c r="C3641" s="57" t="s">
        <v>4179</v>
      </c>
      <c r="D3641" s="29"/>
      <c r="E3641" s="57" t="s">
        <v>4749</v>
      </c>
      <c r="F3641" s="144" t="s">
        <v>204</v>
      </c>
      <c r="G3641" s="31" t="s">
        <v>205</v>
      </c>
      <c r="K3641" s="31">
        <v>16368</v>
      </c>
      <c r="S3641" s="33">
        <v>33</v>
      </c>
      <c r="Z3641" s="31" t="s">
        <v>3814</v>
      </c>
      <c r="AK3641" s="32">
        <v>152</v>
      </c>
      <c r="AQ3641" s="32" t="s">
        <v>4816</v>
      </c>
      <c r="AU3641">
        <v>3640</v>
      </c>
    </row>
    <row r="3642" spans="1:47" x14ac:dyDescent="0.2">
      <c r="A3642" s="133">
        <v>6686</v>
      </c>
      <c r="B3642" s="39" t="s">
        <v>45</v>
      </c>
      <c r="C3642" s="39">
        <v>100</v>
      </c>
      <c r="D3642" s="29" t="b">
        <v>0</v>
      </c>
      <c r="E3642" s="39" t="s">
        <v>4786</v>
      </c>
      <c r="F3642" s="47" t="s">
        <v>4077</v>
      </c>
      <c r="G3642" s="47" t="s">
        <v>49</v>
      </c>
      <c r="H3642"/>
      <c r="I3642" s="47" t="b">
        <v>1</v>
      </c>
      <c r="J3642" s="47" t="b">
        <v>1</v>
      </c>
      <c r="K3642" s="47">
        <v>2688</v>
      </c>
      <c r="L3642" s="48">
        <v>9</v>
      </c>
      <c r="M3642" s="47">
        <v>0</v>
      </c>
      <c r="N3642" s="47">
        <v>0</v>
      </c>
      <c r="O3642" s="47">
        <v>0</v>
      </c>
      <c r="P3642" s="47">
        <v>0</v>
      </c>
      <c r="Q3642" s="47">
        <v>0</v>
      </c>
      <c r="R3642" s="47">
        <v>0</v>
      </c>
      <c r="S3642" s="48">
        <v>9</v>
      </c>
      <c r="T3642" s="47">
        <v>0</v>
      </c>
      <c r="U3642" s="47">
        <v>1</v>
      </c>
      <c r="V3642" s="47">
        <v>0</v>
      </c>
      <c r="W3642" s="47">
        <v>1400</v>
      </c>
      <c r="X3642" s="47">
        <v>476</v>
      </c>
      <c r="Y3642" s="47"/>
      <c r="Z3642" s="47" t="s">
        <v>2524</v>
      </c>
      <c r="AA3642" s="49"/>
      <c r="AB3642" s="49"/>
      <c r="AC3642" s="49"/>
      <c r="AD3642" s="50"/>
      <c r="AE3642" s="47" t="s">
        <v>4785</v>
      </c>
      <c r="AF3642" s="47">
        <v>80</v>
      </c>
      <c r="AG3642"/>
      <c r="AH3642"/>
      <c r="AI3642"/>
      <c r="AJ3642"/>
      <c r="AK3642"/>
      <c r="AL3642"/>
      <c r="AM3642"/>
      <c r="AN3642"/>
      <c r="AO3642"/>
      <c r="AP3642"/>
      <c r="AQ3642" t="s">
        <v>2526</v>
      </c>
      <c r="AU3642">
        <v>3641</v>
      </c>
    </row>
    <row r="3643" spans="1:47" x14ac:dyDescent="0.2">
      <c r="A3643" s="133">
        <v>6686</v>
      </c>
      <c r="B3643" s="39" t="s">
        <v>45</v>
      </c>
      <c r="C3643" s="39">
        <v>100</v>
      </c>
      <c r="D3643" s="29" t="b">
        <v>0</v>
      </c>
      <c r="E3643" s="39" t="s">
        <v>3876</v>
      </c>
      <c r="F3643" s="47" t="s">
        <v>4077</v>
      </c>
      <c r="G3643" s="47" t="s">
        <v>49</v>
      </c>
      <c r="H3643"/>
      <c r="I3643" s="47" t="b">
        <v>0</v>
      </c>
      <c r="J3643" s="47" t="b">
        <v>0</v>
      </c>
      <c r="K3643" s="47">
        <v>224</v>
      </c>
      <c r="L3643" s="48">
        <v>9</v>
      </c>
      <c r="M3643" s="47">
        <v>0</v>
      </c>
      <c r="N3643" s="47">
        <v>0</v>
      </c>
      <c r="O3643" s="47">
        <v>0</v>
      </c>
      <c r="P3643" s="47">
        <v>0</v>
      </c>
      <c r="Q3643" s="47">
        <v>0</v>
      </c>
      <c r="R3643" s="47">
        <v>0</v>
      </c>
      <c r="S3643" s="48">
        <v>1</v>
      </c>
      <c r="T3643" s="47">
        <v>0</v>
      </c>
      <c r="U3643" s="47">
        <v>1</v>
      </c>
      <c r="V3643" s="47">
        <v>0</v>
      </c>
      <c r="W3643" s="47">
        <v>1400</v>
      </c>
      <c r="X3643" s="47">
        <v>477</v>
      </c>
      <c r="Y3643" s="47"/>
      <c r="Z3643" s="47" t="s">
        <v>2524</v>
      </c>
      <c r="AA3643" s="49"/>
      <c r="AB3643" s="49"/>
      <c r="AC3643" s="49"/>
      <c r="AD3643" s="50"/>
      <c r="AE3643" s="47" t="s">
        <v>4785</v>
      </c>
      <c r="AF3643" s="47">
        <v>80</v>
      </c>
      <c r="AG3643"/>
      <c r="AH3643"/>
      <c r="AI3643"/>
      <c r="AJ3643"/>
      <c r="AK3643"/>
      <c r="AL3643"/>
      <c r="AM3643"/>
      <c r="AN3643"/>
      <c r="AO3643"/>
      <c r="AP3643"/>
      <c r="AQ3643" t="s">
        <v>2526</v>
      </c>
      <c r="AU3643">
        <v>3642</v>
      </c>
    </row>
    <row r="3644" spans="1:47" x14ac:dyDescent="0.2">
      <c r="A3644" s="133">
        <v>6686</v>
      </c>
      <c r="B3644" s="39" t="s">
        <v>45</v>
      </c>
      <c r="C3644" s="39">
        <v>100</v>
      </c>
      <c r="D3644" s="29" t="b">
        <v>0</v>
      </c>
      <c r="E3644" s="39" t="s">
        <v>3875</v>
      </c>
      <c r="F3644" s="47" t="s">
        <v>4077</v>
      </c>
      <c r="G3644" s="47" t="s">
        <v>49</v>
      </c>
      <c r="H3644"/>
      <c r="I3644" s="47" t="b">
        <v>0</v>
      </c>
      <c r="J3644" s="47" t="b">
        <v>0</v>
      </c>
      <c r="K3644" s="47">
        <v>2464</v>
      </c>
      <c r="L3644" s="48">
        <v>9</v>
      </c>
      <c r="M3644" s="47">
        <v>0</v>
      </c>
      <c r="N3644" s="47">
        <v>0</v>
      </c>
      <c r="O3644" s="47">
        <v>0</v>
      </c>
      <c r="P3644" s="47">
        <v>0</v>
      </c>
      <c r="Q3644" s="47">
        <v>0</v>
      </c>
      <c r="R3644" s="47">
        <v>0</v>
      </c>
      <c r="S3644" s="48">
        <v>8</v>
      </c>
      <c r="T3644" s="47">
        <v>0</v>
      </c>
      <c r="U3644" s="47">
        <v>1</v>
      </c>
      <c r="V3644" s="47">
        <v>0</v>
      </c>
      <c r="W3644" s="47"/>
      <c r="X3644" s="47">
        <v>478</v>
      </c>
      <c r="Y3644" s="47"/>
      <c r="Z3644" s="47" t="s">
        <v>2524</v>
      </c>
      <c r="AA3644" s="49"/>
      <c r="AB3644" s="49"/>
      <c r="AC3644" s="49"/>
      <c r="AD3644" s="50"/>
      <c r="AE3644" s="47" t="s">
        <v>4785</v>
      </c>
      <c r="AF3644" s="47">
        <v>80</v>
      </c>
      <c r="AG3644"/>
      <c r="AH3644"/>
      <c r="AI3644"/>
      <c r="AJ3644"/>
      <c r="AK3644"/>
      <c r="AL3644"/>
      <c r="AM3644"/>
      <c r="AN3644"/>
      <c r="AO3644"/>
      <c r="AP3644"/>
      <c r="AQ3644" t="s">
        <v>2526</v>
      </c>
      <c r="AU3644">
        <v>3643</v>
      </c>
    </row>
    <row r="3645" spans="1:47" x14ac:dyDescent="0.2">
      <c r="A3645" s="133">
        <v>6686</v>
      </c>
      <c r="B3645" s="39" t="s">
        <v>45</v>
      </c>
      <c r="C3645" s="39" t="s">
        <v>142</v>
      </c>
      <c r="D3645" s="29"/>
      <c r="E3645" s="39" t="s">
        <v>4869</v>
      </c>
      <c r="F3645" s="47" t="s">
        <v>4729</v>
      </c>
      <c r="G3645" s="47" t="s">
        <v>49</v>
      </c>
      <c r="H3645"/>
      <c r="I3645" s="47" t="b">
        <v>1</v>
      </c>
      <c r="J3645" s="47" t="b">
        <v>1</v>
      </c>
      <c r="K3645" s="47">
        <f>6800*2.2</f>
        <v>14960.000000000002</v>
      </c>
      <c r="L3645" s="48">
        <v>34</v>
      </c>
      <c r="M3645" s="47"/>
      <c r="N3645" s="47">
        <v>2</v>
      </c>
      <c r="O3645" s="47"/>
      <c r="P3645" s="47"/>
      <c r="Q3645" s="47"/>
      <c r="R3645" s="47"/>
      <c r="S3645" s="48">
        <v>32</v>
      </c>
      <c r="T3645" s="47">
        <v>0</v>
      </c>
      <c r="U3645" s="47">
        <v>0</v>
      </c>
      <c r="V3645" s="47">
        <v>1</v>
      </c>
      <c r="W3645" s="47"/>
      <c r="X3645" s="47"/>
      <c r="Y3645" s="47" t="s">
        <v>51</v>
      </c>
      <c r="Z3645" s="31" t="s">
        <v>3855</v>
      </c>
      <c r="AA3645" s="49"/>
      <c r="AB3645" s="49"/>
      <c r="AC3645" s="49"/>
      <c r="AD3645" s="50"/>
      <c r="AE3645" s="31" t="s">
        <v>4723</v>
      </c>
      <c r="AF3645" s="47"/>
      <c r="AG3645"/>
      <c r="AH3645"/>
      <c r="AI3645"/>
      <c r="AJ3645"/>
      <c r="AK3645">
        <v>257</v>
      </c>
      <c r="AL3645"/>
      <c r="AM3645"/>
      <c r="AN3645"/>
      <c r="AO3645"/>
      <c r="AP3645"/>
      <c r="AQ3645" t="s">
        <v>4832</v>
      </c>
      <c r="AR3645" s="47" t="s">
        <v>4870</v>
      </c>
      <c r="AU3645">
        <v>3644</v>
      </c>
    </row>
    <row r="3646" spans="1:47" x14ac:dyDescent="0.2">
      <c r="A3646" s="13">
        <v>6686</v>
      </c>
      <c r="B3646" s="57" t="s">
        <v>45</v>
      </c>
      <c r="C3646" s="57" t="s">
        <v>142</v>
      </c>
      <c r="D3646" s="29"/>
      <c r="E3646" s="57" t="s">
        <v>4752</v>
      </c>
      <c r="F3646" s="31" t="s">
        <v>76</v>
      </c>
      <c r="G3646" s="47" t="s">
        <v>49</v>
      </c>
      <c r="I3646" s="47" t="b">
        <v>0</v>
      </c>
      <c r="J3646" s="47" t="b">
        <v>0</v>
      </c>
      <c r="K3646" s="31">
        <v>4697</v>
      </c>
      <c r="S3646" s="33">
        <v>10</v>
      </c>
      <c r="Z3646" s="31" t="s">
        <v>3855</v>
      </c>
      <c r="AE3646" s="31" t="s">
        <v>4723</v>
      </c>
      <c r="AF3646" s="31">
        <v>80</v>
      </c>
      <c r="AK3646" s="32">
        <v>86</v>
      </c>
      <c r="AQ3646" s="32" t="s">
        <v>4816</v>
      </c>
      <c r="AU3646">
        <v>3645</v>
      </c>
    </row>
    <row r="3647" spans="1:47" x14ac:dyDescent="0.2">
      <c r="A3647" s="13">
        <v>6686</v>
      </c>
      <c r="B3647" s="57" t="s">
        <v>45</v>
      </c>
      <c r="C3647" s="57" t="s">
        <v>142</v>
      </c>
      <c r="D3647" s="29"/>
      <c r="E3647" s="57" t="s">
        <v>1593</v>
      </c>
      <c r="F3647" s="31" t="s">
        <v>76</v>
      </c>
      <c r="G3647" s="47" t="s">
        <v>49</v>
      </c>
      <c r="I3647" s="47" t="b">
        <v>0</v>
      </c>
      <c r="J3647" s="47" t="b">
        <v>0</v>
      </c>
      <c r="K3647" s="31">
        <v>3344</v>
      </c>
      <c r="S3647" s="33">
        <v>7</v>
      </c>
      <c r="Z3647" s="31" t="s">
        <v>3855</v>
      </c>
      <c r="AE3647" s="31" t="s">
        <v>4723</v>
      </c>
      <c r="AF3647" s="31">
        <v>65</v>
      </c>
      <c r="AK3647" s="32">
        <v>59</v>
      </c>
      <c r="AQ3647" s="32" t="s">
        <v>4816</v>
      </c>
      <c r="AU3647">
        <v>3646</v>
      </c>
    </row>
    <row r="3648" spans="1:47" x14ac:dyDescent="0.2">
      <c r="A3648" s="13">
        <v>6686</v>
      </c>
      <c r="B3648" s="57" t="s">
        <v>45</v>
      </c>
      <c r="C3648" s="57" t="s">
        <v>142</v>
      </c>
      <c r="D3648" s="29"/>
      <c r="E3648" s="57" t="s">
        <v>447</v>
      </c>
      <c r="F3648" s="31" t="s">
        <v>76</v>
      </c>
      <c r="G3648" s="47" t="s">
        <v>49</v>
      </c>
      <c r="I3648" s="47" t="b">
        <v>0</v>
      </c>
      <c r="J3648" s="47" t="b">
        <v>0</v>
      </c>
      <c r="K3648" s="31">
        <v>1914</v>
      </c>
      <c r="S3648" s="33">
        <v>4</v>
      </c>
      <c r="Z3648" s="31" t="s">
        <v>3855</v>
      </c>
      <c r="AE3648" s="31" t="s">
        <v>4723</v>
      </c>
      <c r="AF3648" s="31">
        <v>75</v>
      </c>
      <c r="AK3648" s="32">
        <v>31</v>
      </c>
      <c r="AQ3648" s="32" t="s">
        <v>4816</v>
      </c>
      <c r="AU3648">
        <v>3647</v>
      </c>
    </row>
    <row r="3649" spans="1:47" x14ac:dyDescent="0.2">
      <c r="A3649" s="13">
        <v>6686</v>
      </c>
      <c r="B3649" s="57" t="s">
        <v>45</v>
      </c>
      <c r="C3649" s="57" t="s">
        <v>142</v>
      </c>
      <c r="D3649" s="29"/>
      <c r="E3649" s="57" t="s">
        <v>1830</v>
      </c>
      <c r="F3649" s="31" t="s">
        <v>4847</v>
      </c>
      <c r="G3649" s="47" t="s">
        <v>49</v>
      </c>
      <c r="I3649" s="47" t="b">
        <v>0</v>
      </c>
      <c r="J3649" s="47" t="b">
        <v>0</v>
      </c>
      <c r="K3649" s="184">
        <f>(14960-12034)*0.25</f>
        <v>731.5</v>
      </c>
      <c r="S3649" s="33">
        <v>2</v>
      </c>
      <c r="Z3649" s="31" t="s">
        <v>3855</v>
      </c>
      <c r="AE3649" s="31" t="s">
        <v>4723</v>
      </c>
      <c r="AF3649" s="31">
        <v>75</v>
      </c>
      <c r="AK3649" s="32">
        <v>9</v>
      </c>
      <c r="AQ3649" s="32" t="s">
        <v>4816</v>
      </c>
      <c r="AR3649" s="185" t="s">
        <v>4871</v>
      </c>
      <c r="AU3649">
        <v>3648</v>
      </c>
    </row>
    <row r="3650" spans="1:47" x14ac:dyDescent="0.2">
      <c r="A3650" s="13">
        <v>6686</v>
      </c>
      <c r="B3650" s="57" t="s">
        <v>45</v>
      </c>
      <c r="C3650" s="57" t="s">
        <v>142</v>
      </c>
      <c r="D3650" s="29"/>
      <c r="E3650" s="57" t="s">
        <v>4839</v>
      </c>
      <c r="F3650" s="31" t="s">
        <v>76</v>
      </c>
      <c r="G3650" s="47" t="s">
        <v>49</v>
      </c>
      <c r="I3650" s="47" t="b">
        <v>0</v>
      </c>
      <c r="J3650" s="47" t="b">
        <v>0</v>
      </c>
      <c r="K3650" s="184">
        <f>(14960-12034)*0.75</f>
        <v>2194.5</v>
      </c>
      <c r="S3650" s="33">
        <v>6</v>
      </c>
      <c r="Z3650" s="31" t="s">
        <v>3855</v>
      </c>
      <c r="AE3650" s="31" t="s">
        <v>4723</v>
      </c>
      <c r="AF3650" s="31">
        <v>60</v>
      </c>
      <c r="AK3650" s="32">
        <v>35</v>
      </c>
      <c r="AQ3650" s="32" t="s">
        <v>4816</v>
      </c>
      <c r="AR3650" s="185" t="s">
        <v>4871</v>
      </c>
      <c r="AU3650">
        <v>3649</v>
      </c>
    </row>
    <row r="3651" spans="1:47" x14ac:dyDescent="0.2">
      <c r="A3651" s="13">
        <v>6686</v>
      </c>
      <c r="B3651" s="57" t="s">
        <v>45</v>
      </c>
      <c r="C3651" s="57" t="s">
        <v>142</v>
      </c>
      <c r="D3651" s="29"/>
      <c r="E3651" s="57" t="s">
        <v>4872</v>
      </c>
      <c r="F3651" s="31" t="s">
        <v>1900</v>
      </c>
      <c r="G3651" s="31" t="s">
        <v>69</v>
      </c>
      <c r="I3651" s="47" t="b">
        <v>0</v>
      </c>
      <c r="J3651" s="47" t="b">
        <v>0</v>
      </c>
      <c r="K3651" s="31">
        <v>990</v>
      </c>
      <c r="S3651" s="33">
        <v>2</v>
      </c>
      <c r="Z3651" s="31" t="s">
        <v>3855</v>
      </c>
      <c r="AE3651" s="31" t="s">
        <v>4723</v>
      </c>
      <c r="AK3651" s="32">
        <v>18</v>
      </c>
      <c r="AQ3651" s="32" t="s">
        <v>4816</v>
      </c>
      <c r="AU3651">
        <v>3650</v>
      </c>
    </row>
    <row r="3652" spans="1:47" x14ac:dyDescent="0.2">
      <c r="A3652" s="13">
        <v>6686</v>
      </c>
      <c r="B3652" s="57" t="s">
        <v>45</v>
      </c>
      <c r="C3652" s="57" t="s">
        <v>142</v>
      </c>
      <c r="D3652" s="29"/>
      <c r="E3652" s="57" t="s">
        <v>4834</v>
      </c>
      <c r="F3652" s="31" t="s">
        <v>1900</v>
      </c>
      <c r="G3652" s="31" t="s">
        <v>69</v>
      </c>
      <c r="I3652" s="47" t="b">
        <v>0</v>
      </c>
      <c r="J3652" s="47" t="b">
        <v>0</v>
      </c>
      <c r="K3652" s="31">
        <v>1089</v>
      </c>
      <c r="S3652" s="33">
        <v>2</v>
      </c>
      <c r="Z3652" s="31" t="s">
        <v>3855</v>
      </c>
      <c r="AE3652" s="31" t="s">
        <v>4723</v>
      </c>
      <c r="AF3652" s="31">
        <v>80</v>
      </c>
      <c r="AK3652" s="32">
        <v>19</v>
      </c>
      <c r="AQ3652" s="32" t="s">
        <v>4816</v>
      </c>
      <c r="AU3652">
        <v>3651</v>
      </c>
    </row>
    <row r="3653" spans="1:47" x14ac:dyDescent="0.2">
      <c r="A3653" s="13">
        <v>6686</v>
      </c>
      <c r="B3653" s="57" t="s">
        <v>45</v>
      </c>
      <c r="C3653" s="57" t="s">
        <v>4456</v>
      </c>
      <c r="D3653" s="29"/>
      <c r="E3653" s="57" t="s">
        <v>3895</v>
      </c>
      <c r="F3653" s="31" t="s">
        <v>76</v>
      </c>
      <c r="G3653" s="31" t="s">
        <v>49</v>
      </c>
      <c r="I3653" s="47" t="s">
        <v>4873</v>
      </c>
      <c r="J3653" s="47"/>
      <c r="K3653" s="135">
        <f>2*8*50*2.2</f>
        <v>1760.0000000000002</v>
      </c>
      <c r="L3653" s="33">
        <v>3</v>
      </c>
      <c r="M3653" s="31">
        <v>1</v>
      </c>
      <c r="S3653" s="33">
        <v>2</v>
      </c>
      <c r="T3653" s="31">
        <v>0</v>
      </c>
      <c r="U3653" s="31">
        <v>0</v>
      </c>
      <c r="V3653" s="31">
        <v>1</v>
      </c>
      <c r="W3653" s="47">
        <f>((2500+2000)/2)*39.37/12</f>
        <v>7381.875</v>
      </c>
      <c r="Y3653" s="31" t="s">
        <v>51</v>
      </c>
      <c r="Z3653" s="31" t="s">
        <v>1846</v>
      </c>
      <c r="AA3653" s="34">
        <v>6.9444444444444441E-3</v>
      </c>
      <c r="AB3653" s="34">
        <v>6.25E-2</v>
      </c>
      <c r="AC3653" s="49">
        <f>AVERAGE(AA3653:AB3653)</f>
        <v>3.4722222222222224E-2</v>
      </c>
      <c r="AD3653" s="35">
        <f>1+25/60</f>
        <v>1.4166666666666667</v>
      </c>
      <c r="AE3653" s="31" t="s">
        <v>4756</v>
      </c>
      <c r="AF3653" s="31">
        <v>60</v>
      </c>
      <c r="AK3653" s="130">
        <f>2*8</f>
        <v>16</v>
      </c>
      <c r="AQ3653" s="32" t="s">
        <v>4874</v>
      </c>
      <c r="AU3653">
        <v>3652</v>
      </c>
    </row>
    <row r="3654" spans="1:47" x14ac:dyDescent="0.2">
      <c r="A3654" s="13">
        <v>6686</v>
      </c>
      <c r="B3654" s="57" t="s">
        <v>45</v>
      </c>
      <c r="C3654" s="57" t="s">
        <v>1367</v>
      </c>
      <c r="D3654" s="29"/>
      <c r="E3654" s="57" t="s">
        <v>3895</v>
      </c>
      <c r="F3654" s="31" t="s">
        <v>76</v>
      </c>
      <c r="G3654" s="31" t="s">
        <v>49</v>
      </c>
      <c r="I3654" s="47" t="s">
        <v>4875</v>
      </c>
      <c r="K3654" s="31">
        <f>4136-1760</f>
        <v>2376</v>
      </c>
      <c r="S3654" s="33">
        <f>6-2</f>
        <v>4</v>
      </c>
      <c r="Z3654" s="47" t="s">
        <v>4802</v>
      </c>
      <c r="AE3654" s="31" t="s">
        <v>4756</v>
      </c>
      <c r="AF3654" s="31">
        <v>60</v>
      </c>
      <c r="AQ3654" s="32" t="s">
        <v>4842</v>
      </c>
      <c r="AU3654">
        <v>3653</v>
      </c>
    </row>
    <row r="3655" spans="1:47" x14ac:dyDescent="0.2">
      <c r="A3655" s="13">
        <v>6686</v>
      </c>
      <c r="B3655" s="57" t="s">
        <v>45</v>
      </c>
      <c r="C3655" s="57" t="s">
        <v>1367</v>
      </c>
      <c r="D3655" s="29"/>
      <c r="E3655" s="57" t="s">
        <v>4876</v>
      </c>
      <c r="F3655" s="31" t="s">
        <v>4413</v>
      </c>
      <c r="G3655" s="31" t="s">
        <v>49</v>
      </c>
      <c r="K3655" s="31">
        <v>1650</v>
      </c>
      <c r="S3655" s="33">
        <v>3</v>
      </c>
      <c r="AE3655" s="31" t="s">
        <v>4756</v>
      </c>
      <c r="AQ3655" s="32" t="s">
        <v>4842</v>
      </c>
      <c r="AU3655">
        <v>3654</v>
      </c>
    </row>
    <row r="3656" spans="1:47" x14ac:dyDescent="0.2">
      <c r="A3656" s="13">
        <v>6686</v>
      </c>
      <c r="B3656" s="57" t="s">
        <v>45</v>
      </c>
      <c r="C3656" s="57" t="s">
        <v>4843</v>
      </c>
      <c r="D3656" s="29"/>
      <c r="E3656" s="57" t="s">
        <v>124</v>
      </c>
      <c r="F3656" s="31" t="s">
        <v>76</v>
      </c>
      <c r="G3656" s="31" t="s">
        <v>49</v>
      </c>
      <c r="K3656" s="31">
        <v>616</v>
      </c>
      <c r="S3656" s="33">
        <v>1</v>
      </c>
      <c r="Z3656" s="31" t="s">
        <v>3814</v>
      </c>
      <c r="AE3656" s="31" t="s">
        <v>4845</v>
      </c>
      <c r="AF3656" s="31">
        <v>50</v>
      </c>
      <c r="AK3656" s="32">
        <v>7</v>
      </c>
      <c r="AQ3656" s="32" t="s">
        <v>4816</v>
      </c>
      <c r="AU3656">
        <v>3655</v>
      </c>
    </row>
    <row r="3657" spans="1:47" x14ac:dyDescent="0.2">
      <c r="A3657" s="13">
        <v>6686</v>
      </c>
      <c r="B3657" s="57" t="s">
        <v>45</v>
      </c>
      <c r="C3657" s="57" t="s">
        <v>4843</v>
      </c>
      <c r="D3657" s="29"/>
      <c r="E3657" s="57" t="s">
        <v>819</v>
      </c>
      <c r="K3657" s="31">
        <v>1056</v>
      </c>
      <c r="S3657" s="33">
        <v>2</v>
      </c>
      <c r="Z3657" s="31" t="s">
        <v>3814</v>
      </c>
      <c r="AE3657" s="31" t="s">
        <v>4845</v>
      </c>
      <c r="AF3657" s="31">
        <v>45</v>
      </c>
      <c r="AK3657" s="32">
        <v>24</v>
      </c>
      <c r="AQ3657" s="32" t="s">
        <v>4816</v>
      </c>
      <c r="AU3657">
        <v>3656</v>
      </c>
    </row>
    <row r="3658" spans="1:47" x14ac:dyDescent="0.2">
      <c r="A3658" s="13">
        <v>6686</v>
      </c>
      <c r="B3658" s="57" t="s">
        <v>45</v>
      </c>
      <c r="C3658" s="57" t="s">
        <v>4843</v>
      </c>
      <c r="D3658" s="29"/>
      <c r="E3658" s="57" t="s">
        <v>447</v>
      </c>
      <c r="F3658" s="31" t="s">
        <v>76</v>
      </c>
      <c r="G3658" s="31" t="s">
        <v>49</v>
      </c>
      <c r="K3658" s="31">
        <v>7326</v>
      </c>
      <c r="S3658" s="33">
        <v>13</v>
      </c>
      <c r="Z3658" s="31" t="s">
        <v>3814</v>
      </c>
      <c r="AE3658" s="31" t="s">
        <v>4845</v>
      </c>
      <c r="AF3658" s="31">
        <v>70</v>
      </c>
      <c r="AK3658" s="32">
        <v>83</v>
      </c>
      <c r="AQ3658" s="32" t="s">
        <v>4816</v>
      </c>
      <c r="AU3658">
        <v>3657</v>
      </c>
    </row>
    <row r="3659" spans="1:47" x14ac:dyDescent="0.2">
      <c r="A3659" s="13">
        <v>6686</v>
      </c>
      <c r="B3659" s="57" t="s">
        <v>45</v>
      </c>
      <c r="C3659" s="57" t="s">
        <v>4843</v>
      </c>
      <c r="D3659" s="29"/>
      <c r="E3659" s="57" t="s">
        <v>4839</v>
      </c>
      <c r="F3659" s="31" t="s">
        <v>76</v>
      </c>
      <c r="G3659" s="31" t="s">
        <v>49</v>
      </c>
      <c r="K3659" s="63"/>
      <c r="S3659" s="33">
        <v>10</v>
      </c>
      <c r="Z3659" s="31" t="s">
        <v>3814</v>
      </c>
      <c r="AE3659" s="31" t="s">
        <v>4845</v>
      </c>
      <c r="AF3659" s="31">
        <v>55</v>
      </c>
      <c r="AK3659" s="32">
        <v>74</v>
      </c>
      <c r="AQ3659" s="32" t="s">
        <v>4816</v>
      </c>
      <c r="AU3659">
        <v>3658</v>
      </c>
    </row>
    <row r="3660" spans="1:47" x14ac:dyDescent="0.2">
      <c r="A3660" s="13">
        <v>6686</v>
      </c>
      <c r="B3660" s="57" t="s">
        <v>45</v>
      </c>
      <c r="C3660" s="57" t="s">
        <v>4843</v>
      </c>
      <c r="D3660" s="29"/>
      <c r="E3660" s="57" t="s">
        <v>4877</v>
      </c>
      <c r="F3660" s="31" t="s">
        <v>4598</v>
      </c>
      <c r="G3660" s="31" t="s">
        <v>69</v>
      </c>
      <c r="K3660" s="63"/>
      <c r="S3660" s="33">
        <v>2</v>
      </c>
      <c r="Z3660" s="31" t="s">
        <v>3814</v>
      </c>
      <c r="AE3660" s="31" t="s">
        <v>4845</v>
      </c>
      <c r="AQ3660" s="32" t="s">
        <v>4816</v>
      </c>
      <c r="AU3660">
        <v>3659</v>
      </c>
    </row>
    <row r="3661" spans="1:47" x14ac:dyDescent="0.2">
      <c r="A3661" s="13">
        <v>6686</v>
      </c>
      <c r="B3661" s="57" t="s">
        <v>45</v>
      </c>
      <c r="C3661" s="57" t="s">
        <v>4179</v>
      </c>
      <c r="D3661" s="29"/>
      <c r="E3661" s="57" t="s">
        <v>1830</v>
      </c>
      <c r="F3661" s="31" t="s">
        <v>4847</v>
      </c>
      <c r="G3661" s="31" t="s">
        <v>49</v>
      </c>
      <c r="K3661" s="31">
        <v>8800</v>
      </c>
      <c r="S3661" s="33">
        <v>18</v>
      </c>
      <c r="Z3661" s="31" t="s">
        <v>3814</v>
      </c>
      <c r="AK3661" s="32">
        <v>144</v>
      </c>
      <c r="AQ3661" s="32" t="s">
        <v>4816</v>
      </c>
      <c r="AU3661">
        <v>3660</v>
      </c>
    </row>
    <row r="3662" spans="1:47" x14ac:dyDescent="0.2">
      <c r="A3662" s="13">
        <v>6686</v>
      </c>
      <c r="B3662" s="57" t="s">
        <v>45</v>
      </c>
      <c r="C3662" s="57" t="s">
        <v>4179</v>
      </c>
      <c r="D3662" s="29"/>
      <c r="E3662" s="57" t="s">
        <v>4838</v>
      </c>
      <c r="F3662" s="57" t="s">
        <v>3715</v>
      </c>
      <c r="G3662" s="31" t="s">
        <v>69</v>
      </c>
      <c r="K3662" s="31">
        <v>550</v>
      </c>
      <c r="S3662" s="33">
        <v>1</v>
      </c>
      <c r="Z3662" s="31" t="s">
        <v>3814</v>
      </c>
      <c r="AK3662" s="32">
        <v>10</v>
      </c>
      <c r="AQ3662" s="32" t="s">
        <v>4816</v>
      </c>
      <c r="AU3662">
        <v>3661</v>
      </c>
    </row>
    <row r="3663" spans="1:47" x14ac:dyDescent="0.2">
      <c r="A3663" s="13">
        <v>6686</v>
      </c>
      <c r="B3663" s="57" t="s">
        <v>45</v>
      </c>
      <c r="C3663" s="57" t="s">
        <v>4179</v>
      </c>
      <c r="D3663" s="29"/>
      <c r="E3663" s="57" t="s">
        <v>1895</v>
      </c>
      <c r="K3663" s="31">
        <v>1100</v>
      </c>
      <c r="S3663" s="33">
        <v>2</v>
      </c>
      <c r="Z3663" s="31" t="s">
        <v>3814</v>
      </c>
      <c r="AK3663" s="32">
        <v>20</v>
      </c>
      <c r="AQ3663" s="32" t="s">
        <v>4816</v>
      </c>
      <c r="AU3663">
        <v>3662</v>
      </c>
    </row>
    <row r="3664" spans="1:47" x14ac:dyDescent="0.2">
      <c r="A3664" s="13">
        <v>6688</v>
      </c>
      <c r="B3664" s="57" t="s">
        <v>85</v>
      </c>
      <c r="C3664" s="57" t="s">
        <v>332</v>
      </c>
      <c r="D3664" s="29"/>
      <c r="E3664" s="57" t="s">
        <v>1593</v>
      </c>
      <c r="K3664" s="31">
        <v>7064.2</v>
      </c>
      <c r="S3664" s="33">
        <v>22</v>
      </c>
      <c r="Z3664" s="31" t="s">
        <v>3724</v>
      </c>
      <c r="AE3664" s="31" t="s">
        <v>4649</v>
      </c>
      <c r="AF3664" s="31">
        <v>95</v>
      </c>
      <c r="AK3664" s="32">
        <v>154</v>
      </c>
      <c r="AQ3664" s="32" t="s">
        <v>4816</v>
      </c>
      <c r="AU3664">
        <v>3663</v>
      </c>
    </row>
    <row r="3665" spans="1:47" x14ac:dyDescent="0.2">
      <c r="A3665" s="13">
        <v>6688</v>
      </c>
      <c r="B3665" s="39" t="s">
        <v>45</v>
      </c>
      <c r="C3665" s="39" t="s">
        <v>142</v>
      </c>
      <c r="D3665" s="29"/>
      <c r="E3665" s="39" t="s">
        <v>4878</v>
      </c>
      <c r="F3665" s="47" t="s">
        <v>4800</v>
      </c>
      <c r="G3665" s="47" t="s">
        <v>49</v>
      </c>
      <c r="H3665"/>
      <c r="I3665" s="47" t="b">
        <v>1</v>
      </c>
      <c r="J3665" s="47" t="b">
        <v>1</v>
      </c>
      <c r="K3665" s="47">
        <f>1400*2.2</f>
        <v>3080.0000000000005</v>
      </c>
      <c r="L3665" s="48">
        <v>8</v>
      </c>
      <c r="M3665" s="47">
        <v>1</v>
      </c>
      <c r="N3665" s="47">
        <v>1</v>
      </c>
      <c r="O3665" s="47"/>
      <c r="P3665" s="47"/>
      <c r="Q3665" s="47"/>
      <c r="R3665" s="47"/>
      <c r="S3665" s="48">
        <v>6</v>
      </c>
      <c r="T3665" s="47">
        <v>0</v>
      </c>
      <c r="U3665" s="47">
        <v>1</v>
      </c>
      <c r="V3665" s="47">
        <v>2</v>
      </c>
      <c r="W3665" s="47"/>
      <c r="X3665" s="47"/>
      <c r="Y3665" s="47" t="s">
        <v>120</v>
      </c>
      <c r="Z3665" s="31" t="s">
        <v>3855</v>
      </c>
      <c r="AA3665" s="49"/>
      <c r="AB3665" s="49"/>
      <c r="AC3665" s="49"/>
      <c r="AD3665" s="50"/>
      <c r="AE3665" s="31" t="s">
        <v>4723</v>
      </c>
      <c r="AF3665" s="47">
        <v>80</v>
      </c>
      <c r="AG3665"/>
      <c r="AH3665"/>
      <c r="AI3665"/>
      <c r="AJ3665"/>
      <c r="AK3665">
        <f>9+9+33</f>
        <v>51</v>
      </c>
      <c r="AL3665"/>
      <c r="AM3665"/>
      <c r="AN3665"/>
      <c r="AO3665"/>
      <c r="AP3665"/>
      <c r="AQ3665" s="32" t="s">
        <v>4879</v>
      </c>
      <c r="AR3665" s="47" t="s">
        <v>4880</v>
      </c>
      <c r="AU3665">
        <v>3664</v>
      </c>
    </row>
    <row r="3666" spans="1:47" x14ac:dyDescent="0.2">
      <c r="A3666" s="13">
        <v>6688</v>
      </c>
      <c r="B3666" s="57" t="s">
        <v>45</v>
      </c>
      <c r="C3666" s="57" t="s">
        <v>142</v>
      </c>
      <c r="D3666" s="29"/>
      <c r="E3666" s="57" t="s">
        <v>4749</v>
      </c>
      <c r="F3666" s="31" t="s">
        <v>204</v>
      </c>
      <c r="G3666" s="31" t="s">
        <v>205</v>
      </c>
      <c r="I3666" s="47" t="b">
        <v>0</v>
      </c>
      <c r="J3666" s="47" t="b">
        <v>0</v>
      </c>
      <c r="K3666" s="31">
        <f>225*2.2</f>
        <v>495.00000000000006</v>
      </c>
      <c r="S3666" s="33">
        <v>1</v>
      </c>
      <c r="Z3666" s="31" t="s">
        <v>3855</v>
      </c>
      <c r="AE3666" s="31" t="s">
        <v>4723</v>
      </c>
      <c r="AK3666" s="32">
        <v>9</v>
      </c>
      <c r="AQ3666" s="32" t="s">
        <v>4816</v>
      </c>
      <c r="AU3666">
        <v>3665</v>
      </c>
    </row>
    <row r="3667" spans="1:47" x14ac:dyDescent="0.2">
      <c r="A3667" s="13">
        <v>6688</v>
      </c>
      <c r="B3667" s="57" t="s">
        <v>45</v>
      </c>
      <c r="C3667" s="57" t="s">
        <v>142</v>
      </c>
      <c r="D3667" s="29"/>
      <c r="E3667" s="57" t="s">
        <v>4752</v>
      </c>
      <c r="F3667" s="31" t="s">
        <v>76</v>
      </c>
      <c r="G3667" s="31" t="s">
        <v>49</v>
      </c>
      <c r="I3667" s="47" t="b">
        <v>0</v>
      </c>
      <c r="J3667" s="47" t="b">
        <v>0</v>
      </c>
      <c r="K3667" s="31">
        <f>225*2.2</f>
        <v>495.00000000000006</v>
      </c>
      <c r="S3667" s="33">
        <v>1</v>
      </c>
      <c r="Z3667" s="31" t="s">
        <v>3855</v>
      </c>
      <c r="AE3667" s="31" t="s">
        <v>4723</v>
      </c>
      <c r="AF3667" s="31">
        <v>80</v>
      </c>
      <c r="AK3667" s="32">
        <v>9</v>
      </c>
      <c r="AQ3667" s="32" t="s">
        <v>4816</v>
      </c>
      <c r="AU3667">
        <v>3666</v>
      </c>
    </row>
    <row r="3668" spans="1:47" x14ac:dyDescent="0.2">
      <c r="A3668" s="13">
        <v>6688</v>
      </c>
      <c r="B3668" s="57" t="s">
        <v>45</v>
      </c>
      <c r="C3668" s="57" t="s">
        <v>142</v>
      </c>
      <c r="D3668" s="29"/>
      <c r="E3668" s="57" t="s">
        <v>4881</v>
      </c>
      <c r="F3668" s="31" t="s">
        <v>76</v>
      </c>
      <c r="G3668" s="31" t="s">
        <v>49</v>
      </c>
      <c r="I3668" s="47" t="b">
        <v>0</v>
      </c>
      <c r="J3668" s="47" t="b">
        <v>0</v>
      </c>
      <c r="K3668" s="31">
        <f>950*2.2</f>
        <v>2090</v>
      </c>
      <c r="S3668" s="33">
        <v>4</v>
      </c>
      <c r="Z3668" s="31" t="s">
        <v>3855</v>
      </c>
      <c r="AE3668" s="31" t="s">
        <v>4723</v>
      </c>
      <c r="AF3668" s="31">
        <v>70</v>
      </c>
      <c r="AK3668" s="32">
        <v>33</v>
      </c>
      <c r="AQ3668" s="32" t="s">
        <v>4816</v>
      </c>
      <c r="AU3668">
        <v>3667</v>
      </c>
    </row>
    <row r="3669" spans="1:47" x14ac:dyDescent="0.2">
      <c r="A3669" s="13">
        <v>6692</v>
      </c>
      <c r="B3669" s="57" t="s">
        <v>85</v>
      </c>
      <c r="C3669" s="57" t="s">
        <v>332</v>
      </c>
      <c r="D3669" s="29"/>
      <c r="E3669" s="57" t="s">
        <v>4836</v>
      </c>
      <c r="K3669" s="31">
        <v>305.8</v>
      </c>
      <c r="S3669" s="33">
        <v>1</v>
      </c>
      <c r="Z3669" s="31" t="s">
        <v>3724</v>
      </c>
      <c r="AE3669" s="31" t="s">
        <v>4649</v>
      </c>
      <c r="AF3669" s="31">
        <v>105</v>
      </c>
      <c r="AK3669" s="32">
        <v>9</v>
      </c>
      <c r="AQ3669" s="32" t="s">
        <v>4816</v>
      </c>
      <c r="AU3669">
        <v>3668</v>
      </c>
    </row>
    <row r="3670" spans="1:47" x14ac:dyDescent="0.2">
      <c r="A3670" s="13">
        <v>6692</v>
      </c>
      <c r="B3670" s="57" t="s">
        <v>85</v>
      </c>
      <c r="C3670" s="57" t="s">
        <v>332</v>
      </c>
      <c r="D3670" s="29"/>
      <c r="E3670" s="57" t="s">
        <v>4882</v>
      </c>
      <c r="F3670" s="31" t="s">
        <v>348</v>
      </c>
      <c r="G3670" s="31" t="s">
        <v>49</v>
      </c>
      <c r="K3670" s="31">
        <v>316.8</v>
      </c>
      <c r="S3670" s="33">
        <v>1</v>
      </c>
      <c r="Z3670" s="31" t="s">
        <v>3724</v>
      </c>
      <c r="AE3670" s="31" t="s">
        <v>4649</v>
      </c>
      <c r="AF3670" s="31">
        <v>115</v>
      </c>
      <c r="AK3670" s="32">
        <v>9</v>
      </c>
      <c r="AQ3670" s="32" t="s">
        <v>4816</v>
      </c>
      <c r="AU3670">
        <v>3669</v>
      </c>
    </row>
    <row r="3671" spans="1:47" x14ac:dyDescent="0.2">
      <c r="A3671" s="13">
        <v>6692</v>
      </c>
      <c r="B3671" s="57" t="s">
        <v>85</v>
      </c>
      <c r="C3671" s="57" t="s">
        <v>332</v>
      </c>
      <c r="D3671" s="29"/>
      <c r="E3671" s="57" t="s">
        <v>4883</v>
      </c>
      <c r="K3671" s="31">
        <v>1496</v>
      </c>
      <c r="S3671" s="33">
        <v>5</v>
      </c>
      <c r="Z3671" s="31" t="s">
        <v>3724</v>
      </c>
      <c r="AE3671" s="31" t="s">
        <v>4649</v>
      </c>
      <c r="AF3671" s="31">
        <v>110</v>
      </c>
      <c r="AK3671" s="32">
        <v>43</v>
      </c>
      <c r="AQ3671" s="32" t="s">
        <v>4816</v>
      </c>
      <c r="AU3671">
        <v>3670</v>
      </c>
    </row>
    <row r="3672" spans="1:47" x14ac:dyDescent="0.2">
      <c r="A3672" s="13">
        <v>6692</v>
      </c>
      <c r="B3672" s="57" t="s">
        <v>85</v>
      </c>
      <c r="C3672" s="57" t="s">
        <v>332</v>
      </c>
      <c r="D3672" s="29"/>
      <c r="E3672" s="57" t="s">
        <v>4834</v>
      </c>
      <c r="K3672" s="31">
        <v>2961.2</v>
      </c>
      <c r="S3672" s="33">
        <v>10</v>
      </c>
      <c r="Z3672" s="31" t="s">
        <v>3724</v>
      </c>
      <c r="AE3672" s="31" t="s">
        <v>4649</v>
      </c>
      <c r="AF3672" s="31">
        <v>110</v>
      </c>
      <c r="AK3672" s="32">
        <v>88</v>
      </c>
      <c r="AQ3672" s="32" t="s">
        <v>4816</v>
      </c>
      <c r="AU3672">
        <v>3671</v>
      </c>
    </row>
    <row r="3673" spans="1:47" x14ac:dyDescent="0.2">
      <c r="A3673" s="13">
        <v>6692</v>
      </c>
      <c r="B3673" s="57" t="s">
        <v>85</v>
      </c>
      <c r="C3673" s="57" t="s">
        <v>332</v>
      </c>
      <c r="D3673" s="29"/>
      <c r="E3673" s="57" t="s">
        <v>4824</v>
      </c>
      <c r="K3673" s="31">
        <v>6098.4</v>
      </c>
      <c r="S3673" s="33">
        <v>20</v>
      </c>
      <c r="Z3673" s="31" t="s">
        <v>3724</v>
      </c>
      <c r="AE3673" s="31" t="s">
        <v>4649</v>
      </c>
      <c r="AF3673" s="31">
        <v>105</v>
      </c>
      <c r="AK3673" s="32">
        <v>178</v>
      </c>
      <c r="AQ3673" s="32" t="s">
        <v>4816</v>
      </c>
      <c r="AU3673">
        <v>3672</v>
      </c>
    </row>
    <row r="3674" spans="1:47" x14ac:dyDescent="0.2">
      <c r="A3674" s="13">
        <v>6692</v>
      </c>
      <c r="B3674" s="57" t="s">
        <v>85</v>
      </c>
      <c r="C3674" s="57" t="s">
        <v>4884</v>
      </c>
      <c r="D3674" s="29" t="s">
        <v>120</v>
      </c>
      <c r="E3674" s="57" t="s">
        <v>4885</v>
      </c>
      <c r="I3674" s="31" t="s">
        <v>4886</v>
      </c>
      <c r="K3674" s="31">
        <v>0</v>
      </c>
      <c r="L3674" s="33">
        <v>8</v>
      </c>
      <c r="M3674" s="31">
        <v>8</v>
      </c>
      <c r="S3674" s="33">
        <v>0</v>
      </c>
      <c r="Y3674" s="31" t="s">
        <v>51</v>
      </c>
      <c r="Z3674" s="31" t="s">
        <v>3724</v>
      </c>
      <c r="AE3674" s="31" t="s">
        <v>4887</v>
      </c>
      <c r="AF3674" s="31">
        <v>70</v>
      </c>
      <c r="AK3674" s="32">
        <v>0</v>
      </c>
      <c r="AQ3674" s="32" t="s">
        <v>4888</v>
      </c>
      <c r="AU3674">
        <v>3673</v>
      </c>
    </row>
    <row r="3675" spans="1:47" x14ac:dyDescent="0.2">
      <c r="A3675" s="133">
        <v>6692</v>
      </c>
      <c r="B3675" s="39" t="s">
        <v>45</v>
      </c>
      <c r="C3675" s="39" t="s">
        <v>4702</v>
      </c>
      <c r="D3675" s="29"/>
      <c r="E3675" s="39" t="s">
        <v>4889</v>
      </c>
      <c r="F3675" s="47"/>
      <c r="G3675" s="47"/>
      <c r="H3675"/>
      <c r="I3675" s="47"/>
      <c r="J3675" s="47"/>
      <c r="K3675" s="47"/>
      <c r="L3675" s="48">
        <v>39</v>
      </c>
      <c r="M3675" s="47"/>
      <c r="N3675" s="47"/>
      <c r="O3675" s="47"/>
      <c r="P3675" s="47"/>
      <c r="Q3675" s="47"/>
      <c r="R3675" s="47"/>
      <c r="S3675" s="48"/>
      <c r="T3675" s="47"/>
      <c r="U3675" s="47"/>
      <c r="V3675" s="47"/>
      <c r="W3675" s="47"/>
      <c r="X3675" s="47"/>
      <c r="Y3675" s="47"/>
      <c r="Z3675" s="31" t="s">
        <v>3724</v>
      </c>
      <c r="AA3675" s="49"/>
      <c r="AB3675" s="49"/>
      <c r="AC3675" s="49"/>
      <c r="AD3675" s="50"/>
      <c r="AE3675" s="47"/>
      <c r="AF3675" s="47"/>
      <c r="AG3675"/>
      <c r="AH3675"/>
      <c r="AI3675"/>
      <c r="AJ3675"/>
      <c r="AK3675"/>
      <c r="AL3675"/>
      <c r="AM3675"/>
      <c r="AN3675"/>
      <c r="AO3675"/>
      <c r="AP3675"/>
      <c r="AQ3675"/>
      <c r="AU3675">
        <v>3674</v>
      </c>
    </row>
    <row r="3676" spans="1:47" x14ac:dyDescent="0.2">
      <c r="A3676" s="26">
        <v>6692</v>
      </c>
      <c r="B3676" s="27">
        <v>0.89444444444444438</v>
      </c>
      <c r="C3676" s="28"/>
      <c r="D3676" s="29"/>
      <c r="E3676" s="30" t="s">
        <v>3155</v>
      </c>
      <c r="H3676" s="32">
        <v>0</v>
      </c>
      <c r="I3676" s="32" t="s">
        <v>3156</v>
      </c>
      <c r="AG3676" s="32">
        <v>0</v>
      </c>
      <c r="AH3676" s="32">
        <v>0</v>
      </c>
      <c r="AI3676" s="32">
        <v>0</v>
      </c>
      <c r="AK3676" s="32">
        <v>0</v>
      </c>
      <c r="AP3676" s="32">
        <f>13/60</f>
        <v>0.21666666666666667</v>
      </c>
      <c r="AQ3676" s="32" t="s">
        <v>1101</v>
      </c>
      <c r="AU3676">
        <v>3675</v>
      </c>
    </row>
    <row r="3677" spans="1:47" x14ac:dyDescent="0.2">
      <c r="A3677" s="26">
        <v>6694</v>
      </c>
      <c r="B3677" s="27"/>
      <c r="C3677" s="28"/>
      <c r="D3677" s="29"/>
      <c r="E3677" s="30" t="s">
        <v>75</v>
      </c>
      <c r="H3677" s="32">
        <v>1</v>
      </c>
      <c r="I3677" s="32" t="s">
        <v>4890</v>
      </c>
      <c r="AG3677" s="32">
        <v>0</v>
      </c>
      <c r="AH3677" s="32">
        <v>0</v>
      </c>
      <c r="AI3677" s="32">
        <v>2200</v>
      </c>
      <c r="AL3677" s="32">
        <v>30</v>
      </c>
      <c r="AQ3677" s="32">
        <v>413</v>
      </c>
      <c r="AU3677">
        <v>3676</v>
      </c>
    </row>
    <row r="3678" spans="1:47" x14ac:dyDescent="0.2">
      <c r="A3678" s="133">
        <v>6697</v>
      </c>
      <c r="B3678" s="39" t="s">
        <v>85</v>
      </c>
      <c r="C3678" s="39">
        <v>55</v>
      </c>
      <c r="D3678" s="29" t="b">
        <v>0</v>
      </c>
      <c r="E3678" s="39" t="s">
        <v>1764</v>
      </c>
      <c r="F3678" s="47" t="s">
        <v>4764</v>
      </c>
      <c r="G3678" s="47" t="s">
        <v>49</v>
      </c>
      <c r="H3678"/>
      <c r="I3678" s="47" t="b">
        <v>0</v>
      </c>
      <c r="J3678" s="47" t="b">
        <v>1</v>
      </c>
      <c r="K3678" s="47">
        <v>2476</v>
      </c>
      <c r="L3678" s="48">
        <v>12</v>
      </c>
      <c r="M3678" s="47">
        <v>0</v>
      </c>
      <c r="N3678" s="47">
        <v>0</v>
      </c>
      <c r="O3678" s="47">
        <v>1</v>
      </c>
      <c r="P3678" s="47">
        <v>0</v>
      </c>
      <c r="Q3678" s="47">
        <v>0</v>
      </c>
      <c r="R3678" s="47">
        <v>0</v>
      </c>
      <c r="S3678" s="48">
        <v>11</v>
      </c>
      <c r="T3678" s="47">
        <v>0</v>
      </c>
      <c r="U3678" s="47">
        <v>0</v>
      </c>
      <c r="V3678" s="47">
        <v>0</v>
      </c>
      <c r="W3678" s="47">
        <v>13500</v>
      </c>
      <c r="X3678" s="47">
        <v>479</v>
      </c>
      <c r="Y3678" s="47"/>
      <c r="Z3678" s="47" t="s">
        <v>3618</v>
      </c>
      <c r="AA3678" s="49"/>
      <c r="AB3678" s="49"/>
      <c r="AC3678" s="49"/>
      <c r="AD3678" s="50"/>
      <c r="AE3678" s="47" t="s">
        <v>3798</v>
      </c>
      <c r="AF3678" s="47">
        <v>95</v>
      </c>
      <c r="AG3678"/>
      <c r="AH3678"/>
      <c r="AI3678"/>
      <c r="AJ3678"/>
      <c r="AK3678"/>
      <c r="AL3678"/>
      <c r="AM3678"/>
      <c r="AN3678"/>
      <c r="AO3678"/>
      <c r="AP3678"/>
      <c r="AQ3678" t="s">
        <v>2526</v>
      </c>
      <c r="AU3678">
        <v>3677</v>
      </c>
    </row>
    <row r="3679" spans="1:47" x14ac:dyDescent="0.2">
      <c r="A3679" s="13">
        <v>6697</v>
      </c>
      <c r="B3679" s="57" t="s">
        <v>85</v>
      </c>
      <c r="C3679" s="57" t="s">
        <v>332</v>
      </c>
      <c r="D3679" s="29"/>
      <c r="E3679" s="57" t="s">
        <v>4891</v>
      </c>
      <c r="K3679" s="31">
        <v>268.39999999999998</v>
      </c>
      <c r="S3679" s="33">
        <v>1</v>
      </c>
      <c r="Z3679" s="31" t="s">
        <v>3724</v>
      </c>
      <c r="AE3679" s="31" t="s">
        <v>4892</v>
      </c>
      <c r="AF3679" s="31">
        <v>55</v>
      </c>
      <c r="AK3679" s="32">
        <v>8</v>
      </c>
      <c r="AQ3679" s="32" t="s">
        <v>4893</v>
      </c>
      <c r="AU3679">
        <v>3678</v>
      </c>
    </row>
    <row r="3680" spans="1:47" x14ac:dyDescent="0.2">
      <c r="A3680" s="13">
        <v>6697</v>
      </c>
      <c r="B3680" s="57" t="s">
        <v>85</v>
      </c>
      <c r="C3680" s="57" t="s">
        <v>332</v>
      </c>
      <c r="D3680" s="29"/>
      <c r="E3680" s="57" t="s">
        <v>4881</v>
      </c>
      <c r="K3680" s="31">
        <v>270.60000000000002</v>
      </c>
      <c r="S3680" s="33">
        <v>1</v>
      </c>
      <c r="Z3680" s="31" t="s">
        <v>3724</v>
      </c>
      <c r="AE3680" s="31" t="s">
        <v>4892</v>
      </c>
      <c r="AF3680" s="31">
        <v>65</v>
      </c>
      <c r="AK3680" s="32">
        <v>6</v>
      </c>
      <c r="AQ3680" s="32" t="s">
        <v>4893</v>
      </c>
      <c r="AU3680">
        <v>3679</v>
      </c>
    </row>
    <row r="3681" spans="1:47" x14ac:dyDescent="0.2">
      <c r="A3681" s="13">
        <v>6697</v>
      </c>
      <c r="B3681" s="57" t="s">
        <v>85</v>
      </c>
      <c r="C3681" s="57" t="s">
        <v>332</v>
      </c>
      <c r="D3681" s="29"/>
      <c r="E3681" s="57" t="s">
        <v>1593</v>
      </c>
      <c r="K3681" s="31">
        <v>536.79999999999995</v>
      </c>
      <c r="S3681" s="33">
        <v>2</v>
      </c>
      <c r="Z3681" s="31" t="s">
        <v>3724</v>
      </c>
      <c r="AE3681" s="31" t="s">
        <v>4892</v>
      </c>
      <c r="AF3681" s="31">
        <v>55</v>
      </c>
      <c r="AK3681" s="32">
        <v>16</v>
      </c>
      <c r="AQ3681" s="32" t="s">
        <v>4893</v>
      </c>
      <c r="AU3681">
        <v>3680</v>
      </c>
    </row>
    <row r="3682" spans="1:47" x14ac:dyDescent="0.2">
      <c r="A3682" s="13">
        <v>6697</v>
      </c>
      <c r="B3682" s="57" t="s">
        <v>85</v>
      </c>
      <c r="C3682" s="57" t="s">
        <v>332</v>
      </c>
      <c r="D3682" s="29"/>
      <c r="E3682" s="57" t="s">
        <v>1830</v>
      </c>
      <c r="K3682" s="31">
        <v>7024.6</v>
      </c>
      <c r="S3682" s="33">
        <v>24</v>
      </c>
      <c r="Z3682" s="31" t="s">
        <v>3724</v>
      </c>
      <c r="AE3682" s="31" t="s">
        <v>4892</v>
      </c>
      <c r="AF3682" s="31">
        <v>75</v>
      </c>
      <c r="AK3682" s="32">
        <v>144</v>
      </c>
      <c r="AQ3682" s="32" t="s">
        <v>4893</v>
      </c>
      <c r="AU3682">
        <v>3681</v>
      </c>
    </row>
    <row r="3683" spans="1:47" x14ac:dyDescent="0.2">
      <c r="A3683" s="13">
        <v>6697</v>
      </c>
      <c r="B3683" s="57" t="s">
        <v>85</v>
      </c>
      <c r="C3683" s="57" t="s">
        <v>4884</v>
      </c>
      <c r="D3683" s="29"/>
      <c r="E3683" s="57" t="s">
        <v>4894</v>
      </c>
      <c r="F3683" s="31" t="s">
        <v>2331</v>
      </c>
      <c r="G3683" s="31" t="s">
        <v>69</v>
      </c>
      <c r="I3683" s="31" t="s">
        <v>4895</v>
      </c>
      <c r="K3683" s="31">
        <f>1181*2.2</f>
        <v>2598.2000000000003</v>
      </c>
      <c r="L3683" s="33">
        <v>7</v>
      </c>
      <c r="P3683" s="31">
        <v>7</v>
      </c>
      <c r="S3683" s="33">
        <v>7</v>
      </c>
      <c r="T3683" s="31">
        <v>0</v>
      </c>
      <c r="U3683" s="31">
        <v>0</v>
      </c>
      <c r="V3683" s="31">
        <v>0</v>
      </c>
      <c r="W3683" s="31">
        <f>4300*39.37/12</f>
        <v>14107.583333333334</v>
      </c>
      <c r="Y3683" s="31" t="s">
        <v>51</v>
      </c>
      <c r="Z3683" s="31" t="s">
        <v>3724</v>
      </c>
      <c r="AA3683" s="34">
        <v>0.45833333333333331</v>
      </c>
      <c r="AC3683" s="34">
        <v>0.52083333333333337</v>
      </c>
      <c r="AE3683" s="31" t="s">
        <v>4887</v>
      </c>
      <c r="AF3683" s="31">
        <v>75</v>
      </c>
      <c r="AK3683" s="32">
        <v>68</v>
      </c>
      <c r="AQ3683" s="32" t="s">
        <v>4896</v>
      </c>
      <c r="AU3683">
        <v>3682</v>
      </c>
    </row>
    <row r="3684" spans="1:47" x14ac:dyDescent="0.2">
      <c r="A3684" s="13">
        <v>6697</v>
      </c>
      <c r="B3684" s="57" t="s">
        <v>85</v>
      </c>
      <c r="C3684" s="57" t="s">
        <v>4213</v>
      </c>
      <c r="D3684" s="29"/>
      <c r="E3684" s="57" t="s">
        <v>4897</v>
      </c>
      <c r="K3684" s="31">
        <v>360.8</v>
      </c>
      <c r="S3684" s="33">
        <v>1</v>
      </c>
      <c r="Z3684" s="31" t="s">
        <v>3724</v>
      </c>
      <c r="AE3684" s="31" t="s">
        <v>4898</v>
      </c>
      <c r="AF3684" s="31">
        <v>20</v>
      </c>
      <c r="AK3684" s="32">
        <v>8</v>
      </c>
      <c r="AQ3684" s="32" t="s">
        <v>4893</v>
      </c>
      <c r="AU3684">
        <v>3683</v>
      </c>
    </row>
    <row r="3685" spans="1:47" x14ac:dyDescent="0.2">
      <c r="A3685" s="13">
        <v>6697</v>
      </c>
      <c r="B3685" s="57" t="s">
        <v>85</v>
      </c>
      <c r="C3685" s="57" t="s">
        <v>4213</v>
      </c>
      <c r="D3685" s="29"/>
      <c r="E3685" s="57" t="s">
        <v>4899</v>
      </c>
      <c r="K3685" s="31">
        <v>360.8</v>
      </c>
      <c r="S3685" s="33">
        <v>1</v>
      </c>
      <c r="Z3685" s="31" t="s">
        <v>3724</v>
      </c>
      <c r="AE3685" s="31" t="s">
        <v>4898</v>
      </c>
      <c r="AF3685" s="31">
        <v>25</v>
      </c>
      <c r="AK3685" s="32">
        <v>8</v>
      </c>
      <c r="AQ3685" s="32" t="s">
        <v>4893</v>
      </c>
      <c r="AU3685">
        <v>3684</v>
      </c>
    </row>
    <row r="3686" spans="1:47" x14ac:dyDescent="0.2">
      <c r="A3686" s="13">
        <v>6697</v>
      </c>
      <c r="B3686" s="57" t="s">
        <v>85</v>
      </c>
      <c r="C3686" s="57" t="s">
        <v>4213</v>
      </c>
      <c r="D3686" s="29"/>
      <c r="E3686" s="57" t="s">
        <v>4900</v>
      </c>
      <c r="K3686" s="31">
        <v>360.8</v>
      </c>
      <c r="S3686" s="33">
        <v>1</v>
      </c>
      <c r="Z3686" s="31" t="s">
        <v>3724</v>
      </c>
      <c r="AE3686" s="31" t="s">
        <v>4898</v>
      </c>
      <c r="AK3686" s="32">
        <v>8</v>
      </c>
      <c r="AQ3686" s="32" t="s">
        <v>4893</v>
      </c>
      <c r="AU3686">
        <v>3685</v>
      </c>
    </row>
    <row r="3687" spans="1:47" x14ac:dyDescent="0.2">
      <c r="A3687" s="13">
        <v>6697</v>
      </c>
      <c r="B3687" s="57" t="s">
        <v>85</v>
      </c>
      <c r="C3687" s="57" t="s">
        <v>4213</v>
      </c>
      <c r="D3687" s="29"/>
      <c r="E3687" s="57" t="s">
        <v>4901</v>
      </c>
      <c r="K3687" s="31">
        <v>360.8</v>
      </c>
      <c r="S3687" s="33">
        <v>1</v>
      </c>
      <c r="Z3687" s="31" t="s">
        <v>3724</v>
      </c>
      <c r="AE3687" s="31" t="s">
        <v>4898</v>
      </c>
      <c r="AF3687" s="31">
        <v>25</v>
      </c>
      <c r="AK3687" s="32">
        <v>8</v>
      </c>
      <c r="AQ3687" s="32" t="s">
        <v>4893</v>
      </c>
      <c r="AU3687">
        <v>3686</v>
      </c>
    </row>
    <row r="3688" spans="1:47" x14ac:dyDescent="0.2">
      <c r="A3688" s="13">
        <v>6697</v>
      </c>
      <c r="B3688" s="57" t="s">
        <v>85</v>
      </c>
      <c r="C3688" s="57" t="s">
        <v>4213</v>
      </c>
      <c r="D3688" s="29"/>
      <c r="E3688" s="57" t="s">
        <v>4703</v>
      </c>
      <c r="F3688" s="31" t="s">
        <v>76</v>
      </c>
      <c r="G3688" s="31" t="s">
        <v>49</v>
      </c>
      <c r="K3688" s="31">
        <v>721.6</v>
      </c>
      <c r="S3688" s="33">
        <v>1</v>
      </c>
      <c r="Z3688" s="31" t="s">
        <v>3724</v>
      </c>
      <c r="AE3688" s="31" t="s">
        <v>4898</v>
      </c>
      <c r="AF3688" s="31">
        <v>30</v>
      </c>
      <c r="AK3688" s="32">
        <v>16</v>
      </c>
      <c r="AQ3688" s="32" t="s">
        <v>4893</v>
      </c>
      <c r="AU3688">
        <v>3687</v>
      </c>
    </row>
    <row r="3689" spans="1:47" x14ac:dyDescent="0.2">
      <c r="A3689" s="13">
        <v>6697</v>
      </c>
      <c r="B3689" s="57" t="s">
        <v>85</v>
      </c>
      <c r="C3689" s="57" t="s">
        <v>4213</v>
      </c>
      <c r="D3689" s="29"/>
      <c r="E3689" s="57" t="s">
        <v>4752</v>
      </c>
      <c r="F3689" s="31" t="s">
        <v>76</v>
      </c>
      <c r="G3689" s="31" t="s">
        <v>49</v>
      </c>
      <c r="K3689" s="31">
        <v>2081.1999999999998</v>
      </c>
      <c r="S3689" s="33">
        <v>12</v>
      </c>
      <c r="Z3689" s="31" t="s">
        <v>3724</v>
      </c>
      <c r="AE3689" s="31" t="s">
        <v>4898</v>
      </c>
      <c r="AF3689" s="31">
        <v>20</v>
      </c>
      <c r="AK3689" s="32">
        <v>46</v>
      </c>
      <c r="AQ3689" s="32" t="s">
        <v>4893</v>
      </c>
      <c r="AU3689">
        <v>3688</v>
      </c>
    </row>
    <row r="3690" spans="1:47" x14ac:dyDescent="0.2">
      <c r="A3690" s="133">
        <v>6697</v>
      </c>
      <c r="B3690" s="39" t="s">
        <v>45</v>
      </c>
      <c r="C3690" s="39">
        <v>100</v>
      </c>
      <c r="D3690" s="29" t="b">
        <v>0</v>
      </c>
      <c r="E3690" s="39" t="s">
        <v>4902</v>
      </c>
      <c r="F3690" s="47" t="s">
        <v>4764</v>
      </c>
      <c r="G3690" s="47" t="s">
        <v>49</v>
      </c>
      <c r="H3690"/>
      <c r="I3690" s="47" t="b">
        <v>1</v>
      </c>
      <c r="J3690" s="47" t="b">
        <v>1</v>
      </c>
      <c r="K3690" s="47">
        <v>2016</v>
      </c>
      <c r="L3690" s="48">
        <v>18</v>
      </c>
      <c r="M3690" s="47">
        <v>9</v>
      </c>
      <c r="N3690" s="47">
        <v>0</v>
      </c>
      <c r="O3690" s="47">
        <v>0</v>
      </c>
      <c r="P3690" s="47">
        <v>9</v>
      </c>
      <c r="Q3690" s="47">
        <v>0</v>
      </c>
      <c r="R3690" s="47">
        <v>0</v>
      </c>
      <c r="S3690" s="48">
        <v>9</v>
      </c>
      <c r="T3690" s="47">
        <v>0</v>
      </c>
      <c r="U3690" s="47">
        <v>2</v>
      </c>
      <c r="V3690" s="47">
        <v>0</v>
      </c>
      <c r="W3690" s="47">
        <v>800</v>
      </c>
      <c r="X3690" s="47">
        <v>480</v>
      </c>
      <c r="Y3690" s="47"/>
      <c r="Z3690" s="47" t="s">
        <v>2524</v>
      </c>
      <c r="AA3690" s="49"/>
      <c r="AB3690" s="49"/>
      <c r="AC3690" s="49"/>
      <c r="AD3690" s="50"/>
      <c r="AE3690" s="47" t="s">
        <v>4785</v>
      </c>
      <c r="AF3690" s="47">
        <v>80</v>
      </c>
      <c r="AG3690"/>
      <c r="AH3690"/>
      <c r="AI3690"/>
      <c r="AJ3690"/>
      <c r="AK3690"/>
      <c r="AL3690"/>
      <c r="AM3690"/>
      <c r="AN3690"/>
      <c r="AO3690"/>
      <c r="AP3690"/>
      <c r="AQ3690" t="s">
        <v>2526</v>
      </c>
      <c r="AU3690">
        <v>3689</v>
      </c>
    </row>
    <row r="3691" spans="1:47" x14ac:dyDescent="0.2">
      <c r="A3691" s="133">
        <v>6697</v>
      </c>
      <c r="B3691" s="39" t="s">
        <v>45</v>
      </c>
      <c r="C3691" s="39">
        <v>100</v>
      </c>
      <c r="D3691" s="29" t="b">
        <v>0</v>
      </c>
      <c r="E3691" s="39" t="s">
        <v>3876</v>
      </c>
      <c r="F3691" s="47" t="s">
        <v>4764</v>
      </c>
      <c r="G3691" s="47" t="s">
        <v>49</v>
      </c>
      <c r="H3691"/>
      <c r="I3691" s="47" t="b">
        <v>0</v>
      </c>
      <c r="J3691" s="47" t="b">
        <v>0</v>
      </c>
      <c r="K3691" s="47">
        <v>224</v>
      </c>
      <c r="L3691" s="48">
        <v>18</v>
      </c>
      <c r="M3691" s="47">
        <v>9</v>
      </c>
      <c r="N3691" s="47">
        <v>0</v>
      </c>
      <c r="O3691" s="47">
        <v>0</v>
      </c>
      <c r="P3691" s="47">
        <v>9</v>
      </c>
      <c r="Q3691" s="47">
        <v>0</v>
      </c>
      <c r="R3691" s="47">
        <v>0</v>
      </c>
      <c r="S3691" s="48">
        <v>1</v>
      </c>
      <c r="T3691" s="47">
        <v>0</v>
      </c>
      <c r="U3691" s="47">
        <v>2</v>
      </c>
      <c r="V3691" s="47">
        <v>0</v>
      </c>
      <c r="W3691" s="47">
        <v>800</v>
      </c>
      <c r="X3691" s="47">
        <v>481</v>
      </c>
      <c r="Y3691" s="47"/>
      <c r="Z3691" s="47" t="s">
        <v>2524</v>
      </c>
      <c r="AA3691" s="49"/>
      <c r="AB3691" s="49"/>
      <c r="AC3691" s="49"/>
      <c r="AD3691" s="50"/>
      <c r="AE3691" s="47" t="s">
        <v>4785</v>
      </c>
      <c r="AF3691" s="47">
        <v>80</v>
      </c>
      <c r="AG3691"/>
      <c r="AH3691"/>
      <c r="AI3691"/>
      <c r="AJ3691"/>
      <c r="AK3691"/>
      <c r="AL3691"/>
      <c r="AM3691"/>
      <c r="AN3691"/>
      <c r="AO3691"/>
      <c r="AP3691"/>
      <c r="AQ3691" t="s">
        <v>2526</v>
      </c>
      <c r="AU3691">
        <v>3690</v>
      </c>
    </row>
    <row r="3692" spans="1:47" x14ac:dyDescent="0.2">
      <c r="A3692" s="133">
        <v>6697</v>
      </c>
      <c r="B3692" s="39" t="s">
        <v>45</v>
      </c>
      <c r="C3692" s="39">
        <v>100</v>
      </c>
      <c r="D3692" s="29" t="b">
        <v>0</v>
      </c>
      <c r="E3692" s="39" t="s">
        <v>3875</v>
      </c>
      <c r="F3692" s="47" t="s">
        <v>4764</v>
      </c>
      <c r="G3692" s="47" t="s">
        <v>49</v>
      </c>
      <c r="H3692"/>
      <c r="I3692" s="47" t="b">
        <v>0</v>
      </c>
      <c r="J3692" s="47" t="b">
        <v>0</v>
      </c>
      <c r="K3692" s="47">
        <v>1568</v>
      </c>
      <c r="L3692" s="48">
        <v>18</v>
      </c>
      <c r="M3692" s="47">
        <v>9</v>
      </c>
      <c r="N3692" s="47">
        <v>0</v>
      </c>
      <c r="O3692" s="47">
        <v>0</v>
      </c>
      <c r="P3692" s="47">
        <v>9</v>
      </c>
      <c r="Q3692" s="47">
        <v>0</v>
      </c>
      <c r="R3692" s="47">
        <v>0</v>
      </c>
      <c r="S3692" s="48">
        <v>7</v>
      </c>
      <c r="T3692" s="47">
        <v>0</v>
      </c>
      <c r="U3692" s="47">
        <v>2</v>
      </c>
      <c r="V3692" s="47">
        <v>0</v>
      </c>
      <c r="W3692" s="47">
        <v>800</v>
      </c>
      <c r="X3692" s="47">
        <v>482</v>
      </c>
      <c r="Y3692" s="47"/>
      <c r="Z3692" s="47" t="s">
        <v>2524</v>
      </c>
      <c r="AA3692" s="49"/>
      <c r="AB3692" s="49"/>
      <c r="AC3692" s="49"/>
      <c r="AD3692" s="50"/>
      <c r="AE3692" s="47" t="s">
        <v>4785</v>
      </c>
      <c r="AF3692" s="47">
        <v>80</v>
      </c>
      <c r="AG3692"/>
      <c r="AH3692"/>
      <c r="AI3692"/>
      <c r="AJ3692"/>
      <c r="AK3692"/>
      <c r="AL3692"/>
      <c r="AM3692"/>
      <c r="AN3692"/>
      <c r="AO3692"/>
      <c r="AP3692"/>
      <c r="AQ3692" t="s">
        <v>2526</v>
      </c>
      <c r="AU3692">
        <v>3691</v>
      </c>
    </row>
    <row r="3693" spans="1:47" x14ac:dyDescent="0.2">
      <c r="A3693" s="133">
        <v>6697</v>
      </c>
      <c r="B3693" s="39" t="s">
        <v>45</v>
      </c>
      <c r="C3693" s="39">
        <v>100</v>
      </c>
      <c r="D3693" s="29" t="b">
        <v>0</v>
      </c>
      <c r="E3693" s="39" t="s">
        <v>4903</v>
      </c>
      <c r="F3693" s="47" t="s">
        <v>4904</v>
      </c>
      <c r="G3693" s="47" t="s">
        <v>49</v>
      </c>
      <c r="H3693"/>
      <c r="I3693" s="47" t="b">
        <v>0</v>
      </c>
      <c r="J3693" s="47" t="b">
        <v>0</v>
      </c>
      <c r="K3693" s="47">
        <v>224</v>
      </c>
      <c r="L3693" s="48">
        <v>18</v>
      </c>
      <c r="M3693" s="47">
        <v>9</v>
      </c>
      <c r="N3693" s="47">
        <v>0</v>
      </c>
      <c r="O3693" s="47">
        <v>0</v>
      </c>
      <c r="P3693" s="47">
        <v>9</v>
      </c>
      <c r="Q3693" s="47">
        <v>0</v>
      </c>
      <c r="R3693" s="47">
        <v>0</v>
      </c>
      <c r="S3693" s="48">
        <v>1</v>
      </c>
      <c r="T3693" s="47">
        <v>0</v>
      </c>
      <c r="U3693" s="47">
        <v>2</v>
      </c>
      <c r="V3693" s="47">
        <v>0</v>
      </c>
      <c r="W3693" s="47">
        <v>800</v>
      </c>
      <c r="X3693" s="47">
        <v>483</v>
      </c>
      <c r="Y3693" s="47"/>
      <c r="Z3693" s="47" t="s">
        <v>2524</v>
      </c>
      <c r="AA3693" s="49"/>
      <c r="AB3693" s="49"/>
      <c r="AC3693" s="49"/>
      <c r="AD3693" s="50"/>
      <c r="AE3693" s="47" t="s">
        <v>4785</v>
      </c>
      <c r="AF3693" s="47"/>
      <c r="AG3693"/>
      <c r="AH3693"/>
      <c r="AI3693"/>
      <c r="AJ3693"/>
      <c r="AK3693"/>
      <c r="AL3693"/>
      <c r="AM3693"/>
      <c r="AN3693"/>
      <c r="AO3693"/>
      <c r="AP3693"/>
      <c r="AQ3693" t="s">
        <v>2526</v>
      </c>
      <c r="AU3693">
        <v>3692</v>
      </c>
    </row>
    <row r="3694" spans="1:47" x14ac:dyDescent="0.2">
      <c r="A3694" s="133">
        <v>6697</v>
      </c>
      <c r="B3694" s="39" t="s">
        <v>45</v>
      </c>
      <c r="C3694" s="39" t="s">
        <v>142</v>
      </c>
      <c r="D3694" s="29"/>
      <c r="E3694" s="39" t="s">
        <v>4905</v>
      </c>
      <c r="F3694" s="47" t="s">
        <v>4906</v>
      </c>
      <c r="G3694" s="47" t="s">
        <v>49</v>
      </c>
      <c r="H3694"/>
      <c r="I3694" s="47" t="b">
        <v>1</v>
      </c>
      <c r="J3694" s="47" t="b">
        <v>1</v>
      </c>
      <c r="K3694" s="47">
        <f>6900*2.2</f>
        <v>15180.000000000002</v>
      </c>
      <c r="L3694" s="48">
        <v>40</v>
      </c>
      <c r="M3694" s="47">
        <v>2</v>
      </c>
      <c r="N3694" s="47">
        <v>3</v>
      </c>
      <c r="O3694" s="47">
        <v>2</v>
      </c>
      <c r="P3694" s="47"/>
      <c r="Q3694" s="47"/>
      <c r="R3694" s="47"/>
      <c r="S3694" s="48">
        <v>32</v>
      </c>
      <c r="T3694" s="47">
        <v>1</v>
      </c>
      <c r="U3694" s="47">
        <v>0</v>
      </c>
      <c r="V3694" s="47">
        <v>0</v>
      </c>
      <c r="W3694" s="47"/>
      <c r="X3694" s="47"/>
      <c r="Y3694" s="47" t="s">
        <v>51</v>
      </c>
      <c r="Z3694" s="31" t="s">
        <v>3855</v>
      </c>
      <c r="AA3694" s="49"/>
      <c r="AB3694" s="49"/>
      <c r="AC3694" s="49"/>
      <c r="AD3694" s="50"/>
      <c r="AE3694" s="31" t="s">
        <v>4723</v>
      </c>
      <c r="AF3694" s="47"/>
      <c r="AG3694"/>
      <c r="AH3694"/>
      <c r="AI3694"/>
      <c r="AJ3694"/>
      <c r="AK3694">
        <f>203+8+27+11+1</f>
        <v>250</v>
      </c>
      <c r="AL3694"/>
      <c r="AM3694"/>
      <c r="AN3694"/>
      <c r="AO3694"/>
      <c r="AP3694"/>
      <c r="AQ3694" t="s">
        <v>4879</v>
      </c>
      <c r="AR3694" s="47" t="s">
        <v>4907</v>
      </c>
      <c r="AU3694">
        <v>3693</v>
      </c>
    </row>
    <row r="3695" spans="1:47" x14ac:dyDescent="0.2">
      <c r="A3695" s="13">
        <v>6697</v>
      </c>
      <c r="B3695" s="57" t="s">
        <v>45</v>
      </c>
      <c r="C3695" s="57" t="s">
        <v>142</v>
      </c>
      <c r="D3695" s="29"/>
      <c r="E3695" s="57" t="s">
        <v>977</v>
      </c>
      <c r="F3695" s="31" t="s">
        <v>76</v>
      </c>
      <c r="G3695" s="47" t="s">
        <v>49</v>
      </c>
      <c r="I3695" s="47" t="b">
        <v>0</v>
      </c>
      <c r="J3695" s="47" t="b">
        <v>0</v>
      </c>
      <c r="K3695" s="31">
        <v>495</v>
      </c>
      <c r="S3695" s="33">
        <v>1</v>
      </c>
      <c r="Z3695" s="31" t="s">
        <v>3855</v>
      </c>
      <c r="AE3695" s="31" t="s">
        <v>4723</v>
      </c>
      <c r="AF3695" s="31">
        <v>85</v>
      </c>
      <c r="AK3695" s="32">
        <v>9</v>
      </c>
      <c r="AQ3695" s="32" t="s">
        <v>4893</v>
      </c>
      <c r="AU3695">
        <v>3694</v>
      </c>
    </row>
    <row r="3696" spans="1:47" x14ac:dyDescent="0.2">
      <c r="A3696" s="13">
        <v>6697</v>
      </c>
      <c r="B3696" s="57" t="s">
        <v>45</v>
      </c>
      <c r="C3696" s="57" t="s">
        <v>142</v>
      </c>
      <c r="D3696" s="29"/>
      <c r="E3696" s="57" t="s">
        <v>4908</v>
      </c>
      <c r="F3696" s="31" t="s">
        <v>220</v>
      </c>
      <c r="G3696" s="47" t="s">
        <v>49</v>
      </c>
      <c r="I3696" s="47" t="b">
        <v>0</v>
      </c>
      <c r="J3696" s="47" t="b">
        <v>0</v>
      </c>
      <c r="K3696" s="31">
        <v>550</v>
      </c>
      <c r="S3696" s="33">
        <v>1</v>
      </c>
      <c r="Z3696" s="31" t="s">
        <v>3855</v>
      </c>
      <c r="AE3696" s="31" t="s">
        <v>4723</v>
      </c>
      <c r="AF3696" s="31">
        <v>55</v>
      </c>
      <c r="AK3696" s="32">
        <v>8</v>
      </c>
      <c r="AQ3696" s="32" t="s">
        <v>4893</v>
      </c>
      <c r="AU3696">
        <v>3695</v>
      </c>
    </row>
    <row r="3697" spans="1:47" x14ac:dyDescent="0.2">
      <c r="A3697" s="13">
        <v>6697</v>
      </c>
      <c r="B3697" s="57" t="s">
        <v>45</v>
      </c>
      <c r="C3697" s="57" t="s">
        <v>142</v>
      </c>
      <c r="D3697" s="29"/>
      <c r="E3697" s="57" t="s">
        <v>447</v>
      </c>
      <c r="F3697" s="31" t="s">
        <v>220</v>
      </c>
      <c r="G3697" s="47" t="s">
        <v>49</v>
      </c>
      <c r="I3697" s="47" t="b">
        <v>0</v>
      </c>
      <c r="J3697" s="47" t="b">
        <v>0</v>
      </c>
      <c r="K3697" s="31">
        <v>990</v>
      </c>
      <c r="S3697" s="33">
        <v>2</v>
      </c>
      <c r="Z3697" s="31" t="s">
        <v>3855</v>
      </c>
      <c r="AE3697" s="31" t="s">
        <v>4723</v>
      </c>
      <c r="AF3697" s="31">
        <v>75</v>
      </c>
      <c r="AK3697" s="32">
        <v>16</v>
      </c>
      <c r="AQ3697" s="32" t="s">
        <v>4893</v>
      </c>
      <c r="AU3697">
        <v>3696</v>
      </c>
    </row>
    <row r="3698" spans="1:47" x14ac:dyDescent="0.2">
      <c r="A3698" s="13">
        <v>6697</v>
      </c>
      <c r="B3698" s="57" t="s">
        <v>45</v>
      </c>
      <c r="C3698" s="57" t="s">
        <v>142</v>
      </c>
      <c r="D3698" s="29"/>
      <c r="E3698" s="57" t="s">
        <v>4909</v>
      </c>
      <c r="F3698" s="31" t="s">
        <v>1473</v>
      </c>
      <c r="G3698" s="31" t="s">
        <v>69</v>
      </c>
      <c r="I3698" s="47" t="b">
        <v>0</v>
      </c>
      <c r="J3698" s="47" t="b">
        <v>0</v>
      </c>
      <c r="K3698" s="31">
        <v>1166</v>
      </c>
      <c r="S3698" s="33">
        <v>2</v>
      </c>
      <c r="Z3698" s="31" t="s">
        <v>3855</v>
      </c>
      <c r="AE3698" s="31" t="s">
        <v>4723</v>
      </c>
      <c r="AK3698" s="32">
        <v>20</v>
      </c>
      <c r="AQ3698" s="32" t="s">
        <v>4893</v>
      </c>
      <c r="AU3698">
        <v>3697</v>
      </c>
    </row>
    <row r="3699" spans="1:47" x14ac:dyDescent="0.2">
      <c r="A3699" s="13">
        <v>6697</v>
      </c>
      <c r="B3699" s="57" t="s">
        <v>45</v>
      </c>
      <c r="C3699" s="57" t="s">
        <v>142</v>
      </c>
      <c r="D3699" s="29"/>
      <c r="E3699" s="57" t="s">
        <v>4839</v>
      </c>
      <c r="F3699" s="31" t="s">
        <v>76</v>
      </c>
      <c r="G3699" s="31" t="s">
        <v>49</v>
      </c>
      <c r="I3699" s="47" t="b">
        <v>0</v>
      </c>
      <c r="J3699" s="47" t="b">
        <v>0</v>
      </c>
      <c r="K3699" s="31">
        <v>1496</v>
      </c>
      <c r="S3699" s="33">
        <v>3</v>
      </c>
      <c r="Z3699" s="31" t="s">
        <v>3855</v>
      </c>
      <c r="AE3699" s="31" t="s">
        <v>4723</v>
      </c>
      <c r="AF3699" s="31">
        <v>60</v>
      </c>
      <c r="AK3699" s="32">
        <v>21</v>
      </c>
      <c r="AQ3699" s="32" t="s">
        <v>4893</v>
      </c>
      <c r="AU3699">
        <v>3698</v>
      </c>
    </row>
    <row r="3700" spans="1:47" x14ac:dyDescent="0.2">
      <c r="A3700" s="13">
        <v>6697</v>
      </c>
      <c r="B3700" s="57" t="s">
        <v>45</v>
      </c>
      <c r="C3700" s="57" t="s">
        <v>142</v>
      </c>
      <c r="D3700" s="29"/>
      <c r="E3700" s="57" t="s">
        <v>1593</v>
      </c>
      <c r="F3700" s="31" t="s">
        <v>220</v>
      </c>
      <c r="G3700" s="31" t="s">
        <v>49</v>
      </c>
      <c r="I3700" s="47" t="b">
        <v>0</v>
      </c>
      <c r="J3700" s="47" t="b">
        <v>0</v>
      </c>
      <c r="K3700" s="31">
        <v>1650</v>
      </c>
      <c r="S3700" s="33">
        <v>5</v>
      </c>
      <c r="Z3700" s="31" t="s">
        <v>3855</v>
      </c>
      <c r="AE3700" s="31" t="s">
        <v>4723</v>
      </c>
      <c r="AF3700" s="31">
        <v>65</v>
      </c>
      <c r="AK3700" s="32">
        <v>27</v>
      </c>
      <c r="AQ3700" s="32" t="s">
        <v>4893</v>
      </c>
      <c r="AU3700">
        <v>3699</v>
      </c>
    </row>
    <row r="3701" spans="1:47" x14ac:dyDescent="0.2">
      <c r="A3701" s="13">
        <v>6697</v>
      </c>
      <c r="B3701" s="57" t="s">
        <v>45</v>
      </c>
      <c r="C3701" s="57" t="s">
        <v>142</v>
      </c>
      <c r="D3701" s="29"/>
      <c r="E3701" s="57" t="s">
        <v>4881</v>
      </c>
      <c r="F3701" s="31" t="s">
        <v>220</v>
      </c>
      <c r="G3701" s="31" t="s">
        <v>49</v>
      </c>
      <c r="I3701" s="47" t="b">
        <v>0</v>
      </c>
      <c r="J3701" s="47" t="b">
        <v>0</v>
      </c>
      <c r="K3701" s="31">
        <v>1760</v>
      </c>
      <c r="S3701" s="33">
        <v>4</v>
      </c>
      <c r="Z3701" s="31" t="s">
        <v>3855</v>
      </c>
      <c r="AE3701" s="31" t="s">
        <v>4723</v>
      </c>
      <c r="AF3701" s="31">
        <v>70</v>
      </c>
      <c r="AK3701" s="32">
        <v>29</v>
      </c>
      <c r="AQ3701" s="32" t="s">
        <v>4893</v>
      </c>
      <c r="AU3701">
        <v>3700</v>
      </c>
    </row>
    <row r="3702" spans="1:47" x14ac:dyDescent="0.2">
      <c r="A3702" s="13">
        <v>6697</v>
      </c>
      <c r="B3702" s="57" t="s">
        <v>45</v>
      </c>
      <c r="C3702" s="57" t="s">
        <v>142</v>
      </c>
      <c r="D3702" s="29"/>
      <c r="E3702" s="57" t="s">
        <v>4881</v>
      </c>
      <c r="F3702" s="31" t="s">
        <v>220</v>
      </c>
      <c r="G3702" s="31" t="s">
        <v>49</v>
      </c>
      <c r="I3702" s="47" t="b">
        <v>0</v>
      </c>
      <c r="J3702" s="47" t="b">
        <v>0</v>
      </c>
      <c r="K3702" s="31">
        <v>3487</v>
      </c>
      <c r="S3702" s="33">
        <v>7</v>
      </c>
      <c r="Z3702" s="31" t="s">
        <v>3855</v>
      </c>
      <c r="AE3702" s="31" t="s">
        <v>4723</v>
      </c>
      <c r="AF3702" s="31">
        <v>70</v>
      </c>
      <c r="AK3702" s="32">
        <v>62</v>
      </c>
      <c r="AQ3702" s="32" t="s">
        <v>4893</v>
      </c>
      <c r="AU3702">
        <v>3701</v>
      </c>
    </row>
    <row r="3703" spans="1:47" x14ac:dyDescent="0.2">
      <c r="A3703" s="13">
        <v>6697</v>
      </c>
      <c r="B3703" s="57" t="s">
        <v>45</v>
      </c>
      <c r="C3703" s="57" t="s">
        <v>142</v>
      </c>
      <c r="D3703" s="29"/>
      <c r="E3703" s="57" t="s">
        <v>4752</v>
      </c>
      <c r="F3703" s="31" t="s">
        <v>76</v>
      </c>
      <c r="G3703" s="31" t="s">
        <v>49</v>
      </c>
      <c r="I3703" s="47" t="b">
        <v>0</v>
      </c>
      <c r="J3703" s="47" t="b">
        <v>0</v>
      </c>
      <c r="K3703" s="31">
        <v>3597</v>
      </c>
      <c r="S3703" s="33">
        <v>6</v>
      </c>
      <c r="Z3703" s="31" t="s">
        <v>3855</v>
      </c>
      <c r="AE3703" s="31" t="s">
        <v>4723</v>
      </c>
      <c r="AF3703" s="31">
        <v>80</v>
      </c>
      <c r="AK3703" s="32">
        <v>58</v>
      </c>
      <c r="AQ3703" s="32" t="s">
        <v>4893</v>
      </c>
      <c r="AU3703">
        <v>3702</v>
      </c>
    </row>
    <row r="3704" spans="1:47" x14ac:dyDescent="0.2">
      <c r="A3704" s="13">
        <v>6697</v>
      </c>
      <c r="B3704" s="57" t="s">
        <v>45</v>
      </c>
      <c r="C3704" s="57" t="s">
        <v>4805</v>
      </c>
      <c r="D3704" s="29"/>
      <c r="E3704" s="57" t="s">
        <v>4910</v>
      </c>
      <c r="F3704" s="31" t="s">
        <v>76</v>
      </c>
      <c r="G3704" s="31" t="s">
        <v>49</v>
      </c>
      <c r="I3704" s="31" t="s">
        <v>4911</v>
      </c>
      <c r="K3704" s="31">
        <v>902</v>
      </c>
      <c r="S3704" s="127">
        <v>1</v>
      </c>
      <c r="Z3704" s="31" t="s">
        <v>1846</v>
      </c>
      <c r="AE3704" s="31" t="s">
        <v>4756</v>
      </c>
      <c r="AF3704" s="31">
        <v>75</v>
      </c>
      <c r="AQ3704" s="32" t="s">
        <v>4912</v>
      </c>
      <c r="AU3704">
        <v>3703</v>
      </c>
    </row>
    <row r="3705" spans="1:47" x14ac:dyDescent="0.2">
      <c r="A3705" s="13">
        <v>6697</v>
      </c>
      <c r="B3705" s="57" t="s">
        <v>45</v>
      </c>
      <c r="C3705" s="57" t="s">
        <v>4805</v>
      </c>
      <c r="D3705" s="29"/>
      <c r="E3705" s="57" t="s">
        <v>1397</v>
      </c>
      <c r="F3705" s="31" t="s">
        <v>76</v>
      </c>
      <c r="G3705" s="31" t="s">
        <v>49</v>
      </c>
      <c r="I3705" s="31" t="s">
        <v>4911</v>
      </c>
      <c r="K3705" s="31">
        <v>1804</v>
      </c>
      <c r="S3705" s="127">
        <v>2</v>
      </c>
      <c r="Z3705" s="31" t="s">
        <v>1846</v>
      </c>
      <c r="AE3705" s="31" t="s">
        <v>4756</v>
      </c>
      <c r="AF3705" s="31">
        <v>80</v>
      </c>
      <c r="AQ3705" s="32" t="s">
        <v>4912</v>
      </c>
      <c r="AU3705">
        <v>3704</v>
      </c>
    </row>
    <row r="3706" spans="1:47" x14ac:dyDescent="0.2">
      <c r="A3706" s="13">
        <v>6697</v>
      </c>
      <c r="B3706" s="57" t="s">
        <v>45</v>
      </c>
      <c r="C3706" s="57" t="s">
        <v>4805</v>
      </c>
      <c r="D3706" s="29"/>
      <c r="E3706" s="57" t="s">
        <v>3895</v>
      </c>
      <c r="F3706" s="31" t="s">
        <v>76</v>
      </c>
      <c r="G3706" s="31" t="s">
        <v>49</v>
      </c>
      <c r="I3706" s="31" t="s">
        <v>4911</v>
      </c>
      <c r="K3706" s="31">
        <v>1804</v>
      </c>
      <c r="S3706" s="127">
        <v>2</v>
      </c>
      <c r="Z3706" s="31" t="s">
        <v>1846</v>
      </c>
      <c r="AE3706" s="31" t="s">
        <v>4756</v>
      </c>
      <c r="AF3706" s="31">
        <v>60</v>
      </c>
      <c r="AQ3706" s="32" t="s">
        <v>4912</v>
      </c>
      <c r="AU3706">
        <v>3705</v>
      </c>
    </row>
    <row r="3707" spans="1:47" x14ac:dyDescent="0.2">
      <c r="A3707" s="13">
        <v>6697</v>
      </c>
      <c r="B3707" s="57" t="s">
        <v>45</v>
      </c>
      <c r="C3707" s="57" t="s">
        <v>4456</v>
      </c>
      <c r="D3707" s="29"/>
      <c r="E3707" s="57" t="s">
        <v>4913</v>
      </c>
      <c r="F3707" s="31" t="s">
        <v>76</v>
      </c>
      <c r="G3707" s="31" t="s">
        <v>49</v>
      </c>
      <c r="I3707" s="47" t="b">
        <v>1</v>
      </c>
      <c r="J3707" s="47" t="b">
        <v>1</v>
      </c>
      <c r="K3707" s="135">
        <f>2*8*50*2.2</f>
        <v>1760.0000000000002</v>
      </c>
      <c r="L3707" s="33">
        <v>6</v>
      </c>
      <c r="M3707" s="31">
        <v>1</v>
      </c>
      <c r="N3707" s="31">
        <v>3</v>
      </c>
      <c r="P3707" s="31">
        <v>1</v>
      </c>
      <c r="S3707" s="31">
        <v>2</v>
      </c>
      <c r="T3707" s="31">
        <v>0</v>
      </c>
      <c r="U3707" s="31">
        <v>0</v>
      </c>
      <c r="V3707" s="31">
        <v>1</v>
      </c>
      <c r="W3707" s="47">
        <f>((2500+2000)/2)*39.37/12</f>
        <v>7381.875</v>
      </c>
      <c r="Y3707" s="31" t="s">
        <v>51</v>
      </c>
      <c r="Z3707" s="31" t="s">
        <v>1846</v>
      </c>
      <c r="AA3707" s="34">
        <v>0.9458333333333333</v>
      </c>
      <c r="AB3707" s="34">
        <v>0.13541666666666666</v>
      </c>
      <c r="AC3707" s="49">
        <f>AVERAGE(AA3707:AB3707)</f>
        <v>0.54062500000000002</v>
      </c>
      <c r="AD3707" s="35">
        <v>4.5</v>
      </c>
      <c r="AE3707" s="31" t="s">
        <v>4756</v>
      </c>
      <c r="AK3707" s="130">
        <f>2*8</f>
        <v>16</v>
      </c>
      <c r="AQ3707" s="32" t="s">
        <v>4914</v>
      </c>
      <c r="AR3707" s="32" t="s">
        <v>4915</v>
      </c>
      <c r="AU3707">
        <v>3706</v>
      </c>
    </row>
    <row r="3708" spans="1:47" x14ac:dyDescent="0.2">
      <c r="A3708" s="13">
        <v>6697</v>
      </c>
      <c r="B3708" s="57" t="s">
        <v>45</v>
      </c>
      <c r="C3708" s="57" t="s">
        <v>4456</v>
      </c>
      <c r="D3708" s="29"/>
      <c r="E3708" s="57" t="s">
        <v>3816</v>
      </c>
      <c r="F3708" s="31" t="s">
        <v>76</v>
      </c>
      <c r="G3708" s="31" t="s">
        <v>49</v>
      </c>
      <c r="I3708" s="47" t="b">
        <v>0</v>
      </c>
      <c r="J3708" s="47" t="b">
        <v>0</v>
      </c>
      <c r="K3708" s="135">
        <f>8*50*2.2</f>
        <v>880.00000000000011</v>
      </c>
      <c r="S3708" s="31">
        <v>1</v>
      </c>
      <c r="T3708" s="31">
        <v>0</v>
      </c>
      <c r="U3708" s="31">
        <v>0</v>
      </c>
      <c r="V3708" s="31">
        <v>1</v>
      </c>
      <c r="W3708" s="47">
        <f>2500*39.37/12</f>
        <v>8202.0833333333339</v>
      </c>
      <c r="Y3708" s="31" t="s">
        <v>51</v>
      </c>
      <c r="Z3708" s="31" t="s">
        <v>1846</v>
      </c>
      <c r="AA3708" s="34">
        <v>0.9458333333333333</v>
      </c>
      <c r="AB3708" s="34">
        <v>0.13541666666666666</v>
      </c>
      <c r="AC3708" s="49">
        <f>AVERAGE(AA3708:AB3708)</f>
        <v>0.54062500000000002</v>
      </c>
      <c r="AD3708" s="35">
        <v>4.5</v>
      </c>
      <c r="AE3708" s="31" t="s">
        <v>4756</v>
      </c>
      <c r="AF3708" s="31">
        <v>110</v>
      </c>
      <c r="AK3708" s="130">
        <v>8</v>
      </c>
      <c r="AQ3708" s="32" t="s">
        <v>4914</v>
      </c>
      <c r="AR3708" s="32" t="s">
        <v>4916</v>
      </c>
      <c r="AU3708">
        <v>3707</v>
      </c>
    </row>
    <row r="3709" spans="1:47" x14ac:dyDescent="0.2">
      <c r="A3709" s="13">
        <v>6697</v>
      </c>
      <c r="B3709" s="57" t="s">
        <v>45</v>
      </c>
      <c r="C3709" s="57" t="s">
        <v>4456</v>
      </c>
      <c r="D3709" s="29"/>
      <c r="E3709" s="57" t="s">
        <v>4917</v>
      </c>
      <c r="F3709" s="31" t="s">
        <v>76</v>
      </c>
      <c r="G3709" s="31" t="s">
        <v>49</v>
      </c>
      <c r="I3709" s="47" t="b">
        <v>0</v>
      </c>
      <c r="J3709" s="47" t="b">
        <v>0</v>
      </c>
      <c r="K3709" s="135">
        <f>8*50*2.2</f>
        <v>880.00000000000011</v>
      </c>
      <c r="S3709" s="31">
        <v>1</v>
      </c>
      <c r="T3709" s="31">
        <v>0</v>
      </c>
      <c r="U3709" s="31">
        <v>0</v>
      </c>
      <c r="V3709" s="31">
        <v>0</v>
      </c>
      <c r="W3709" s="47">
        <f>2000*39.37/12</f>
        <v>6561.666666666667</v>
      </c>
      <c r="Y3709" s="31" t="s">
        <v>51</v>
      </c>
      <c r="Z3709" s="31" t="s">
        <v>1846</v>
      </c>
      <c r="AD3709" s="35">
        <v>1.5</v>
      </c>
      <c r="AE3709" s="31" t="s">
        <v>4756</v>
      </c>
      <c r="AF3709" s="31">
        <v>55</v>
      </c>
      <c r="AK3709" s="130">
        <v>8</v>
      </c>
      <c r="AQ3709" s="32" t="s">
        <v>4914</v>
      </c>
      <c r="AR3709" s="32" t="s">
        <v>4918</v>
      </c>
      <c r="AU3709">
        <v>3708</v>
      </c>
    </row>
    <row r="3710" spans="1:47" x14ac:dyDescent="0.2">
      <c r="A3710" s="13">
        <v>6697</v>
      </c>
      <c r="B3710" s="57" t="s">
        <v>45</v>
      </c>
      <c r="C3710" s="57" t="s">
        <v>1367</v>
      </c>
      <c r="D3710" s="29"/>
      <c r="E3710" s="57" t="s">
        <v>4919</v>
      </c>
      <c r="F3710" s="31" t="s">
        <v>76</v>
      </c>
      <c r="G3710" s="31" t="s">
        <v>49</v>
      </c>
      <c r="I3710" s="31" t="s">
        <v>4920</v>
      </c>
      <c r="K3710" s="31">
        <v>968</v>
      </c>
      <c r="S3710" s="31"/>
      <c r="AE3710" s="31" t="s">
        <v>4756</v>
      </c>
      <c r="AF3710" s="31">
        <v>55</v>
      </c>
      <c r="AQ3710" s="32" t="s">
        <v>4912</v>
      </c>
      <c r="AU3710">
        <v>3709</v>
      </c>
    </row>
    <row r="3711" spans="1:47" x14ac:dyDescent="0.2">
      <c r="A3711" s="13">
        <v>6697</v>
      </c>
      <c r="B3711" s="57" t="s">
        <v>45</v>
      </c>
      <c r="C3711" s="57" t="s">
        <v>1367</v>
      </c>
      <c r="D3711" s="29"/>
      <c r="E3711" s="57" t="s">
        <v>4921</v>
      </c>
      <c r="F3711" s="31" t="s">
        <v>76</v>
      </c>
      <c r="G3711" s="31" t="s">
        <v>49</v>
      </c>
      <c r="I3711" s="31" t="s">
        <v>4922</v>
      </c>
      <c r="K3711" s="31">
        <v>968</v>
      </c>
      <c r="AE3711" s="31" t="s">
        <v>4756</v>
      </c>
      <c r="AF3711" s="31">
        <v>70</v>
      </c>
      <c r="AQ3711" s="32" t="s">
        <v>4912</v>
      </c>
      <c r="AU3711">
        <v>3710</v>
      </c>
    </row>
    <row r="3712" spans="1:47" x14ac:dyDescent="0.2">
      <c r="A3712" s="13">
        <v>6697</v>
      </c>
      <c r="B3712" s="57" t="s">
        <v>45</v>
      </c>
      <c r="C3712" s="57" t="s">
        <v>1367</v>
      </c>
      <c r="D3712" s="29"/>
      <c r="E3712" s="57" t="s">
        <v>3816</v>
      </c>
      <c r="F3712" s="31" t="s">
        <v>76</v>
      </c>
      <c r="G3712" s="31" t="s">
        <v>49</v>
      </c>
      <c r="I3712" s="31" t="s">
        <v>4923</v>
      </c>
      <c r="K3712" s="31">
        <f>2200-880</f>
        <v>1320</v>
      </c>
      <c r="AE3712" s="31" t="s">
        <v>4756</v>
      </c>
      <c r="AF3712" s="31">
        <v>110</v>
      </c>
      <c r="AQ3712" s="32" t="s">
        <v>4912</v>
      </c>
      <c r="AU3712">
        <v>3711</v>
      </c>
    </row>
    <row r="3713" spans="1:47" x14ac:dyDescent="0.2">
      <c r="A3713" s="13">
        <v>6697</v>
      </c>
      <c r="B3713" s="57" t="s">
        <v>45</v>
      </c>
      <c r="C3713" s="57" t="s">
        <v>1367</v>
      </c>
      <c r="D3713" s="29"/>
      <c r="E3713" s="57" t="s">
        <v>3895</v>
      </c>
      <c r="F3713" s="31" t="s">
        <v>76</v>
      </c>
      <c r="G3713" s="31" t="s">
        <v>49</v>
      </c>
      <c r="I3713" s="31" t="s">
        <v>4920</v>
      </c>
      <c r="K3713" s="31">
        <v>13090</v>
      </c>
      <c r="AE3713" s="31" t="s">
        <v>4756</v>
      </c>
      <c r="AF3713" s="31">
        <v>60</v>
      </c>
      <c r="AQ3713" s="32" t="s">
        <v>4912</v>
      </c>
      <c r="AU3713">
        <v>3712</v>
      </c>
    </row>
    <row r="3714" spans="1:47" x14ac:dyDescent="0.2">
      <c r="A3714" s="13">
        <v>6697</v>
      </c>
      <c r="B3714" s="57" t="s">
        <v>45</v>
      </c>
      <c r="C3714" s="57" t="s">
        <v>4179</v>
      </c>
      <c r="D3714" s="29"/>
      <c r="E3714" s="57" t="s">
        <v>4909</v>
      </c>
      <c r="K3714" s="31">
        <v>572</v>
      </c>
      <c r="S3714" s="33">
        <v>1</v>
      </c>
      <c r="Z3714" s="31" t="s">
        <v>3814</v>
      </c>
      <c r="AK3714" s="32">
        <v>8</v>
      </c>
      <c r="AQ3714" s="32" t="s">
        <v>4893</v>
      </c>
      <c r="AU3714">
        <v>3713</v>
      </c>
    </row>
    <row r="3715" spans="1:47" x14ac:dyDescent="0.2">
      <c r="A3715" s="13">
        <v>6697</v>
      </c>
      <c r="B3715" s="57" t="s">
        <v>45</v>
      </c>
      <c r="C3715" s="57" t="s">
        <v>4179</v>
      </c>
      <c r="D3715" s="29"/>
      <c r="E3715" s="57" t="s">
        <v>4924</v>
      </c>
      <c r="K3715" s="31">
        <v>594</v>
      </c>
      <c r="S3715" s="33">
        <v>1</v>
      </c>
      <c r="Z3715" s="31" t="s">
        <v>3814</v>
      </c>
      <c r="AK3715" s="32">
        <v>12</v>
      </c>
      <c r="AQ3715" s="32" t="s">
        <v>4893</v>
      </c>
      <c r="AU3715">
        <v>3714</v>
      </c>
    </row>
    <row r="3716" spans="1:47" x14ac:dyDescent="0.2">
      <c r="A3716" s="13">
        <v>6697</v>
      </c>
      <c r="B3716" s="57" t="s">
        <v>45</v>
      </c>
      <c r="C3716" s="57" t="s">
        <v>4179</v>
      </c>
      <c r="D3716" s="29"/>
      <c r="E3716" s="57" t="s">
        <v>4925</v>
      </c>
      <c r="K3716" s="31">
        <v>594</v>
      </c>
      <c r="S3716" s="33">
        <v>1</v>
      </c>
      <c r="Z3716" s="31" t="s">
        <v>3814</v>
      </c>
      <c r="AK3716" s="32">
        <v>9</v>
      </c>
      <c r="AQ3716" s="32" t="s">
        <v>4893</v>
      </c>
      <c r="AU3716">
        <v>3715</v>
      </c>
    </row>
    <row r="3717" spans="1:47" x14ac:dyDescent="0.2">
      <c r="A3717" s="26">
        <v>6697</v>
      </c>
      <c r="B3717" s="27">
        <v>0.62152777777777779</v>
      </c>
      <c r="C3717" s="28"/>
      <c r="D3717" s="29"/>
      <c r="E3717" s="30" t="s">
        <v>869</v>
      </c>
      <c r="H3717" s="32">
        <v>0</v>
      </c>
      <c r="I3717" s="32" t="s">
        <v>2344</v>
      </c>
      <c r="AG3717" s="32">
        <v>0</v>
      </c>
      <c r="AH3717" s="32">
        <v>0</v>
      </c>
      <c r="AI3717" s="32">
        <v>0</v>
      </c>
      <c r="AK3717" s="32">
        <v>0</v>
      </c>
      <c r="AL3717" s="32">
        <v>0.75</v>
      </c>
      <c r="AP3717" s="32">
        <v>0.75</v>
      </c>
      <c r="AQ3717" s="32" t="s">
        <v>589</v>
      </c>
      <c r="AU3717">
        <v>3716</v>
      </c>
    </row>
    <row r="3718" spans="1:47" x14ac:dyDescent="0.2">
      <c r="A3718" s="26">
        <v>6697</v>
      </c>
      <c r="B3718" s="27">
        <v>0.62222222222222223</v>
      </c>
      <c r="C3718" s="28"/>
      <c r="D3718" s="29"/>
      <c r="E3718" s="30" t="s">
        <v>3155</v>
      </c>
      <c r="H3718" s="32">
        <v>0</v>
      </c>
      <c r="I3718" s="32" t="s">
        <v>3156</v>
      </c>
      <c r="AG3718" s="32">
        <v>0</v>
      </c>
      <c r="AH3718" s="32">
        <v>0</v>
      </c>
      <c r="AI3718" s="32">
        <v>0</v>
      </c>
      <c r="AK3718" s="32">
        <v>0</v>
      </c>
      <c r="AP3718" s="32">
        <f>49/60</f>
        <v>0.81666666666666665</v>
      </c>
      <c r="AQ3718" s="32" t="s">
        <v>1101</v>
      </c>
      <c r="AU3718">
        <v>3717</v>
      </c>
    </row>
    <row r="3719" spans="1:47" x14ac:dyDescent="0.2">
      <c r="A3719" s="26">
        <v>6697</v>
      </c>
      <c r="B3719" s="27">
        <v>0.63194444444444442</v>
      </c>
      <c r="C3719" s="28"/>
      <c r="D3719" s="29"/>
      <c r="E3719" s="30" t="s">
        <v>3737</v>
      </c>
      <c r="H3719" s="32">
        <v>0</v>
      </c>
      <c r="I3719" s="32" t="s">
        <v>4926</v>
      </c>
      <c r="AG3719" s="32">
        <v>0</v>
      </c>
      <c r="AH3719" s="32">
        <v>0</v>
      </c>
      <c r="AI3719" s="32">
        <v>0</v>
      </c>
      <c r="AK3719" s="32">
        <v>0</v>
      </c>
      <c r="AM3719" s="74"/>
      <c r="AQ3719" s="32" t="s">
        <v>1101</v>
      </c>
      <c r="AU3719">
        <v>3718</v>
      </c>
    </row>
    <row r="3720" spans="1:47" x14ac:dyDescent="0.2">
      <c r="A3720" s="26">
        <v>6697</v>
      </c>
      <c r="B3720" s="27"/>
      <c r="C3720" s="28"/>
      <c r="D3720" s="29"/>
      <c r="E3720" s="30" t="s">
        <v>4666</v>
      </c>
      <c r="H3720" s="32">
        <v>1</v>
      </c>
      <c r="I3720" s="32" t="s">
        <v>4927</v>
      </c>
      <c r="AG3720" s="32">
        <v>7</v>
      </c>
      <c r="AI3720" s="32">
        <v>50</v>
      </c>
      <c r="AO3720" s="32" t="s">
        <v>4668</v>
      </c>
      <c r="AQ3720" s="32">
        <v>407</v>
      </c>
      <c r="AU3720">
        <v>3719</v>
      </c>
    </row>
    <row r="3721" spans="1:47" x14ac:dyDescent="0.2">
      <c r="A3721" s="26">
        <v>6697</v>
      </c>
      <c r="B3721" s="27"/>
      <c r="C3721" s="28"/>
      <c r="D3721" s="29"/>
      <c r="E3721" s="102" t="s">
        <v>1421</v>
      </c>
      <c r="H3721" s="32">
        <v>1</v>
      </c>
      <c r="I3721" s="32" t="s">
        <v>1422</v>
      </c>
      <c r="AK3721" s="32">
        <v>29</v>
      </c>
      <c r="AO3721" s="73"/>
      <c r="AQ3721" s="32" t="s">
        <v>589</v>
      </c>
      <c r="AU3721">
        <v>3720</v>
      </c>
    </row>
    <row r="3722" spans="1:47" x14ac:dyDescent="0.2">
      <c r="A3722" s="133">
        <v>6698</v>
      </c>
      <c r="B3722" s="39" t="s">
        <v>85</v>
      </c>
      <c r="C3722" s="39">
        <v>55</v>
      </c>
      <c r="D3722" s="29" t="b">
        <v>0</v>
      </c>
      <c r="E3722" s="39" t="s">
        <v>1764</v>
      </c>
      <c r="F3722" s="47" t="s">
        <v>4928</v>
      </c>
      <c r="G3722" s="47" t="s">
        <v>49</v>
      </c>
      <c r="H3722"/>
      <c r="I3722" s="47" t="b">
        <v>0</v>
      </c>
      <c r="J3722" s="47" t="b">
        <v>1</v>
      </c>
      <c r="K3722" s="47">
        <v>2688</v>
      </c>
      <c r="L3722" s="48">
        <v>12</v>
      </c>
      <c r="M3722" s="47">
        <v>0</v>
      </c>
      <c r="N3722" s="47">
        <v>0</v>
      </c>
      <c r="O3722" s="47">
        <v>0</v>
      </c>
      <c r="P3722" s="47">
        <v>0</v>
      </c>
      <c r="Q3722" s="47">
        <v>0</v>
      </c>
      <c r="R3722" s="47">
        <v>0</v>
      </c>
      <c r="S3722" s="48">
        <v>12</v>
      </c>
      <c r="T3722" s="47">
        <v>0</v>
      </c>
      <c r="U3722" s="47">
        <v>0</v>
      </c>
      <c r="V3722" s="47">
        <v>0</v>
      </c>
      <c r="W3722" s="47">
        <v>12500</v>
      </c>
      <c r="X3722" s="47">
        <v>484</v>
      </c>
      <c r="Y3722" s="47"/>
      <c r="Z3722" s="47" t="s">
        <v>3618</v>
      </c>
      <c r="AA3722" s="49"/>
      <c r="AB3722" s="49"/>
      <c r="AC3722" s="49"/>
      <c r="AD3722" s="50"/>
      <c r="AE3722" s="47" t="s">
        <v>3798</v>
      </c>
      <c r="AF3722" s="47">
        <v>95</v>
      </c>
      <c r="AG3722"/>
      <c r="AH3722"/>
      <c r="AI3722"/>
      <c r="AJ3722"/>
      <c r="AK3722"/>
      <c r="AL3722"/>
      <c r="AM3722"/>
      <c r="AN3722"/>
      <c r="AO3722"/>
      <c r="AP3722"/>
      <c r="AQ3722" t="s">
        <v>2526</v>
      </c>
      <c r="AU3722">
        <v>3721</v>
      </c>
    </row>
    <row r="3723" spans="1:47" x14ac:dyDescent="0.2">
      <c r="A3723" s="37">
        <v>6698</v>
      </c>
      <c r="B3723" s="38" t="s">
        <v>85</v>
      </c>
      <c r="C3723" s="39" t="s">
        <v>4769</v>
      </c>
      <c r="D3723" s="29"/>
      <c r="E3723" s="38" t="s">
        <v>4752</v>
      </c>
      <c r="F3723" s="32"/>
      <c r="G3723" s="47"/>
      <c r="H3723"/>
      <c r="I3723" s="32" t="s">
        <v>4929</v>
      </c>
      <c r="J3723" s="47"/>
      <c r="K3723" s="47"/>
      <c r="L3723" s="48"/>
      <c r="M3723" s="47"/>
      <c r="N3723" s="47"/>
      <c r="O3723" s="47"/>
      <c r="P3723" s="47"/>
      <c r="Q3723" s="47"/>
      <c r="R3723" s="47"/>
      <c r="S3723" s="48"/>
      <c r="T3723" s="47">
        <v>1</v>
      </c>
      <c r="U3723" s="47"/>
      <c r="V3723" s="47"/>
      <c r="W3723" s="47"/>
      <c r="X3723" s="47"/>
      <c r="Y3723" s="47"/>
      <c r="Z3723" s="31" t="s">
        <v>3724</v>
      </c>
      <c r="AA3723" s="49"/>
      <c r="AB3723" s="49"/>
      <c r="AC3723" s="49"/>
      <c r="AD3723" s="50"/>
      <c r="AE3723" s="47"/>
      <c r="AF3723" s="47"/>
      <c r="AG3723"/>
      <c r="AH3723"/>
      <c r="AI3723"/>
      <c r="AJ3723"/>
      <c r="AK3723"/>
      <c r="AL3723"/>
      <c r="AM3723"/>
      <c r="AN3723"/>
      <c r="AO3723"/>
      <c r="AP3723"/>
      <c r="AQ3723" t="s">
        <v>4930</v>
      </c>
      <c r="AU3723">
        <v>3722</v>
      </c>
    </row>
    <row r="3724" spans="1:47" x14ac:dyDescent="0.2">
      <c r="A3724" s="13">
        <v>6698</v>
      </c>
      <c r="B3724" s="57" t="s">
        <v>85</v>
      </c>
      <c r="C3724" s="57" t="s">
        <v>332</v>
      </c>
      <c r="D3724" s="29"/>
      <c r="E3724" s="57" t="s">
        <v>4931</v>
      </c>
      <c r="K3724" s="31">
        <v>264</v>
      </c>
      <c r="S3724" s="33">
        <v>1</v>
      </c>
      <c r="Z3724" s="31" t="s">
        <v>3724</v>
      </c>
      <c r="AE3724" s="31" t="s">
        <v>4892</v>
      </c>
      <c r="AF3724" s="31">
        <v>75</v>
      </c>
      <c r="AK3724" s="32">
        <v>12</v>
      </c>
      <c r="AQ3724" s="32" t="s">
        <v>4893</v>
      </c>
      <c r="AU3724">
        <v>3723</v>
      </c>
    </row>
    <row r="3725" spans="1:47" x14ac:dyDescent="0.2">
      <c r="A3725" s="13">
        <v>6698</v>
      </c>
      <c r="B3725" s="57" t="s">
        <v>85</v>
      </c>
      <c r="C3725" s="57" t="s">
        <v>332</v>
      </c>
      <c r="D3725" s="29"/>
      <c r="E3725" s="57" t="s">
        <v>4932</v>
      </c>
      <c r="F3725" s="31" t="s">
        <v>4933</v>
      </c>
      <c r="K3725" s="31">
        <v>354.2</v>
      </c>
      <c r="S3725" s="33">
        <v>1</v>
      </c>
      <c r="Z3725" s="31" t="s">
        <v>3724</v>
      </c>
      <c r="AE3725" s="31" t="s">
        <v>4892</v>
      </c>
      <c r="AK3725" s="32">
        <v>26</v>
      </c>
      <c r="AQ3725" s="32" t="s">
        <v>4893</v>
      </c>
      <c r="AU3725">
        <v>3724</v>
      </c>
    </row>
    <row r="3726" spans="1:47" x14ac:dyDescent="0.2">
      <c r="A3726" s="13">
        <v>6698</v>
      </c>
      <c r="B3726" s="57" t="s">
        <v>85</v>
      </c>
      <c r="C3726" s="57" t="s">
        <v>332</v>
      </c>
      <c r="D3726" s="29"/>
      <c r="E3726" s="57" t="s">
        <v>1576</v>
      </c>
      <c r="K3726" s="31">
        <v>360.8</v>
      </c>
      <c r="S3726" s="33">
        <v>1</v>
      </c>
      <c r="Z3726" s="31" t="s">
        <v>3724</v>
      </c>
      <c r="AE3726" s="31" t="s">
        <v>4892</v>
      </c>
      <c r="AF3726" s="31">
        <v>65</v>
      </c>
      <c r="AK3726" s="32">
        <v>8</v>
      </c>
      <c r="AQ3726" s="32" t="s">
        <v>4893</v>
      </c>
      <c r="AU3726">
        <v>3725</v>
      </c>
    </row>
    <row r="3727" spans="1:47" x14ac:dyDescent="0.2">
      <c r="A3727" s="13">
        <v>6698</v>
      </c>
      <c r="B3727" s="57" t="s">
        <v>85</v>
      </c>
      <c r="C3727" s="57" t="s">
        <v>332</v>
      </c>
      <c r="D3727" s="29"/>
      <c r="E3727" s="57" t="s">
        <v>4934</v>
      </c>
      <c r="F3727" s="31" t="s">
        <v>3715</v>
      </c>
      <c r="G3727" s="31" t="s">
        <v>69</v>
      </c>
      <c r="K3727" s="31">
        <v>1830.4</v>
      </c>
      <c r="S3727" s="33">
        <v>6</v>
      </c>
      <c r="Z3727" s="31" t="s">
        <v>3724</v>
      </c>
      <c r="AE3727" s="31" t="s">
        <v>4892</v>
      </c>
      <c r="AF3727" s="31">
        <v>75</v>
      </c>
      <c r="AK3727" s="32">
        <v>48</v>
      </c>
      <c r="AQ3727" s="32" t="s">
        <v>4893</v>
      </c>
      <c r="AU3727">
        <v>3726</v>
      </c>
    </row>
    <row r="3728" spans="1:47" x14ac:dyDescent="0.2">
      <c r="A3728" s="13">
        <v>6698</v>
      </c>
      <c r="B3728" s="57" t="s">
        <v>85</v>
      </c>
      <c r="C3728" s="57" t="s">
        <v>332</v>
      </c>
      <c r="D3728" s="29"/>
      <c r="E3728" s="57" t="s">
        <v>1830</v>
      </c>
      <c r="F3728" s="31" t="s">
        <v>76</v>
      </c>
      <c r="G3728" s="31" t="s">
        <v>49</v>
      </c>
      <c r="K3728" s="31">
        <v>4547.3999999999996</v>
      </c>
      <c r="S3728" s="33">
        <v>13</v>
      </c>
      <c r="Z3728" s="31" t="s">
        <v>3724</v>
      </c>
      <c r="AE3728" s="31" t="s">
        <v>4892</v>
      </c>
      <c r="AF3728" s="31">
        <v>75</v>
      </c>
      <c r="AK3728" s="32">
        <v>122</v>
      </c>
      <c r="AQ3728" s="32" t="s">
        <v>4893</v>
      </c>
      <c r="AU3728">
        <v>3727</v>
      </c>
    </row>
    <row r="3729" spans="1:47" x14ac:dyDescent="0.2">
      <c r="A3729" s="13">
        <v>6698</v>
      </c>
      <c r="B3729" s="57" t="s">
        <v>85</v>
      </c>
      <c r="C3729" s="57" t="s">
        <v>1234</v>
      </c>
      <c r="D3729" s="29"/>
      <c r="E3729" s="57" t="s">
        <v>1830</v>
      </c>
      <c r="F3729" s="31" t="s">
        <v>76</v>
      </c>
      <c r="G3729" s="31" t="s">
        <v>49</v>
      </c>
      <c r="I3729" s="31" t="s">
        <v>4935</v>
      </c>
      <c r="K3729" s="31">
        <f>2179*2.2</f>
        <v>4793.8</v>
      </c>
      <c r="L3729" s="33">
        <v>16</v>
      </c>
      <c r="S3729" s="33">
        <v>16</v>
      </c>
      <c r="V3729" s="31">
        <v>1</v>
      </c>
      <c r="W3729" s="31">
        <f>4500*39.37/12</f>
        <v>14763.75</v>
      </c>
      <c r="Y3729" s="31" t="s">
        <v>120</v>
      </c>
      <c r="Z3729" s="31" t="s">
        <v>3724</v>
      </c>
      <c r="AC3729" s="34">
        <v>0.59722222222222221</v>
      </c>
      <c r="AE3729" s="31" t="s">
        <v>4887</v>
      </c>
      <c r="AK3729" s="32">
        <v>122</v>
      </c>
      <c r="AQ3729" s="32" t="s">
        <v>4936</v>
      </c>
      <c r="AU3729">
        <v>3728</v>
      </c>
    </row>
    <row r="3730" spans="1:47" x14ac:dyDescent="0.2">
      <c r="A3730" s="13">
        <v>6698</v>
      </c>
      <c r="B3730" s="57" t="s">
        <v>85</v>
      </c>
      <c r="C3730" s="57" t="s">
        <v>1077</v>
      </c>
      <c r="D3730" s="29"/>
      <c r="E3730" s="57" t="s">
        <v>4752</v>
      </c>
      <c r="F3730" s="31" t="s">
        <v>76</v>
      </c>
      <c r="G3730" s="31" t="s">
        <v>49</v>
      </c>
      <c r="K3730" s="31">
        <v>6327.2</v>
      </c>
      <c r="S3730" s="33">
        <v>18</v>
      </c>
      <c r="Z3730" s="31" t="s">
        <v>3724</v>
      </c>
      <c r="AE3730" s="31" t="s">
        <v>4898</v>
      </c>
      <c r="AF3730" s="31">
        <v>20</v>
      </c>
      <c r="AK3730" s="32">
        <v>160</v>
      </c>
      <c r="AQ3730" s="32" t="s">
        <v>4893</v>
      </c>
      <c r="AU3730">
        <v>3729</v>
      </c>
    </row>
    <row r="3731" spans="1:47" x14ac:dyDescent="0.2">
      <c r="A3731" s="13">
        <v>6698</v>
      </c>
      <c r="B3731" s="57" t="s">
        <v>85</v>
      </c>
      <c r="C3731" s="57" t="s">
        <v>4213</v>
      </c>
      <c r="D3731" s="29"/>
      <c r="E3731" s="57" t="s">
        <v>4834</v>
      </c>
      <c r="K3731" s="31">
        <v>360.8</v>
      </c>
      <c r="S3731" s="33">
        <v>1</v>
      </c>
      <c r="Z3731" s="31" t="s">
        <v>3724</v>
      </c>
      <c r="AE3731" s="31" t="s">
        <v>4898</v>
      </c>
      <c r="AF3731" s="31">
        <v>10</v>
      </c>
      <c r="AK3731" s="32">
        <v>8</v>
      </c>
      <c r="AQ3731" s="32" t="s">
        <v>4893</v>
      </c>
      <c r="AU3731">
        <v>3730</v>
      </c>
    </row>
    <row r="3732" spans="1:47" x14ac:dyDescent="0.2">
      <c r="A3732" s="13">
        <v>6698</v>
      </c>
      <c r="B3732" s="57" t="s">
        <v>85</v>
      </c>
      <c r="C3732" s="57" t="s">
        <v>4213</v>
      </c>
      <c r="D3732" s="29"/>
      <c r="E3732" s="123" t="s">
        <v>4937</v>
      </c>
      <c r="I3732" s="31" t="s">
        <v>4938</v>
      </c>
      <c r="K3732" s="31">
        <v>451</v>
      </c>
      <c r="S3732" s="33">
        <v>2</v>
      </c>
      <c r="Z3732" s="31" t="s">
        <v>3724</v>
      </c>
      <c r="AE3732" s="31" t="s">
        <v>4898</v>
      </c>
      <c r="AF3732" s="31">
        <v>15</v>
      </c>
      <c r="AK3732" s="32">
        <v>10</v>
      </c>
      <c r="AQ3732" s="32" t="s">
        <v>4893</v>
      </c>
      <c r="AU3732">
        <v>3731</v>
      </c>
    </row>
    <row r="3733" spans="1:47" x14ac:dyDescent="0.2">
      <c r="A3733" s="13">
        <v>6698</v>
      </c>
      <c r="B3733" s="57" t="s">
        <v>85</v>
      </c>
      <c r="C3733" s="57" t="s">
        <v>4213</v>
      </c>
      <c r="D3733" s="29"/>
      <c r="E3733" s="57" t="s">
        <v>4891</v>
      </c>
      <c r="F3733" s="31" t="s">
        <v>76</v>
      </c>
      <c r="G3733" s="31" t="s">
        <v>49</v>
      </c>
      <c r="K3733" s="31">
        <v>811.8</v>
      </c>
      <c r="S3733" s="33">
        <v>2</v>
      </c>
      <c r="Z3733" s="31" t="s">
        <v>3724</v>
      </c>
      <c r="AE3733" s="31" t="s">
        <v>4898</v>
      </c>
      <c r="AF3733" s="31">
        <v>15</v>
      </c>
      <c r="AK3733" s="32">
        <v>18</v>
      </c>
      <c r="AQ3733" s="32" t="s">
        <v>4893</v>
      </c>
      <c r="AU3733">
        <v>3732</v>
      </c>
    </row>
    <row r="3734" spans="1:47" x14ac:dyDescent="0.2">
      <c r="A3734" s="13">
        <v>6698</v>
      </c>
      <c r="B3734" s="57" t="s">
        <v>85</v>
      </c>
      <c r="C3734" s="57" t="s">
        <v>4213</v>
      </c>
      <c r="D3734" s="29"/>
      <c r="E3734" s="57" t="s">
        <v>4939</v>
      </c>
      <c r="F3734" s="31" t="s">
        <v>204</v>
      </c>
      <c r="G3734" s="31" t="s">
        <v>205</v>
      </c>
      <c r="K3734" s="31">
        <v>1804</v>
      </c>
      <c r="S3734" s="33">
        <v>3</v>
      </c>
      <c r="Z3734" s="31" t="s">
        <v>3724</v>
      </c>
      <c r="AE3734" s="31" t="s">
        <v>4898</v>
      </c>
      <c r="AF3734" s="31">
        <v>15</v>
      </c>
      <c r="AK3734" s="32">
        <v>40</v>
      </c>
      <c r="AQ3734" s="32" t="s">
        <v>4893</v>
      </c>
      <c r="AU3734">
        <v>3733</v>
      </c>
    </row>
    <row r="3735" spans="1:47" x14ac:dyDescent="0.2">
      <c r="A3735" s="13">
        <v>6698</v>
      </c>
      <c r="B3735" s="57" t="s">
        <v>85</v>
      </c>
      <c r="C3735" s="57" t="s">
        <v>4213</v>
      </c>
      <c r="D3735" s="29"/>
      <c r="E3735" s="57" t="s">
        <v>4752</v>
      </c>
      <c r="F3735" s="31" t="s">
        <v>76</v>
      </c>
      <c r="G3735" s="31" t="s">
        <v>49</v>
      </c>
      <c r="K3735" s="31">
        <v>4085.4</v>
      </c>
      <c r="S3735" s="33">
        <v>15</v>
      </c>
      <c r="Z3735" s="31" t="s">
        <v>3724</v>
      </c>
      <c r="AE3735" s="31" t="s">
        <v>4898</v>
      </c>
      <c r="AF3735" s="31">
        <v>20</v>
      </c>
      <c r="AK3735" s="32">
        <v>88</v>
      </c>
      <c r="AQ3735" s="32" t="s">
        <v>4893</v>
      </c>
      <c r="AU3735">
        <v>3734</v>
      </c>
    </row>
    <row r="3736" spans="1:47" x14ac:dyDescent="0.2">
      <c r="A3736" s="13">
        <v>6698</v>
      </c>
      <c r="B3736" s="57" t="s">
        <v>85</v>
      </c>
      <c r="C3736" s="57" t="s">
        <v>4940</v>
      </c>
      <c r="D3736" s="29"/>
      <c r="E3736" s="57" t="s">
        <v>4941</v>
      </c>
      <c r="K3736" s="31">
        <v>264</v>
      </c>
      <c r="Z3736" s="31" t="s">
        <v>3724</v>
      </c>
      <c r="AE3736" s="31" t="s">
        <v>4898</v>
      </c>
      <c r="AF3736" s="31">
        <v>6</v>
      </c>
      <c r="AK3736" s="32">
        <v>8</v>
      </c>
      <c r="AQ3736" s="32" t="s">
        <v>4893</v>
      </c>
      <c r="AU3736">
        <v>3735</v>
      </c>
    </row>
    <row r="3737" spans="1:47" x14ac:dyDescent="0.2">
      <c r="A3737" s="13">
        <v>6698</v>
      </c>
      <c r="B3737" s="57" t="s">
        <v>85</v>
      </c>
      <c r="C3737" s="57" t="s">
        <v>4940</v>
      </c>
      <c r="D3737" s="29"/>
      <c r="E3737" s="57" t="s">
        <v>4752</v>
      </c>
      <c r="F3737" s="31" t="s">
        <v>76</v>
      </c>
      <c r="G3737" s="31" t="s">
        <v>49</v>
      </c>
      <c r="K3737" s="31">
        <v>3841.2</v>
      </c>
      <c r="S3737" s="33">
        <v>23</v>
      </c>
      <c r="Z3737" s="31" t="s">
        <v>3724</v>
      </c>
      <c r="AE3737" s="31" t="s">
        <v>4898</v>
      </c>
      <c r="AF3737" s="31">
        <v>20</v>
      </c>
      <c r="AK3737" s="32">
        <v>97</v>
      </c>
      <c r="AQ3737" s="32" t="s">
        <v>4893</v>
      </c>
      <c r="AU3737">
        <v>3736</v>
      </c>
    </row>
    <row r="3738" spans="1:47" x14ac:dyDescent="0.2">
      <c r="A3738" s="133">
        <v>6698</v>
      </c>
      <c r="B3738" s="39" t="s">
        <v>45</v>
      </c>
      <c r="C3738" s="39">
        <v>100</v>
      </c>
      <c r="D3738" s="29" t="b">
        <v>0</v>
      </c>
      <c r="E3738" s="39" t="s">
        <v>4942</v>
      </c>
      <c r="F3738" s="47" t="s">
        <v>4943</v>
      </c>
      <c r="G3738" s="47" t="s">
        <v>49</v>
      </c>
      <c r="H3738"/>
      <c r="I3738" s="47" t="b">
        <v>1</v>
      </c>
      <c r="J3738" s="47" t="b">
        <v>1</v>
      </c>
      <c r="K3738" s="47">
        <v>2016</v>
      </c>
      <c r="L3738" s="48">
        <v>18</v>
      </c>
      <c r="M3738" s="47">
        <v>9</v>
      </c>
      <c r="N3738" s="47">
        <v>0</v>
      </c>
      <c r="O3738" s="47">
        <v>0</v>
      </c>
      <c r="P3738" s="47">
        <v>9</v>
      </c>
      <c r="Q3738" s="47">
        <v>0</v>
      </c>
      <c r="R3738" s="47">
        <v>0</v>
      </c>
      <c r="S3738" s="48">
        <v>9</v>
      </c>
      <c r="T3738" s="47">
        <v>0</v>
      </c>
      <c r="U3738" s="47">
        <v>0</v>
      </c>
      <c r="V3738" s="47">
        <v>0</v>
      </c>
      <c r="W3738" s="47">
        <v>1500</v>
      </c>
      <c r="X3738" s="47">
        <v>485</v>
      </c>
      <c r="Y3738" s="47"/>
      <c r="Z3738" s="47" t="s">
        <v>2524</v>
      </c>
      <c r="AA3738" s="49"/>
      <c r="AB3738" s="49"/>
      <c r="AC3738" s="49"/>
      <c r="AD3738" s="50"/>
      <c r="AE3738" s="47" t="s">
        <v>4785</v>
      </c>
      <c r="AF3738" s="47">
        <v>80</v>
      </c>
      <c r="AG3738"/>
      <c r="AH3738"/>
      <c r="AI3738"/>
      <c r="AJ3738"/>
      <c r="AK3738"/>
      <c r="AL3738"/>
      <c r="AM3738"/>
      <c r="AN3738"/>
      <c r="AO3738"/>
      <c r="AP3738"/>
      <c r="AQ3738" t="s">
        <v>2526</v>
      </c>
      <c r="AU3738">
        <v>3737</v>
      </c>
    </row>
    <row r="3739" spans="1:47" x14ac:dyDescent="0.2">
      <c r="A3739" s="133">
        <v>6698</v>
      </c>
      <c r="B3739" s="39" t="s">
        <v>45</v>
      </c>
      <c r="C3739" s="39">
        <v>100</v>
      </c>
      <c r="D3739" s="29" t="b">
        <v>0</v>
      </c>
      <c r="E3739" s="39" t="s">
        <v>3875</v>
      </c>
      <c r="F3739" s="47" t="s">
        <v>714</v>
      </c>
      <c r="G3739" s="47" t="s">
        <v>49</v>
      </c>
      <c r="H3739"/>
      <c r="I3739" s="47" t="b">
        <v>0</v>
      </c>
      <c r="J3739" s="47" t="b">
        <v>0</v>
      </c>
      <c r="K3739" s="47">
        <v>1344</v>
      </c>
      <c r="L3739" s="48">
        <v>18</v>
      </c>
      <c r="M3739" s="47">
        <v>9</v>
      </c>
      <c r="N3739" s="47">
        <v>0</v>
      </c>
      <c r="O3739" s="47">
        <v>0</v>
      </c>
      <c r="P3739" s="47">
        <v>9</v>
      </c>
      <c r="Q3739" s="47">
        <v>0</v>
      </c>
      <c r="R3739" s="47">
        <v>0</v>
      </c>
      <c r="S3739" s="48">
        <v>6</v>
      </c>
      <c r="T3739" s="47">
        <v>0</v>
      </c>
      <c r="U3739" s="47">
        <v>0</v>
      </c>
      <c r="V3739" s="47">
        <v>0</v>
      </c>
      <c r="W3739" s="47">
        <v>1500</v>
      </c>
      <c r="X3739" s="47">
        <v>486</v>
      </c>
      <c r="Y3739" s="47"/>
      <c r="Z3739" s="47" t="s">
        <v>2524</v>
      </c>
      <c r="AA3739" s="49"/>
      <c r="AB3739" s="49"/>
      <c r="AC3739" s="49"/>
      <c r="AD3739" s="50"/>
      <c r="AE3739" s="47" t="s">
        <v>4785</v>
      </c>
      <c r="AF3739" s="47">
        <v>80</v>
      </c>
      <c r="AG3739"/>
      <c r="AH3739"/>
      <c r="AI3739"/>
      <c r="AJ3739"/>
      <c r="AK3739"/>
      <c r="AL3739"/>
      <c r="AM3739"/>
      <c r="AN3739"/>
      <c r="AO3739"/>
      <c r="AP3739"/>
      <c r="AQ3739" t="s">
        <v>2526</v>
      </c>
      <c r="AU3739">
        <v>3738</v>
      </c>
    </row>
    <row r="3740" spans="1:47" x14ac:dyDescent="0.2">
      <c r="A3740" s="133">
        <v>6698</v>
      </c>
      <c r="B3740" s="39" t="s">
        <v>45</v>
      </c>
      <c r="C3740" s="39">
        <v>100</v>
      </c>
      <c r="D3740" s="29" t="b">
        <v>0</v>
      </c>
      <c r="E3740" s="39" t="s">
        <v>3895</v>
      </c>
      <c r="F3740" s="47" t="s">
        <v>3283</v>
      </c>
      <c r="G3740" s="47" t="s">
        <v>49</v>
      </c>
      <c r="H3740"/>
      <c r="I3740" s="47" t="b">
        <v>0</v>
      </c>
      <c r="J3740" s="47" t="b">
        <v>0</v>
      </c>
      <c r="K3740" s="47">
        <v>448</v>
      </c>
      <c r="L3740" s="48">
        <v>18</v>
      </c>
      <c r="M3740" s="47">
        <v>9</v>
      </c>
      <c r="N3740" s="47">
        <v>0</v>
      </c>
      <c r="O3740" s="47">
        <v>0</v>
      </c>
      <c r="P3740" s="47">
        <v>9</v>
      </c>
      <c r="Q3740" s="47">
        <v>0</v>
      </c>
      <c r="R3740" s="47">
        <v>0</v>
      </c>
      <c r="S3740" s="48">
        <v>2</v>
      </c>
      <c r="T3740" s="47">
        <v>0</v>
      </c>
      <c r="U3740" s="47">
        <v>0</v>
      </c>
      <c r="V3740" s="47">
        <v>0</v>
      </c>
      <c r="W3740" s="47">
        <v>1500</v>
      </c>
      <c r="X3740" s="47">
        <v>487</v>
      </c>
      <c r="Y3740" s="47"/>
      <c r="Z3740" s="47" t="s">
        <v>2524</v>
      </c>
      <c r="AA3740" s="49"/>
      <c r="AB3740" s="49"/>
      <c r="AC3740" s="49"/>
      <c r="AD3740" s="50"/>
      <c r="AE3740" s="47" t="s">
        <v>4785</v>
      </c>
      <c r="AF3740" s="47">
        <v>70</v>
      </c>
      <c r="AG3740"/>
      <c r="AH3740"/>
      <c r="AI3740"/>
      <c r="AJ3740"/>
      <c r="AK3740"/>
      <c r="AL3740"/>
      <c r="AM3740"/>
      <c r="AN3740"/>
      <c r="AO3740"/>
      <c r="AP3740"/>
      <c r="AQ3740" t="s">
        <v>2526</v>
      </c>
      <c r="AU3740">
        <v>3739</v>
      </c>
    </row>
    <row r="3741" spans="1:47" x14ac:dyDescent="0.2">
      <c r="A3741" s="133">
        <v>6698</v>
      </c>
      <c r="B3741" s="39" t="s">
        <v>45</v>
      </c>
      <c r="C3741" s="39">
        <v>100</v>
      </c>
      <c r="D3741" s="29" t="b">
        <v>0</v>
      </c>
      <c r="E3741" s="39" t="s">
        <v>4944</v>
      </c>
      <c r="F3741" s="47" t="s">
        <v>3183</v>
      </c>
      <c r="G3741" s="47" t="s">
        <v>49</v>
      </c>
      <c r="H3741"/>
      <c r="I3741" s="47" t="b">
        <v>0</v>
      </c>
      <c r="J3741" s="47" t="b">
        <v>0</v>
      </c>
      <c r="K3741" s="47">
        <v>224</v>
      </c>
      <c r="L3741" s="48">
        <v>18</v>
      </c>
      <c r="M3741" s="47">
        <v>9</v>
      </c>
      <c r="N3741" s="47">
        <v>0</v>
      </c>
      <c r="O3741" s="47">
        <v>0</v>
      </c>
      <c r="P3741" s="47">
        <v>9</v>
      </c>
      <c r="Q3741" s="47">
        <v>0</v>
      </c>
      <c r="R3741" s="47">
        <v>0</v>
      </c>
      <c r="S3741" s="48">
        <v>1</v>
      </c>
      <c r="T3741" s="47">
        <v>0</v>
      </c>
      <c r="U3741" s="47">
        <v>0</v>
      </c>
      <c r="V3741" s="47">
        <v>0</v>
      </c>
      <c r="W3741" s="47">
        <v>1500</v>
      </c>
      <c r="X3741" s="47">
        <v>488</v>
      </c>
      <c r="Y3741" s="47"/>
      <c r="Z3741" s="47" t="s">
        <v>2524</v>
      </c>
      <c r="AA3741" s="49"/>
      <c r="AB3741" s="49"/>
      <c r="AC3741" s="49"/>
      <c r="AD3741" s="50"/>
      <c r="AE3741" s="47" t="s">
        <v>4785</v>
      </c>
      <c r="AF3741" s="47">
        <v>80</v>
      </c>
      <c r="AG3741"/>
      <c r="AH3741"/>
      <c r="AI3741"/>
      <c r="AJ3741"/>
      <c r="AK3741"/>
      <c r="AL3741"/>
      <c r="AM3741"/>
      <c r="AN3741"/>
      <c r="AO3741"/>
      <c r="AP3741"/>
      <c r="AQ3741" t="s">
        <v>2526</v>
      </c>
      <c r="AU3741">
        <v>3740</v>
      </c>
    </row>
    <row r="3742" spans="1:47" x14ac:dyDescent="0.2">
      <c r="A3742" s="133">
        <v>6698</v>
      </c>
      <c r="B3742" s="39" t="s">
        <v>45</v>
      </c>
      <c r="C3742" s="39" t="s">
        <v>142</v>
      </c>
      <c r="D3742" s="29"/>
      <c r="E3742" s="39" t="s">
        <v>4945</v>
      </c>
      <c r="F3742" s="47" t="s">
        <v>4946</v>
      </c>
      <c r="G3742" s="47" t="s">
        <v>49</v>
      </c>
      <c r="H3742"/>
      <c r="I3742" s="47" t="b">
        <v>1</v>
      </c>
      <c r="J3742" s="47" t="b">
        <v>1</v>
      </c>
      <c r="K3742" s="47">
        <f>4875*2.2</f>
        <v>10725</v>
      </c>
      <c r="L3742" s="48">
        <v>22</v>
      </c>
      <c r="M3742" s="47">
        <v>1</v>
      </c>
      <c r="N3742" s="47">
        <v>2</v>
      </c>
      <c r="O3742" s="47"/>
      <c r="P3742" s="47"/>
      <c r="Q3742" s="47"/>
      <c r="R3742" s="47"/>
      <c r="S3742" s="48">
        <v>19</v>
      </c>
      <c r="T3742" s="47">
        <v>0</v>
      </c>
      <c r="U3742" s="47">
        <v>0</v>
      </c>
      <c r="V3742" s="47">
        <v>0</v>
      </c>
      <c r="W3742" s="47"/>
      <c r="X3742" s="47"/>
      <c r="Y3742" s="47" t="s">
        <v>51</v>
      </c>
      <c r="Z3742" s="31" t="s">
        <v>3855</v>
      </c>
      <c r="AA3742" s="49"/>
      <c r="AB3742" s="49"/>
      <c r="AC3742" s="49">
        <v>0.96527777777777779</v>
      </c>
      <c r="AD3742" s="50"/>
      <c r="AE3742" s="31" t="s">
        <v>4723</v>
      </c>
      <c r="AF3742" s="47"/>
      <c r="AG3742"/>
      <c r="AH3742"/>
      <c r="AI3742"/>
      <c r="AJ3742"/>
      <c r="AK3742">
        <f>10+6+32+41+35+45</f>
        <v>169</v>
      </c>
      <c r="AL3742"/>
      <c r="AM3742"/>
      <c r="AN3742"/>
      <c r="AO3742"/>
      <c r="AP3742"/>
      <c r="AQ3742" t="s">
        <v>4947</v>
      </c>
      <c r="AR3742" s="32" t="s">
        <v>4948</v>
      </c>
      <c r="AU3742">
        <v>3741</v>
      </c>
    </row>
    <row r="3743" spans="1:47" x14ac:dyDescent="0.2">
      <c r="A3743" s="13">
        <v>6698</v>
      </c>
      <c r="B3743" s="57" t="s">
        <v>45</v>
      </c>
      <c r="C3743" s="57" t="s">
        <v>142</v>
      </c>
      <c r="D3743" s="29"/>
      <c r="E3743" s="57" t="s">
        <v>4949</v>
      </c>
      <c r="F3743" s="31" t="s">
        <v>76</v>
      </c>
      <c r="G3743" s="47" t="s">
        <v>49</v>
      </c>
      <c r="I3743" s="47" t="b">
        <v>0</v>
      </c>
      <c r="J3743" s="47" t="b">
        <v>0</v>
      </c>
      <c r="K3743" s="31">
        <v>550</v>
      </c>
      <c r="S3743" s="33">
        <v>1</v>
      </c>
      <c r="Z3743" s="31" t="s">
        <v>3855</v>
      </c>
      <c r="AE3743" s="31" t="s">
        <v>4723</v>
      </c>
      <c r="AF3743" s="31">
        <v>50</v>
      </c>
      <c r="AK3743" s="32">
        <v>10</v>
      </c>
      <c r="AQ3743" s="32" t="s">
        <v>4893</v>
      </c>
      <c r="AR3743" s="31" t="s">
        <v>4950</v>
      </c>
      <c r="AU3743">
        <v>3742</v>
      </c>
    </row>
    <row r="3744" spans="1:47" x14ac:dyDescent="0.2">
      <c r="A3744" s="13">
        <v>6698</v>
      </c>
      <c r="B3744" s="57" t="s">
        <v>45</v>
      </c>
      <c r="C3744" s="57" t="s">
        <v>142</v>
      </c>
      <c r="D3744" s="29"/>
      <c r="E3744" s="57" t="s">
        <v>1895</v>
      </c>
      <c r="F3744" s="31" t="s">
        <v>76</v>
      </c>
      <c r="G3744" s="47" t="s">
        <v>49</v>
      </c>
      <c r="I3744" s="47" t="b">
        <v>0</v>
      </c>
      <c r="J3744" s="47" t="b">
        <v>0</v>
      </c>
      <c r="K3744" s="31">
        <v>594</v>
      </c>
      <c r="S3744" s="33">
        <v>1</v>
      </c>
      <c r="Z3744" s="31" t="s">
        <v>3855</v>
      </c>
      <c r="AE3744" s="31" t="s">
        <v>4723</v>
      </c>
      <c r="AF3744" s="31">
        <v>55</v>
      </c>
      <c r="AK3744" s="32">
        <v>6</v>
      </c>
      <c r="AQ3744" s="32" t="s">
        <v>4893</v>
      </c>
      <c r="AR3744" s="31"/>
      <c r="AU3744">
        <v>3743</v>
      </c>
    </row>
    <row r="3745" spans="1:47" x14ac:dyDescent="0.2">
      <c r="A3745" s="13">
        <v>6698</v>
      </c>
      <c r="B3745" s="57" t="s">
        <v>45</v>
      </c>
      <c r="C3745" s="57" t="s">
        <v>142</v>
      </c>
      <c r="D3745" s="29"/>
      <c r="E3745" s="57" t="s">
        <v>4951</v>
      </c>
      <c r="F3745" s="31" t="s">
        <v>204</v>
      </c>
      <c r="G3745" s="47" t="s">
        <v>205</v>
      </c>
      <c r="I3745" s="47" t="b">
        <v>0</v>
      </c>
      <c r="J3745" s="47" t="b">
        <v>0</v>
      </c>
      <c r="K3745" s="31">
        <v>2002</v>
      </c>
      <c r="S3745" s="33">
        <v>3</v>
      </c>
      <c r="Z3745" s="31" t="s">
        <v>3855</v>
      </c>
      <c r="AE3745" s="31" t="s">
        <v>4723</v>
      </c>
      <c r="AF3745" s="31">
        <v>70</v>
      </c>
      <c r="AK3745" s="32">
        <v>32</v>
      </c>
      <c r="AQ3745" s="32" t="s">
        <v>4893</v>
      </c>
      <c r="AR3745" s="31"/>
      <c r="AU3745">
        <v>3744</v>
      </c>
    </row>
    <row r="3746" spans="1:47" x14ac:dyDescent="0.2">
      <c r="A3746" s="13">
        <v>6698</v>
      </c>
      <c r="B3746" s="57" t="s">
        <v>45</v>
      </c>
      <c r="C3746" s="57" t="s">
        <v>142</v>
      </c>
      <c r="D3746" s="29"/>
      <c r="E3746" s="57" t="s">
        <v>977</v>
      </c>
      <c r="F3746" s="31" t="s">
        <v>76</v>
      </c>
      <c r="G3746" s="47" t="s">
        <v>49</v>
      </c>
      <c r="I3746" s="47" t="b">
        <v>0</v>
      </c>
      <c r="J3746" s="47" t="b">
        <v>0</v>
      </c>
      <c r="K3746" s="127">
        <v>2112</v>
      </c>
      <c r="S3746" s="33">
        <v>4</v>
      </c>
      <c r="Z3746" s="31" t="s">
        <v>3855</v>
      </c>
      <c r="AE3746" s="31" t="s">
        <v>4723</v>
      </c>
      <c r="AF3746" s="31">
        <v>85</v>
      </c>
      <c r="AK3746" s="32">
        <v>41</v>
      </c>
      <c r="AQ3746" s="32" t="s">
        <v>4893</v>
      </c>
      <c r="AR3746" s="31" t="s">
        <v>4952</v>
      </c>
      <c r="AU3746">
        <v>3745</v>
      </c>
    </row>
    <row r="3747" spans="1:47" x14ac:dyDescent="0.2">
      <c r="A3747" s="13">
        <v>6698</v>
      </c>
      <c r="B3747" s="57" t="s">
        <v>45</v>
      </c>
      <c r="C3747" s="57" t="s">
        <v>142</v>
      </c>
      <c r="D3747" s="29"/>
      <c r="E3747" s="57" t="s">
        <v>1004</v>
      </c>
      <c r="F3747" s="31" t="s">
        <v>76</v>
      </c>
      <c r="G3747" s="47" t="s">
        <v>49</v>
      </c>
      <c r="I3747" s="47" t="b">
        <v>0</v>
      </c>
      <c r="J3747" s="47" t="b">
        <v>0</v>
      </c>
      <c r="K3747" s="31">
        <v>2486</v>
      </c>
      <c r="S3747" s="33">
        <v>4</v>
      </c>
      <c r="Z3747" s="31" t="s">
        <v>3855</v>
      </c>
      <c r="AE3747" s="31" t="s">
        <v>4723</v>
      </c>
      <c r="AF3747" s="31">
        <v>70</v>
      </c>
      <c r="AK3747" s="32">
        <v>35</v>
      </c>
      <c r="AQ3747" s="32" t="s">
        <v>4893</v>
      </c>
      <c r="AU3747">
        <v>3746</v>
      </c>
    </row>
    <row r="3748" spans="1:47" x14ac:dyDescent="0.2">
      <c r="A3748" s="13">
        <v>6698</v>
      </c>
      <c r="B3748" s="57" t="s">
        <v>45</v>
      </c>
      <c r="C3748" s="57" t="s">
        <v>142</v>
      </c>
      <c r="D3748" s="29"/>
      <c r="E3748" s="57" t="s">
        <v>4752</v>
      </c>
      <c r="F3748" s="31" t="s">
        <v>76</v>
      </c>
      <c r="G3748" s="47" t="s">
        <v>49</v>
      </c>
      <c r="I3748" s="47" t="b">
        <v>0</v>
      </c>
      <c r="J3748" s="47" t="b">
        <v>0</v>
      </c>
      <c r="K3748" s="31">
        <v>2981</v>
      </c>
      <c r="S3748" s="33">
        <v>6</v>
      </c>
      <c r="Z3748" s="31" t="s">
        <v>3855</v>
      </c>
      <c r="AE3748" s="31" t="s">
        <v>4723</v>
      </c>
      <c r="AF3748" s="31">
        <v>80</v>
      </c>
      <c r="AK3748" s="32">
        <v>45</v>
      </c>
      <c r="AQ3748" s="32" t="s">
        <v>4893</v>
      </c>
      <c r="AU3748">
        <v>3747</v>
      </c>
    </row>
    <row r="3749" spans="1:47" x14ac:dyDescent="0.2">
      <c r="A3749" s="13">
        <v>6698</v>
      </c>
      <c r="B3749" s="57" t="s">
        <v>45</v>
      </c>
      <c r="C3749" s="57" t="s">
        <v>4805</v>
      </c>
      <c r="D3749" s="29"/>
      <c r="E3749" s="57" t="s">
        <v>3895</v>
      </c>
      <c r="F3749" s="31" t="s">
        <v>76</v>
      </c>
      <c r="G3749" s="47" t="s">
        <v>49</v>
      </c>
      <c r="I3749" s="31" t="s">
        <v>4911</v>
      </c>
      <c r="K3749" s="31">
        <v>928.4</v>
      </c>
      <c r="S3749" s="127">
        <v>1</v>
      </c>
      <c r="Z3749" s="31" t="s">
        <v>1846</v>
      </c>
      <c r="AE3749" s="31" t="s">
        <v>4756</v>
      </c>
      <c r="AF3749" s="31">
        <v>60</v>
      </c>
      <c r="AQ3749" s="32" t="s">
        <v>4912</v>
      </c>
      <c r="AU3749">
        <v>3748</v>
      </c>
    </row>
    <row r="3750" spans="1:47" x14ac:dyDescent="0.2">
      <c r="A3750" s="13">
        <v>6698</v>
      </c>
      <c r="B3750" s="57" t="s">
        <v>45</v>
      </c>
      <c r="C3750" s="57" t="s">
        <v>4805</v>
      </c>
      <c r="D3750" s="29"/>
      <c r="E3750" s="57" t="s">
        <v>1397</v>
      </c>
      <c r="F3750" s="31" t="s">
        <v>76</v>
      </c>
      <c r="G3750" s="47" t="s">
        <v>49</v>
      </c>
      <c r="I3750" s="31" t="s">
        <v>4911</v>
      </c>
      <c r="K3750" s="31">
        <v>5570.4</v>
      </c>
      <c r="S3750" s="127">
        <v>6</v>
      </c>
      <c r="Z3750" s="31" t="s">
        <v>1846</v>
      </c>
      <c r="AE3750" s="31" t="s">
        <v>4756</v>
      </c>
      <c r="AF3750" s="31">
        <v>80</v>
      </c>
      <c r="AQ3750" s="32" t="s">
        <v>4912</v>
      </c>
      <c r="AU3750">
        <v>3749</v>
      </c>
    </row>
    <row r="3751" spans="1:47" x14ac:dyDescent="0.2">
      <c r="A3751" s="13">
        <v>6698</v>
      </c>
      <c r="B3751" s="57" t="s">
        <v>45</v>
      </c>
      <c r="C3751" s="57" t="s">
        <v>4456</v>
      </c>
      <c r="D3751" s="29"/>
      <c r="E3751" s="57" t="s">
        <v>4953</v>
      </c>
      <c r="F3751" s="31" t="s">
        <v>76</v>
      </c>
      <c r="G3751" s="47" t="s">
        <v>49</v>
      </c>
      <c r="I3751" s="47" t="b">
        <v>1</v>
      </c>
      <c r="J3751" s="47" t="b">
        <v>1</v>
      </c>
      <c r="K3751" s="135">
        <f>3*8*50*2.2</f>
        <v>2640</v>
      </c>
      <c r="L3751" s="33">
        <v>4</v>
      </c>
      <c r="N3751" s="31">
        <v>1</v>
      </c>
      <c r="S3751" s="31">
        <v>3</v>
      </c>
      <c r="T3751" s="31">
        <v>0</v>
      </c>
      <c r="U3751" s="31">
        <v>0</v>
      </c>
      <c r="V3751" s="31">
        <v>0</v>
      </c>
      <c r="W3751" s="47">
        <f>((1400+2500+2000)/3)*39.37/12</f>
        <v>6452.3055555555557</v>
      </c>
      <c r="Y3751" s="31" t="s">
        <v>51</v>
      </c>
      <c r="Z3751" s="31" t="s">
        <v>1846</v>
      </c>
      <c r="AA3751" s="34">
        <v>0.98472222222222217</v>
      </c>
      <c r="AB3751" s="34">
        <v>7.2916666666666671E-2</v>
      </c>
      <c r="AC3751" s="49">
        <f>AVERAGE(AA3751:AB3751)</f>
        <v>0.5288194444444444</v>
      </c>
      <c r="AD3751" s="35">
        <f>1+5/6</f>
        <v>1.8333333333333335</v>
      </c>
      <c r="AE3751" s="31" t="s">
        <v>4756</v>
      </c>
      <c r="AK3751" s="130">
        <f>3*8</f>
        <v>24</v>
      </c>
      <c r="AQ3751" s="32" t="s">
        <v>4914</v>
      </c>
      <c r="AR3751" s="32" t="s">
        <v>4954</v>
      </c>
      <c r="AU3751">
        <v>3750</v>
      </c>
    </row>
    <row r="3752" spans="1:47" x14ac:dyDescent="0.2">
      <c r="A3752" s="13">
        <v>6698</v>
      </c>
      <c r="B3752" s="57" t="s">
        <v>45</v>
      </c>
      <c r="C3752" s="57" t="s">
        <v>4456</v>
      </c>
      <c r="D3752" s="29"/>
      <c r="E3752" s="57" t="s">
        <v>3895</v>
      </c>
      <c r="F3752" s="31" t="s">
        <v>76</v>
      </c>
      <c r="G3752" s="47" t="s">
        <v>49</v>
      </c>
      <c r="I3752" s="47" t="b">
        <v>0</v>
      </c>
      <c r="J3752" s="47" t="b">
        <v>0</v>
      </c>
      <c r="K3752" s="135">
        <f>2*8*50*2.2</f>
        <v>1760.0000000000002</v>
      </c>
      <c r="S3752" s="31">
        <v>2</v>
      </c>
      <c r="W3752" s="47">
        <f>((1400+2000)/2)*39.37/12</f>
        <v>5577.416666666667</v>
      </c>
      <c r="Y3752" s="31" t="s">
        <v>51</v>
      </c>
      <c r="Z3752" s="31" t="s">
        <v>1846</v>
      </c>
      <c r="AA3752" s="34">
        <v>0.97569444444444453</v>
      </c>
      <c r="AB3752" s="34">
        <v>7.2916666666666671E-2</v>
      </c>
      <c r="AC3752" s="49">
        <f>AVERAGE(AA3752:AB3752)</f>
        <v>0.52430555555555558</v>
      </c>
      <c r="AD3752" s="35">
        <f>1+5/6</f>
        <v>1.8333333333333335</v>
      </c>
      <c r="AE3752" s="31" t="s">
        <v>4756</v>
      </c>
      <c r="AF3752" s="31">
        <v>60</v>
      </c>
      <c r="AK3752" s="130">
        <f>2*8</f>
        <v>16</v>
      </c>
      <c r="AQ3752" s="32" t="s">
        <v>4914</v>
      </c>
      <c r="AR3752" s="32" t="s">
        <v>4955</v>
      </c>
      <c r="AU3752">
        <v>3751</v>
      </c>
    </row>
    <row r="3753" spans="1:47" x14ac:dyDescent="0.2">
      <c r="A3753" s="13">
        <v>6698</v>
      </c>
      <c r="B3753" s="57" t="s">
        <v>45</v>
      </c>
      <c r="C3753" s="57" t="s">
        <v>4456</v>
      </c>
      <c r="D3753" s="29"/>
      <c r="E3753" s="57" t="s">
        <v>4956</v>
      </c>
      <c r="F3753" s="31" t="s">
        <v>76</v>
      </c>
      <c r="G3753" s="47" t="s">
        <v>49</v>
      </c>
      <c r="I3753" s="47" t="b">
        <v>0</v>
      </c>
      <c r="J3753" s="47" t="b">
        <v>0</v>
      </c>
      <c r="K3753" s="33">
        <f>8*50*2.2</f>
        <v>880.00000000000011</v>
      </c>
      <c r="S3753" s="31">
        <v>1</v>
      </c>
      <c r="W3753" s="47">
        <f>2500*39.37/12</f>
        <v>8202.0833333333339</v>
      </c>
      <c r="Y3753" s="31" t="s">
        <v>51</v>
      </c>
      <c r="Z3753" s="31" t="s">
        <v>1846</v>
      </c>
      <c r="AA3753" s="34">
        <v>0.98472222222222217</v>
      </c>
      <c r="AB3753" s="34">
        <v>5.1388888888888894E-2</v>
      </c>
      <c r="AC3753" s="49">
        <f>AVERAGE(AA3753:AB3753)</f>
        <v>0.51805555555555549</v>
      </c>
      <c r="AD3753" s="35">
        <v>1.5</v>
      </c>
      <c r="AE3753" s="31" t="s">
        <v>4756</v>
      </c>
      <c r="AF3753" s="31">
        <v>55</v>
      </c>
      <c r="AK3753" s="130">
        <v>8</v>
      </c>
      <c r="AQ3753" s="32" t="s">
        <v>4914</v>
      </c>
      <c r="AR3753" s="32" t="s">
        <v>4957</v>
      </c>
      <c r="AU3753">
        <v>3752</v>
      </c>
    </row>
    <row r="3754" spans="1:47" x14ac:dyDescent="0.2">
      <c r="A3754" s="13">
        <v>6698</v>
      </c>
      <c r="B3754" s="57" t="s">
        <v>45</v>
      </c>
      <c r="C3754" s="57" t="s">
        <v>1367</v>
      </c>
      <c r="D3754" s="29"/>
      <c r="E3754" s="57" t="s">
        <v>3875</v>
      </c>
      <c r="F3754" s="31" t="s">
        <v>3741</v>
      </c>
      <c r="G3754" s="47" t="s">
        <v>49</v>
      </c>
      <c r="I3754" s="31" t="s">
        <v>4958</v>
      </c>
      <c r="K3754" s="31">
        <v>550</v>
      </c>
      <c r="AE3754" s="31" t="s">
        <v>4756</v>
      </c>
      <c r="AF3754" s="31">
        <v>55</v>
      </c>
      <c r="AQ3754" s="32" t="s">
        <v>4912</v>
      </c>
      <c r="AU3754">
        <v>3753</v>
      </c>
    </row>
    <row r="3755" spans="1:47" x14ac:dyDescent="0.2">
      <c r="A3755" s="13">
        <v>6698</v>
      </c>
      <c r="B3755" s="57" t="s">
        <v>45</v>
      </c>
      <c r="C3755" s="57" t="s">
        <v>1367</v>
      </c>
      <c r="D3755" s="29"/>
      <c r="E3755" s="57" t="s">
        <v>3895</v>
      </c>
      <c r="F3755" s="31" t="s">
        <v>76</v>
      </c>
      <c r="G3755" s="47" t="s">
        <v>49</v>
      </c>
      <c r="I3755" s="31" t="s">
        <v>4959</v>
      </c>
      <c r="K3755" s="31">
        <v>11286</v>
      </c>
      <c r="AE3755" s="31" t="s">
        <v>4756</v>
      </c>
      <c r="AF3755" s="31">
        <v>60</v>
      </c>
      <c r="AQ3755" s="32" t="s">
        <v>4912</v>
      </c>
      <c r="AU3755">
        <v>3754</v>
      </c>
    </row>
    <row r="3756" spans="1:47" x14ac:dyDescent="0.2">
      <c r="A3756" s="26">
        <v>6698</v>
      </c>
      <c r="B3756" s="27">
        <v>0.46527777777777773</v>
      </c>
      <c r="C3756" s="28"/>
      <c r="D3756" s="29"/>
      <c r="E3756" s="30" t="s">
        <v>464</v>
      </c>
      <c r="H3756" s="32">
        <v>0</v>
      </c>
      <c r="I3756" s="32" t="s">
        <v>4960</v>
      </c>
      <c r="AG3756" s="32">
        <v>0</v>
      </c>
      <c r="AH3756" s="32">
        <v>0</v>
      </c>
      <c r="AL3756" s="32">
        <f>13/60</f>
        <v>0.21666666666666667</v>
      </c>
      <c r="AO3756" s="32" t="s">
        <v>4067</v>
      </c>
      <c r="AP3756" s="32">
        <f>13/60</f>
        <v>0.21666666666666667</v>
      </c>
      <c r="AQ3756" s="32" t="s">
        <v>1522</v>
      </c>
      <c r="AU3756">
        <v>3755</v>
      </c>
    </row>
    <row r="3757" spans="1:47" x14ac:dyDescent="0.2">
      <c r="A3757" s="26">
        <v>6698</v>
      </c>
      <c r="B3757" s="27">
        <v>0.46875</v>
      </c>
      <c r="C3757" s="28"/>
      <c r="D3757" s="29"/>
      <c r="E3757" s="30" t="s">
        <v>4666</v>
      </c>
      <c r="H3757" s="32">
        <v>1</v>
      </c>
      <c r="I3757" s="32" t="s">
        <v>4961</v>
      </c>
      <c r="AG3757" s="32">
        <v>3</v>
      </c>
      <c r="AI3757" s="32">
        <v>25000</v>
      </c>
      <c r="AO3757" s="32" t="s">
        <v>4668</v>
      </c>
      <c r="AQ3757" s="32">
        <v>408</v>
      </c>
      <c r="AU3757">
        <v>3756</v>
      </c>
    </row>
    <row r="3758" spans="1:47" x14ac:dyDescent="0.2">
      <c r="A3758" s="26">
        <v>6698</v>
      </c>
      <c r="B3758" s="27">
        <v>0.46875</v>
      </c>
      <c r="C3758" s="28"/>
      <c r="D3758" s="29"/>
      <c r="E3758" s="30" t="s">
        <v>1282</v>
      </c>
      <c r="H3758" s="32">
        <v>1</v>
      </c>
      <c r="I3758" s="32" t="s">
        <v>4962</v>
      </c>
      <c r="AG3758" s="32">
        <v>0</v>
      </c>
      <c r="AH3758" s="32">
        <v>2</v>
      </c>
      <c r="AP3758" s="32">
        <f>10/60</f>
        <v>0.16666666666666666</v>
      </c>
      <c r="AQ3758" s="32" t="s">
        <v>1101</v>
      </c>
      <c r="AU3758">
        <v>3757</v>
      </c>
    </row>
    <row r="3759" spans="1:47" x14ac:dyDescent="0.2">
      <c r="A3759" s="26">
        <v>6698</v>
      </c>
      <c r="B3759" s="27" t="s">
        <v>85</v>
      </c>
      <c r="C3759" s="28"/>
      <c r="D3759" s="29"/>
      <c r="E3759" s="30" t="s">
        <v>1461</v>
      </c>
      <c r="H3759" s="32">
        <v>1</v>
      </c>
      <c r="I3759" s="32" t="s">
        <v>4963</v>
      </c>
      <c r="AG3759" s="32">
        <v>0</v>
      </c>
      <c r="AH3759" s="32">
        <v>0</v>
      </c>
      <c r="AI3759" s="32">
        <v>4293</v>
      </c>
      <c r="AK3759" s="32">
        <v>3</v>
      </c>
      <c r="AO3759" s="32" t="s">
        <v>1463</v>
      </c>
      <c r="AQ3759" s="32">
        <v>403</v>
      </c>
      <c r="AU3759">
        <v>3758</v>
      </c>
    </row>
    <row r="3760" spans="1:47" x14ac:dyDescent="0.2">
      <c r="A3760" s="26">
        <v>6698</v>
      </c>
      <c r="B3760" s="27" t="s">
        <v>85</v>
      </c>
      <c r="C3760" s="28"/>
      <c r="D3760" s="29"/>
      <c r="E3760" s="30" t="s">
        <v>1531</v>
      </c>
      <c r="H3760" s="32">
        <v>0</v>
      </c>
      <c r="I3760" s="32" t="s">
        <v>4964</v>
      </c>
      <c r="AG3760" s="32">
        <v>0</v>
      </c>
      <c r="AH3760" s="32">
        <v>0</v>
      </c>
      <c r="AI3760" s="32">
        <v>0</v>
      </c>
      <c r="AK3760" s="32">
        <v>0</v>
      </c>
      <c r="AM3760" s="32">
        <f>498*14</f>
        <v>6972</v>
      </c>
      <c r="AO3760" s="32" t="s">
        <v>1533</v>
      </c>
      <c r="AQ3760" s="32" t="s">
        <v>1101</v>
      </c>
      <c r="AU3760">
        <v>3759</v>
      </c>
    </row>
    <row r="3761" spans="1:47" x14ac:dyDescent="0.2">
      <c r="A3761" s="26">
        <v>6698</v>
      </c>
      <c r="B3761" s="27" t="s">
        <v>45</v>
      </c>
      <c r="C3761" s="28"/>
      <c r="D3761" s="29"/>
      <c r="E3761" s="30" t="s">
        <v>1531</v>
      </c>
      <c r="H3761" s="32">
        <v>0</v>
      </c>
      <c r="I3761" s="32" t="s">
        <v>4965</v>
      </c>
      <c r="AG3761" s="32">
        <v>0</v>
      </c>
      <c r="AH3761" s="32">
        <v>0</v>
      </c>
      <c r="AI3761" s="32">
        <v>0</v>
      </c>
      <c r="AK3761" s="32">
        <v>0</v>
      </c>
      <c r="AM3761" s="32">
        <f>498*23</f>
        <v>11454</v>
      </c>
      <c r="AO3761" s="32" t="s">
        <v>1533</v>
      </c>
      <c r="AQ3761" s="32" t="s">
        <v>1101</v>
      </c>
      <c r="AU3761">
        <v>3760</v>
      </c>
    </row>
    <row r="3762" spans="1:47" x14ac:dyDescent="0.2">
      <c r="A3762" s="26">
        <v>6698</v>
      </c>
      <c r="B3762" s="27"/>
      <c r="C3762" s="28"/>
      <c r="D3762" s="29"/>
      <c r="E3762" s="102" t="s">
        <v>1421</v>
      </c>
      <c r="H3762" s="32">
        <v>1</v>
      </c>
      <c r="I3762" s="32" t="s">
        <v>1422</v>
      </c>
      <c r="AK3762" s="32">
        <v>20</v>
      </c>
      <c r="AO3762" s="73"/>
      <c r="AQ3762" s="32" t="s">
        <v>589</v>
      </c>
      <c r="AU3762">
        <v>3761</v>
      </c>
    </row>
    <row r="3763" spans="1:47" x14ac:dyDescent="0.2">
      <c r="A3763" s="37">
        <v>6699</v>
      </c>
      <c r="B3763" s="38" t="s">
        <v>85</v>
      </c>
      <c r="C3763" s="39" t="s">
        <v>4769</v>
      </c>
      <c r="D3763" s="29"/>
      <c r="E3763" s="38" t="s">
        <v>4752</v>
      </c>
      <c r="F3763" s="32"/>
      <c r="G3763" s="47"/>
      <c r="H3763"/>
      <c r="I3763" s="32" t="s">
        <v>4966</v>
      </c>
      <c r="J3763" s="47"/>
      <c r="K3763" s="47"/>
      <c r="L3763" s="48"/>
      <c r="M3763" s="47"/>
      <c r="N3763" s="47"/>
      <c r="O3763" s="47"/>
      <c r="P3763" s="47"/>
      <c r="Q3763" s="47"/>
      <c r="R3763" s="47"/>
      <c r="S3763" s="48"/>
      <c r="T3763" s="47">
        <v>1</v>
      </c>
      <c r="U3763" s="47"/>
      <c r="V3763" s="47"/>
      <c r="W3763" s="47"/>
      <c r="X3763" s="47"/>
      <c r="Y3763" s="47"/>
      <c r="Z3763" s="47"/>
      <c r="AA3763" s="49"/>
      <c r="AB3763" s="49"/>
      <c r="AC3763" s="49"/>
      <c r="AD3763" s="50"/>
      <c r="AE3763" s="47"/>
      <c r="AF3763" s="47"/>
      <c r="AG3763"/>
      <c r="AH3763"/>
      <c r="AI3763"/>
      <c r="AJ3763"/>
      <c r="AK3763"/>
      <c r="AL3763"/>
      <c r="AM3763"/>
      <c r="AN3763"/>
      <c r="AO3763"/>
      <c r="AP3763"/>
      <c r="AQ3763" t="s">
        <v>4930</v>
      </c>
      <c r="AU3763">
        <v>3762</v>
      </c>
    </row>
    <row r="3764" spans="1:47" x14ac:dyDescent="0.2">
      <c r="A3764" s="37">
        <v>6699</v>
      </c>
      <c r="B3764" s="38" t="s">
        <v>85</v>
      </c>
      <c r="C3764" s="39" t="s">
        <v>332</v>
      </c>
      <c r="D3764" s="29"/>
      <c r="E3764" s="38" t="s">
        <v>447</v>
      </c>
      <c r="F3764" s="32" t="s">
        <v>150</v>
      </c>
      <c r="G3764" s="47" t="s">
        <v>49</v>
      </c>
      <c r="H3764"/>
      <c r="I3764" s="32"/>
      <c r="J3764" s="47"/>
      <c r="K3764" s="47"/>
      <c r="L3764" s="48"/>
      <c r="M3764" s="47"/>
      <c r="N3764" s="47"/>
      <c r="O3764" s="47"/>
      <c r="P3764" s="47"/>
      <c r="Q3764" s="47"/>
      <c r="R3764" s="47"/>
      <c r="S3764" s="48"/>
      <c r="T3764" s="47"/>
      <c r="U3764" s="47"/>
      <c r="V3764" s="47"/>
      <c r="W3764" s="47"/>
      <c r="X3764" s="47"/>
      <c r="Y3764" s="47"/>
      <c r="Z3764" s="31" t="s">
        <v>3724</v>
      </c>
      <c r="AA3764" s="49"/>
      <c r="AB3764" s="49"/>
      <c r="AC3764" s="49"/>
      <c r="AD3764" s="50"/>
      <c r="AE3764" s="31" t="s">
        <v>4892</v>
      </c>
      <c r="AF3764" s="47">
        <v>95</v>
      </c>
      <c r="AG3764"/>
      <c r="AH3764"/>
      <c r="AI3764"/>
      <c r="AJ3764"/>
      <c r="AK3764"/>
      <c r="AL3764"/>
      <c r="AM3764"/>
      <c r="AN3764"/>
      <c r="AO3764"/>
      <c r="AP3764"/>
      <c r="AQ3764" t="s">
        <v>4967</v>
      </c>
      <c r="AU3764">
        <v>3763</v>
      </c>
    </row>
    <row r="3765" spans="1:47" x14ac:dyDescent="0.2">
      <c r="A3765" s="13">
        <v>6699</v>
      </c>
      <c r="B3765" s="57" t="s">
        <v>85</v>
      </c>
      <c r="C3765" s="57" t="s">
        <v>332</v>
      </c>
      <c r="D3765" s="29"/>
      <c r="E3765" s="57" t="s">
        <v>447</v>
      </c>
      <c r="K3765" s="31">
        <v>8067.4</v>
      </c>
      <c r="S3765" s="33">
        <v>26</v>
      </c>
      <c r="Z3765" s="31" t="s">
        <v>3724</v>
      </c>
      <c r="AE3765" s="31" t="s">
        <v>4892</v>
      </c>
      <c r="AF3765" s="31">
        <v>95</v>
      </c>
      <c r="AK3765" s="32">
        <v>226</v>
      </c>
      <c r="AQ3765" s="32" t="s">
        <v>4893</v>
      </c>
      <c r="AU3765">
        <v>3764</v>
      </c>
    </row>
    <row r="3766" spans="1:47" x14ac:dyDescent="0.2">
      <c r="A3766" s="13">
        <v>6699</v>
      </c>
      <c r="B3766" s="57" t="s">
        <v>85</v>
      </c>
      <c r="C3766" s="166" t="s">
        <v>4968</v>
      </c>
      <c r="D3766" s="29"/>
      <c r="E3766" s="57" t="s">
        <v>4969</v>
      </c>
      <c r="F3766" s="31" t="s">
        <v>4970</v>
      </c>
      <c r="G3766" s="31" t="s">
        <v>49</v>
      </c>
      <c r="I3766" s="31" t="s">
        <v>4971</v>
      </c>
      <c r="K3766" s="31">
        <f>861*2.2</f>
        <v>1894.2</v>
      </c>
      <c r="L3766" s="33">
        <v>7</v>
      </c>
      <c r="S3766" s="33">
        <v>7</v>
      </c>
      <c r="T3766" s="31">
        <v>1</v>
      </c>
      <c r="U3766" s="31">
        <v>0</v>
      </c>
      <c r="V3766" s="31">
        <v>0</v>
      </c>
      <c r="W3766" s="31">
        <f>4600*39.37/12</f>
        <v>15091.833333333334</v>
      </c>
      <c r="Y3766" s="31" t="s">
        <v>120</v>
      </c>
      <c r="Z3766" s="31" t="s">
        <v>3724</v>
      </c>
      <c r="AC3766" s="34">
        <v>0.71875</v>
      </c>
      <c r="AE3766" s="31" t="s">
        <v>4887</v>
      </c>
      <c r="AF3766" s="31">
        <v>95</v>
      </c>
      <c r="AK3766" s="32">
        <v>42</v>
      </c>
      <c r="AQ3766" s="32" t="s">
        <v>4972</v>
      </c>
      <c r="AU3766">
        <v>3765</v>
      </c>
    </row>
    <row r="3767" spans="1:47" x14ac:dyDescent="0.2">
      <c r="A3767" s="13">
        <v>6699</v>
      </c>
      <c r="B3767" s="57" t="s">
        <v>85</v>
      </c>
      <c r="C3767" s="166" t="s">
        <v>4884</v>
      </c>
      <c r="D3767" s="29"/>
      <c r="E3767" s="57" t="s">
        <v>4973</v>
      </c>
      <c r="F3767" s="31" t="s">
        <v>4974</v>
      </c>
      <c r="G3767" s="31" t="s">
        <v>49</v>
      </c>
      <c r="I3767" s="31" t="s">
        <v>4975</v>
      </c>
      <c r="K3767" s="31">
        <f>1307*2.2</f>
        <v>2875.4</v>
      </c>
      <c r="L3767" s="31">
        <v>8</v>
      </c>
      <c r="O3767" s="31">
        <v>1</v>
      </c>
      <c r="S3767" s="33">
        <v>7</v>
      </c>
      <c r="T3767" s="31">
        <v>1</v>
      </c>
      <c r="U3767" s="31">
        <v>0</v>
      </c>
      <c r="V3767" s="31">
        <v>1</v>
      </c>
      <c r="W3767" s="31">
        <f>4800*39.37/12</f>
        <v>15748</v>
      </c>
      <c r="Y3767" s="31" t="s">
        <v>120</v>
      </c>
      <c r="Z3767" s="31" t="s">
        <v>3724</v>
      </c>
      <c r="AA3767" s="34">
        <v>0.66666666666666663</v>
      </c>
      <c r="AC3767" s="34">
        <v>0.72569444444444453</v>
      </c>
      <c r="AE3767" s="31" t="s">
        <v>4887</v>
      </c>
      <c r="AF3767" s="31">
        <v>100</v>
      </c>
      <c r="AK3767" s="32">
        <v>90</v>
      </c>
      <c r="AQ3767" s="32" t="s">
        <v>4976</v>
      </c>
      <c r="AU3767">
        <v>3766</v>
      </c>
    </row>
    <row r="3768" spans="1:47" x14ac:dyDescent="0.2">
      <c r="A3768" s="13">
        <v>6699</v>
      </c>
      <c r="B3768" s="57" t="s">
        <v>85</v>
      </c>
      <c r="C3768" s="57" t="s">
        <v>4940</v>
      </c>
      <c r="D3768" s="29"/>
      <c r="E3768" s="57" t="s">
        <v>4752</v>
      </c>
      <c r="F3768" s="31" t="s">
        <v>76</v>
      </c>
      <c r="G3768" s="31" t="s">
        <v>49</v>
      </c>
      <c r="K3768" s="31">
        <v>6028</v>
      </c>
      <c r="S3768" s="33">
        <v>23</v>
      </c>
      <c r="Z3768" s="31" t="s">
        <v>3724</v>
      </c>
      <c r="AE3768" s="31" t="s">
        <v>4898</v>
      </c>
      <c r="AK3768" s="32">
        <v>142</v>
      </c>
      <c r="AQ3768" s="32" t="s">
        <v>4893</v>
      </c>
      <c r="AU3768">
        <v>3767</v>
      </c>
    </row>
    <row r="3769" spans="1:47" x14ac:dyDescent="0.2">
      <c r="A3769" s="37">
        <v>6701</v>
      </c>
      <c r="B3769" s="38" t="s">
        <v>85</v>
      </c>
      <c r="C3769" s="39" t="s">
        <v>332</v>
      </c>
      <c r="D3769" s="29"/>
      <c r="E3769" s="38" t="s">
        <v>447</v>
      </c>
      <c r="F3769" s="32" t="s">
        <v>150</v>
      </c>
      <c r="G3769" s="47" t="s">
        <v>49</v>
      </c>
      <c r="H3769"/>
      <c r="I3769" s="32" t="s">
        <v>4977</v>
      </c>
      <c r="J3769" s="47"/>
      <c r="K3769" s="47"/>
      <c r="L3769" s="48"/>
      <c r="M3769" s="47"/>
      <c r="N3769" s="47"/>
      <c r="O3769" s="47"/>
      <c r="P3769" s="47"/>
      <c r="Q3769" s="47"/>
      <c r="R3769" s="47"/>
      <c r="S3769" s="48"/>
      <c r="T3769" s="47"/>
      <c r="U3769" s="47"/>
      <c r="V3769" s="47"/>
      <c r="W3769" s="47"/>
      <c r="X3769" s="47"/>
      <c r="Y3769" s="47"/>
      <c r="Z3769" s="31" t="s">
        <v>3724</v>
      </c>
      <c r="AA3769" s="49"/>
      <c r="AB3769" s="49"/>
      <c r="AC3769" s="49"/>
      <c r="AD3769" s="50"/>
      <c r="AE3769" s="31" t="s">
        <v>4892</v>
      </c>
      <c r="AF3769" s="47">
        <v>95</v>
      </c>
      <c r="AG3769"/>
      <c r="AH3769"/>
      <c r="AI3769"/>
      <c r="AJ3769"/>
      <c r="AK3769"/>
      <c r="AL3769"/>
      <c r="AM3769"/>
      <c r="AN3769"/>
      <c r="AO3769"/>
      <c r="AP3769"/>
      <c r="AQ3769" t="s">
        <v>4967</v>
      </c>
      <c r="AU3769">
        <v>3768</v>
      </c>
    </row>
    <row r="3770" spans="1:47" x14ac:dyDescent="0.2">
      <c r="A3770" s="13">
        <v>6701</v>
      </c>
      <c r="B3770" s="57" t="s">
        <v>85</v>
      </c>
      <c r="C3770" s="57" t="s">
        <v>332</v>
      </c>
      <c r="D3770" s="29"/>
      <c r="E3770" s="57" t="s">
        <v>1576</v>
      </c>
      <c r="K3770" s="31">
        <v>268.39999999999998</v>
      </c>
      <c r="S3770" s="33">
        <v>1</v>
      </c>
      <c r="Z3770" s="31" t="s">
        <v>3724</v>
      </c>
      <c r="AE3770" s="31" t="s">
        <v>4892</v>
      </c>
      <c r="AF3770" s="31">
        <v>65</v>
      </c>
      <c r="AK3770" s="32">
        <v>8</v>
      </c>
      <c r="AQ3770" s="32" t="s">
        <v>4893</v>
      </c>
      <c r="AU3770">
        <v>3769</v>
      </c>
    </row>
    <row r="3771" spans="1:47" x14ac:dyDescent="0.2">
      <c r="A3771" s="13">
        <v>6701</v>
      </c>
      <c r="B3771" s="57" t="s">
        <v>85</v>
      </c>
      <c r="C3771" s="57" t="s">
        <v>332</v>
      </c>
      <c r="D3771" s="29"/>
      <c r="E3771" s="57" t="s">
        <v>4978</v>
      </c>
      <c r="K3771" s="31">
        <v>312.39999999999998</v>
      </c>
      <c r="S3771" s="33">
        <v>1</v>
      </c>
      <c r="Z3771" s="31" t="s">
        <v>3724</v>
      </c>
      <c r="AE3771" s="31" t="s">
        <v>4892</v>
      </c>
      <c r="AF3771" s="31">
        <v>90</v>
      </c>
      <c r="AK3771" s="32">
        <v>10</v>
      </c>
      <c r="AQ3771" s="32" t="s">
        <v>4893</v>
      </c>
      <c r="AU3771">
        <v>3770</v>
      </c>
    </row>
    <row r="3772" spans="1:47" x14ac:dyDescent="0.2">
      <c r="A3772" s="13">
        <v>6701</v>
      </c>
      <c r="B3772" s="57" t="s">
        <v>85</v>
      </c>
      <c r="C3772" s="57" t="s">
        <v>332</v>
      </c>
      <c r="D3772" s="29"/>
      <c r="E3772" s="57" t="s">
        <v>4979</v>
      </c>
      <c r="F3772" s="31" t="s">
        <v>348</v>
      </c>
      <c r="G3772" s="31" t="s">
        <v>49</v>
      </c>
      <c r="K3772" s="31">
        <v>358.6</v>
      </c>
      <c r="S3772" s="33">
        <v>1</v>
      </c>
      <c r="Z3772" s="31" t="s">
        <v>3724</v>
      </c>
      <c r="AE3772" s="31" t="s">
        <v>4892</v>
      </c>
      <c r="AF3772" s="31">
        <v>90</v>
      </c>
      <c r="AK3772" s="32">
        <v>10</v>
      </c>
      <c r="AQ3772" s="32" t="s">
        <v>4893</v>
      </c>
      <c r="AU3772">
        <v>3771</v>
      </c>
    </row>
    <row r="3773" spans="1:47" x14ac:dyDescent="0.2">
      <c r="A3773" s="13">
        <v>6701</v>
      </c>
      <c r="B3773" s="57" t="s">
        <v>85</v>
      </c>
      <c r="C3773" s="57" t="s">
        <v>332</v>
      </c>
      <c r="D3773" s="29"/>
      <c r="E3773" s="57" t="s">
        <v>4980</v>
      </c>
      <c r="K3773" s="31">
        <v>717.2</v>
      </c>
      <c r="S3773" s="33">
        <v>2</v>
      </c>
      <c r="Z3773" s="31" t="s">
        <v>3724</v>
      </c>
      <c r="AE3773" s="31" t="s">
        <v>4892</v>
      </c>
      <c r="AF3773" s="31">
        <v>85</v>
      </c>
      <c r="AK3773" s="32">
        <v>20</v>
      </c>
      <c r="AQ3773" s="32" t="s">
        <v>4893</v>
      </c>
      <c r="AU3773">
        <v>3772</v>
      </c>
    </row>
    <row r="3774" spans="1:47" x14ac:dyDescent="0.2">
      <c r="A3774" s="13">
        <v>6701</v>
      </c>
      <c r="B3774" s="57" t="s">
        <v>85</v>
      </c>
      <c r="C3774" s="57" t="s">
        <v>332</v>
      </c>
      <c r="D3774" s="29"/>
      <c r="E3774" s="57" t="s">
        <v>4981</v>
      </c>
      <c r="F3774" s="31" t="s">
        <v>76</v>
      </c>
      <c r="G3774" s="31" t="s">
        <v>49</v>
      </c>
      <c r="K3774" s="31">
        <v>998.8</v>
      </c>
      <c r="S3774" s="33">
        <v>3</v>
      </c>
      <c r="Z3774" s="31" t="s">
        <v>3724</v>
      </c>
      <c r="AE3774" s="31" t="s">
        <v>4892</v>
      </c>
      <c r="AF3774" s="31">
        <v>75</v>
      </c>
      <c r="AK3774" s="32">
        <v>30</v>
      </c>
      <c r="AQ3774" s="32" t="s">
        <v>4893</v>
      </c>
      <c r="AU3774">
        <v>3773</v>
      </c>
    </row>
    <row r="3775" spans="1:47" x14ac:dyDescent="0.2">
      <c r="A3775" s="13">
        <v>6701</v>
      </c>
      <c r="B3775" s="57" t="s">
        <v>85</v>
      </c>
      <c r="C3775" s="57" t="s">
        <v>332</v>
      </c>
      <c r="D3775" s="29"/>
      <c r="E3775" s="57" t="s">
        <v>1895</v>
      </c>
      <c r="K3775" s="31">
        <v>1075.8</v>
      </c>
      <c r="S3775" s="33">
        <v>3</v>
      </c>
      <c r="Z3775" s="31" t="s">
        <v>3724</v>
      </c>
      <c r="AE3775" s="31" t="s">
        <v>4892</v>
      </c>
      <c r="AF3775" s="31">
        <v>70</v>
      </c>
      <c r="AK3775" s="32">
        <v>11</v>
      </c>
      <c r="AQ3775" s="32" t="s">
        <v>4893</v>
      </c>
      <c r="AU3775">
        <v>3774</v>
      </c>
    </row>
    <row r="3776" spans="1:47" x14ac:dyDescent="0.2">
      <c r="A3776" s="13">
        <v>6701</v>
      </c>
      <c r="B3776" s="57" t="s">
        <v>85</v>
      </c>
      <c r="C3776" s="57" t="s">
        <v>332</v>
      </c>
      <c r="D3776" s="29"/>
      <c r="E3776" s="57" t="s">
        <v>4969</v>
      </c>
      <c r="F3776" s="31" t="s">
        <v>4982</v>
      </c>
      <c r="G3776" s="31" t="s">
        <v>49</v>
      </c>
      <c r="K3776" s="31">
        <v>3044.8</v>
      </c>
      <c r="S3776" s="33">
        <v>11</v>
      </c>
      <c r="Z3776" s="31" t="s">
        <v>3724</v>
      </c>
      <c r="AE3776" s="31" t="s">
        <v>4892</v>
      </c>
      <c r="AF3776" s="31">
        <v>85</v>
      </c>
      <c r="AK3776" s="32">
        <v>88</v>
      </c>
      <c r="AQ3776" s="32" t="s">
        <v>4893</v>
      </c>
      <c r="AU3776">
        <v>3775</v>
      </c>
    </row>
    <row r="3777" spans="1:47" x14ac:dyDescent="0.2">
      <c r="A3777" s="37">
        <v>6701</v>
      </c>
      <c r="B3777" s="57" t="s">
        <v>85</v>
      </c>
      <c r="C3777" s="39" t="s">
        <v>4884</v>
      </c>
      <c r="D3777" s="29"/>
      <c r="E3777" s="38" t="s">
        <v>1830</v>
      </c>
      <c r="F3777" s="31" t="s">
        <v>76</v>
      </c>
      <c r="G3777" s="47" t="s">
        <v>49</v>
      </c>
      <c r="H3777"/>
      <c r="I3777" s="32" t="s">
        <v>4983</v>
      </c>
      <c r="J3777" s="47"/>
      <c r="K3777" s="47">
        <f>981*2.2</f>
        <v>2158.2000000000003</v>
      </c>
      <c r="L3777" s="48">
        <v>8</v>
      </c>
      <c r="M3777" s="47"/>
      <c r="N3777" s="47"/>
      <c r="O3777" s="47"/>
      <c r="P3777" s="47"/>
      <c r="Q3777" s="47"/>
      <c r="R3777" s="47"/>
      <c r="S3777" s="48">
        <v>8</v>
      </c>
      <c r="T3777" s="47">
        <v>1</v>
      </c>
      <c r="U3777" s="47">
        <v>0</v>
      </c>
      <c r="V3777" s="47">
        <v>1</v>
      </c>
      <c r="W3777" s="47">
        <f>4900*39.37/12</f>
        <v>16076.083333333334</v>
      </c>
      <c r="X3777" s="47"/>
      <c r="Y3777" s="47" t="s">
        <v>120</v>
      </c>
      <c r="Z3777" s="31" t="s">
        <v>3724</v>
      </c>
      <c r="AA3777" s="49"/>
      <c r="AB3777" s="49"/>
      <c r="AC3777" s="49">
        <v>0.65625</v>
      </c>
      <c r="AD3777" s="50"/>
      <c r="AE3777" s="31" t="s">
        <v>4887</v>
      </c>
      <c r="AF3777" s="47">
        <v>90</v>
      </c>
      <c r="AG3777"/>
      <c r="AH3777"/>
      <c r="AI3777"/>
      <c r="AJ3777"/>
      <c r="AK3777" s="32">
        <v>58</v>
      </c>
      <c r="AL3777"/>
      <c r="AM3777"/>
      <c r="AN3777"/>
      <c r="AO3777"/>
      <c r="AP3777"/>
      <c r="AQ3777" t="s">
        <v>4984</v>
      </c>
      <c r="AU3777">
        <v>3776</v>
      </c>
    </row>
    <row r="3778" spans="1:47" x14ac:dyDescent="0.2">
      <c r="A3778" s="26">
        <v>6702</v>
      </c>
      <c r="B3778" s="27">
        <v>0.53819444444444442</v>
      </c>
      <c r="C3778" s="28"/>
      <c r="D3778" s="29"/>
      <c r="E3778" s="30" t="s">
        <v>3155</v>
      </c>
      <c r="H3778" s="32">
        <v>0</v>
      </c>
      <c r="I3778" s="32" t="s">
        <v>3156</v>
      </c>
      <c r="AG3778" s="32">
        <v>0</v>
      </c>
      <c r="AH3778" s="32">
        <v>0</v>
      </c>
      <c r="AI3778" s="32">
        <v>0</v>
      </c>
      <c r="AK3778" s="32">
        <v>0</v>
      </c>
      <c r="AP3778" s="32">
        <v>1</v>
      </c>
      <c r="AQ3778" s="32" t="s">
        <v>1101</v>
      </c>
      <c r="AU3778">
        <v>3777</v>
      </c>
    </row>
    <row r="3779" spans="1:47" x14ac:dyDescent="0.2">
      <c r="A3779" s="37">
        <v>6703</v>
      </c>
      <c r="B3779" s="38" t="s">
        <v>85</v>
      </c>
      <c r="C3779" s="43" t="s">
        <v>4702</v>
      </c>
      <c r="D3779" s="29"/>
      <c r="E3779" s="36" t="s">
        <v>4703</v>
      </c>
      <c r="H3779" s="32"/>
      <c r="I3779" s="32" t="s">
        <v>4985</v>
      </c>
      <c r="Z3779" s="31" t="s">
        <v>3724</v>
      </c>
      <c r="AQ3779" s="32" t="s">
        <v>4967</v>
      </c>
      <c r="AU3779">
        <v>3778</v>
      </c>
    </row>
    <row r="3780" spans="1:47" x14ac:dyDescent="0.2">
      <c r="A3780" s="37">
        <v>6704</v>
      </c>
      <c r="B3780" s="38" t="s">
        <v>85</v>
      </c>
      <c r="C3780" s="43" t="s">
        <v>4702</v>
      </c>
      <c r="D3780" s="29"/>
      <c r="E3780" s="36" t="s">
        <v>1593</v>
      </c>
      <c r="H3780" s="32"/>
      <c r="I3780" s="32" t="s">
        <v>4986</v>
      </c>
      <c r="T3780" s="31">
        <v>1</v>
      </c>
      <c r="Z3780" s="31" t="s">
        <v>3724</v>
      </c>
      <c r="AQ3780" s="32" t="s">
        <v>4967</v>
      </c>
      <c r="AU3780">
        <v>3779</v>
      </c>
    </row>
    <row r="3781" spans="1:47" x14ac:dyDescent="0.2">
      <c r="A3781" s="13">
        <v>6704</v>
      </c>
      <c r="B3781" s="57" t="s">
        <v>85</v>
      </c>
      <c r="C3781" s="57" t="s">
        <v>332</v>
      </c>
      <c r="D3781" s="29"/>
      <c r="E3781" s="57" t="s">
        <v>1895</v>
      </c>
      <c r="K3781" s="31">
        <v>268.39999999999998</v>
      </c>
      <c r="S3781" s="33">
        <v>1</v>
      </c>
      <c r="Z3781" s="31" t="s">
        <v>3724</v>
      </c>
      <c r="AE3781" s="31" t="s">
        <v>4892</v>
      </c>
      <c r="AF3781" s="31">
        <v>70</v>
      </c>
      <c r="AK3781" s="32">
        <v>8</v>
      </c>
      <c r="AQ3781" s="32" t="s">
        <v>4893</v>
      </c>
      <c r="AU3781">
        <v>3780</v>
      </c>
    </row>
    <row r="3782" spans="1:47" x14ac:dyDescent="0.2">
      <c r="A3782" s="13">
        <v>6704</v>
      </c>
      <c r="B3782" s="57" t="s">
        <v>85</v>
      </c>
      <c r="C3782" s="57" t="s">
        <v>332</v>
      </c>
      <c r="D3782" s="29"/>
      <c r="E3782" s="57" t="s">
        <v>1830</v>
      </c>
      <c r="K3782" s="31">
        <v>1887.6</v>
      </c>
      <c r="S3782" s="33">
        <v>3</v>
      </c>
      <c r="Z3782" s="31" t="s">
        <v>3724</v>
      </c>
      <c r="AE3782" s="31" t="s">
        <v>4892</v>
      </c>
      <c r="AF3782" s="31">
        <v>75</v>
      </c>
      <c r="AK3782" s="32">
        <v>48</v>
      </c>
      <c r="AQ3782" s="32" t="s">
        <v>4893</v>
      </c>
      <c r="AU3782">
        <v>3781</v>
      </c>
    </row>
    <row r="3783" spans="1:47" x14ac:dyDescent="0.2">
      <c r="A3783" s="13">
        <v>6704</v>
      </c>
      <c r="B3783" s="57" t="s">
        <v>85</v>
      </c>
      <c r="C3783" s="57" t="s">
        <v>332</v>
      </c>
      <c r="D3783" s="29"/>
      <c r="E3783" s="57" t="s">
        <v>4969</v>
      </c>
      <c r="F3783" s="31" t="s">
        <v>4982</v>
      </c>
      <c r="G3783" s="31" t="s">
        <v>49</v>
      </c>
      <c r="K3783" s="31">
        <v>2464</v>
      </c>
      <c r="S3783" s="33">
        <v>9</v>
      </c>
      <c r="Z3783" s="31" t="s">
        <v>3724</v>
      </c>
      <c r="AE3783" s="31" t="s">
        <v>4892</v>
      </c>
      <c r="AF3783" s="31">
        <v>85</v>
      </c>
      <c r="AK3783" s="32">
        <v>70</v>
      </c>
      <c r="AQ3783" s="32" t="s">
        <v>4893</v>
      </c>
      <c r="AU3783">
        <v>3782</v>
      </c>
    </row>
    <row r="3784" spans="1:47" x14ac:dyDescent="0.2">
      <c r="A3784" s="13">
        <v>6704</v>
      </c>
      <c r="B3784" s="57" t="s">
        <v>85</v>
      </c>
      <c r="C3784" s="57" t="s">
        <v>332</v>
      </c>
      <c r="D3784" s="29"/>
      <c r="E3784" s="57" t="s">
        <v>1593</v>
      </c>
      <c r="K3784" s="31">
        <v>4307.6000000000004</v>
      </c>
      <c r="S3784" s="33">
        <v>6</v>
      </c>
      <c r="Z3784" s="31" t="s">
        <v>3724</v>
      </c>
      <c r="AE3784" s="31" t="s">
        <v>4892</v>
      </c>
      <c r="AF3784" s="31">
        <v>55</v>
      </c>
      <c r="AK3784" s="32">
        <v>58</v>
      </c>
      <c r="AQ3784" s="32" t="s">
        <v>4893</v>
      </c>
      <c r="AU3784">
        <v>3783</v>
      </c>
    </row>
    <row r="3785" spans="1:47" x14ac:dyDescent="0.2">
      <c r="A3785" s="13">
        <v>6704</v>
      </c>
      <c r="B3785" s="57" t="s">
        <v>85</v>
      </c>
      <c r="C3785" s="57" t="s">
        <v>1077</v>
      </c>
      <c r="D3785" s="29"/>
      <c r="E3785" s="57" t="s">
        <v>4987</v>
      </c>
      <c r="K3785" s="31">
        <v>2261.6</v>
      </c>
      <c r="S3785" s="33">
        <v>25</v>
      </c>
      <c r="Z3785" s="31" t="s">
        <v>3724</v>
      </c>
      <c r="AE3785" s="31" t="s">
        <v>4898</v>
      </c>
      <c r="AF3785" s="31">
        <v>25</v>
      </c>
      <c r="AK3785" s="32">
        <v>52</v>
      </c>
      <c r="AQ3785" s="32" t="s">
        <v>4893</v>
      </c>
      <c r="AU3785">
        <v>3784</v>
      </c>
    </row>
    <row r="3786" spans="1:47" x14ac:dyDescent="0.2">
      <c r="A3786" s="13">
        <v>6704</v>
      </c>
      <c r="B3786" s="57" t="s">
        <v>85</v>
      </c>
      <c r="C3786" s="57" t="s">
        <v>1077</v>
      </c>
      <c r="D3786" s="29"/>
      <c r="E3786" s="57" t="s">
        <v>4834</v>
      </c>
      <c r="K3786" s="31">
        <v>7420.6</v>
      </c>
      <c r="Z3786" s="31" t="s">
        <v>3724</v>
      </c>
      <c r="AE3786" s="31" t="s">
        <v>4898</v>
      </c>
      <c r="AF3786" s="31">
        <v>10</v>
      </c>
      <c r="AK3786" s="32">
        <v>178</v>
      </c>
      <c r="AQ3786" s="32" t="s">
        <v>4893</v>
      </c>
      <c r="AU3786">
        <v>3785</v>
      </c>
    </row>
    <row r="3787" spans="1:47" x14ac:dyDescent="0.2">
      <c r="A3787" s="13">
        <v>6704</v>
      </c>
      <c r="B3787" s="57" t="s">
        <v>85</v>
      </c>
      <c r="C3787" s="57" t="s">
        <v>4213</v>
      </c>
      <c r="D3787" s="29"/>
      <c r="E3787" s="57" t="s">
        <v>4883</v>
      </c>
      <c r="I3787" s="31" t="s">
        <v>4988</v>
      </c>
      <c r="K3787" s="31">
        <v>387.2</v>
      </c>
      <c r="S3787" s="33">
        <v>2</v>
      </c>
      <c r="Z3787" s="31" t="s">
        <v>3724</v>
      </c>
      <c r="AE3787" s="31" t="s">
        <v>4898</v>
      </c>
      <c r="AF3787" s="31">
        <v>15</v>
      </c>
      <c r="AK3787" s="32">
        <v>6</v>
      </c>
      <c r="AQ3787" s="32" t="s">
        <v>4893</v>
      </c>
      <c r="AU3787">
        <v>3786</v>
      </c>
    </row>
    <row r="3788" spans="1:47" x14ac:dyDescent="0.2">
      <c r="A3788" s="13">
        <v>6704</v>
      </c>
      <c r="B3788" s="57" t="s">
        <v>85</v>
      </c>
      <c r="C3788" s="57" t="s">
        <v>4213</v>
      </c>
      <c r="D3788" s="29"/>
      <c r="E3788" s="123" t="s">
        <v>4989</v>
      </c>
      <c r="K3788" s="31">
        <v>1430</v>
      </c>
      <c r="S3788" s="33">
        <v>4</v>
      </c>
      <c r="Z3788" s="31" t="s">
        <v>3724</v>
      </c>
      <c r="AE3788" s="31" t="s">
        <v>4898</v>
      </c>
      <c r="AF3788" s="31">
        <v>10</v>
      </c>
      <c r="AK3788" s="32">
        <v>100</v>
      </c>
      <c r="AQ3788" s="32" t="s">
        <v>4893</v>
      </c>
      <c r="AU3788">
        <v>3787</v>
      </c>
    </row>
    <row r="3789" spans="1:47" x14ac:dyDescent="0.2">
      <c r="A3789" s="13">
        <v>6704</v>
      </c>
      <c r="B3789" s="57" t="s">
        <v>85</v>
      </c>
      <c r="C3789" s="57" t="s">
        <v>4213</v>
      </c>
      <c r="D3789" s="29"/>
      <c r="E3789" s="57" t="s">
        <v>4836</v>
      </c>
      <c r="K3789" s="31">
        <v>2131.8000000000002</v>
      </c>
      <c r="S3789" s="33">
        <v>5</v>
      </c>
      <c r="Z3789" s="31" t="s">
        <v>3724</v>
      </c>
      <c r="AE3789" s="31" t="s">
        <v>4898</v>
      </c>
      <c r="AF3789" s="31">
        <v>15</v>
      </c>
      <c r="AK3789" s="32">
        <v>122</v>
      </c>
      <c r="AQ3789" s="32" t="s">
        <v>4893</v>
      </c>
      <c r="AU3789">
        <v>3788</v>
      </c>
    </row>
    <row r="3790" spans="1:47" x14ac:dyDescent="0.2">
      <c r="A3790" s="13">
        <v>6704</v>
      </c>
      <c r="B3790" s="57" t="s">
        <v>85</v>
      </c>
      <c r="C3790" s="57" t="s">
        <v>4940</v>
      </c>
      <c r="D3790" s="29"/>
      <c r="E3790" s="57" t="s">
        <v>4990</v>
      </c>
      <c r="I3790" s="31" t="s">
        <v>4991</v>
      </c>
      <c r="K3790" s="31">
        <v>3718</v>
      </c>
      <c r="S3790" s="33">
        <v>25</v>
      </c>
      <c r="Z3790" s="31" t="s">
        <v>3724</v>
      </c>
      <c r="AE3790" s="31" t="s">
        <v>4898</v>
      </c>
      <c r="AK3790" s="32">
        <v>168</v>
      </c>
      <c r="AQ3790" s="32" t="s">
        <v>4893</v>
      </c>
      <c r="AU3790">
        <v>3789</v>
      </c>
    </row>
    <row r="3791" spans="1:47" x14ac:dyDescent="0.2">
      <c r="A3791" s="133">
        <v>6705</v>
      </c>
      <c r="B3791" s="39" t="s">
        <v>85</v>
      </c>
      <c r="C3791" s="39" t="s">
        <v>4769</v>
      </c>
      <c r="D3791" s="29"/>
      <c r="E3791" s="38" t="s">
        <v>4752</v>
      </c>
      <c r="F3791" s="47"/>
      <c r="G3791" s="47"/>
      <c r="H3791"/>
      <c r="I3791" s="47" t="s">
        <v>4992</v>
      </c>
      <c r="J3791" s="47"/>
      <c r="K3791" s="47"/>
      <c r="L3791" s="48"/>
      <c r="M3791" s="47"/>
      <c r="N3791" s="47"/>
      <c r="O3791" s="47"/>
      <c r="P3791" s="47"/>
      <c r="Q3791" s="47"/>
      <c r="R3791" s="47"/>
      <c r="S3791" s="48"/>
      <c r="T3791" s="47">
        <v>1</v>
      </c>
      <c r="U3791" s="47"/>
      <c r="V3791" s="47"/>
      <c r="W3791" s="47"/>
      <c r="X3791" s="47"/>
      <c r="Y3791" s="47"/>
      <c r="Z3791" s="47"/>
      <c r="AA3791" s="49"/>
      <c r="AB3791" s="49"/>
      <c r="AC3791" s="49"/>
      <c r="AD3791" s="50"/>
      <c r="AE3791" s="47"/>
      <c r="AF3791" s="47"/>
      <c r="AG3791"/>
      <c r="AH3791"/>
      <c r="AI3791"/>
      <c r="AJ3791"/>
      <c r="AK3791"/>
      <c r="AL3791"/>
      <c r="AM3791"/>
      <c r="AN3791"/>
      <c r="AO3791"/>
      <c r="AP3791"/>
      <c r="AQ3791" t="s">
        <v>4967</v>
      </c>
      <c r="AU3791">
        <v>3790</v>
      </c>
    </row>
    <row r="3792" spans="1:47" x14ac:dyDescent="0.2">
      <c r="A3792" s="13">
        <v>6705</v>
      </c>
      <c r="B3792" s="57" t="s">
        <v>85</v>
      </c>
      <c r="C3792" s="57" t="s">
        <v>332</v>
      </c>
      <c r="D3792" s="29"/>
      <c r="E3792" s="57" t="s">
        <v>1576</v>
      </c>
      <c r="K3792" s="31">
        <v>268.39999999999998</v>
      </c>
      <c r="S3792" s="33">
        <v>1</v>
      </c>
      <c r="Z3792" s="31" t="s">
        <v>3724</v>
      </c>
      <c r="AE3792" s="31" t="s">
        <v>4892</v>
      </c>
      <c r="AF3792" s="31">
        <v>65</v>
      </c>
      <c r="AK3792" s="32">
        <v>8</v>
      </c>
      <c r="AQ3792" s="32" t="s">
        <v>4893</v>
      </c>
      <c r="AU3792">
        <v>3791</v>
      </c>
    </row>
    <row r="3793" spans="1:47" x14ac:dyDescent="0.2">
      <c r="A3793" s="13">
        <v>6705</v>
      </c>
      <c r="B3793" s="57" t="s">
        <v>85</v>
      </c>
      <c r="C3793" s="57" t="s">
        <v>332</v>
      </c>
      <c r="D3793" s="29"/>
      <c r="E3793" s="57" t="s">
        <v>819</v>
      </c>
      <c r="K3793" s="31">
        <v>268.39999999999998</v>
      </c>
      <c r="S3793" s="33">
        <v>1</v>
      </c>
      <c r="Z3793" s="31" t="s">
        <v>3724</v>
      </c>
      <c r="AE3793" s="31" t="s">
        <v>4892</v>
      </c>
      <c r="AF3793" s="31">
        <v>85</v>
      </c>
      <c r="AK3793" s="32">
        <v>8</v>
      </c>
      <c r="AQ3793" s="32" t="s">
        <v>4893</v>
      </c>
      <c r="AU3793">
        <v>3792</v>
      </c>
    </row>
    <row r="3794" spans="1:47" x14ac:dyDescent="0.2">
      <c r="A3794" s="13">
        <v>6705</v>
      </c>
      <c r="B3794" s="57" t="s">
        <v>85</v>
      </c>
      <c r="C3794" s="57" t="s">
        <v>332</v>
      </c>
      <c r="D3794" s="29"/>
      <c r="E3794" s="57" t="s">
        <v>4969</v>
      </c>
      <c r="F3794" s="31" t="s">
        <v>4982</v>
      </c>
      <c r="G3794" s="31" t="s">
        <v>49</v>
      </c>
      <c r="K3794" s="31">
        <v>5216.2</v>
      </c>
      <c r="S3794" s="33">
        <v>17</v>
      </c>
      <c r="Z3794" s="31" t="s">
        <v>3724</v>
      </c>
      <c r="AE3794" s="31" t="s">
        <v>4892</v>
      </c>
      <c r="AF3794" s="31">
        <v>85</v>
      </c>
      <c r="AK3794" s="32">
        <v>130</v>
      </c>
      <c r="AQ3794" s="32" t="s">
        <v>4893</v>
      </c>
      <c r="AU3794">
        <v>3793</v>
      </c>
    </row>
    <row r="3795" spans="1:47" x14ac:dyDescent="0.2">
      <c r="A3795" s="13">
        <v>6705</v>
      </c>
      <c r="B3795" s="57" t="s">
        <v>85</v>
      </c>
      <c r="C3795" s="57" t="s">
        <v>1077</v>
      </c>
      <c r="D3795" s="29"/>
      <c r="E3795" s="57" t="s">
        <v>4990</v>
      </c>
      <c r="I3795" s="31" t="s">
        <v>4991</v>
      </c>
      <c r="K3795" s="31">
        <v>4604.6000000000004</v>
      </c>
      <c r="S3795" s="33">
        <v>14</v>
      </c>
      <c r="Z3795" s="31" t="s">
        <v>3724</v>
      </c>
      <c r="AE3795" s="31" t="s">
        <v>4898</v>
      </c>
      <c r="AK3795" s="32">
        <v>125</v>
      </c>
      <c r="AQ3795" s="32" t="s">
        <v>4893</v>
      </c>
      <c r="AU3795">
        <v>3794</v>
      </c>
    </row>
    <row r="3796" spans="1:47" x14ac:dyDescent="0.2">
      <c r="A3796" s="13">
        <v>6705</v>
      </c>
      <c r="B3796" s="57" t="s">
        <v>85</v>
      </c>
      <c r="C3796" s="57" t="s">
        <v>4213</v>
      </c>
      <c r="D3796" s="29"/>
      <c r="E3796" s="57" t="s">
        <v>4993</v>
      </c>
      <c r="I3796" s="31" t="s">
        <v>4994</v>
      </c>
      <c r="K3796" s="31">
        <v>341</v>
      </c>
      <c r="S3796" s="33">
        <v>1</v>
      </c>
      <c r="Z3796" s="31" t="s">
        <v>3724</v>
      </c>
      <c r="AE3796" s="31" t="s">
        <v>4898</v>
      </c>
      <c r="AF3796" s="31">
        <v>12</v>
      </c>
      <c r="AK3796" s="32">
        <v>14</v>
      </c>
      <c r="AQ3796" s="32" t="s">
        <v>4893</v>
      </c>
      <c r="AU3796">
        <v>3795</v>
      </c>
    </row>
    <row r="3797" spans="1:47" x14ac:dyDescent="0.2">
      <c r="A3797" s="13">
        <v>6705</v>
      </c>
      <c r="B3797" s="57" t="s">
        <v>85</v>
      </c>
      <c r="C3797" s="57" t="s">
        <v>4213</v>
      </c>
      <c r="D3797" s="29"/>
      <c r="E3797" s="57" t="s">
        <v>4995</v>
      </c>
      <c r="K3797" s="31">
        <v>3586</v>
      </c>
      <c r="S3797" s="33">
        <v>10</v>
      </c>
      <c r="Z3797" s="31" t="s">
        <v>3724</v>
      </c>
      <c r="AE3797" s="31" t="s">
        <v>4898</v>
      </c>
      <c r="AF3797" s="31">
        <v>11</v>
      </c>
      <c r="AK3797" s="32">
        <v>180</v>
      </c>
      <c r="AQ3797" s="32" t="s">
        <v>4893</v>
      </c>
      <c r="AU3797">
        <v>3796</v>
      </c>
    </row>
    <row r="3798" spans="1:47" x14ac:dyDescent="0.2">
      <c r="A3798" s="13">
        <v>6705</v>
      </c>
      <c r="B3798" s="57" t="s">
        <v>85</v>
      </c>
      <c r="C3798" s="57" t="s">
        <v>4940</v>
      </c>
      <c r="D3798" s="29"/>
      <c r="E3798" s="57" t="s">
        <v>4891</v>
      </c>
      <c r="F3798" s="31" t="s">
        <v>76</v>
      </c>
      <c r="G3798" s="31" t="s">
        <v>49</v>
      </c>
      <c r="K3798" s="31">
        <v>3740</v>
      </c>
      <c r="S3798" s="33">
        <v>13</v>
      </c>
      <c r="Z3798" s="31" t="s">
        <v>3724</v>
      </c>
      <c r="AE3798" s="31" t="s">
        <v>4898</v>
      </c>
      <c r="AF3798" s="31">
        <v>15</v>
      </c>
      <c r="AK3798" s="32">
        <v>84</v>
      </c>
      <c r="AQ3798" s="32" t="s">
        <v>4893</v>
      </c>
      <c r="AU3798">
        <v>3797</v>
      </c>
    </row>
    <row r="3799" spans="1:47" x14ac:dyDescent="0.2">
      <c r="A3799" s="133">
        <v>6705</v>
      </c>
      <c r="B3799" s="39" t="s">
        <v>45</v>
      </c>
      <c r="C3799" s="39" t="s">
        <v>142</v>
      </c>
      <c r="D3799" s="29"/>
      <c r="E3799" s="39" t="s">
        <v>4996</v>
      </c>
      <c r="F3799" s="47" t="s">
        <v>246</v>
      </c>
      <c r="G3799" s="31" t="s">
        <v>49</v>
      </c>
      <c r="H3799" s="32"/>
      <c r="I3799" s="47" t="b">
        <v>1</v>
      </c>
      <c r="J3799" s="47" t="b">
        <v>1</v>
      </c>
      <c r="K3799" s="31">
        <f>5945*2.2</f>
        <v>13079.000000000002</v>
      </c>
      <c r="L3799" s="33">
        <v>26</v>
      </c>
      <c r="M3799" s="31">
        <v>3</v>
      </c>
      <c r="O3799" s="31">
        <v>1</v>
      </c>
      <c r="S3799" s="33">
        <v>22</v>
      </c>
      <c r="T3799" s="31">
        <v>0</v>
      </c>
      <c r="U3799" s="31">
        <v>0</v>
      </c>
      <c r="V3799" s="31">
        <v>0</v>
      </c>
      <c r="Y3799" s="31" t="s">
        <v>51</v>
      </c>
      <c r="Z3799" s="31" t="s">
        <v>3855</v>
      </c>
      <c r="AE3799" s="31" t="s">
        <v>4723</v>
      </c>
      <c r="AK3799" s="32">
        <f>135+36+17+8+2</f>
        <v>198</v>
      </c>
      <c r="AQ3799" s="32" t="s">
        <v>4997</v>
      </c>
      <c r="AR3799" s="137" t="s">
        <v>4998</v>
      </c>
      <c r="AU3799">
        <v>3798</v>
      </c>
    </row>
    <row r="3800" spans="1:47" x14ac:dyDescent="0.2">
      <c r="A3800" s="13">
        <v>6705</v>
      </c>
      <c r="B3800" s="57" t="s">
        <v>45</v>
      </c>
      <c r="C3800" s="57" t="s">
        <v>142</v>
      </c>
      <c r="D3800" s="29"/>
      <c r="E3800" s="57" t="s">
        <v>1830</v>
      </c>
      <c r="F3800" s="31" t="s">
        <v>4999</v>
      </c>
      <c r="G3800" s="31" t="s">
        <v>73</v>
      </c>
      <c r="I3800" s="47" t="b">
        <v>0</v>
      </c>
      <c r="J3800" s="47" t="b">
        <v>0</v>
      </c>
      <c r="K3800" s="31">
        <v>1276</v>
      </c>
      <c r="S3800" s="33">
        <v>3</v>
      </c>
      <c r="Z3800" s="31" t="s">
        <v>3855</v>
      </c>
      <c r="AE3800" s="31" t="s">
        <v>4723</v>
      </c>
      <c r="AF3800" s="31">
        <v>75</v>
      </c>
      <c r="AK3800" s="32">
        <v>19</v>
      </c>
      <c r="AQ3800" s="32" t="s">
        <v>4893</v>
      </c>
      <c r="AR3800" s="31"/>
      <c r="AU3800">
        <v>3799</v>
      </c>
    </row>
    <row r="3801" spans="1:47" x14ac:dyDescent="0.2">
      <c r="A3801" s="13">
        <v>6705</v>
      </c>
      <c r="B3801" s="57" t="s">
        <v>45</v>
      </c>
      <c r="C3801" s="57" t="s">
        <v>142</v>
      </c>
      <c r="D3801" s="29"/>
      <c r="E3801" s="57" t="s">
        <v>4752</v>
      </c>
      <c r="F3801" s="31" t="s">
        <v>76</v>
      </c>
      <c r="G3801" s="31" t="s">
        <v>49</v>
      </c>
      <c r="I3801" s="47" t="b">
        <v>0</v>
      </c>
      <c r="J3801" s="47" t="b">
        <v>0</v>
      </c>
      <c r="K3801" s="31">
        <f>840*2.2</f>
        <v>1848.0000000000002</v>
      </c>
      <c r="S3801" s="33">
        <v>3</v>
      </c>
      <c r="Z3801" s="31" t="s">
        <v>3855</v>
      </c>
      <c r="AE3801" s="31" t="s">
        <v>4723</v>
      </c>
      <c r="AF3801" s="31">
        <v>80</v>
      </c>
      <c r="AK3801" s="32">
        <v>33</v>
      </c>
      <c r="AQ3801" s="32" t="s">
        <v>4893</v>
      </c>
      <c r="AR3801" s="31" t="s">
        <v>5000</v>
      </c>
      <c r="AU3801">
        <v>3800</v>
      </c>
    </row>
    <row r="3802" spans="1:47" x14ac:dyDescent="0.2">
      <c r="A3802" s="13">
        <v>6705</v>
      </c>
      <c r="B3802" s="57" t="s">
        <v>45</v>
      </c>
      <c r="C3802" s="57" t="s">
        <v>142</v>
      </c>
      <c r="D3802" s="29"/>
      <c r="E3802" s="57" t="s">
        <v>1593</v>
      </c>
      <c r="F3802" s="31" t="s">
        <v>76</v>
      </c>
      <c r="G3802" s="31" t="s">
        <v>49</v>
      </c>
      <c r="I3802" s="47" t="b">
        <v>0</v>
      </c>
      <c r="J3802" s="47" t="b">
        <v>0</v>
      </c>
      <c r="K3802" s="31">
        <v>2442</v>
      </c>
      <c r="S3802" s="33">
        <v>4</v>
      </c>
      <c r="Z3802" s="31" t="s">
        <v>3855</v>
      </c>
      <c r="AE3802" s="31" t="s">
        <v>4723</v>
      </c>
      <c r="AF3802" s="31">
        <v>65</v>
      </c>
      <c r="AK3802" s="32">
        <v>39</v>
      </c>
      <c r="AQ3802" s="32" t="s">
        <v>4893</v>
      </c>
      <c r="AU3802">
        <v>3801</v>
      </c>
    </row>
    <row r="3803" spans="1:47" x14ac:dyDescent="0.2">
      <c r="A3803" s="13">
        <v>6705</v>
      </c>
      <c r="B3803" s="57" t="s">
        <v>45</v>
      </c>
      <c r="C3803" s="57" t="s">
        <v>142</v>
      </c>
      <c r="D3803" s="29"/>
      <c r="E3803" s="57" t="s">
        <v>4881</v>
      </c>
      <c r="F3803" s="31" t="s">
        <v>76</v>
      </c>
      <c r="G3803" s="31" t="s">
        <v>49</v>
      </c>
      <c r="I3803" s="47" t="b">
        <v>0</v>
      </c>
      <c r="J3803" s="47" t="b">
        <v>0</v>
      </c>
      <c r="K3803" s="31">
        <v>6424</v>
      </c>
      <c r="S3803" s="33">
        <v>11</v>
      </c>
      <c r="Z3803" s="31" t="s">
        <v>3855</v>
      </c>
      <c r="AE3803" s="31" t="s">
        <v>4723</v>
      </c>
      <c r="AF3803" s="31">
        <v>70</v>
      </c>
      <c r="AK3803" s="32">
        <v>98</v>
      </c>
      <c r="AQ3803" s="32" t="s">
        <v>4893</v>
      </c>
      <c r="AU3803">
        <v>3802</v>
      </c>
    </row>
    <row r="3804" spans="1:47" x14ac:dyDescent="0.2">
      <c r="A3804" s="13">
        <v>6705</v>
      </c>
      <c r="B3804" s="57" t="s">
        <v>45</v>
      </c>
      <c r="C3804" s="57" t="s">
        <v>1367</v>
      </c>
      <c r="D3804" s="29"/>
      <c r="E3804" s="57" t="s">
        <v>3895</v>
      </c>
      <c r="F3804" s="31" t="s">
        <v>76</v>
      </c>
      <c r="G3804" s="31" t="s">
        <v>49</v>
      </c>
      <c r="I3804" s="31" t="s">
        <v>4911</v>
      </c>
      <c r="K3804" s="31">
        <v>1320</v>
      </c>
      <c r="S3804" s="127">
        <v>1</v>
      </c>
      <c r="AE3804" s="31" t="s">
        <v>4756</v>
      </c>
      <c r="AF3804" s="31">
        <v>60</v>
      </c>
      <c r="AQ3804" s="32" t="s">
        <v>4912</v>
      </c>
      <c r="AU3804">
        <v>3803</v>
      </c>
    </row>
    <row r="3805" spans="1:47" x14ac:dyDescent="0.2">
      <c r="A3805" s="13">
        <v>6705</v>
      </c>
      <c r="B3805" s="57" t="s">
        <v>45</v>
      </c>
      <c r="C3805" s="57" t="s">
        <v>1367</v>
      </c>
      <c r="D3805" s="29"/>
      <c r="E3805" s="57" t="s">
        <v>5001</v>
      </c>
      <c r="F3805" s="31" t="s">
        <v>76</v>
      </c>
      <c r="G3805" s="31" t="s">
        <v>49</v>
      </c>
      <c r="I3805" s="31" t="s">
        <v>4911</v>
      </c>
      <c r="K3805" s="31">
        <v>2640</v>
      </c>
      <c r="S3805" s="127">
        <v>2</v>
      </c>
      <c r="AE3805" s="31" t="s">
        <v>4756</v>
      </c>
      <c r="AF3805" s="31">
        <v>85</v>
      </c>
      <c r="AQ3805" s="32" t="s">
        <v>4912</v>
      </c>
      <c r="AU3805">
        <v>3804</v>
      </c>
    </row>
    <row r="3806" spans="1:47" x14ac:dyDescent="0.2">
      <c r="A3806" s="26">
        <v>6705</v>
      </c>
      <c r="B3806" s="27">
        <v>8.3333333333333329E-2</v>
      </c>
      <c r="C3806" s="28"/>
      <c r="D3806" s="29"/>
      <c r="E3806" s="30" t="s">
        <v>5002</v>
      </c>
      <c r="H3806" s="32">
        <v>1</v>
      </c>
      <c r="I3806" s="32" t="s">
        <v>5003</v>
      </c>
      <c r="AG3806" s="32">
        <v>0</v>
      </c>
      <c r="AH3806" s="32">
        <v>0</v>
      </c>
      <c r="AI3806" s="32">
        <v>50</v>
      </c>
      <c r="AO3806" s="32" t="s">
        <v>5004</v>
      </c>
      <c r="AQ3806" s="32">
        <v>435</v>
      </c>
      <c r="AU3806">
        <v>3805</v>
      </c>
    </row>
    <row r="3807" spans="1:47" x14ac:dyDescent="0.2">
      <c r="A3807" s="13">
        <v>6706</v>
      </c>
      <c r="B3807" s="57" t="s">
        <v>85</v>
      </c>
      <c r="C3807" s="57" t="s">
        <v>332</v>
      </c>
      <c r="D3807" s="29"/>
      <c r="E3807" s="57" t="s">
        <v>819</v>
      </c>
      <c r="K3807" s="31">
        <v>541.20000000000005</v>
      </c>
      <c r="S3807" s="33">
        <v>1</v>
      </c>
      <c r="Z3807" s="31" t="s">
        <v>3724</v>
      </c>
      <c r="AE3807" s="31" t="s">
        <v>4892</v>
      </c>
      <c r="AF3807" s="31">
        <v>85</v>
      </c>
      <c r="AK3807" s="32">
        <v>6</v>
      </c>
      <c r="AQ3807" s="32" t="s">
        <v>4893</v>
      </c>
      <c r="AU3807">
        <v>3806</v>
      </c>
    </row>
    <row r="3808" spans="1:47" x14ac:dyDescent="0.2">
      <c r="A3808" s="13">
        <v>6706</v>
      </c>
      <c r="B3808" s="57" t="s">
        <v>85</v>
      </c>
      <c r="C3808" s="57" t="s">
        <v>332</v>
      </c>
      <c r="D3808" s="29"/>
      <c r="E3808" s="57" t="s">
        <v>4969</v>
      </c>
      <c r="F3808" s="31" t="s">
        <v>4982</v>
      </c>
      <c r="G3808" s="31" t="s">
        <v>49</v>
      </c>
      <c r="K3808" s="31">
        <v>5845.4</v>
      </c>
      <c r="S3808" s="33">
        <v>20</v>
      </c>
      <c r="Z3808" s="31" t="s">
        <v>3724</v>
      </c>
      <c r="AE3808" s="31" t="s">
        <v>4892</v>
      </c>
      <c r="AF3808" s="31">
        <v>85</v>
      </c>
      <c r="AK3808" s="32">
        <v>146</v>
      </c>
      <c r="AQ3808" s="32" t="s">
        <v>4893</v>
      </c>
      <c r="AU3808">
        <v>3807</v>
      </c>
    </row>
    <row r="3809" spans="1:47" x14ac:dyDescent="0.2">
      <c r="A3809" s="133">
        <v>6709</v>
      </c>
      <c r="B3809" s="39" t="s">
        <v>45</v>
      </c>
      <c r="C3809" s="39" t="s">
        <v>142</v>
      </c>
      <c r="D3809" s="29"/>
      <c r="E3809" s="39" t="s">
        <v>5005</v>
      </c>
      <c r="F3809" s="47" t="s">
        <v>5006</v>
      </c>
      <c r="G3809" s="31" t="s">
        <v>49</v>
      </c>
      <c r="H3809" s="32"/>
      <c r="I3809" s="47" t="b">
        <v>1</v>
      </c>
      <c r="J3809" s="47" t="b">
        <v>1</v>
      </c>
      <c r="K3809" s="31">
        <f>11000*2.2</f>
        <v>24200.000000000004</v>
      </c>
      <c r="L3809" s="33">
        <f>49+8</f>
        <v>57</v>
      </c>
      <c r="M3809" s="31">
        <v>2</v>
      </c>
      <c r="O3809" s="31">
        <v>2</v>
      </c>
      <c r="S3809" s="33">
        <f>45+8</f>
        <v>53</v>
      </c>
      <c r="T3809" s="31">
        <v>0</v>
      </c>
      <c r="U3809" s="31">
        <v>0</v>
      </c>
      <c r="V3809" s="31">
        <v>1</v>
      </c>
      <c r="Y3809" s="31" t="s">
        <v>51</v>
      </c>
      <c r="Z3809" s="31" t="s">
        <v>3855</v>
      </c>
      <c r="AE3809" s="31" t="s">
        <v>4723</v>
      </c>
      <c r="AF3809" s="31">
        <v>75</v>
      </c>
      <c r="AK3809" s="32">
        <f>274+56+39+2+3</f>
        <v>374</v>
      </c>
      <c r="AQ3809" s="32" t="s">
        <v>5007</v>
      </c>
      <c r="AR3809" s="32" t="s">
        <v>5008</v>
      </c>
      <c r="AU3809">
        <v>3808</v>
      </c>
    </row>
    <row r="3810" spans="1:47" x14ac:dyDescent="0.2">
      <c r="A3810" s="13">
        <v>6709</v>
      </c>
      <c r="B3810" s="57" t="s">
        <v>45</v>
      </c>
      <c r="C3810" s="57" t="s">
        <v>142</v>
      </c>
      <c r="D3810" s="29"/>
      <c r="E3810" s="57" t="s">
        <v>4951</v>
      </c>
      <c r="F3810" s="31" t="s">
        <v>204</v>
      </c>
      <c r="G3810" s="31" t="s">
        <v>205</v>
      </c>
      <c r="I3810" s="47" t="b">
        <v>0</v>
      </c>
      <c r="J3810" s="47" t="b">
        <v>0</v>
      </c>
      <c r="K3810" s="31">
        <v>495</v>
      </c>
      <c r="S3810" s="33">
        <v>1</v>
      </c>
      <c r="Z3810" s="31" t="s">
        <v>3855</v>
      </c>
      <c r="AE3810" s="31" t="s">
        <v>4723</v>
      </c>
      <c r="AF3810" s="31">
        <v>70</v>
      </c>
      <c r="AK3810" s="32">
        <v>9</v>
      </c>
      <c r="AQ3810" s="32" t="s">
        <v>4893</v>
      </c>
      <c r="AU3810">
        <v>3809</v>
      </c>
    </row>
    <row r="3811" spans="1:47" x14ac:dyDescent="0.2">
      <c r="A3811" s="13">
        <v>6709</v>
      </c>
      <c r="B3811" s="57" t="s">
        <v>45</v>
      </c>
      <c r="C3811" s="57" t="s">
        <v>142</v>
      </c>
      <c r="D3811" s="29"/>
      <c r="E3811" s="57" t="s">
        <v>1593</v>
      </c>
      <c r="F3811" s="31" t="s">
        <v>76</v>
      </c>
      <c r="G3811" s="31" t="s">
        <v>49</v>
      </c>
      <c r="I3811" s="47" t="b">
        <v>0</v>
      </c>
      <c r="J3811" s="47" t="b">
        <v>0</v>
      </c>
      <c r="K3811" s="31">
        <v>550</v>
      </c>
      <c r="S3811" s="33">
        <v>1</v>
      </c>
      <c r="Z3811" s="31" t="s">
        <v>3855</v>
      </c>
      <c r="AE3811" s="31" t="s">
        <v>4723</v>
      </c>
      <c r="AF3811" s="31">
        <v>65</v>
      </c>
      <c r="AK3811" s="32">
        <v>7</v>
      </c>
      <c r="AQ3811" s="32" t="s">
        <v>4893</v>
      </c>
      <c r="AU3811">
        <v>3810</v>
      </c>
    </row>
    <row r="3812" spans="1:47" x14ac:dyDescent="0.2">
      <c r="A3812" s="13">
        <v>6709</v>
      </c>
      <c r="B3812" s="57" t="s">
        <v>45</v>
      </c>
      <c r="C3812" s="57" t="s">
        <v>142</v>
      </c>
      <c r="D3812" s="29"/>
      <c r="E3812" s="57" t="s">
        <v>5009</v>
      </c>
      <c r="F3812" s="31" t="s">
        <v>204</v>
      </c>
      <c r="G3812" s="31" t="s">
        <v>205</v>
      </c>
      <c r="I3812" s="47" t="b">
        <v>0</v>
      </c>
      <c r="J3812" s="47" t="b">
        <v>0</v>
      </c>
      <c r="K3812" s="31">
        <v>572</v>
      </c>
      <c r="S3812" s="33">
        <v>1</v>
      </c>
      <c r="Z3812" s="31" t="s">
        <v>3855</v>
      </c>
      <c r="AE3812" s="31" t="s">
        <v>4723</v>
      </c>
      <c r="AF3812" s="31">
        <v>70</v>
      </c>
      <c r="AK3812" s="32">
        <v>8</v>
      </c>
      <c r="AQ3812" s="32" t="s">
        <v>4893</v>
      </c>
      <c r="AU3812">
        <v>3811</v>
      </c>
    </row>
    <row r="3813" spans="1:47" x14ac:dyDescent="0.2">
      <c r="A3813" s="13">
        <v>6709</v>
      </c>
      <c r="B3813" s="57" t="s">
        <v>45</v>
      </c>
      <c r="C3813" s="57" t="s">
        <v>142</v>
      </c>
      <c r="D3813" s="29"/>
      <c r="E3813" s="57" t="s">
        <v>5010</v>
      </c>
      <c r="F3813" s="31" t="s">
        <v>76</v>
      </c>
      <c r="G3813" s="31" t="s">
        <v>49</v>
      </c>
      <c r="I3813" s="47" t="b">
        <v>0</v>
      </c>
      <c r="J3813" s="47" t="b">
        <v>0</v>
      </c>
      <c r="K3813" s="31">
        <v>693</v>
      </c>
      <c r="S3813" s="33">
        <v>1</v>
      </c>
      <c r="Z3813" s="31" t="s">
        <v>3855</v>
      </c>
      <c r="AE3813" s="31" t="s">
        <v>4723</v>
      </c>
      <c r="AK3813" s="32">
        <v>9</v>
      </c>
      <c r="AQ3813" s="32" t="s">
        <v>4893</v>
      </c>
      <c r="AR3813" s="32" t="s">
        <v>5011</v>
      </c>
      <c r="AU3813">
        <v>3812</v>
      </c>
    </row>
    <row r="3814" spans="1:47" x14ac:dyDescent="0.2">
      <c r="A3814" s="13">
        <v>6709</v>
      </c>
      <c r="B3814" s="57" t="s">
        <v>45</v>
      </c>
      <c r="C3814" s="57" t="s">
        <v>142</v>
      </c>
      <c r="D3814" s="29"/>
      <c r="E3814" s="57" t="s">
        <v>4881</v>
      </c>
      <c r="F3814" s="31" t="s">
        <v>76</v>
      </c>
      <c r="G3814" s="31" t="s">
        <v>49</v>
      </c>
      <c r="I3814" s="47" t="b">
        <v>0</v>
      </c>
      <c r="J3814" s="47" t="b">
        <v>0</v>
      </c>
      <c r="K3814" s="31">
        <v>13431</v>
      </c>
      <c r="S3814" s="33">
        <v>25</v>
      </c>
      <c r="Z3814" s="31" t="s">
        <v>3855</v>
      </c>
      <c r="AE3814" s="31" t="s">
        <v>4723</v>
      </c>
      <c r="AF3814" s="31">
        <v>70</v>
      </c>
      <c r="AK3814" s="32">
        <v>197</v>
      </c>
      <c r="AQ3814" s="32" t="s">
        <v>4893</v>
      </c>
      <c r="AU3814">
        <v>3813</v>
      </c>
    </row>
    <row r="3815" spans="1:47" x14ac:dyDescent="0.2">
      <c r="A3815" s="13">
        <v>6709</v>
      </c>
      <c r="B3815" s="57" t="s">
        <v>45</v>
      </c>
      <c r="C3815" s="57" t="s">
        <v>142</v>
      </c>
      <c r="D3815" s="29"/>
      <c r="E3815" s="57" t="s">
        <v>447</v>
      </c>
      <c r="F3815" s="31" t="s">
        <v>76</v>
      </c>
      <c r="G3815" s="31" t="s">
        <v>49</v>
      </c>
      <c r="I3815" s="47" t="b">
        <v>0</v>
      </c>
      <c r="J3815" s="47" t="b">
        <v>0</v>
      </c>
      <c r="K3815" s="31">
        <v>1540</v>
      </c>
      <c r="S3815" s="33">
        <v>3</v>
      </c>
      <c r="Z3815" s="31" t="s">
        <v>3855</v>
      </c>
      <c r="AE3815" s="31" t="s">
        <v>4723</v>
      </c>
      <c r="AF3815" s="31">
        <v>75</v>
      </c>
      <c r="AK3815" s="32">
        <v>22</v>
      </c>
      <c r="AQ3815" s="32" t="s">
        <v>4893</v>
      </c>
      <c r="AU3815">
        <v>3814</v>
      </c>
    </row>
    <row r="3816" spans="1:47" x14ac:dyDescent="0.2">
      <c r="A3816" s="13">
        <v>6709</v>
      </c>
      <c r="B3816" s="57" t="s">
        <v>45</v>
      </c>
      <c r="C3816" s="57" t="s">
        <v>142</v>
      </c>
      <c r="D3816" s="29"/>
      <c r="E3816" s="57" t="s">
        <v>4908</v>
      </c>
      <c r="F3816" s="31" t="s">
        <v>76</v>
      </c>
      <c r="G3816" s="31" t="s">
        <v>49</v>
      </c>
      <c r="I3816" s="47" t="b">
        <v>0</v>
      </c>
      <c r="J3816" s="47" t="b">
        <v>0</v>
      </c>
      <c r="K3816" s="31">
        <v>1980</v>
      </c>
      <c r="S3816" s="33">
        <v>4</v>
      </c>
      <c r="Z3816" s="31" t="s">
        <v>3855</v>
      </c>
      <c r="AE3816" s="31" t="s">
        <v>4723</v>
      </c>
      <c r="AF3816" s="31">
        <v>55</v>
      </c>
      <c r="AK3816" s="32">
        <v>33</v>
      </c>
      <c r="AQ3816" s="32" t="s">
        <v>4893</v>
      </c>
      <c r="AU3816">
        <v>3815</v>
      </c>
    </row>
    <row r="3817" spans="1:47" x14ac:dyDescent="0.2">
      <c r="A3817" s="13">
        <v>6709</v>
      </c>
      <c r="B3817" s="57" t="s">
        <v>45</v>
      </c>
      <c r="C3817" s="57" t="s">
        <v>142</v>
      </c>
      <c r="D3817" s="29"/>
      <c r="E3817" s="57" t="s">
        <v>4839</v>
      </c>
      <c r="F3817" s="31" t="s">
        <v>76</v>
      </c>
      <c r="G3817" s="31" t="s">
        <v>49</v>
      </c>
      <c r="I3817" s="47" t="b">
        <v>0</v>
      </c>
      <c r="J3817" s="47" t="b">
        <v>0</v>
      </c>
      <c r="K3817" s="31">
        <v>2640</v>
      </c>
      <c r="S3817" s="33">
        <v>5</v>
      </c>
      <c r="Z3817" s="31" t="s">
        <v>3855</v>
      </c>
      <c r="AE3817" s="31" t="s">
        <v>4723</v>
      </c>
      <c r="AF3817" s="31">
        <v>60</v>
      </c>
      <c r="AK3817" s="32">
        <v>44</v>
      </c>
      <c r="AQ3817" s="32" t="s">
        <v>4893</v>
      </c>
      <c r="AU3817">
        <v>3816</v>
      </c>
    </row>
    <row r="3818" spans="1:47" x14ac:dyDescent="0.2">
      <c r="A3818" s="13">
        <v>6709</v>
      </c>
      <c r="B3818" s="57" t="s">
        <v>45</v>
      </c>
      <c r="C3818" s="57" t="s">
        <v>142</v>
      </c>
      <c r="D3818" s="29"/>
      <c r="E3818" s="57" t="s">
        <v>4969</v>
      </c>
      <c r="F3818" s="31" t="s">
        <v>76</v>
      </c>
      <c r="G3818" s="31" t="s">
        <v>49</v>
      </c>
      <c r="I3818" s="47" t="b">
        <v>0</v>
      </c>
      <c r="J3818" s="47" t="b">
        <v>0</v>
      </c>
      <c r="K3818" s="31">
        <v>2860</v>
      </c>
      <c r="S3818" s="33">
        <v>6</v>
      </c>
      <c r="Z3818" s="31" t="s">
        <v>3855</v>
      </c>
      <c r="AE3818" s="31" t="s">
        <v>4723</v>
      </c>
      <c r="AF3818" s="31">
        <v>60</v>
      </c>
      <c r="AK3818" s="32">
        <v>48</v>
      </c>
      <c r="AQ3818" s="32" t="s">
        <v>4893</v>
      </c>
      <c r="AU3818">
        <v>3817</v>
      </c>
    </row>
    <row r="3819" spans="1:47" x14ac:dyDescent="0.2">
      <c r="A3819" s="13">
        <v>6709</v>
      </c>
      <c r="B3819" s="57" t="s">
        <v>45</v>
      </c>
      <c r="C3819" s="57" t="s">
        <v>4843</v>
      </c>
      <c r="D3819" s="29"/>
      <c r="E3819" s="57" t="s">
        <v>4990</v>
      </c>
      <c r="I3819" s="31" t="s">
        <v>5012</v>
      </c>
      <c r="K3819" s="31">
        <v>3652</v>
      </c>
      <c r="S3819" s="33">
        <v>7</v>
      </c>
      <c r="Z3819" s="31" t="s">
        <v>3814</v>
      </c>
      <c r="AE3819" s="31" t="s">
        <v>4845</v>
      </c>
      <c r="AK3819" s="32">
        <v>41</v>
      </c>
      <c r="AQ3819" s="32" t="s">
        <v>4893</v>
      </c>
      <c r="AU3819">
        <v>3818</v>
      </c>
    </row>
    <row r="3820" spans="1:47" x14ac:dyDescent="0.2">
      <c r="A3820" s="13">
        <v>6709</v>
      </c>
      <c r="B3820" s="57" t="s">
        <v>45</v>
      </c>
      <c r="C3820" s="57" t="s">
        <v>4843</v>
      </c>
      <c r="D3820" s="29"/>
      <c r="E3820" s="57" t="s">
        <v>4990</v>
      </c>
      <c r="I3820" s="31" t="s">
        <v>5012</v>
      </c>
      <c r="K3820" s="31">
        <v>7348</v>
      </c>
      <c r="S3820" s="33">
        <v>11</v>
      </c>
      <c r="Z3820" s="31" t="s">
        <v>3814</v>
      </c>
      <c r="AE3820" s="31" t="s">
        <v>4845</v>
      </c>
      <c r="AK3820" s="32">
        <v>82</v>
      </c>
      <c r="AQ3820" s="32" t="s">
        <v>4893</v>
      </c>
      <c r="AU3820">
        <v>3819</v>
      </c>
    </row>
    <row r="3821" spans="1:47" x14ac:dyDescent="0.2">
      <c r="A3821" s="13">
        <v>6709</v>
      </c>
      <c r="B3821" s="57" t="s">
        <v>45</v>
      </c>
      <c r="C3821" s="57" t="s">
        <v>4179</v>
      </c>
      <c r="D3821" s="29"/>
      <c r="E3821" s="57" t="s">
        <v>1830</v>
      </c>
      <c r="F3821" s="31" t="s">
        <v>4999</v>
      </c>
      <c r="G3821" s="31" t="s">
        <v>73</v>
      </c>
      <c r="K3821" s="31">
        <v>10230</v>
      </c>
      <c r="S3821" s="33">
        <v>20</v>
      </c>
      <c r="Z3821" s="31" t="s">
        <v>3814</v>
      </c>
      <c r="AK3821" s="32">
        <v>165</v>
      </c>
      <c r="AQ3821" s="32" t="s">
        <v>4893</v>
      </c>
      <c r="AU3821">
        <v>3820</v>
      </c>
    </row>
    <row r="3822" spans="1:47" x14ac:dyDescent="0.2">
      <c r="A3822" s="13">
        <v>6709</v>
      </c>
      <c r="B3822" s="57" t="s">
        <v>45</v>
      </c>
      <c r="C3822" s="57" t="s">
        <v>4179</v>
      </c>
      <c r="D3822" s="29"/>
      <c r="E3822" s="57" t="s">
        <v>5013</v>
      </c>
      <c r="K3822" s="31">
        <v>1320</v>
      </c>
      <c r="S3822" s="33">
        <v>3</v>
      </c>
      <c r="Z3822" s="31" t="s">
        <v>3814</v>
      </c>
      <c r="AK3822" s="32">
        <v>21</v>
      </c>
      <c r="AQ3822" s="32" t="s">
        <v>4893</v>
      </c>
      <c r="AU3822">
        <v>3821</v>
      </c>
    </row>
    <row r="3823" spans="1:47" x14ac:dyDescent="0.2">
      <c r="A3823" s="13">
        <v>6709</v>
      </c>
      <c r="B3823" s="57" t="s">
        <v>45</v>
      </c>
      <c r="C3823" s="57" t="s">
        <v>4456</v>
      </c>
      <c r="D3823" s="29"/>
      <c r="E3823" s="57" t="s">
        <v>5014</v>
      </c>
      <c r="F3823" s="31" t="s">
        <v>76</v>
      </c>
      <c r="G3823" s="31" t="s">
        <v>49</v>
      </c>
      <c r="I3823" s="31" t="s">
        <v>5015</v>
      </c>
      <c r="K3823" s="135">
        <f>3*8*50*2.2</f>
        <v>2640</v>
      </c>
      <c r="L3823" s="33">
        <v>3</v>
      </c>
      <c r="S3823" s="33">
        <v>3</v>
      </c>
      <c r="T3823" s="31">
        <v>0</v>
      </c>
      <c r="U3823" s="31">
        <v>0</v>
      </c>
      <c r="V3823" s="31">
        <v>0</v>
      </c>
      <c r="W3823" s="47">
        <f>((2000+2800+2600)/3)*39.37/12</f>
        <v>8092.7222222222217</v>
      </c>
      <c r="Y3823" s="31" t="s">
        <v>51</v>
      </c>
      <c r="Z3823" s="31" t="s">
        <v>1846</v>
      </c>
      <c r="AA3823" s="34">
        <v>0.97222222222222221</v>
      </c>
      <c r="AB3823" s="34">
        <v>4.5138888888888888E-2</v>
      </c>
      <c r="AC3823" s="49">
        <f>AVERAGE(AA3823:AB3823)</f>
        <v>0.50868055555555558</v>
      </c>
      <c r="AD3823" s="35">
        <v>1.75</v>
      </c>
      <c r="AE3823" s="31" t="s">
        <v>4756</v>
      </c>
      <c r="AF3823" s="31">
        <v>55</v>
      </c>
      <c r="AK3823" s="130">
        <f>3*8</f>
        <v>24</v>
      </c>
      <c r="AQ3823" s="32" t="s">
        <v>5016</v>
      </c>
      <c r="AU3823">
        <v>3822</v>
      </c>
    </row>
    <row r="3824" spans="1:47" x14ac:dyDescent="0.2">
      <c r="A3824" s="133">
        <v>6710</v>
      </c>
      <c r="B3824" s="39" t="s">
        <v>85</v>
      </c>
      <c r="C3824" s="39">
        <v>55</v>
      </c>
      <c r="D3824" s="29" t="b">
        <v>0</v>
      </c>
      <c r="E3824" s="39" t="s">
        <v>1764</v>
      </c>
      <c r="F3824" s="47" t="s">
        <v>5017</v>
      </c>
      <c r="G3824" s="47" t="s">
        <v>49</v>
      </c>
      <c r="H3824"/>
      <c r="I3824" s="47" t="b">
        <v>0</v>
      </c>
      <c r="J3824" s="47" t="b">
        <v>1</v>
      </c>
      <c r="K3824" s="47">
        <v>2688</v>
      </c>
      <c r="L3824" s="48">
        <v>12</v>
      </c>
      <c r="M3824" s="47">
        <v>0</v>
      </c>
      <c r="N3824" s="47">
        <v>0</v>
      </c>
      <c r="O3824" s="47">
        <v>0</v>
      </c>
      <c r="P3824" s="47">
        <v>0</v>
      </c>
      <c r="Q3824" s="47">
        <v>0</v>
      </c>
      <c r="R3824" s="47">
        <v>0</v>
      </c>
      <c r="S3824" s="48">
        <v>12</v>
      </c>
      <c r="T3824" s="47">
        <v>0</v>
      </c>
      <c r="U3824" s="47">
        <v>0</v>
      </c>
      <c r="V3824" s="47">
        <v>0</v>
      </c>
      <c r="W3824" s="47">
        <v>13500</v>
      </c>
      <c r="X3824" s="47">
        <v>489</v>
      </c>
      <c r="Y3824" s="47"/>
      <c r="Z3824" s="47" t="s">
        <v>3618</v>
      </c>
      <c r="AA3824" s="49"/>
      <c r="AB3824" s="49"/>
      <c r="AC3824" s="49"/>
      <c r="AD3824" s="50"/>
      <c r="AE3824" s="47" t="s">
        <v>3798</v>
      </c>
      <c r="AF3824" s="47">
        <v>95</v>
      </c>
      <c r="AG3824"/>
      <c r="AH3824"/>
      <c r="AI3824"/>
      <c r="AJ3824"/>
      <c r="AK3824"/>
      <c r="AL3824"/>
      <c r="AM3824"/>
      <c r="AN3824"/>
      <c r="AO3824"/>
      <c r="AP3824"/>
      <c r="AQ3824" t="s">
        <v>2526</v>
      </c>
      <c r="AU3824">
        <v>3823</v>
      </c>
    </row>
    <row r="3825" spans="1:47" x14ac:dyDescent="0.2">
      <c r="A3825" s="133">
        <v>6710</v>
      </c>
      <c r="B3825" s="39" t="s">
        <v>85</v>
      </c>
      <c r="C3825" s="39" t="s">
        <v>4769</v>
      </c>
      <c r="D3825" s="29"/>
      <c r="E3825" s="38" t="s">
        <v>5018</v>
      </c>
      <c r="F3825" s="47"/>
      <c r="G3825" s="47"/>
      <c r="H3825"/>
      <c r="I3825" s="47" t="s">
        <v>5019</v>
      </c>
      <c r="J3825" s="47"/>
      <c r="K3825" s="47"/>
      <c r="L3825" s="48"/>
      <c r="M3825" s="47"/>
      <c r="N3825" s="47"/>
      <c r="O3825" s="47"/>
      <c r="P3825" s="47"/>
      <c r="Q3825" s="47"/>
      <c r="R3825" s="47"/>
      <c r="S3825" s="48"/>
      <c r="T3825" s="47">
        <v>1</v>
      </c>
      <c r="U3825" s="47"/>
      <c r="V3825" s="47"/>
      <c r="W3825" s="47"/>
      <c r="X3825" s="47"/>
      <c r="Y3825" s="47"/>
      <c r="Z3825" s="47"/>
      <c r="AA3825" s="49"/>
      <c r="AB3825" s="49"/>
      <c r="AC3825" s="49"/>
      <c r="AD3825" s="50"/>
      <c r="AE3825" s="47"/>
      <c r="AF3825" s="47"/>
      <c r="AG3825"/>
      <c r="AH3825"/>
      <c r="AI3825"/>
      <c r="AJ3825"/>
      <c r="AK3825"/>
      <c r="AL3825"/>
      <c r="AM3825"/>
      <c r="AN3825"/>
      <c r="AO3825"/>
      <c r="AP3825"/>
      <c r="AQ3825" t="s">
        <v>4967</v>
      </c>
      <c r="AU3825">
        <v>3824</v>
      </c>
    </row>
    <row r="3826" spans="1:47" x14ac:dyDescent="0.2">
      <c r="A3826" s="13">
        <v>6710</v>
      </c>
      <c r="B3826" s="57" t="s">
        <v>85</v>
      </c>
      <c r="C3826" s="57" t="s">
        <v>332</v>
      </c>
      <c r="D3826" s="29"/>
      <c r="E3826" s="57" t="s">
        <v>1576</v>
      </c>
      <c r="K3826" s="31">
        <v>270.60000000000002</v>
      </c>
      <c r="S3826" s="33">
        <v>1</v>
      </c>
      <c r="Z3826" s="31" t="s">
        <v>3724</v>
      </c>
      <c r="AE3826" s="31" t="s">
        <v>4892</v>
      </c>
      <c r="AF3826" s="31">
        <v>65</v>
      </c>
      <c r="AK3826" s="32">
        <v>6</v>
      </c>
      <c r="AQ3826" s="32" t="s">
        <v>4893</v>
      </c>
      <c r="AU3826">
        <v>3825</v>
      </c>
    </row>
    <row r="3827" spans="1:47" x14ac:dyDescent="0.2">
      <c r="A3827" s="13">
        <v>6710</v>
      </c>
      <c r="B3827" s="57" t="s">
        <v>85</v>
      </c>
      <c r="C3827" s="57" t="s">
        <v>4213</v>
      </c>
      <c r="D3827" s="29"/>
      <c r="E3827" s="57" t="s">
        <v>4993</v>
      </c>
      <c r="I3827" s="31" t="s">
        <v>4994</v>
      </c>
      <c r="K3827" s="31">
        <v>270.60000000000002</v>
      </c>
      <c r="S3827" s="33">
        <v>1</v>
      </c>
      <c r="Z3827" s="31" t="s">
        <v>3724</v>
      </c>
      <c r="AE3827" s="31" t="s">
        <v>4898</v>
      </c>
      <c r="AF3827" s="31">
        <v>12</v>
      </c>
      <c r="AK3827" s="32">
        <v>6</v>
      </c>
      <c r="AQ3827" s="32" t="s">
        <v>4893</v>
      </c>
      <c r="AU3827">
        <v>3826</v>
      </c>
    </row>
    <row r="3828" spans="1:47" x14ac:dyDescent="0.2">
      <c r="A3828" s="13">
        <v>6710</v>
      </c>
      <c r="B3828" s="57" t="s">
        <v>85</v>
      </c>
      <c r="C3828" s="57" t="s">
        <v>4213</v>
      </c>
      <c r="D3828" s="29"/>
      <c r="E3828" s="57" t="s">
        <v>5020</v>
      </c>
      <c r="I3828" s="31" t="s">
        <v>5021</v>
      </c>
      <c r="K3828" s="31">
        <v>270.60000000000002</v>
      </c>
      <c r="S3828" s="33">
        <v>1</v>
      </c>
      <c r="Z3828" s="31" t="s">
        <v>3724</v>
      </c>
      <c r="AE3828" s="31" t="s">
        <v>4898</v>
      </c>
      <c r="AK3828" s="32">
        <v>6</v>
      </c>
      <c r="AQ3828" s="32" t="s">
        <v>4893</v>
      </c>
      <c r="AU3828">
        <v>3827</v>
      </c>
    </row>
    <row r="3829" spans="1:47" x14ac:dyDescent="0.2">
      <c r="A3829" s="13">
        <v>6710</v>
      </c>
      <c r="B3829" s="57" t="s">
        <v>85</v>
      </c>
      <c r="C3829" s="57" t="s">
        <v>4213</v>
      </c>
      <c r="D3829" s="29"/>
      <c r="E3829" s="57" t="s">
        <v>1593</v>
      </c>
      <c r="K3829" s="31">
        <v>270.60000000000002</v>
      </c>
      <c r="S3829" s="33">
        <v>1</v>
      </c>
      <c r="Z3829" s="31" t="s">
        <v>3724</v>
      </c>
      <c r="AE3829" s="31" t="s">
        <v>4898</v>
      </c>
      <c r="AF3829" s="31">
        <v>30</v>
      </c>
      <c r="AK3829" s="32">
        <v>6</v>
      </c>
      <c r="AQ3829" s="32" t="s">
        <v>4893</v>
      </c>
      <c r="AU3829">
        <v>3828</v>
      </c>
    </row>
    <row r="3830" spans="1:47" x14ac:dyDescent="0.2">
      <c r="A3830" s="13">
        <v>6710</v>
      </c>
      <c r="B3830" s="57" t="s">
        <v>85</v>
      </c>
      <c r="C3830" s="57" t="s">
        <v>4213</v>
      </c>
      <c r="D3830" s="29"/>
      <c r="E3830" s="57" t="s">
        <v>4995</v>
      </c>
      <c r="K3830" s="31">
        <v>1082.4000000000001</v>
      </c>
      <c r="S3830" s="33">
        <v>3</v>
      </c>
      <c r="Z3830" s="31" t="s">
        <v>3724</v>
      </c>
      <c r="AE3830" s="31" t="s">
        <v>4898</v>
      </c>
      <c r="AF3830" s="31">
        <v>11</v>
      </c>
      <c r="AK3830" s="32">
        <v>24</v>
      </c>
      <c r="AQ3830" s="32" t="s">
        <v>4893</v>
      </c>
      <c r="AU3830">
        <v>3829</v>
      </c>
    </row>
    <row r="3831" spans="1:47" x14ac:dyDescent="0.2">
      <c r="A3831" s="13">
        <v>6710</v>
      </c>
      <c r="B3831" s="57" t="s">
        <v>85</v>
      </c>
      <c r="C3831" s="57" t="s">
        <v>4940</v>
      </c>
      <c r="D3831" s="29"/>
      <c r="E3831" s="57" t="s">
        <v>4891</v>
      </c>
      <c r="F3831" s="31" t="s">
        <v>76</v>
      </c>
      <c r="G3831" s="31" t="s">
        <v>49</v>
      </c>
      <c r="K3831" s="31">
        <v>2794</v>
      </c>
      <c r="S3831" s="33">
        <v>21</v>
      </c>
      <c r="Z3831" s="31" t="s">
        <v>3724</v>
      </c>
      <c r="AE3831" s="31" t="s">
        <v>4898</v>
      </c>
      <c r="AF3831" s="31">
        <v>15</v>
      </c>
      <c r="AK3831" s="32">
        <v>62</v>
      </c>
      <c r="AQ3831" s="32" t="s">
        <v>4893</v>
      </c>
      <c r="AU3831">
        <v>3830</v>
      </c>
    </row>
    <row r="3832" spans="1:47" x14ac:dyDescent="0.2">
      <c r="A3832" s="13">
        <v>6710</v>
      </c>
      <c r="B3832" s="57" t="s">
        <v>85</v>
      </c>
      <c r="C3832" s="57" t="s">
        <v>332</v>
      </c>
      <c r="D3832" s="29"/>
      <c r="E3832" s="57" t="s">
        <v>4881</v>
      </c>
      <c r="K3832" s="31">
        <v>4056.8</v>
      </c>
      <c r="S3832" s="33">
        <v>15</v>
      </c>
      <c r="Z3832" s="31" t="s">
        <v>3724</v>
      </c>
      <c r="AE3832" s="31" t="s">
        <v>4892</v>
      </c>
      <c r="AF3832" s="31">
        <v>65</v>
      </c>
      <c r="AK3832" s="32">
        <v>92</v>
      </c>
      <c r="AQ3832" s="32" t="s">
        <v>4893</v>
      </c>
      <c r="AU3832">
        <v>3831</v>
      </c>
    </row>
    <row r="3833" spans="1:47" x14ac:dyDescent="0.2">
      <c r="A3833" s="13">
        <v>6710</v>
      </c>
      <c r="B3833" s="57" t="s">
        <v>85</v>
      </c>
      <c r="C3833" s="57" t="s">
        <v>1077</v>
      </c>
      <c r="D3833" s="29"/>
      <c r="E3833" s="57" t="s">
        <v>4891</v>
      </c>
      <c r="F3833" s="31" t="s">
        <v>76</v>
      </c>
      <c r="G3833" s="31" t="s">
        <v>49</v>
      </c>
      <c r="I3833" s="31" t="s">
        <v>5022</v>
      </c>
      <c r="K3833" s="31">
        <v>4547.3999999999996</v>
      </c>
      <c r="S3833" s="33">
        <v>22</v>
      </c>
      <c r="Z3833" s="31" t="s">
        <v>3724</v>
      </c>
      <c r="AE3833" s="31" t="s">
        <v>4898</v>
      </c>
      <c r="AF3833" s="31">
        <v>15</v>
      </c>
      <c r="AK3833" s="32">
        <v>107</v>
      </c>
      <c r="AQ3833" s="32" t="s">
        <v>4893</v>
      </c>
      <c r="AU3833">
        <v>3832</v>
      </c>
    </row>
    <row r="3834" spans="1:47" x14ac:dyDescent="0.2">
      <c r="A3834" s="13">
        <v>6710</v>
      </c>
      <c r="B3834" s="57" t="s">
        <v>45</v>
      </c>
      <c r="C3834" s="57" t="s">
        <v>142</v>
      </c>
      <c r="D3834" s="29"/>
      <c r="E3834" s="57" t="s">
        <v>5023</v>
      </c>
      <c r="F3834" s="31" t="s">
        <v>5024</v>
      </c>
      <c r="G3834" s="31" t="s">
        <v>73</v>
      </c>
      <c r="I3834" s="31" t="s">
        <v>5025</v>
      </c>
      <c r="K3834" s="31">
        <f>13330*2.2</f>
        <v>29326.000000000004</v>
      </c>
      <c r="L3834" s="33">
        <f>47+5</f>
        <v>52</v>
      </c>
      <c r="N3834" s="31">
        <v>2</v>
      </c>
      <c r="S3834" s="33">
        <f>45+5</f>
        <v>50</v>
      </c>
      <c r="T3834" s="31">
        <v>0</v>
      </c>
      <c r="U3834" s="31">
        <v>1</v>
      </c>
      <c r="V3834" s="31">
        <v>1</v>
      </c>
      <c r="Y3834" s="31" t="s">
        <v>51</v>
      </c>
      <c r="Z3834" s="31" t="s">
        <v>3855</v>
      </c>
      <c r="AE3834" s="31" t="s">
        <v>4723</v>
      </c>
      <c r="AF3834" s="31">
        <v>70</v>
      </c>
      <c r="AK3834" s="32">
        <f>248+22+65+6+8</f>
        <v>349</v>
      </c>
      <c r="AQ3834" s="32" t="s">
        <v>5026</v>
      </c>
      <c r="AU3834">
        <v>3833</v>
      </c>
    </row>
    <row r="3835" spans="1:47" x14ac:dyDescent="0.2">
      <c r="A3835" s="13">
        <v>6710</v>
      </c>
      <c r="B3835" s="57" t="s">
        <v>45</v>
      </c>
      <c r="C3835" s="57" t="s">
        <v>5027</v>
      </c>
      <c r="D3835" s="29"/>
      <c r="E3835" s="57" t="s">
        <v>1830</v>
      </c>
      <c r="F3835" s="31" t="s">
        <v>76</v>
      </c>
      <c r="G3835" s="31" t="s">
        <v>49</v>
      </c>
      <c r="I3835" s="31" t="s">
        <v>5028</v>
      </c>
      <c r="K3835" s="31">
        <v>5544</v>
      </c>
      <c r="Z3835" s="31" t="s">
        <v>3855</v>
      </c>
      <c r="AK3835" s="32">
        <v>84</v>
      </c>
      <c r="AQ3835" s="32" t="s">
        <v>5029</v>
      </c>
      <c r="AU3835">
        <v>3834</v>
      </c>
    </row>
    <row r="3836" spans="1:47" x14ac:dyDescent="0.2">
      <c r="A3836" s="13">
        <v>6710</v>
      </c>
      <c r="B3836" s="57" t="s">
        <v>45</v>
      </c>
      <c r="C3836" s="57" t="s">
        <v>5030</v>
      </c>
      <c r="D3836" s="29"/>
      <c r="E3836" s="57" t="s">
        <v>1830</v>
      </c>
      <c r="F3836" s="31" t="s">
        <v>76</v>
      </c>
      <c r="G3836" s="31" t="s">
        <v>49</v>
      </c>
      <c r="I3836" s="31" t="s">
        <v>5031</v>
      </c>
      <c r="K3836" s="31">
        <v>6050</v>
      </c>
      <c r="Z3836" s="31" t="s">
        <v>3855</v>
      </c>
      <c r="AE3836" s="31" t="s">
        <v>3089</v>
      </c>
      <c r="AF3836" s="31">
        <v>15</v>
      </c>
      <c r="AK3836" s="32">
        <v>110</v>
      </c>
      <c r="AQ3836" s="32" t="s">
        <v>5029</v>
      </c>
      <c r="AU3836">
        <v>3835</v>
      </c>
    </row>
    <row r="3837" spans="1:47" x14ac:dyDescent="0.2">
      <c r="A3837" s="13">
        <v>6710</v>
      </c>
      <c r="B3837" s="57" t="s">
        <v>45</v>
      </c>
      <c r="C3837" s="57" t="s">
        <v>5032</v>
      </c>
      <c r="D3837" s="29"/>
      <c r="E3837" s="57" t="s">
        <v>1830</v>
      </c>
      <c r="F3837" s="31" t="s">
        <v>76</v>
      </c>
      <c r="G3837" s="31" t="s">
        <v>49</v>
      </c>
      <c r="I3837" s="31" t="s">
        <v>5033</v>
      </c>
      <c r="K3837" s="31">
        <v>7887</v>
      </c>
      <c r="Z3837" s="31" t="s">
        <v>3814</v>
      </c>
      <c r="AE3837" s="31" t="s">
        <v>5034</v>
      </c>
      <c r="AF3837" s="31">
        <v>50</v>
      </c>
      <c r="AK3837" s="32">
        <v>111</v>
      </c>
      <c r="AQ3837" s="32" t="s">
        <v>5029</v>
      </c>
      <c r="AU3837">
        <v>3836</v>
      </c>
    </row>
    <row r="3838" spans="1:47" x14ac:dyDescent="0.2">
      <c r="A3838" s="13">
        <v>6710</v>
      </c>
      <c r="B3838" s="57" t="s">
        <v>45</v>
      </c>
      <c r="C3838" s="57" t="s">
        <v>4456</v>
      </c>
      <c r="D3838" s="29"/>
      <c r="E3838" s="57" t="s">
        <v>5035</v>
      </c>
      <c r="F3838" s="31" t="s">
        <v>5036</v>
      </c>
      <c r="G3838" s="31" t="s">
        <v>73</v>
      </c>
      <c r="I3838" s="47" t="b">
        <v>1</v>
      </c>
      <c r="J3838" s="47" t="b">
        <v>1</v>
      </c>
      <c r="K3838" s="135">
        <f>2*8*50*2.2</f>
        <v>1760.0000000000002</v>
      </c>
      <c r="L3838" s="33">
        <v>5</v>
      </c>
      <c r="M3838" s="31">
        <v>2</v>
      </c>
      <c r="N3838" s="31">
        <v>1</v>
      </c>
      <c r="S3838" s="33">
        <v>2</v>
      </c>
      <c r="T3838" s="31">
        <v>0</v>
      </c>
      <c r="U3838" s="31">
        <v>1</v>
      </c>
      <c r="V3838" s="31">
        <v>0</v>
      </c>
      <c r="W3838" s="47">
        <f>1500*39.37/12</f>
        <v>4921.2499999999991</v>
      </c>
      <c r="Y3838" s="31" t="s">
        <v>51</v>
      </c>
      <c r="Z3838" s="31" t="s">
        <v>1846</v>
      </c>
      <c r="AA3838" s="34">
        <v>0.89236111111111116</v>
      </c>
      <c r="AB3838" s="34">
        <v>7.1527777777777787E-2</v>
      </c>
      <c r="AC3838" s="49">
        <f>AVERAGE(AA3838:AB3838)</f>
        <v>0.48194444444444445</v>
      </c>
      <c r="AD3838" s="35">
        <f>1+55/60</f>
        <v>1.9166666666666665</v>
      </c>
      <c r="AE3838" s="31" t="s">
        <v>4756</v>
      </c>
      <c r="AK3838" s="130">
        <f>2*8</f>
        <v>16</v>
      </c>
      <c r="AQ3838" s="32" t="s">
        <v>5037</v>
      </c>
      <c r="AR3838" s="32" t="s">
        <v>5038</v>
      </c>
      <c r="AU3838">
        <v>3837</v>
      </c>
    </row>
    <row r="3839" spans="1:47" x14ac:dyDescent="0.2">
      <c r="A3839" s="13">
        <v>6710</v>
      </c>
      <c r="B3839" s="57" t="s">
        <v>45</v>
      </c>
      <c r="C3839" s="57" t="s">
        <v>4456</v>
      </c>
      <c r="D3839" s="29"/>
      <c r="E3839" s="57" t="s">
        <v>5014</v>
      </c>
      <c r="F3839" s="31" t="s">
        <v>76</v>
      </c>
      <c r="G3839" s="31" t="s">
        <v>49</v>
      </c>
      <c r="I3839" s="47" t="b">
        <v>0</v>
      </c>
      <c r="J3839" s="47" t="b">
        <v>0</v>
      </c>
      <c r="K3839" s="135">
        <f>8*50*2.2</f>
        <v>880.00000000000011</v>
      </c>
      <c r="S3839" s="33">
        <v>1</v>
      </c>
      <c r="T3839" s="31">
        <v>0</v>
      </c>
      <c r="U3839" s="31">
        <v>0</v>
      </c>
      <c r="V3839" s="31">
        <v>0</v>
      </c>
      <c r="W3839" s="47">
        <f>1500*39.37/12</f>
        <v>4921.2499999999991</v>
      </c>
      <c r="Y3839" s="31" t="s">
        <v>51</v>
      </c>
      <c r="Z3839" s="31" t="s">
        <v>1846</v>
      </c>
      <c r="AA3839" s="34">
        <v>0.89236111111111116</v>
      </c>
      <c r="AB3839" s="34">
        <v>0.96875</v>
      </c>
      <c r="AC3839" s="49">
        <f>AVERAGE(AA3839:AB3839)</f>
        <v>0.93055555555555558</v>
      </c>
      <c r="AD3839" s="35">
        <f>1+5/6</f>
        <v>1.8333333333333335</v>
      </c>
      <c r="AE3839" s="31" t="s">
        <v>4756</v>
      </c>
      <c r="AF3839" s="31">
        <v>55</v>
      </c>
      <c r="AK3839" s="130">
        <v>8</v>
      </c>
      <c r="AQ3839" s="32" t="s">
        <v>5037</v>
      </c>
      <c r="AR3839" s="32" t="s">
        <v>5039</v>
      </c>
      <c r="AU3839">
        <v>3838</v>
      </c>
    </row>
    <row r="3840" spans="1:47" x14ac:dyDescent="0.2">
      <c r="A3840" s="13">
        <v>6710</v>
      </c>
      <c r="B3840" s="57" t="s">
        <v>45</v>
      </c>
      <c r="C3840" s="57" t="s">
        <v>4456</v>
      </c>
      <c r="D3840" s="29"/>
      <c r="E3840" s="57" t="s">
        <v>5040</v>
      </c>
      <c r="F3840" s="31" t="s">
        <v>4215</v>
      </c>
      <c r="G3840" s="31" t="s">
        <v>205</v>
      </c>
      <c r="I3840" s="47" t="b">
        <v>0</v>
      </c>
      <c r="J3840" s="47" t="b">
        <v>0</v>
      </c>
      <c r="K3840" s="135">
        <f>8*50*2.2</f>
        <v>880.00000000000011</v>
      </c>
      <c r="S3840" s="33">
        <v>1</v>
      </c>
      <c r="T3840" s="47">
        <v>0</v>
      </c>
      <c r="U3840" s="47">
        <v>0</v>
      </c>
      <c r="V3840" s="47">
        <v>0</v>
      </c>
      <c r="Y3840" s="31" t="s">
        <v>51</v>
      </c>
      <c r="Z3840" s="31" t="s">
        <v>1846</v>
      </c>
      <c r="AA3840" s="34">
        <v>0.9916666666666667</v>
      </c>
      <c r="AB3840" s="34">
        <v>7.1527777777777787E-2</v>
      </c>
      <c r="AC3840" s="49">
        <f>AVERAGE(AA3840:AB3840)</f>
        <v>0.53159722222222228</v>
      </c>
      <c r="AD3840" s="35">
        <f>1+55/60</f>
        <v>1.9166666666666665</v>
      </c>
      <c r="AE3840" s="31" t="s">
        <v>4756</v>
      </c>
      <c r="AK3840" s="130">
        <v>8</v>
      </c>
      <c r="AQ3840" s="32" t="s">
        <v>5037</v>
      </c>
      <c r="AR3840" s="32" t="s">
        <v>5041</v>
      </c>
      <c r="AU3840">
        <v>3839</v>
      </c>
    </row>
    <row r="3841" spans="1:47" x14ac:dyDescent="0.2">
      <c r="A3841" s="26">
        <v>6710</v>
      </c>
      <c r="B3841" s="27">
        <v>0.9375</v>
      </c>
      <c r="C3841" s="28"/>
      <c r="D3841" s="29"/>
      <c r="E3841" s="30" t="s">
        <v>464</v>
      </c>
      <c r="H3841" s="32">
        <v>1</v>
      </c>
      <c r="I3841" s="32" t="s">
        <v>5042</v>
      </c>
      <c r="AG3841" s="32">
        <v>0</v>
      </c>
      <c r="AH3841" s="32">
        <v>0</v>
      </c>
      <c r="AL3841" s="32">
        <f>5/6</f>
        <v>0.83333333333333337</v>
      </c>
      <c r="AO3841" s="32" t="s">
        <v>1898</v>
      </c>
      <c r="AP3841" s="32">
        <f>5/6</f>
        <v>0.83333333333333337</v>
      </c>
      <c r="AQ3841" s="32" t="s">
        <v>3652</v>
      </c>
      <c r="AU3841">
        <v>3840</v>
      </c>
    </row>
    <row r="3842" spans="1:47" x14ac:dyDescent="0.2">
      <c r="A3842" s="26">
        <v>6710</v>
      </c>
      <c r="B3842" s="27" t="s">
        <v>85</v>
      </c>
      <c r="C3842" s="28"/>
      <c r="D3842" s="29"/>
      <c r="E3842" s="30" t="s">
        <v>1461</v>
      </c>
      <c r="H3842" s="32">
        <v>1</v>
      </c>
      <c r="I3842" s="32" t="s">
        <v>5043</v>
      </c>
      <c r="AG3842" s="32">
        <v>2</v>
      </c>
      <c r="AH3842" s="74">
        <v>10</v>
      </c>
      <c r="AI3842" s="32">
        <v>18377</v>
      </c>
      <c r="AK3842" s="32">
        <v>9</v>
      </c>
      <c r="AL3842" s="32">
        <v>24</v>
      </c>
      <c r="AO3842" s="32" t="s">
        <v>1463</v>
      </c>
      <c r="AQ3842" s="32">
        <v>403</v>
      </c>
      <c r="AU3842">
        <v>3841</v>
      </c>
    </row>
    <row r="3843" spans="1:47" x14ac:dyDescent="0.2">
      <c r="A3843" s="26">
        <v>6710</v>
      </c>
      <c r="B3843" s="27"/>
      <c r="C3843" s="28"/>
      <c r="D3843" s="29"/>
      <c r="E3843" s="102" t="s">
        <v>1421</v>
      </c>
      <c r="H3843" s="32">
        <v>1</v>
      </c>
      <c r="I3843" s="32" t="s">
        <v>1422</v>
      </c>
      <c r="AK3843" s="32">
        <v>26</v>
      </c>
      <c r="AO3843" s="73"/>
      <c r="AQ3843" s="32" t="s">
        <v>589</v>
      </c>
      <c r="AU3843">
        <v>3842</v>
      </c>
    </row>
    <row r="3844" spans="1:47" x14ac:dyDescent="0.2">
      <c r="A3844" s="133">
        <v>6711</v>
      </c>
      <c r="B3844" s="39" t="s">
        <v>85</v>
      </c>
      <c r="C3844" s="39">
        <v>55</v>
      </c>
      <c r="D3844" s="29" t="b">
        <v>0</v>
      </c>
      <c r="E3844" s="39" t="s">
        <v>858</v>
      </c>
      <c r="F3844" s="47" t="s">
        <v>4077</v>
      </c>
      <c r="G3844" s="47" t="s">
        <v>49</v>
      </c>
      <c r="H3844"/>
      <c r="I3844" s="47" t="b">
        <v>0</v>
      </c>
      <c r="J3844" s="47" t="b">
        <v>1</v>
      </c>
      <c r="K3844" s="47">
        <v>2688</v>
      </c>
      <c r="L3844" s="48">
        <v>12</v>
      </c>
      <c r="M3844" s="47">
        <v>0</v>
      </c>
      <c r="N3844" s="47">
        <v>0</v>
      </c>
      <c r="O3844" s="47">
        <v>0</v>
      </c>
      <c r="P3844" s="47">
        <v>12</v>
      </c>
      <c r="Q3844" s="47">
        <v>0</v>
      </c>
      <c r="R3844" s="47">
        <v>0</v>
      </c>
      <c r="S3844" s="48">
        <v>12</v>
      </c>
      <c r="T3844" s="47">
        <v>1</v>
      </c>
      <c r="U3844" s="47">
        <v>0</v>
      </c>
      <c r="V3844" s="47">
        <v>0</v>
      </c>
      <c r="W3844" s="47">
        <v>13000</v>
      </c>
      <c r="X3844" s="47">
        <v>490</v>
      </c>
      <c r="Y3844" s="47"/>
      <c r="Z3844" s="47" t="s">
        <v>3618</v>
      </c>
      <c r="AA3844" s="49"/>
      <c r="AB3844" s="49"/>
      <c r="AC3844" s="49"/>
      <c r="AD3844" s="50"/>
      <c r="AE3844" s="47" t="s">
        <v>3798</v>
      </c>
      <c r="AF3844" s="47">
        <v>105</v>
      </c>
      <c r="AG3844"/>
      <c r="AH3844"/>
      <c r="AI3844"/>
      <c r="AJ3844"/>
      <c r="AK3844"/>
      <c r="AL3844"/>
      <c r="AM3844"/>
      <c r="AN3844"/>
      <c r="AO3844"/>
      <c r="AP3844"/>
      <c r="AQ3844" t="s">
        <v>2526</v>
      </c>
      <c r="AU3844">
        <v>3843</v>
      </c>
    </row>
    <row r="3845" spans="1:47" x14ac:dyDescent="0.2">
      <c r="A3845" s="37">
        <v>6711</v>
      </c>
      <c r="B3845" s="38" t="s">
        <v>85</v>
      </c>
      <c r="C3845" s="39" t="s">
        <v>4940</v>
      </c>
      <c r="D3845" s="29"/>
      <c r="E3845" s="38" t="s">
        <v>5044</v>
      </c>
      <c r="F3845" s="32" t="s">
        <v>5045</v>
      </c>
      <c r="G3845" s="47" t="s">
        <v>205</v>
      </c>
      <c r="H3845"/>
      <c r="I3845" s="32" t="s">
        <v>5046</v>
      </c>
      <c r="J3845" s="47"/>
      <c r="K3845" s="47">
        <f>2312*2.2</f>
        <v>5086.4000000000005</v>
      </c>
      <c r="L3845" s="48"/>
      <c r="M3845" s="47"/>
      <c r="N3845" s="47"/>
      <c r="O3845" s="47"/>
      <c r="P3845" s="47"/>
      <c r="Q3845" s="47"/>
      <c r="R3845" s="47"/>
      <c r="S3845" s="48">
        <v>23</v>
      </c>
      <c r="T3845" s="47">
        <v>1</v>
      </c>
      <c r="U3845" s="47"/>
      <c r="V3845" s="47"/>
      <c r="W3845" s="47"/>
      <c r="X3845" s="47"/>
      <c r="Y3845" s="47"/>
      <c r="Z3845" s="31" t="s">
        <v>3724</v>
      </c>
      <c r="AA3845" s="49"/>
      <c r="AB3845" s="49"/>
      <c r="AC3845" s="49"/>
      <c r="AD3845" s="50"/>
      <c r="AE3845" s="31" t="s">
        <v>4898</v>
      </c>
      <c r="AF3845" s="47">
        <v>15</v>
      </c>
      <c r="AG3845"/>
      <c r="AH3845"/>
      <c r="AI3845"/>
      <c r="AJ3845"/>
      <c r="AK3845"/>
      <c r="AL3845"/>
      <c r="AM3845"/>
      <c r="AN3845"/>
      <c r="AO3845"/>
      <c r="AP3845"/>
      <c r="AQ3845" t="s">
        <v>4930</v>
      </c>
      <c r="AU3845">
        <v>3844</v>
      </c>
    </row>
    <row r="3846" spans="1:47" x14ac:dyDescent="0.2">
      <c r="A3846" s="37">
        <v>6711</v>
      </c>
      <c r="B3846" s="38" t="s">
        <v>85</v>
      </c>
      <c r="C3846" s="39" t="s">
        <v>332</v>
      </c>
      <c r="D3846" s="29"/>
      <c r="E3846" s="38" t="s">
        <v>1593</v>
      </c>
      <c r="F3846" s="32" t="s">
        <v>150</v>
      </c>
      <c r="G3846" s="47" t="s">
        <v>49</v>
      </c>
      <c r="H3846"/>
      <c r="I3846" s="32" t="s">
        <v>5047</v>
      </c>
      <c r="J3846" s="47"/>
      <c r="K3846" s="47"/>
      <c r="L3846" s="48">
        <v>23</v>
      </c>
      <c r="M3846" s="47"/>
      <c r="N3846" s="47"/>
      <c r="O3846" s="47"/>
      <c r="P3846" s="47"/>
      <c r="Q3846" s="47"/>
      <c r="R3846" s="47"/>
      <c r="S3846" s="48">
        <v>23</v>
      </c>
      <c r="T3846" s="47"/>
      <c r="U3846" s="47"/>
      <c r="V3846" s="47"/>
      <c r="W3846" s="47">
        <f>4500*39/12</f>
        <v>14625</v>
      </c>
      <c r="X3846" s="47"/>
      <c r="Y3846" s="47" t="s">
        <v>51</v>
      </c>
      <c r="Z3846" s="31" t="s">
        <v>3724</v>
      </c>
      <c r="AA3846" s="49"/>
      <c r="AB3846" s="49"/>
      <c r="AC3846" s="49"/>
      <c r="AD3846" s="50"/>
      <c r="AE3846" s="31" t="s">
        <v>4892</v>
      </c>
      <c r="AF3846" s="47">
        <v>55</v>
      </c>
      <c r="AG3846"/>
      <c r="AH3846"/>
      <c r="AI3846"/>
      <c r="AJ3846"/>
      <c r="AK3846"/>
      <c r="AL3846"/>
      <c r="AM3846"/>
      <c r="AN3846"/>
      <c r="AO3846"/>
      <c r="AP3846"/>
      <c r="AQ3846" t="s">
        <v>5048</v>
      </c>
      <c r="AU3846">
        <v>3845</v>
      </c>
    </row>
    <row r="3847" spans="1:47" x14ac:dyDescent="0.2">
      <c r="A3847" s="37">
        <v>6711</v>
      </c>
      <c r="B3847" s="57" t="s">
        <v>45</v>
      </c>
      <c r="C3847" s="57" t="s">
        <v>142</v>
      </c>
      <c r="D3847" s="29"/>
      <c r="E3847" s="38" t="s">
        <v>5049</v>
      </c>
      <c r="F3847" s="31" t="s">
        <v>5050</v>
      </c>
      <c r="G3847" s="47" t="s">
        <v>49</v>
      </c>
      <c r="H3847"/>
      <c r="I3847" s="32" t="s">
        <v>5051</v>
      </c>
      <c r="J3847" s="47"/>
      <c r="K3847" s="31">
        <f>12630*2.2</f>
        <v>27786.000000000004</v>
      </c>
      <c r="L3847" s="47">
        <f>47+14</f>
        <v>61</v>
      </c>
      <c r="M3847" s="47"/>
      <c r="N3847" s="47">
        <v>3</v>
      </c>
      <c r="O3847" s="47"/>
      <c r="P3847" s="47"/>
      <c r="Q3847" s="47"/>
      <c r="R3847" s="47"/>
      <c r="S3847" s="48">
        <f>44+14</f>
        <v>58</v>
      </c>
      <c r="T3847" s="47">
        <v>0</v>
      </c>
      <c r="U3847" s="47">
        <v>0</v>
      </c>
      <c r="V3847" s="47">
        <v>0</v>
      </c>
      <c r="W3847" s="47"/>
      <c r="X3847" s="47"/>
      <c r="Y3847" s="47" t="s">
        <v>51</v>
      </c>
      <c r="Z3847" s="31" t="s">
        <v>3855</v>
      </c>
      <c r="AA3847" s="49"/>
      <c r="AB3847" s="49"/>
      <c r="AC3847" s="49"/>
      <c r="AD3847" s="50"/>
      <c r="AE3847" s="31" t="s">
        <v>4723</v>
      </c>
      <c r="AF3847" s="47">
        <v>75</v>
      </c>
      <c r="AG3847"/>
      <c r="AH3847"/>
      <c r="AI3847"/>
      <c r="AJ3847"/>
      <c r="AK3847">
        <f>216+106+61+8+6</f>
        <v>397</v>
      </c>
      <c r="AL3847"/>
      <c r="AM3847"/>
      <c r="AN3847"/>
      <c r="AO3847"/>
      <c r="AP3847"/>
      <c r="AQ3847" s="32" t="s">
        <v>5052</v>
      </c>
      <c r="AU3847">
        <v>3846</v>
      </c>
    </row>
    <row r="3848" spans="1:47" x14ac:dyDescent="0.2">
      <c r="A3848" s="37">
        <v>6711</v>
      </c>
      <c r="B3848" s="57" t="s">
        <v>45</v>
      </c>
      <c r="C3848" s="57" t="s">
        <v>4456</v>
      </c>
      <c r="D3848" s="29"/>
      <c r="E3848" s="57" t="s">
        <v>5040</v>
      </c>
      <c r="F3848" s="31" t="s">
        <v>204</v>
      </c>
      <c r="G3848" s="31" t="s">
        <v>205</v>
      </c>
      <c r="H3848"/>
      <c r="I3848" s="137" t="s">
        <v>5053</v>
      </c>
      <c r="J3848" s="47"/>
      <c r="K3848" s="135">
        <f>8*50*2.2</f>
        <v>880.00000000000011</v>
      </c>
      <c r="L3848" s="47">
        <v>1</v>
      </c>
      <c r="M3848" s="47"/>
      <c r="N3848" s="47"/>
      <c r="O3848" s="47"/>
      <c r="P3848" s="47"/>
      <c r="Q3848" s="47"/>
      <c r="R3848" s="47"/>
      <c r="S3848" s="47">
        <v>1</v>
      </c>
      <c r="T3848" s="47">
        <v>0</v>
      </c>
      <c r="U3848" s="47">
        <v>0</v>
      </c>
      <c r="V3848" s="47">
        <v>0</v>
      </c>
      <c r="W3848" s="47">
        <f>3000*39.37/12</f>
        <v>9842.4999999999982</v>
      </c>
      <c r="X3848" s="47"/>
      <c r="Y3848" s="31" t="s">
        <v>51</v>
      </c>
      <c r="Z3848" s="31" t="s">
        <v>1846</v>
      </c>
      <c r="AA3848" s="34">
        <v>0.88888888888888884</v>
      </c>
      <c r="AB3848" s="34">
        <v>0.95486111111111116</v>
      </c>
      <c r="AC3848" s="49">
        <f>AVERAGE(AA3848:AB3848)</f>
        <v>0.921875</v>
      </c>
      <c r="AD3848" s="35">
        <f>1+35/60</f>
        <v>1.5833333333333335</v>
      </c>
      <c r="AE3848" s="31" t="s">
        <v>4756</v>
      </c>
      <c r="AF3848" s="47"/>
      <c r="AG3848"/>
      <c r="AH3848"/>
      <c r="AI3848"/>
      <c r="AJ3848"/>
      <c r="AK3848" s="136">
        <v>8</v>
      </c>
      <c r="AL3848"/>
      <c r="AM3848"/>
      <c r="AN3848"/>
      <c r="AO3848"/>
      <c r="AP3848"/>
      <c r="AQ3848" s="32" t="s">
        <v>5037</v>
      </c>
      <c r="AU3848">
        <v>3847</v>
      </c>
    </row>
    <row r="3849" spans="1:47" x14ac:dyDescent="0.2">
      <c r="A3849" s="37">
        <v>6711</v>
      </c>
      <c r="B3849" s="57" t="s">
        <v>45</v>
      </c>
      <c r="C3849" s="57" t="s">
        <v>4456</v>
      </c>
      <c r="D3849" s="29"/>
      <c r="E3849" s="38" t="s">
        <v>3816</v>
      </c>
      <c r="F3849" s="31" t="s">
        <v>76</v>
      </c>
      <c r="G3849" s="47" t="s">
        <v>49</v>
      </c>
      <c r="H3849"/>
      <c r="I3849" s="32" t="s">
        <v>5054</v>
      </c>
      <c r="J3849" s="47"/>
      <c r="K3849" s="135">
        <f>8*50*2.2</f>
        <v>880.00000000000011</v>
      </c>
      <c r="L3849" s="47">
        <v>1</v>
      </c>
      <c r="M3849" s="47"/>
      <c r="N3849" s="47"/>
      <c r="O3849" s="47"/>
      <c r="P3849" s="47"/>
      <c r="Q3849" s="47"/>
      <c r="R3849" s="47"/>
      <c r="S3849" s="47">
        <v>1</v>
      </c>
      <c r="T3849" s="47">
        <v>0</v>
      </c>
      <c r="U3849" s="47">
        <v>0</v>
      </c>
      <c r="V3849" s="47">
        <v>0</v>
      </c>
      <c r="W3849" s="47">
        <f>1200*39.37/12</f>
        <v>3937</v>
      </c>
      <c r="X3849" s="47"/>
      <c r="Y3849" s="31" t="s">
        <v>51</v>
      </c>
      <c r="Z3849" s="31" t="s">
        <v>1846</v>
      </c>
      <c r="AA3849" s="34">
        <v>0.89236111111111116</v>
      </c>
      <c r="AB3849" s="34">
        <v>0.98958333333333337</v>
      </c>
      <c r="AC3849" s="49">
        <f>AVERAGE(AA3849:AB3849)</f>
        <v>0.94097222222222232</v>
      </c>
      <c r="AD3849" s="35">
        <v>2.33</v>
      </c>
      <c r="AE3849" s="31" t="s">
        <v>4756</v>
      </c>
      <c r="AF3849" s="47">
        <v>110</v>
      </c>
      <c r="AG3849"/>
      <c r="AH3849"/>
      <c r="AI3849"/>
      <c r="AJ3849"/>
      <c r="AK3849" s="136">
        <v>8</v>
      </c>
      <c r="AL3849"/>
      <c r="AM3849"/>
      <c r="AN3849"/>
      <c r="AO3849"/>
      <c r="AP3849"/>
      <c r="AQ3849" s="32" t="s">
        <v>5037</v>
      </c>
      <c r="AU3849">
        <v>3848</v>
      </c>
    </row>
    <row r="3850" spans="1:47" x14ac:dyDescent="0.2">
      <c r="A3850" s="37">
        <v>6711</v>
      </c>
      <c r="B3850" s="57" t="s">
        <v>45</v>
      </c>
      <c r="C3850" s="57" t="s">
        <v>4456</v>
      </c>
      <c r="D3850" s="29"/>
      <c r="E3850" s="38" t="s">
        <v>4197</v>
      </c>
      <c r="F3850" s="31" t="s">
        <v>204</v>
      </c>
      <c r="G3850" s="47" t="s">
        <v>205</v>
      </c>
      <c r="H3850"/>
      <c r="I3850" s="32" t="s">
        <v>5055</v>
      </c>
      <c r="J3850" s="47"/>
      <c r="K3850" s="135">
        <f>(2*8*50 + 440)*2.2</f>
        <v>2728</v>
      </c>
      <c r="L3850" s="47">
        <v>3</v>
      </c>
      <c r="M3850" s="47"/>
      <c r="N3850" s="47"/>
      <c r="O3850" s="47"/>
      <c r="P3850" s="47"/>
      <c r="Q3850" s="47"/>
      <c r="R3850" s="47"/>
      <c r="S3850" s="47">
        <v>3</v>
      </c>
      <c r="T3850" s="47">
        <v>0</v>
      </c>
      <c r="U3850" s="47">
        <v>0</v>
      </c>
      <c r="V3850" s="47">
        <v>0</v>
      </c>
      <c r="W3850" s="47">
        <f>((2600+2600+2300)/3)*39.37/12</f>
        <v>8202.0833333333339</v>
      </c>
      <c r="X3850" s="47"/>
      <c r="Y3850" s="31" t="s">
        <v>51</v>
      </c>
      <c r="Z3850" s="31" t="s">
        <v>1846</v>
      </c>
      <c r="AA3850" s="34">
        <v>0.89236111111111116</v>
      </c>
      <c r="AB3850" s="34">
        <v>0.1111111111111111</v>
      </c>
      <c r="AC3850" s="49">
        <f>AVERAGE(AA3850:AB3850)</f>
        <v>0.50173611111111116</v>
      </c>
      <c r="AD3850" s="35">
        <v>1.67</v>
      </c>
      <c r="AE3850" s="31" t="s">
        <v>4756</v>
      </c>
      <c r="AF3850" s="47">
        <v>80</v>
      </c>
      <c r="AG3850"/>
      <c r="AH3850"/>
      <c r="AI3850"/>
      <c r="AJ3850"/>
      <c r="AK3850" s="136">
        <v>25</v>
      </c>
      <c r="AL3850"/>
      <c r="AM3850"/>
      <c r="AN3850"/>
      <c r="AO3850"/>
      <c r="AP3850"/>
      <c r="AQ3850" s="32" t="s">
        <v>5037</v>
      </c>
      <c r="AU3850">
        <v>3849</v>
      </c>
    </row>
    <row r="3851" spans="1:47" x14ac:dyDescent="0.2">
      <c r="A3851" s="26">
        <v>6711</v>
      </c>
      <c r="B3851" s="27">
        <v>0.40277777777777773</v>
      </c>
      <c r="C3851" s="28"/>
      <c r="D3851" s="29"/>
      <c r="E3851" s="30" t="s">
        <v>4219</v>
      </c>
      <c r="H3851" s="32">
        <v>0</v>
      </c>
      <c r="I3851" s="32" t="s">
        <v>4249</v>
      </c>
      <c r="AG3851" s="32">
        <v>0</v>
      </c>
      <c r="AH3851" s="32">
        <v>0</v>
      </c>
      <c r="AI3851" s="32">
        <v>0</v>
      </c>
      <c r="AK3851" s="32">
        <v>0</v>
      </c>
      <c r="AL3851" s="32">
        <v>0.33300000000000002</v>
      </c>
      <c r="AO3851" s="32" t="s">
        <v>858</v>
      </c>
      <c r="AP3851" s="32">
        <v>0.33300000000000002</v>
      </c>
      <c r="AQ3851" s="32" t="s">
        <v>1101</v>
      </c>
      <c r="AU3851">
        <v>3850</v>
      </c>
    </row>
    <row r="3852" spans="1:47" x14ac:dyDescent="0.2">
      <c r="A3852" s="26">
        <v>6711</v>
      </c>
      <c r="B3852" s="27">
        <v>0.40972222222222227</v>
      </c>
      <c r="C3852" s="28"/>
      <c r="D3852" s="29"/>
      <c r="E3852" s="30" t="s">
        <v>3737</v>
      </c>
      <c r="H3852" s="32">
        <v>0</v>
      </c>
      <c r="I3852" s="32" t="s">
        <v>4926</v>
      </c>
      <c r="AG3852" s="32">
        <v>0</v>
      </c>
      <c r="AH3852" s="32">
        <v>0</v>
      </c>
      <c r="AI3852" s="32">
        <v>0</v>
      </c>
      <c r="AK3852" s="32">
        <v>0</v>
      </c>
      <c r="AL3852" s="32">
        <f>50/60</f>
        <v>0.83333333333333337</v>
      </c>
      <c r="AM3852" s="33">
        <f>(3125+3691)*AL3852</f>
        <v>5680</v>
      </c>
      <c r="AP3852" s="32">
        <f>50/60</f>
        <v>0.83333333333333337</v>
      </c>
      <c r="AQ3852" s="32" t="s">
        <v>1101</v>
      </c>
      <c r="AU3852">
        <v>3851</v>
      </c>
    </row>
    <row r="3853" spans="1:47" x14ac:dyDescent="0.2">
      <c r="A3853" s="26">
        <v>6711</v>
      </c>
      <c r="B3853" s="27">
        <v>0.42152777777777778</v>
      </c>
      <c r="C3853" s="28"/>
      <c r="D3853" s="29"/>
      <c r="E3853" s="30" t="s">
        <v>3155</v>
      </c>
      <c r="H3853" s="32">
        <v>0</v>
      </c>
      <c r="I3853" s="32" t="s">
        <v>5056</v>
      </c>
      <c r="AG3853" s="32">
        <v>0</v>
      </c>
      <c r="AH3853" s="32">
        <v>0</v>
      </c>
      <c r="AI3853" s="32">
        <v>0</v>
      </c>
      <c r="AK3853" s="32">
        <v>0</v>
      </c>
      <c r="AP3853" s="32">
        <f>52/60</f>
        <v>0.8666666666666667</v>
      </c>
      <c r="AQ3853" s="32" t="s">
        <v>1101</v>
      </c>
      <c r="AU3853">
        <v>3852</v>
      </c>
    </row>
    <row r="3854" spans="1:47" x14ac:dyDescent="0.2">
      <c r="A3854" s="26">
        <v>6711</v>
      </c>
      <c r="B3854" s="27">
        <v>0.90347222222222223</v>
      </c>
      <c r="C3854" s="28"/>
      <c r="D3854" s="29"/>
      <c r="E3854" s="30" t="s">
        <v>869</v>
      </c>
      <c r="H3854" s="32">
        <v>0</v>
      </c>
      <c r="I3854" s="32" t="s">
        <v>5057</v>
      </c>
      <c r="AG3854" s="32">
        <v>0</v>
      </c>
      <c r="AH3854" s="32">
        <v>0</v>
      </c>
      <c r="AI3854" s="32">
        <v>0</v>
      </c>
      <c r="AK3854" s="32">
        <v>0</v>
      </c>
      <c r="AL3854" s="32">
        <f>32/60</f>
        <v>0.53333333333333333</v>
      </c>
      <c r="AP3854" s="32">
        <f>32/60</f>
        <v>0.53333333333333333</v>
      </c>
      <c r="AQ3854" s="32" t="s">
        <v>589</v>
      </c>
      <c r="AU3854">
        <v>3853</v>
      </c>
    </row>
    <row r="3855" spans="1:47" x14ac:dyDescent="0.2">
      <c r="A3855" s="26">
        <v>6711</v>
      </c>
      <c r="B3855" s="27" t="s">
        <v>85</v>
      </c>
      <c r="C3855" s="28"/>
      <c r="D3855" s="29"/>
      <c r="E3855" s="30" t="s">
        <v>858</v>
      </c>
      <c r="H3855" s="32">
        <v>1</v>
      </c>
      <c r="I3855" s="32" t="s">
        <v>5058</v>
      </c>
      <c r="AG3855" s="32">
        <v>11</v>
      </c>
      <c r="AH3855" s="32">
        <v>49</v>
      </c>
      <c r="AI3855" s="32">
        <v>57000</v>
      </c>
      <c r="AK3855" s="32">
        <v>15</v>
      </c>
      <c r="AL3855" s="32">
        <v>8</v>
      </c>
      <c r="AQ3855" s="32" t="s">
        <v>5059</v>
      </c>
      <c r="AU3855">
        <v>3854</v>
      </c>
    </row>
    <row r="3856" spans="1:47" x14ac:dyDescent="0.2">
      <c r="A3856" s="133">
        <v>6712</v>
      </c>
      <c r="B3856" s="39" t="s">
        <v>85</v>
      </c>
      <c r="C3856" s="39">
        <v>55</v>
      </c>
      <c r="D3856" s="29" t="b">
        <v>0</v>
      </c>
      <c r="E3856" s="39" t="s">
        <v>364</v>
      </c>
      <c r="F3856" s="47" t="s">
        <v>4077</v>
      </c>
      <c r="G3856" s="47" t="s">
        <v>49</v>
      </c>
      <c r="H3856"/>
      <c r="I3856" s="47" t="b">
        <v>0</v>
      </c>
      <c r="J3856" s="47" t="b">
        <v>1</v>
      </c>
      <c r="K3856" s="47">
        <v>2688</v>
      </c>
      <c r="L3856" s="48">
        <v>12</v>
      </c>
      <c r="M3856" s="47">
        <v>0</v>
      </c>
      <c r="N3856" s="47">
        <v>0</v>
      </c>
      <c r="O3856" s="47">
        <v>0</v>
      </c>
      <c r="P3856" s="47">
        <v>12</v>
      </c>
      <c r="Q3856" s="47">
        <v>0</v>
      </c>
      <c r="R3856" s="47">
        <v>0</v>
      </c>
      <c r="S3856" s="48">
        <v>12</v>
      </c>
      <c r="T3856" s="47">
        <v>0</v>
      </c>
      <c r="U3856" s="47">
        <v>0</v>
      </c>
      <c r="V3856" s="47">
        <v>0</v>
      </c>
      <c r="W3856" s="47">
        <v>14000</v>
      </c>
      <c r="X3856" s="47">
        <v>491</v>
      </c>
      <c r="Y3856" s="47"/>
      <c r="Z3856" s="47" t="s">
        <v>3618</v>
      </c>
      <c r="AA3856" s="49"/>
      <c r="AB3856" s="49"/>
      <c r="AC3856" s="49"/>
      <c r="AD3856" s="50"/>
      <c r="AE3856" s="47" t="s">
        <v>3798</v>
      </c>
      <c r="AF3856" s="47">
        <v>70</v>
      </c>
      <c r="AG3856"/>
      <c r="AH3856"/>
      <c r="AI3856"/>
      <c r="AJ3856"/>
      <c r="AK3856"/>
      <c r="AL3856"/>
      <c r="AM3856"/>
      <c r="AN3856"/>
      <c r="AO3856"/>
      <c r="AP3856"/>
      <c r="AQ3856" t="s">
        <v>2526</v>
      </c>
      <c r="AU3856">
        <v>3855</v>
      </c>
    </row>
    <row r="3857" spans="1:47" x14ac:dyDescent="0.2">
      <c r="A3857" s="133">
        <v>6712</v>
      </c>
      <c r="B3857" s="39" t="s">
        <v>85</v>
      </c>
      <c r="C3857" s="39" t="s">
        <v>1077</v>
      </c>
      <c r="D3857" s="29"/>
      <c r="E3857" s="39" t="s">
        <v>5044</v>
      </c>
      <c r="F3857" s="47" t="s">
        <v>5060</v>
      </c>
      <c r="G3857" s="47" t="s">
        <v>205</v>
      </c>
      <c r="H3857"/>
      <c r="I3857" s="47" t="s">
        <v>5061</v>
      </c>
      <c r="J3857" s="47"/>
      <c r="K3857" s="47"/>
      <c r="L3857" s="48"/>
      <c r="M3857" s="47"/>
      <c r="N3857" s="47"/>
      <c r="O3857" s="47"/>
      <c r="P3857" s="47"/>
      <c r="Q3857" s="47"/>
      <c r="R3857" s="47"/>
      <c r="S3857" s="48">
        <v>19</v>
      </c>
      <c r="T3857" s="47">
        <v>2</v>
      </c>
      <c r="U3857" s="47"/>
      <c r="V3857" s="47"/>
      <c r="W3857" s="47"/>
      <c r="X3857" s="47"/>
      <c r="Y3857" s="47"/>
      <c r="Z3857" s="31" t="s">
        <v>3724</v>
      </c>
      <c r="AA3857" s="49"/>
      <c r="AB3857" s="49"/>
      <c r="AC3857" s="49"/>
      <c r="AD3857" s="50"/>
      <c r="AE3857" s="31" t="s">
        <v>4898</v>
      </c>
      <c r="AF3857" s="47">
        <v>15</v>
      </c>
      <c r="AG3857"/>
      <c r="AH3857"/>
      <c r="AI3857"/>
      <c r="AJ3857"/>
      <c r="AK3857"/>
      <c r="AL3857"/>
      <c r="AM3857"/>
      <c r="AN3857"/>
      <c r="AO3857"/>
      <c r="AP3857"/>
      <c r="AQ3857" t="s">
        <v>5062</v>
      </c>
      <c r="AU3857">
        <v>3856</v>
      </c>
    </row>
    <row r="3858" spans="1:47" x14ac:dyDescent="0.2">
      <c r="A3858" s="133">
        <v>6712</v>
      </c>
      <c r="B3858" s="39" t="s">
        <v>45</v>
      </c>
      <c r="C3858" s="39">
        <v>100</v>
      </c>
      <c r="D3858" s="29" t="b">
        <v>0</v>
      </c>
      <c r="E3858" s="39" t="s">
        <v>5063</v>
      </c>
      <c r="F3858" s="47" t="s">
        <v>5064</v>
      </c>
      <c r="G3858" s="47" t="s">
        <v>49</v>
      </c>
      <c r="H3858"/>
      <c r="I3858" s="47" t="b">
        <v>1</v>
      </c>
      <c r="J3858" s="47" t="b">
        <v>1</v>
      </c>
      <c r="K3858" s="47">
        <v>2240</v>
      </c>
      <c r="L3858" s="48">
        <v>13</v>
      </c>
      <c r="M3858" s="47">
        <v>0</v>
      </c>
      <c r="N3858" s="47">
        <v>1</v>
      </c>
      <c r="O3858" s="47">
        <v>0</v>
      </c>
      <c r="P3858" s="47">
        <v>4</v>
      </c>
      <c r="Q3858" s="47">
        <v>0</v>
      </c>
      <c r="R3858" s="47">
        <v>0</v>
      </c>
      <c r="S3858" s="48">
        <v>10</v>
      </c>
      <c r="T3858" s="47">
        <v>1</v>
      </c>
      <c r="U3858" s="47">
        <v>0</v>
      </c>
      <c r="V3858" s="47">
        <v>1</v>
      </c>
      <c r="W3858" s="47">
        <v>1050</v>
      </c>
      <c r="X3858" s="47">
        <v>492</v>
      </c>
      <c r="Y3858" s="47"/>
      <c r="Z3858" s="47" t="s">
        <v>2524</v>
      </c>
      <c r="AA3858" s="49"/>
      <c r="AB3858" s="49"/>
      <c r="AC3858" s="49"/>
      <c r="AD3858" s="50"/>
      <c r="AE3858" s="47" t="s">
        <v>1312</v>
      </c>
      <c r="AF3858" s="47">
        <v>85</v>
      </c>
      <c r="AG3858"/>
      <c r="AH3858"/>
      <c r="AI3858"/>
      <c r="AJ3858"/>
      <c r="AK3858"/>
      <c r="AL3858"/>
      <c r="AM3858"/>
      <c r="AN3858"/>
      <c r="AO3858"/>
      <c r="AP3858"/>
      <c r="AQ3858" t="s">
        <v>2526</v>
      </c>
      <c r="AU3858">
        <v>3857</v>
      </c>
    </row>
    <row r="3859" spans="1:47" x14ac:dyDescent="0.2">
      <c r="A3859" s="133">
        <v>6712</v>
      </c>
      <c r="B3859" s="39" t="s">
        <v>45</v>
      </c>
      <c r="C3859" s="39">
        <v>100</v>
      </c>
      <c r="D3859" s="29" t="b">
        <v>0</v>
      </c>
      <c r="E3859" s="39" t="s">
        <v>1764</v>
      </c>
      <c r="F3859" s="47" t="s">
        <v>5064</v>
      </c>
      <c r="G3859" s="47" t="s">
        <v>49</v>
      </c>
      <c r="H3859"/>
      <c r="I3859" s="47" t="b">
        <v>0</v>
      </c>
      <c r="J3859" s="47" t="b">
        <v>0</v>
      </c>
      <c r="K3859" s="47">
        <v>1568</v>
      </c>
      <c r="L3859" s="48">
        <v>13</v>
      </c>
      <c r="M3859" s="47">
        <v>0</v>
      </c>
      <c r="N3859" s="47">
        <v>1</v>
      </c>
      <c r="O3859" s="47">
        <v>0</v>
      </c>
      <c r="P3859" s="47">
        <v>4</v>
      </c>
      <c r="Q3859" s="47">
        <v>0</v>
      </c>
      <c r="R3859" s="47">
        <v>0</v>
      </c>
      <c r="S3859" s="48">
        <v>7</v>
      </c>
      <c r="T3859" s="47">
        <v>1</v>
      </c>
      <c r="U3859" s="47">
        <v>0</v>
      </c>
      <c r="V3859" s="47">
        <v>1</v>
      </c>
      <c r="W3859" s="47">
        <v>1050</v>
      </c>
      <c r="X3859" s="47">
        <v>493</v>
      </c>
      <c r="Y3859" s="47"/>
      <c r="Z3859" s="47" t="s">
        <v>2524</v>
      </c>
      <c r="AA3859" s="49"/>
      <c r="AB3859" s="49"/>
      <c r="AC3859" s="49"/>
      <c r="AD3859" s="50"/>
      <c r="AE3859" s="47" t="s">
        <v>1312</v>
      </c>
      <c r="AF3859" s="31">
        <v>85</v>
      </c>
      <c r="AG3859"/>
      <c r="AH3859"/>
      <c r="AI3859"/>
      <c r="AJ3859"/>
      <c r="AK3859"/>
      <c r="AL3859"/>
      <c r="AM3859"/>
      <c r="AN3859"/>
      <c r="AO3859"/>
      <c r="AP3859"/>
      <c r="AQ3859" t="s">
        <v>2526</v>
      </c>
      <c r="AU3859">
        <v>3858</v>
      </c>
    </row>
    <row r="3860" spans="1:47" x14ac:dyDescent="0.2">
      <c r="A3860" s="133">
        <v>6712</v>
      </c>
      <c r="B3860" s="39" t="s">
        <v>45</v>
      </c>
      <c r="C3860" s="39">
        <v>100</v>
      </c>
      <c r="D3860" s="29" t="b">
        <v>0</v>
      </c>
      <c r="E3860" s="39" t="s">
        <v>5065</v>
      </c>
      <c r="F3860" s="47" t="s">
        <v>3992</v>
      </c>
      <c r="G3860" s="47" t="s">
        <v>49</v>
      </c>
      <c r="H3860"/>
      <c r="I3860" s="47" t="b">
        <v>0</v>
      </c>
      <c r="J3860" s="47" t="b">
        <v>0</v>
      </c>
      <c r="K3860" s="47">
        <v>672</v>
      </c>
      <c r="L3860" s="48">
        <v>13</v>
      </c>
      <c r="M3860" s="47">
        <v>0</v>
      </c>
      <c r="N3860" s="47">
        <v>1</v>
      </c>
      <c r="O3860" s="47">
        <v>0</v>
      </c>
      <c r="P3860" s="47">
        <v>4</v>
      </c>
      <c r="Q3860" s="47">
        <v>0</v>
      </c>
      <c r="R3860" s="47">
        <v>0</v>
      </c>
      <c r="S3860" s="48">
        <v>3</v>
      </c>
      <c r="T3860" s="47">
        <v>1</v>
      </c>
      <c r="U3860" s="47">
        <v>0</v>
      </c>
      <c r="V3860" s="47">
        <v>1</v>
      </c>
      <c r="W3860" s="47">
        <v>1050</v>
      </c>
      <c r="X3860" s="47">
        <v>494</v>
      </c>
      <c r="Y3860" s="47"/>
      <c r="Z3860" s="47" t="s">
        <v>2524</v>
      </c>
      <c r="AA3860" s="49"/>
      <c r="AB3860" s="49"/>
      <c r="AC3860" s="49"/>
      <c r="AD3860" s="50"/>
      <c r="AE3860" s="47" t="s">
        <v>1312</v>
      </c>
      <c r="AF3860" s="47">
        <v>60</v>
      </c>
      <c r="AG3860"/>
      <c r="AH3860"/>
      <c r="AI3860"/>
      <c r="AJ3860"/>
      <c r="AK3860"/>
      <c r="AL3860"/>
      <c r="AM3860"/>
      <c r="AN3860"/>
      <c r="AO3860"/>
      <c r="AP3860"/>
      <c r="AQ3860" t="s">
        <v>2526</v>
      </c>
      <c r="AU3860">
        <v>3859</v>
      </c>
    </row>
    <row r="3861" spans="1:47" x14ac:dyDescent="0.2">
      <c r="A3861" s="133">
        <v>6712</v>
      </c>
      <c r="B3861" s="39" t="s">
        <v>45</v>
      </c>
      <c r="C3861" s="39">
        <v>216</v>
      </c>
      <c r="D3861" s="29" t="b">
        <v>0</v>
      </c>
      <c r="E3861" s="39" t="s">
        <v>1764</v>
      </c>
      <c r="F3861" s="47" t="s">
        <v>48</v>
      </c>
      <c r="G3861" s="47" t="s">
        <v>49</v>
      </c>
      <c r="H3861"/>
      <c r="I3861" s="47" t="b">
        <v>0</v>
      </c>
      <c r="J3861" s="47" t="b">
        <v>1</v>
      </c>
      <c r="K3861" s="47">
        <v>1344</v>
      </c>
      <c r="L3861" s="48">
        <v>2</v>
      </c>
      <c r="M3861" s="47">
        <v>0</v>
      </c>
      <c r="N3861" s="47">
        <v>1</v>
      </c>
      <c r="O3861" s="47">
        <v>0</v>
      </c>
      <c r="P3861" s="47">
        <v>0</v>
      </c>
      <c r="Q3861" s="47">
        <v>0</v>
      </c>
      <c r="R3861" s="47">
        <v>0</v>
      </c>
      <c r="S3861" s="48">
        <v>1</v>
      </c>
      <c r="T3861" s="47">
        <v>0</v>
      </c>
      <c r="U3861" s="47">
        <v>0</v>
      </c>
      <c r="V3861" s="47">
        <v>0</v>
      </c>
      <c r="W3861" s="47">
        <v>5800</v>
      </c>
      <c r="X3861" s="47">
        <v>495</v>
      </c>
      <c r="Y3861" s="47"/>
      <c r="Z3861" s="47" t="s">
        <v>2466</v>
      </c>
      <c r="AA3861" s="49"/>
      <c r="AB3861" s="49"/>
      <c r="AC3861" s="49"/>
      <c r="AD3861" s="50"/>
      <c r="AE3861" s="47" t="s">
        <v>1312</v>
      </c>
      <c r="AF3861" s="31">
        <v>85</v>
      </c>
      <c r="AG3861"/>
      <c r="AH3861"/>
      <c r="AI3861"/>
      <c r="AJ3861"/>
      <c r="AK3861"/>
      <c r="AL3861"/>
      <c r="AM3861"/>
      <c r="AN3861"/>
      <c r="AO3861"/>
      <c r="AP3861"/>
      <c r="AQ3861" t="s">
        <v>2526</v>
      </c>
      <c r="AU3861">
        <v>3860</v>
      </c>
    </row>
    <row r="3862" spans="1:47" x14ac:dyDescent="0.2">
      <c r="A3862" s="133">
        <v>6712</v>
      </c>
      <c r="B3862" s="39" t="s">
        <v>45</v>
      </c>
      <c r="C3862" s="39" t="s">
        <v>142</v>
      </c>
      <c r="D3862" s="29"/>
      <c r="E3862" s="39" t="s">
        <v>5066</v>
      </c>
      <c r="F3862" s="47" t="s">
        <v>5067</v>
      </c>
      <c r="G3862" s="47" t="s">
        <v>73</v>
      </c>
      <c r="H3862"/>
      <c r="I3862" s="47" t="s">
        <v>5068</v>
      </c>
      <c r="J3862" s="47"/>
      <c r="K3862" s="47">
        <f>7850*2.2</f>
        <v>17270</v>
      </c>
      <c r="L3862" s="48">
        <v>30</v>
      </c>
      <c r="M3862" s="47">
        <v>2</v>
      </c>
      <c r="N3862" s="47">
        <v>1</v>
      </c>
      <c r="O3862" s="47"/>
      <c r="P3862" s="47"/>
      <c r="Q3862" s="47"/>
      <c r="R3862" s="47"/>
      <c r="S3862" s="48">
        <v>27</v>
      </c>
      <c r="T3862" s="47">
        <v>0</v>
      </c>
      <c r="U3862" s="47">
        <v>1</v>
      </c>
      <c r="V3862" s="47">
        <v>0</v>
      </c>
      <c r="W3862" s="47"/>
      <c r="X3862" s="47"/>
      <c r="Y3862" s="47" t="s">
        <v>51</v>
      </c>
      <c r="Z3862" s="31" t="s">
        <v>3855</v>
      </c>
      <c r="AA3862" s="49"/>
      <c r="AB3862" s="49"/>
      <c r="AC3862" s="49"/>
      <c r="AD3862" s="50"/>
      <c r="AE3862" s="31" t="s">
        <v>4723</v>
      </c>
      <c r="AF3862" s="47"/>
      <c r="AG3862"/>
      <c r="AH3862"/>
      <c r="AI3862"/>
      <c r="AJ3862"/>
      <c r="AK3862">
        <f>138+61+38+6</f>
        <v>243</v>
      </c>
      <c r="AL3862"/>
      <c r="AM3862"/>
      <c r="AN3862"/>
      <c r="AO3862"/>
      <c r="AP3862"/>
      <c r="AQ3862" t="s">
        <v>5069</v>
      </c>
      <c r="AU3862">
        <v>3861</v>
      </c>
    </row>
    <row r="3863" spans="1:47" x14ac:dyDescent="0.2">
      <c r="A3863" s="133">
        <v>6712</v>
      </c>
      <c r="B3863" s="39" t="s">
        <v>45</v>
      </c>
      <c r="C3863" s="57" t="s">
        <v>4456</v>
      </c>
      <c r="D3863" s="29"/>
      <c r="E3863" s="39" t="s">
        <v>5070</v>
      </c>
      <c r="F3863" s="47" t="s">
        <v>5071</v>
      </c>
      <c r="G3863" s="47" t="s">
        <v>49</v>
      </c>
      <c r="H3863"/>
      <c r="I3863" s="47" t="b">
        <v>1</v>
      </c>
      <c r="J3863" s="47" t="b">
        <v>1</v>
      </c>
      <c r="K3863" s="118">
        <f>(4*400+440)*2.2</f>
        <v>4488</v>
      </c>
      <c r="L3863" s="48">
        <v>5</v>
      </c>
      <c r="M3863" s="47"/>
      <c r="N3863" s="47"/>
      <c r="O3863" s="47"/>
      <c r="P3863" s="47"/>
      <c r="Q3863" s="47">
        <v>1</v>
      </c>
      <c r="R3863" s="47"/>
      <c r="S3863" s="48">
        <v>5</v>
      </c>
      <c r="T3863" s="47">
        <v>0</v>
      </c>
      <c r="U3863" s="47">
        <v>0</v>
      </c>
      <c r="V3863" s="47">
        <v>0</v>
      </c>
      <c r="W3863" s="47">
        <f>((2250+1500+2200+2500+2400)/5)*39.37/12</f>
        <v>7119.4083333333328</v>
      </c>
      <c r="X3863" s="47"/>
      <c r="Y3863" s="31" t="s">
        <v>51</v>
      </c>
      <c r="Z3863" s="31" t="s">
        <v>1846</v>
      </c>
      <c r="AA3863" s="34">
        <v>6.9444444444444441E-3</v>
      </c>
      <c r="AB3863" s="34">
        <v>0.10069444444444443</v>
      </c>
      <c r="AC3863" s="49">
        <f>AVERAGE(AA3863:AB3863)</f>
        <v>5.3819444444444441E-2</v>
      </c>
      <c r="AD3863" s="35">
        <v>2</v>
      </c>
      <c r="AE3863" s="31" t="s">
        <v>4756</v>
      </c>
      <c r="AF3863" s="47"/>
      <c r="AG3863"/>
      <c r="AH3863"/>
      <c r="AI3863"/>
      <c r="AJ3863"/>
      <c r="AK3863" s="136">
        <f>5*8+1</f>
        <v>41</v>
      </c>
      <c r="AL3863"/>
      <c r="AM3863"/>
      <c r="AN3863"/>
      <c r="AO3863"/>
      <c r="AP3863"/>
      <c r="AQ3863" s="32" t="s">
        <v>5072</v>
      </c>
      <c r="AR3863" s="32" t="s">
        <v>5073</v>
      </c>
      <c r="AU3863">
        <v>3862</v>
      </c>
    </row>
    <row r="3864" spans="1:47" x14ac:dyDescent="0.2">
      <c r="A3864" s="133">
        <v>6712</v>
      </c>
      <c r="B3864" s="39" t="s">
        <v>45</v>
      </c>
      <c r="C3864" s="57" t="s">
        <v>4456</v>
      </c>
      <c r="D3864" s="29"/>
      <c r="E3864" s="39" t="s">
        <v>5074</v>
      </c>
      <c r="F3864" s="47" t="s">
        <v>220</v>
      </c>
      <c r="G3864" s="47" t="s">
        <v>49</v>
      </c>
      <c r="H3864"/>
      <c r="I3864" s="47" t="b">
        <v>0</v>
      </c>
      <c r="J3864" s="47" t="b">
        <v>0</v>
      </c>
      <c r="K3864" s="118">
        <f>(440+400+400)*2.2</f>
        <v>2728</v>
      </c>
      <c r="L3864" s="48"/>
      <c r="M3864" s="47"/>
      <c r="N3864" s="47"/>
      <c r="O3864" s="47"/>
      <c r="P3864" s="47"/>
      <c r="Q3864" s="47"/>
      <c r="R3864" s="47"/>
      <c r="S3864" s="48">
        <v>3</v>
      </c>
      <c r="T3864" s="47">
        <v>0</v>
      </c>
      <c r="U3864" s="47">
        <v>0</v>
      </c>
      <c r="V3864" s="47">
        <v>0</v>
      </c>
      <c r="W3864" s="47">
        <f>((2250+1500+2200)/3)*39.37/12</f>
        <v>6506.9861111111104</v>
      </c>
      <c r="X3864" s="47"/>
      <c r="Y3864" s="31" t="s">
        <v>51</v>
      </c>
      <c r="Z3864" s="31" t="s">
        <v>1846</v>
      </c>
      <c r="AA3864" s="34">
        <v>6.9444444444444441E-3</v>
      </c>
      <c r="AB3864" s="34">
        <v>8.3333333333333329E-2</v>
      </c>
      <c r="AC3864" s="49">
        <f>AVERAGE(AA3864:AB3864)</f>
        <v>4.5138888888888888E-2</v>
      </c>
      <c r="AD3864" s="35">
        <f>1+35/60</f>
        <v>1.5833333333333335</v>
      </c>
      <c r="AE3864" s="31" t="s">
        <v>4756</v>
      </c>
      <c r="AF3864" s="47">
        <v>70</v>
      </c>
      <c r="AG3864"/>
      <c r="AH3864"/>
      <c r="AI3864"/>
      <c r="AJ3864"/>
      <c r="AK3864" s="136">
        <f>3*8+1</f>
        <v>25</v>
      </c>
      <c r="AL3864"/>
      <c r="AM3864"/>
      <c r="AN3864"/>
      <c r="AO3864"/>
      <c r="AP3864"/>
      <c r="AQ3864" s="32" t="s">
        <v>5072</v>
      </c>
      <c r="AR3864" s="32" t="s">
        <v>5075</v>
      </c>
      <c r="AU3864">
        <v>3863</v>
      </c>
    </row>
    <row r="3865" spans="1:47" x14ac:dyDescent="0.2">
      <c r="A3865" s="133">
        <v>6712</v>
      </c>
      <c r="B3865" s="39" t="s">
        <v>45</v>
      </c>
      <c r="C3865" s="57" t="s">
        <v>4456</v>
      </c>
      <c r="D3865" s="29"/>
      <c r="E3865" s="39" t="s">
        <v>5076</v>
      </c>
      <c r="F3865" s="47" t="s">
        <v>220</v>
      </c>
      <c r="G3865" s="47" t="s">
        <v>49</v>
      </c>
      <c r="H3865"/>
      <c r="I3865" s="47" t="b">
        <v>0</v>
      </c>
      <c r="J3865" s="47" t="b">
        <v>0</v>
      </c>
      <c r="K3865" s="118">
        <f>400*2.2</f>
        <v>880.00000000000011</v>
      </c>
      <c r="L3865" s="48"/>
      <c r="M3865" s="47"/>
      <c r="N3865" s="47"/>
      <c r="O3865" s="47"/>
      <c r="P3865" s="47"/>
      <c r="Q3865" s="47"/>
      <c r="R3865" s="47"/>
      <c r="S3865" s="48">
        <v>1</v>
      </c>
      <c r="T3865" s="47">
        <v>0</v>
      </c>
      <c r="U3865" s="47">
        <v>0</v>
      </c>
      <c r="V3865" s="47">
        <v>0</v>
      </c>
      <c r="W3865" s="47">
        <f>2500*39.37/12</f>
        <v>8202.0833333333339</v>
      </c>
      <c r="X3865" s="47"/>
      <c r="Y3865" s="31" t="s">
        <v>51</v>
      </c>
      <c r="Z3865" s="31" t="s">
        <v>1846</v>
      </c>
      <c r="AA3865" s="34">
        <v>1.3888888888888888E-2</v>
      </c>
      <c r="AB3865" s="34">
        <v>9.7222222222222224E-2</v>
      </c>
      <c r="AC3865" s="49">
        <f>AVERAGE(AA3865:AB3865)</f>
        <v>5.5555555555555552E-2</v>
      </c>
      <c r="AD3865" s="35">
        <v>2</v>
      </c>
      <c r="AE3865" s="31" t="s">
        <v>4756</v>
      </c>
      <c r="AF3865" s="47">
        <v>70</v>
      </c>
      <c r="AG3865"/>
      <c r="AH3865"/>
      <c r="AI3865"/>
      <c r="AJ3865"/>
      <c r="AK3865" s="136">
        <v>8</v>
      </c>
      <c r="AL3865"/>
      <c r="AM3865"/>
      <c r="AN3865"/>
      <c r="AO3865"/>
      <c r="AP3865"/>
      <c r="AQ3865" s="32" t="s">
        <v>5072</v>
      </c>
      <c r="AR3865" s="32" t="s">
        <v>5077</v>
      </c>
      <c r="AU3865">
        <v>3864</v>
      </c>
    </row>
    <row r="3866" spans="1:47" x14ac:dyDescent="0.2">
      <c r="A3866" s="133">
        <v>6712</v>
      </c>
      <c r="B3866" s="39" t="s">
        <v>45</v>
      </c>
      <c r="C3866" s="57" t="s">
        <v>4456</v>
      </c>
      <c r="D3866" s="29"/>
      <c r="E3866" s="39" t="s">
        <v>5078</v>
      </c>
      <c r="F3866" s="47" t="s">
        <v>4215</v>
      </c>
      <c r="G3866" s="47" t="s">
        <v>205</v>
      </c>
      <c r="H3866"/>
      <c r="I3866" s="47" t="b">
        <v>0</v>
      </c>
      <c r="J3866" s="47" t="b">
        <v>0</v>
      </c>
      <c r="K3866" s="118">
        <f>400*2.2</f>
        <v>880.00000000000011</v>
      </c>
      <c r="L3866" s="48"/>
      <c r="M3866" s="47"/>
      <c r="N3866" s="47"/>
      <c r="O3866" s="47"/>
      <c r="P3866" s="47"/>
      <c r="Q3866" s="47"/>
      <c r="R3866" s="47"/>
      <c r="S3866" s="48">
        <v>1</v>
      </c>
      <c r="T3866" s="47">
        <v>0</v>
      </c>
      <c r="U3866" s="47">
        <v>0</v>
      </c>
      <c r="V3866" s="47">
        <v>0</v>
      </c>
      <c r="W3866" s="47">
        <f>2400*39.37/12</f>
        <v>7874</v>
      </c>
      <c r="X3866" s="47"/>
      <c r="Y3866" s="31" t="s">
        <v>51</v>
      </c>
      <c r="Z3866" s="31" t="s">
        <v>1846</v>
      </c>
      <c r="AA3866" s="34">
        <v>3.125E-2</v>
      </c>
      <c r="AB3866" s="34">
        <v>0.10069444444444443</v>
      </c>
      <c r="AC3866" s="49">
        <f>AVERAGE(AA3866:AB3866)</f>
        <v>6.597222222222221E-2</v>
      </c>
      <c r="AD3866" s="35">
        <v>1.67</v>
      </c>
      <c r="AE3866" s="31" t="s">
        <v>4756</v>
      </c>
      <c r="AF3866" s="47"/>
      <c r="AG3866"/>
      <c r="AH3866"/>
      <c r="AI3866"/>
      <c r="AJ3866"/>
      <c r="AK3866" s="136">
        <v>8</v>
      </c>
      <c r="AL3866"/>
      <c r="AM3866"/>
      <c r="AN3866"/>
      <c r="AO3866"/>
      <c r="AP3866"/>
      <c r="AQ3866" s="32" t="s">
        <v>5072</v>
      </c>
      <c r="AR3866" s="32" t="s">
        <v>5079</v>
      </c>
      <c r="AU3866">
        <v>3865</v>
      </c>
    </row>
    <row r="3867" spans="1:47" x14ac:dyDescent="0.2">
      <c r="A3867" s="13">
        <v>6712</v>
      </c>
      <c r="B3867" s="57" t="s">
        <v>45</v>
      </c>
      <c r="C3867" s="57" t="s">
        <v>5027</v>
      </c>
      <c r="D3867" s="29"/>
      <c r="E3867" s="57" t="s">
        <v>819</v>
      </c>
      <c r="F3867" s="31" t="s">
        <v>76</v>
      </c>
      <c r="G3867" s="31" t="s">
        <v>49</v>
      </c>
      <c r="K3867" s="31">
        <v>880</v>
      </c>
      <c r="S3867" s="33">
        <v>1</v>
      </c>
      <c r="Z3867" s="31" t="s">
        <v>3855</v>
      </c>
      <c r="AK3867" s="32">
        <v>16</v>
      </c>
      <c r="AQ3867" s="32" t="s">
        <v>5029</v>
      </c>
      <c r="AU3867">
        <v>3866</v>
      </c>
    </row>
    <row r="3868" spans="1:47" x14ac:dyDescent="0.2">
      <c r="A3868" s="13">
        <v>6712</v>
      </c>
      <c r="B3868" s="57" t="s">
        <v>45</v>
      </c>
      <c r="C3868" s="57" t="s">
        <v>5030</v>
      </c>
      <c r="D3868" s="29"/>
      <c r="E3868" s="57" t="s">
        <v>819</v>
      </c>
      <c r="F3868" s="31" t="s">
        <v>76</v>
      </c>
      <c r="G3868" s="31" t="s">
        <v>49</v>
      </c>
      <c r="K3868" s="31">
        <v>1045</v>
      </c>
      <c r="S3868" s="33">
        <v>1</v>
      </c>
      <c r="Z3868" s="31" t="s">
        <v>3855</v>
      </c>
      <c r="AE3868" s="31" t="s">
        <v>3089</v>
      </c>
      <c r="AF3868" s="31">
        <v>20</v>
      </c>
      <c r="AK3868" s="32">
        <v>18</v>
      </c>
      <c r="AQ3868" s="32" t="s">
        <v>5029</v>
      </c>
      <c r="AU3868">
        <v>3867</v>
      </c>
    </row>
    <row r="3869" spans="1:47" x14ac:dyDescent="0.2">
      <c r="A3869" s="13">
        <v>6712</v>
      </c>
      <c r="B3869" s="57" t="s">
        <v>45</v>
      </c>
      <c r="C3869" s="57" t="s">
        <v>5032</v>
      </c>
      <c r="D3869" s="29"/>
      <c r="E3869" s="57" t="s">
        <v>819</v>
      </c>
      <c r="F3869" s="31" t="s">
        <v>76</v>
      </c>
      <c r="G3869" s="31" t="s">
        <v>49</v>
      </c>
      <c r="K3869" s="31">
        <v>1320</v>
      </c>
      <c r="S3869" s="33">
        <v>1</v>
      </c>
      <c r="Z3869" s="31" t="s">
        <v>3814</v>
      </c>
      <c r="AE3869" s="31" t="s">
        <v>5034</v>
      </c>
      <c r="AK3869" s="32">
        <v>22</v>
      </c>
      <c r="AQ3869" s="32" t="s">
        <v>5029</v>
      </c>
      <c r="AU3869">
        <v>3868</v>
      </c>
    </row>
    <row r="3870" spans="1:47" x14ac:dyDescent="0.2">
      <c r="A3870" s="13">
        <v>6712</v>
      </c>
      <c r="B3870" s="57" t="s">
        <v>45</v>
      </c>
      <c r="C3870" s="57" t="s">
        <v>5030</v>
      </c>
      <c r="D3870" s="29"/>
      <c r="E3870" s="57" t="s">
        <v>5080</v>
      </c>
      <c r="F3870" s="31" t="s">
        <v>83</v>
      </c>
      <c r="G3870" s="31" t="s">
        <v>69</v>
      </c>
      <c r="I3870" s="31" t="s">
        <v>5081</v>
      </c>
      <c r="K3870" s="31">
        <v>5830</v>
      </c>
      <c r="S3870" s="33">
        <v>9</v>
      </c>
      <c r="Z3870" s="31" t="s">
        <v>3855</v>
      </c>
      <c r="AE3870" s="31" t="s">
        <v>3089</v>
      </c>
      <c r="AK3870" s="32">
        <v>96</v>
      </c>
      <c r="AQ3870" s="32" t="s">
        <v>5029</v>
      </c>
      <c r="AU3870">
        <v>3869</v>
      </c>
    </row>
    <row r="3871" spans="1:47" x14ac:dyDescent="0.2">
      <c r="A3871" s="13">
        <v>6712</v>
      </c>
      <c r="B3871" s="57" t="s">
        <v>45</v>
      </c>
      <c r="C3871" s="57" t="s">
        <v>5030</v>
      </c>
      <c r="D3871" s="29"/>
      <c r="E3871" s="57" t="s">
        <v>4881</v>
      </c>
      <c r="F3871" s="31" t="s">
        <v>76</v>
      </c>
      <c r="G3871" s="31" t="s">
        <v>49</v>
      </c>
      <c r="K3871" s="31">
        <v>6556</v>
      </c>
      <c r="S3871" s="33">
        <v>8</v>
      </c>
      <c r="Z3871" s="31" t="s">
        <v>3855</v>
      </c>
      <c r="AE3871" s="31" t="s">
        <v>3089</v>
      </c>
      <c r="AF3871" s="31">
        <v>6</v>
      </c>
      <c r="AK3871" s="32">
        <v>479</v>
      </c>
      <c r="AQ3871" s="32" t="s">
        <v>5029</v>
      </c>
      <c r="AU3871">
        <v>3870</v>
      </c>
    </row>
    <row r="3872" spans="1:47" x14ac:dyDescent="0.2">
      <c r="A3872" s="13">
        <v>6712</v>
      </c>
      <c r="B3872" s="57" t="s">
        <v>45</v>
      </c>
      <c r="C3872" s="57" t="s">
        <v>5030</v>
      </c>
      <c r="D3872" s="29"/>
      <c r="E3872" s="57" t="s">
        <v>5082</v>
      </c>
      <c r="F3872" s="31" t="s">
        <v>204</v>
      </c>
      <c r="G3872" s="31" t="s">
        <v>205</v>
      </c>
      <c r="I3872" s="31" t="s">
        <v>5083</v>
      </c>
      <c r="K3872" s="31">
        <v>9515</v>
      </c>
      <c r="S3872" s="33">
        <v>7</v>
      </c>
      <c r="Z3872" s="31" t="s">
        <v>3855</v>
      </c>
      <c r="AE3872" s="31" t="s">
        <v>3089</v>
      </c>
      <c r="AK3872" s="32">
        <v>151</v>
      </c>
      <c r="AQ3872" s="32" t="s">
        <v>5029</v>
      </c>
      <c r="AU3872">
        <v>3871</v>
      </c>
    </row>
    <row r="3873" spans="1:47" x14ac:dyDescent="0.2">
      <c r="A3873" s="26">
        <v>6712</v>
      </c>
      <c r="B3873" s="27">
        <v>3.472222222222222E-3</v>
      </c>
      <c r="C3873" s="28"/>
      <c r="D3873" s="29"/>
      <c r="E3873" s="30" t="s">
        <v>4219</v>
      </c>
      <c r="H3873" s="32">
        <v>0</v>
      </c>
      <c r="I3873" s="32" t="s">
        <v>5084</v>
      </c>
      <c r="AG3873" s="32">
        <v>0</v>
      </c>
      <c r="AH3873" s="32">
        <v>0</v>
      </c>
      <c r="AI3873" s="32">
        <v>0</v>
      </c>
      <c r="AK3873" s="32">
        <v>0</v>
      </c>
      <c r="AL3873" s="32">
        <f>47/60</f>
        <v>0.78333333333333333</v>
      </c>
      <c r="AO3873" s="32" t="s">
        <v>858</v>
      </c>
      <c r="AP3873" s="32">
        <f>47/60</f>
        <v>0.78333333333333333</v>
      </c>
      <c r="AQ3873" s="32" t="s">
        <v>1101</v>
      </c>
      <c r="AU3873">
        <v>3872</v>
      </c>
    </row>
    <row r="3874" spans="1:47" x14ac:dyDescent="0.2">
      <c r="A3874" s="26">
        <v>6712</v>
      </c>
      <c r="B3874" s="27">
        <v>0.4548611111111111</v>
      </c>
      <c r="C3874" s="28"/>
      <c r="D3874" s="29"/>
      <c r="E3874" s="102" t="s">
        <v>1102</v>
      </c>
      <c r="H3874" s="32">
        <v>0</v>
      </c>
      <c r="I3874" s="32" t="s">
        <v>1103</v>
      </c>
      <c r="AG3874" s="32">
        <v>0</v>
      </c>
      <c r="AH3874" s="32">
        <v>0</v>
      </c>
      <c r="AI3874" s="32">
        <v>0</v>
      </c>
      <c r="AK3874" s="32">
        <v>0</v>
      </c>
      <c r="AL3874" s="32">
        <v>0.5</v>
      </c>
      <c r="AO3874" s="73" t="s">
        <v>1006</v>
      </c>
      <c r="AP3874" s="32">
        <v>0.5</v>
      </c>
      <c r="AQ3874" s="32" t="s">
        <v>589</v>
      </c>
      <c r="AU3874">
        <v>3873</v>
      </c>
    </row>
    <row r="3875" spans="1:47" x14ac:dyDescent="0.2">
      <c r="A3875" s="26">
        <v>6712</v>
      </c>
      <c r="B3875" s="27">
        <v>0.69097222222222221</v>
      </c>
      <c r="C3875" s="28"/>
      <c r="D3875" s="29"/>
      <c r="E3875" s="30" t="s">
        <v>1124</v>
      </c>
      <c r="H3875" s="32">
        <v>1</v>
      </c>
      <c r="I3875" s="32" t="s">
        <v>5085</v>
      </c>
      <c r="AG3875" s="32">
        <f>18+3</f>
        <v>21</v>
      </c>
      <c r="AH3875" s="32">
        <f>48+54</f>
        <v>102</v>
      </c>
      <c r="AK3875" s="32">
        <v>21</v>
      </c>
      <c r="AL3875" s="32">
        <v>0.25</v>
      </c>
      <c r="AO3875" s="46" t="s">
        <v>1126</v>
      </c>
      <c r="AP3875" s="32">
        <v>0.25</v>
      </c>
      <c r="AQ3875" s="32" t="s">
        <v>589</v>
      </c>
      <c r="AU3875">
        <v>3874</v>
      </c>
    </row>
    <row r="3876" spans="1:47" x14ac:dyDescent="0.2">
      <c r="A3876" s="26">
        <v>6712</v>
      </c>
      <c r="B3876" s="27">
        <v>0.84722222222222221</v>
      </c>
      <c r="C3876" s="28"/>
      <c r="D3876" s="29"/>
      <c r="E3876" s="30" t="s">
        <v>464</v>
      </c>
      <c r="H3876" s="32">
        <v>1</v>
      </c>
      <c r="I3876" s="32" t="s">
        <v>5086</v>
      </c>
      <c r="AG3876" s="32">
        <v>0</v>
      </c>
      <c r="AH3876" s="32">
        <v>0</v>
      </c>
      <c r="AL3876" s="32">
        <v>4.5</v>
      </c>
      <c r="AO3876" s="32" t="s">
        <v>4067</v>
      </c>
      <c r="AP3876" s="32">
        <v>4.5</v>
      </c>
      <c r="AQ3876" s="32" t="s">
        <v>1522</v>
      </c>
      <c r="AU3876">
        <v>3875</v>
      </c>
    </row>
    <row r="3877" spans="1:47" x14ac:dyDescent="0.2">
      <c r="A3877" s="26">
        <v>6712</v>
      </c>
      <c r="B3877" s="27" t="s">
        <v>45</v>
      </c>
      <c r="C3877" s="28"/>
      <c r="D3877" s="29"/>
      <c r="E3877" s="30" t="s">
        <v>4666</v>
      </c>
      <c r="H3877" s="32">
        <v>1</v>
      </c>
      <c r="I3877" s="32" t="s">
        <v>5087</v>
      </c>
      <c r="AG3877" s="32">
        <v>35</v>
      </c>
      <c r="AI3877" s="32">
        <v>7000</v>
      </c>
      <c r="AQ3877" s="32" t="s">
        <v>4058</v>
      </c>
      <c r="AU3877">
        <v>3876</v>
      </c>
    </row>
    <row r="3878" spans="1:47" x14ac:dyDescent="0.2">
      <c r="A3878" s="26">
        <v>6712</v>
      </c>
      <c r="B3878" s="27" t="s">
        <v>45</v>
      </c>
      <c r="C3878" s="28"/>
      <c r="D3878" s="29"/>
      <c r="E3878" s="30" t="s">
        <v>1531</v>
      </c>
      <c r="H3878" s="32">
        <v>0</v>
      </c>
      <c r="I3878" s="32" t="s">
        <v>1532</v>
      </c>
      <c r="AG3878" s="32">
        <v>0</v>
      </c>
      <c r="AH3878" s="32">
        <v>0</v>
      </c>
      <c r="AI3878" s="32">
        <v>0</v>
      </c>
      <c r="AK3878" s="32">
        <v>0</v>
      </c>
      <c r="AM3878" s="32">
        <f>498*65</f>
        <v>32370</v>
      </c>
      <c r="AO3878" s="32" t="s">
        <v>1533</v>
      </c>
      <c r="AQ3878" s="32" t="s">
        <v>1101</v>
      </c>
      <c r="AU3878">
        <v>3877</v>
      </c>
    </row>
    <row r="3879" spans="1:47" x14ac:dyDescent="0.2">
      <c r="A3879" s="26">
        <v>6712</v>
      </c>
      <c r="B3879" s="27"/>
      <c r="C3879" s="28"/>
      <c r="D3879" s="29"/>
      <c r="E3879" s="30" t="s">
        <v>3737</v>
      </c>
      <c r="H3879" s="32">
        <v>0</v>
      </c>
      <c r="I3879" s="32" t="s">
        <v>4926</v>
      </c>
      <c r="AG3879" s="32">
        <v>0</v>
      </c>
      <c r="AH3879" s="32">
        <v>0</v>
      </c>
      <c r="AI3879" s="32">
        <v>0</v>
      </c>
      <c r="AK3879" s="32">
        <v>0</v>
      </c>
      <c r="AM3879" s="33"/>
      <c r="AQ3879" s="32" t="s">
        <v>1101</v>
      </c>
      <c r="AU3879">
        <v>3878</v>
      </c>
    </row>
    <row r="3880" spans="1:47" x14ac:dyDescent="0.2">
      <c r="A3880" s="133">
        <v>6713</v>
      </c>
      <c r="B3880" s="39" t="s">
        <v>85</v>
      </c>
      <c r="C3880" s="39">
        <v>55</v>
      </c>
      <c r="D3880" s="29" t="b">
        <v>0</v>
      </c>
      <c r="E3880" s="39" t="s">
        <v>110</v>
      </c>
      <c r="F3880" s="47" t="s">
        <v>4077</v>
      </c>
      <c r="G3880" s="47" t="s">
        <v>49</v>
      </c>
      <c r="H3880"/>
      <c r="I3880" s="47" t="b">
        <v>0</v>
      </c>
      <c r="J3880" s="47" t="b">
        <v>1</v>
      </c>
      <c r="K3880" s="47">
        <v>1392</v>
      </c>
      <c r="L3880" s="48">
        <v>6</v>
      </c>
      <c r="M3880" s="47">
        <v>0</v>
      </c>
      <c r="N3880" s="47">
        <v>0</v>
      </c>
      <c r="O3880" s="47">
        <v>0</v>
      </c>
      <c r="P3880" s="47">
        <v>0</v>
      </c>
      <c r="Q3880" s="47">
        <v>0</v>
      </c>
      <c r="R3880" s="47">
        <v>0</v>
      </c>
      <c r="S3880" s="48">
        <v>6</v>
      </c>
      <c r="T3880" s="47">
        <v>0</v>
      </c>
      <c r="U3880" s="47">
        <v>0</v>
      </c>
      <c r="V3880" s="47">
        <v>1</v>
      </c>
      <c r="W3880" s="47">
        <v>14500</v>
      </c>
      <c r="X3880" s="47">
        <v>496</v>
      </c>
      <c r="Y3880" s="47"/>
      <c r="Z3880" s="47" t="s">
        <v>3618</v>
      </c>
      <c r="AA3880" s="49"/>
      <c r="AB3880" s="49"/>
      <c r="AC3880" s="49"/>
      <c r="AD3880" s="50"/>
      <c r="AE3880" s="47" t="s">
        <v>3798</v>
      </c>
      <c r="AF3880" s="47">
        <v>295</v>
      </c>
      <c r="AG3880"/>
      <c r="AH3880"/>
      <c r="AI3880"/>
      <c r="AJ3880"/>
      <c r="AK3880"/>
      <c r="AL3880"/>
      <c r="AM3880"/>
      <c r="AN3880"/>
      <c r="AO3880"/>
      <c r="AP3880"/>
      <c r="AQ3880" t="s">
        <v>2526</v>
      </c>
      <c r="AU3880">
        <v>3879</v>
      </c>
    </row>
    <row r="3881" spans="1:47" x14ac:dyDescent="0.2">
      <c r="A3881" s="133">
        <v>6713</v>
      </c>
      <c r="B3881" s="39" t="s">
        <v>85</v>
      </c>
      <c r="C3881" s="39" t="s">
        <v>4702</v>
      </c>
      <c r="D3881" s="29"/>
      <c r="E3881" s="39" t="s">
        <v>4881</v>
      </c>
      <c r="F3881" s="47" t="s">
        <v>150</v>
      </c>
      <c r="G3881" s="47" t="s">
        <v>49</v>
      </c>
      <c r="H3881"/>
      <c r="I3881" s="47" t="s">
        <v>5088</v>
      </c>
      <c r="J3881" s="47"/>
      <c r="K3881" s="47"/>
      <c r="L3881" s="48"/>
      <c r="M3881" s="47"/>
      <c r="N3881" s="47"/>
      <c r="O3881" s="47"/>
      <c r="P3881" s="47"/>
      <c r="Q3881" s="47"/>
      <c r="R3881" s="47"/>
      <c r="S3881" s="48">
        <v>20</v>
      </c>
      <c r="T3881" s="47">
        <v>1</v>
      </c>
      <c r="U3881" s="47"/>
      <c r="V3881" s="47"/>
      <c r="W3881" s="47"/>
      <c r="X3881" s="47"/>
      <c r="Y3881" s="47" t="s">
        <v>120</v>
      </c>
      <c r="Z3881" s="31" t="s">
        <v>3724</v>
      </c>
      <c r="AA3881" s="49"/>
      <c r="AB3881" s="49"/>
      <c r="AC3881" s="49"/>
      <c r="AD3881" s="50"/>
      <c r="AE3881" s="47"/>
      <c r="AF3881" s="47"/>
      <c r="AG3881"/>
      <c r="AH3881"/>
      <c r="AI3881"/>
      <c r="AJ3881"/>
      <c r="AK3881"/>
      <c r="AL3881"/>
      <c r="AM3881"/>
      <c r="AN3881"/>
      <c r="AO3881"/>
      <c r="AP3881"/>
      <c r="AQ3881" t="s">
        <v>5048</v>
      </c>
      <c r="AU3881">
        <v>3880</v>
      </c>
    </row>
    <row r="3882" spans="1:47" x14ac:dyDescent="0.2">
      <c r="A3882" s="133">
        <v>6713</v>
      </c>
      <c r="B3882" s="39" t="s">
        <v>45</v>
      </c>
      <c r="C3882" s="39" t="s">
        <v>142</v>
      </c>
      <c r="D3882" s="29"/>
      <c r="E3882" s="39" t="s">
        <v>5089</v>
      </c>
      <c r="F3882" s="47" t="s">
        <v>5090</v>
      </c>
      <c r="G3882" s="47" t="s">
        <v>69</v>
      </c>
      <c r="H3882"/>
      <c r="I3882" s="47" t="s">
        <v>5091</v>
      </c>
      <c r="J3882" s="47"/>
      <c r="K3882" s="47">
        <f>7590*2.2</f>
        <v>16698</v>
      </c>
      <c r="L3882" s="48">
        <v>31</v>
      </c>
      <c r="M3882" s="47">
        <v>2</v>
      </c>
      <c r="N3882" s="47">
        <v>3</v>
      </c>
      <c r="O3882" s="47"/>
      <c r="P3882" s="47"/>
      <c r="Q3882" s="47"/>
      <c r="R3882" s="47"/>
      <c r="S3882" s="48">
        <v>26</v>
      </c>
      <c r="T3882" s="47">
        <v>0</v>
      </c>
      <c r="U3882" s="47">
        <v>1</v>
      </c>
      <c r="V3882" s="47">
        <v>0</v>
      </c>
      <c r="W3882" s="47"/>
      <c r="X3882" s="47"/>
      <c r="Y3882" s="47" t="s">
        <v>51</v>
      </c>
      <c r="Z3882" s="31" t="s">
        <v>3855</v>
      </c>
      <c r="AA3882" s="49"/>
      <c r="AB3882" s="49"/>
      <c r="AC3882" s="49"/>
      <c r="AD3882" s="50"/>
      <c r="AE3882" s="31" t="s">
        <v>4723</v>
      </c>
      <c r="AF3882" s="47"/>
      <c r="AG3882"/>
      <c r="AH3882"/>
      <c r="AI3882"/>
      <c r="AJ3882"/>
      <c r="AK3882">
        <f>130+38+38+9+3</f>
        <v>218</v>
      </c>
      <c r="AL3882"/>
      <c r="AM3882"/>
      <c r="AN3882"/>
      <c r="AO3882"/>
      <c r="AP3882"/>
      <c r="AQ3882" t="s">
        <v>5069</v>
      </c>
      <c r="AU3882">
        <v>3881</v>
      </c>
    </row>
    <row r="3883" spans="1:47" x14ac:dyDescent="0.2">
      <c r="A3883" s="133">
        <v>6713</v>
      </c>
      <c r="B3883" s="39" t="s">
        <v>45</v>
      </c>
      <c r="C3883" s="57" t="s">
        <v>4456</v>
      </c>
      <c r="D3883" s="29"/>
      <c r="E3883" s="39" t="s">
        <v>5092</v>
      </c>
      <c r="F3883" s="47" t="s">
        <v>340</v>
      </c>
      <c r="G3883" s="47" t="s">
        <v>49</v>
      </c>
      <c r="H3883"/>
      <c r="I3883" s="47" t="b">
        <v>1</v>
      </c>
      <c r="J3883" s="47" t="b">
        <v>1</v>
      </c>
      <c r="K3883" s="118">
        <f>2*400*2.2</f>
        <v>1760.0000000000002</v>
      </c>
      <c r="L3883" s="48">
        <v>4</v>
      </c>
      <c r="M3883" s="47">
        <v>1</v>
      </c>
      <c r="N3883" s="47">
        <v>1</v>
      </c>
      <c r="O3883" s="47"/>
      <c r="P3883" s="47"/>
      <c r="Q3883" s="47">
        <v>1</v>
      </c>
      <c r="R3883" s="47"/>
      <c r="S3883" s="48">
        <v>2</v>
      </c>
      <c r="T3883" s="47">
        <v>0</v>
      </c>
      <c r="U3883" s="47">
        <v>0</v>
      </c>
      <c r="V3883" s="47">
        <v>0</v>
      </c>
      <c r="W3883" s="47">
        <f>((1800+1500)/2)*39.37/12</f>
        <v>5413.3749999999991</v>
      </c>
      <c r="X3883" s="47"/>
      <c r="Y3883" s="31" t="s">
        <v>51</v>
      </c>
      <c r="Z3883" s="31" t="s">
        <v>1846</v>
      </c>
      <c r="AA3883" s="49">
        <v>1.7361111111111112E-2</v>
      </c>
      <c r="AB3883" s="49">
        <v>6.9444444444444434E-2</v>
      </c>
      <c r="AC3883" s="49">
        <f>AVERAGE(AA3883:AB3883)</f>
        <v>4.3402777777777776E-2</v>
      </c>
      <c r="AD3883" s="50">
        <v>1.33</v>
      </c>
      <c r="AE3883" s="31" t="s">
        <v>4756</v>
      </c>
      <c r="AF3883" s="47"/>
      <c r="AG3883"/>
      <c r="AH3883"/>
      <c r="AI3883"/>
      <c r="AJ3883"/>
      <c r="AK3883" s="136">
        <f>2*8</f>
        <v>16</v>
      </c>
      <c r="AL3883"/>
      <c r="AM3883"/>
      <c r="AN3883"/>
      <c r="AO3883"/>
      <c r="AP3883"/>
      <c r="AQ3883" s="32" t="s">
        <v>5072</v>
      </c>
      <c r="AR3883" s="32" t="s">
        <v>5093</v>
      </c>
      <c r="AU3883">
        <v>3882</v>
      </c>
    </row>
    <row r="3884" spans="1:47" x14ac:dyDescent="0.2">
      <c r="A3884" s="133">
        <v>6713</v>
      </c>
      <c r="B3884" s="39" t="s">
        <v>45</v>
      </c>
      <c r="C3884" s="57" t="s">
        <v>4456</v>
      </c>
      <c r="D3884" s="29"/>
      <c r="E3884" s="39" t="s">
        <v>5014</v>
      </c>
      <c r="F3884" s="31" t="s">
        <v>76</v>
      </c>
      <c r="G3884" s="31" t="s">
        <v>49</v>
      </c>
      <c r="H3884"/>
      <c r="I3884" s="47" t="b">
        <v>0</v>
      </c>
      <c r="J3884" s="47" t="b">
        <v>0</v>
      </c>
      <c r="K3884" s="118">
        <f>400*2.2</f>
        <v>880.00000000000011</v>
      </c>
      <c r="L3884" s="48"/>
      <c r="M3884" s="47"/>
      <c r="N3884" s="47"/>
      <c r="O3884" s="47"/>
      <c r="P3884" s="47"/>
      <c r="Q3884" s="47"/>
      <c r="R3884" s="47"/>
      <c r="S3884" s="48">
        <v>1</v>
      </c>
      <c r="T3884" s="47">
        <v>0</v>
      </c>
      <c r="U3884" s="47">
        <v>0</v>
      </c>
      <c r="V3884" s="47">
        <v>0</v>
      </c>
      <c r="W3884" s="47">
        <f>1800*39.37/12</f>
        <v>5905.5</v>
      </c>
      <c r="X3884" s="47"/>
      <c r="Y3884" s="31" t="s">
        <v>51</v>
      </c>
      <c r="Z3884" s="31" t="s">
        <v>1846</v>
      </c>
      <c r="AA3884" s="49"/>
      <c r="AB3884" s="49"/>
      <c r="AC3884" s="49"/>
      <c r="AD3884" s="50">
        <v>1.33</v>
      </c>
      <c r="AE3884" s="31" t="s">
        <v>4756</v>
      </c>
      <c r="AF3884" s="47">
        <v>55</v>
      </c>
      <c r="AG3884"/>
      <c r="AH3884"/>
      <c r="AI3884"/>
      <c r="AJ3884"/>
      <c r="AK3884" s="136">
        <v>8</v>
      </c>
      <c r="AL3884"/>
      <c r="AM3884"/>
      <c r="AN3884"/>
      <c r="AO3884"/>
      <c r="AP3884"/>
      <c r="AQ3884" s="32" t="s">
        <v>5072</v>
      </c>
      <c r="AR3884" s="32" t="s">
        <v>5094</v>
      </c>
      <c r="AU3884">
        <v>3883</v>
      </c>
    </row>
    <row r="3885" spans="1:47" x14ac:dyDescent="0.2">
      <c r="A3885" s="133">
        <v>6713</v>
      </c>
      <c r="B3885" s="39" t="s">
        <v>45</v>
      </c>
      <c r="C3885" s="57" t="s">
        <v>4456</v>
      </c>
      <c r="D3885" s="29"/>
      <c r="E3885" s="39" t="s">
        <v>5095</v>
      </c>
      <c r="F3885" s="31" t="s">
        <v>76</v>
      </c>
      <c r="G3885" s="31" t="s">
        <v>49</v>
      </c>
      <c r="H3885"/>
      <c r="I3885" s="47" t="b">
        <v>0</v>
      </c>
      <c r="J3885" s="47" t="b">
        <v>0</v>
      </c>
      <c r="K3885" s="118">
        <f>400*2.2</f>
        <v>880.00000000000011</v>
      </c>
      <c r="L3885" s="48"/>
      <c r="M3885" s="47"/>
      <c r="N3885" s="47"/>
      <c r="O3885" s="47"/>
      <c r="P3885" s="47"/>
      <c r="Q3885" s="47"/>
      <c r="R3885" s="47"/>
      <c r="S3885" s="48">
        <v>1</v>
      </c>
      <c r="T3885" s="47">
        <v>0</v>
      </c>
      <c r="U3885" s="47">
        <v>0</v>
      </c>
      <c r="V3885" s="47">
        <v>0</v>
      </c>
      <c r="W3885" s="47">
        <f>1500*39.37/12</f>
        <v>4921.2499999999991</v>
      </c>
      <c r="X3885" s="47"/>
      <c r="Y3885" s="31" t="s">
        <v>51</v>
      </c>
      <c r="Z3885" s="31" t="s">
        <v>1846</v>
      </c>
      <c r="AA3885" s="49">
        <v>1.7361111111111112E-2</v>
      </c>
      <c r="AB3885" s="49">
        <v>6.9444444444444434E-2</v>
      </c>
      <c r="AC3885" s="49">
        <f>AVERAGE(AA3885:AB3885)</f>
        <v>4.3402777777777776E-2</v>
      </c>
      <c r="AD3885" s="50">
        <v>1.25</v>
      </c>
      <c r="AE3885" s="31" t="s">
        <v>4756</v>
      </c>
      <c r="AF3885" s="47">
        <v>50</v>
      </c>
      <c r="AG3885"/>
      <c r="AH3885"/>
      <c r="AI3885"/>
      <c r="AJ3885"/>
      <c r="AK3885" s="136">
        <v>8</v>
      </c>
      <c r="AL3885"/>
      <c r="AM3885"/>
      <c r="AN3885"/>
      <c r="AO3885"/>
      <c r="AP3885"/>
      <c r="AQ3885" s="32" t="s">
        <v>5072</v>
      </c>
      <c r="AR3885" s="32" t="s">
        <v>5096</v>
      </c>
      <c r="AU3885">
        <v>3884</v>
      </c>
    </row>
    <row r="3886" spans="1:47" x14ac:dyDescent="0.2">
      <c r="A3886" s="26">
        <v>6713</v>
      </c>
      <c r="B3886" s="27">
        <v>1.3888888888888888E-2</v>
      </c>
      <c r="C3886" s="28"/>
      <c r="D3886" s="29"/>
      <c r="E3886" s="30" t="s">
        <v>1282</v>
      </c>
      <c r="H3886" s="32">
        <v>0</v>
      </c>
      <c r="I3886" s="32" t="s">
        <v>5097</v>
      </c>
      <c r="AG3886" s="32">
        <v>0</v>
      </c>
      <c r="AH3886" s="32">
        <v>0</v>
      </c>
      <c r="AI3886" s="32">
        <v>0</v>
      </c>
      <c r="AK3886" s="32">
        <v>0</v>
      </c>
      <c r="AL3886" s="32">
        <f>2+25/60</f>
        <v>2.4166666666666665</v>
      </c>
      <c r="AP3886" s="32">
        <f>2+25/60</f>
        <v>2.4166666666666665</v>
      </c>
      <c r="AQ3886" s="32" t="s">
        <v>1101</v>
      </c>
      <c r="AU3886">
        <v>3885</v>
      </c>
    </row>
    <row r="3887" spans="1:47" x14ac:dyDescent="0.2">
      <c r="A3887" s="26">
        <v>6713</v>
      </c>
      <c r="B3887" s="27">
        <v>3.125E-2</v>
      </c>
      <c r="C3887" s="28"/>
      <c r="D3887" s="29"/>
      <c r="E3887" s="102" t="s">
        <v>1102</v>
      </c>
      <c r="H3887" s="32">
        <v>0</v>
      </c>
      <c r="I3887" s="32" t="s">
        <v>1103</v>
      </c>
      <c r="AG3887" s="32">
        <v>0</v>
      </c>
      <c r="AH3887" s="32">
        <v>0</v>
      </c>
      <c r="AI3887" s="32">
        <v>0</v>
      </c>
      <c r="AK3887" s="32">
        <v>0</v>
      </c>
      <c r="AL3887" s="32">
        <v>0.75</v>
      </c>
      <c r="AO3887" s="73" t="s">
        <v>1006</v>
      </c>
      <c r="AP3887" s="32">
        <v>0.75</v>
      </c>
      <c r="AQ3887" s="32" t="s">
        <v>589</v>
      </c>
      <c r="AU3887">
        <v>3886</v>
      </c>
    </row>
    <row r="3888" spans="1:47" x14ac:dyDescent="0.2">
      <c r="A3888" s="26">
        <v>6713</v>
      </c>
      <c r="B3888" s="27">
        <v>4.1666666666666664E-2</v>
      </c>
      <c r="C3888" s="28"/>
      <c r="D3888" s="29"/>
      <c r="E3888" s="30" t="s">
        <v>2087</v>
      </c>
      <c r="H3888" s="32">
        <v>0</v>
      </c>
      <c r="I3888" s="32"/>
      <c r="AG3888" s="32">
        <v>0</v>
      </c>
      <c r="AH3888" s="32">
        <v>0</v>
      </c>
      <c r="AI3888" s="32">
        <v>0</v>
      </c>
      <c r="AK3888" s="32">
        <v>0</v>
      </c>
      <c r="AL3888" s="32">
        <v>0</v>
      </c>
      <c r="AP3888" s="32">
        <v>0.25</v>
      </c>
      <c r="AQ3888" s="32" t="s">
        <v>1101</v>
      </c>
      <c r="AU3888">
        <v>3887</v>
      </c>
    </row>
    <row r="3889" spans="1:47" x14ac:dyDescent="0.2">
      <c r="A3889" s="26">
        <v>6713</v>
      </c>
      <c r="B3889" s="27">
        <v>0.36458333333333331</v>
      </c>
      <c r="C3889" s="28"/>
      <c r="D3889" s="29"/>
      <c r="E3889" s="30" t="s">
        <v>4219</v>
      </c>
      <c r="H3889" s="32">
        <v>0</v>
      </c>
      <c r="I3889" s="32" t="s">
        <v>4249</v>
      </c>
      <c r="AG3889" s="32">
        <v>0</v>
      </c>
      <c r="AH3889" s="32">
        <v>0</v>
      </c>
      <c r="AI3889" s="32">
        <v>0</v>
      </c>
      <c r="AK3889" s="32">
        <v>0</v>
      </c>
      <c r="AL3889" s="32">
        <v>0.5</v>
      </c>
      <c r="AO3889" s="32" t="s">
        <v>858</v>
      </c>
      <c r="AP3889" s="32">
        <v>0.5</v>
      </c>
      <c r="AQ3889" s="32" t="s">
        <v>1101</v>
      </c>
      <c r="AU3889">
        <v>3888</v>
      </c>
    </row>
    <row r="3890" spans="1:47" x14ac:dyDescent="0.2">
      <c r="A3890" s="26">
        <v>6713</v>
      </c>
      <c r="B3890" s="27">
        <v>0.36805555555555558</v>
      </c>
      <c r="C3890" s="28"/>
      <c r="D3890" s="29"/>
      <c r="E3890" s="102" t="s">
        <v>1102</v>
      </c>
      <c r="H3890" s="32">
        <v>0</v>
      </c>
      <c r="I3890" s="32" t="s">
        <v>5098</v>
      </c>
      <c r="AG3890" s="32">
        <v>0</v>
      </c>
      <c r="AH3890" s="32">
        <v>0</v>
      </c>
      <c r="AI3890" s="32">
        <v>0</v>
      </c>
      <c r="AK3890" s="32">
        <v>0</v>
      </c>
      <c r="AL3890" s="32">
        <f>(20+16+42)/60</f>
        <v>1.3</v>
      </c>
      <c r="AO3890" s="73" t="s">
        <v>1006</v>
      </c>
      <c r="AP3890" s="32">
        <f>(20+16+42)/60</f>
        <v>1.3</v>
      </c>
      <c r="AQ3890" s="32" t="s">
        <v>589</v>
      </c>
      <c r="AU3890">
        <v>3889</v>
      </c>
    </row>
    <row r="3891" spans="1:47" x14ac:dyDescent="0.2">
      <c r="A3891" s="26">
        <v>6713</v>
      </c>
      <c r="B3891" s="27">
        <v>0.40416666666666662</v>
      </c>
      <c r="C3891" s="28"/>
      <c r="D3891" s="29"/>
      <c r="E3891" s="30" t="s">
        <v>4709</v>
      </c>
      <c r="H3891" s="32">
        <v>0</v>
      </c>
      <c r="I3891" s="32" t="s">
        <v>4710</v>
      </c>
      <c r="AG3891" s="32">
        <v>0</v>
      </c>
      <c r="AH3891" s="32">
        <v>0</v>
      </c>
      <c r="AI3891" s="32">
        <v>0</v>
      </c>
      <c r="AK3891" s="32">
        <v>0</v>
      </c>
      <c r="AL3891" s="32">
        <f>58/60</f>
        <v>0.96666666666666667</v>
      </c>
      <c r="AM3891" s="32">
        <f>AL3891*(261300+974800)/18.75</f>
        <v>63727.822222222225</v>
      </c>
      <c r="AP3891" s="32">
        <f>58/60</f>
        <v>0.96666666666666667</v>
      </c>
      <c r="AQ3891" s="32" t="s">
        <v>589</v>
      </c>
      <c r="AU3891">
        <v>3890</v>
      </c>
    </row>
    <row r="3892" spans="1:47" x14ac:dyDescent="0.2">
      <c r="A3892" s="26">
        <v>6713</v>
      </c>
      <c r="B3892" s="27">
        <v>0.41666666666666669</v>
      </c>
      <c r="C3892" s="28"/>
      <c r="D3892" s="29"/>
      <c r="E3892" s="30" t="s">
        <v>110</v>
      </c>
      <c r="H3892" s="32">
        <v>1</v>
      </c>
      <c r="I3892" s="32" t="s">
        <v>5099</v>
      </c>
      <c r="AG3892" s="32">
        <v>43</v>
      </c>
      <c r="AH3892" s="32">
        <v>55</v>
      </c>
      <c r="AI3892" s="32">
        <v>340000</v>
      </c>
      <c r="AK3892" s="32">
        <v>22</v>
      </c>
      <c r="AL3892" s="32">
        <f>25/60</f>
        <v>0.41666666666666669</v>
      </c>
      <c r="AP3892" s="32">
        <f>25/60</f>
        <v>0.41666666666666669</v>
      </c>
      <c r="AQ3892" s="32" t="s">
        <v>5100</v>
      </c>
      <c r="AU3892">
        <v>3891</v>
      </c>
    </row>
    <row r="3893" spans="1:47" x14ac:dyDescent="0.2">
      <c r="A3893" s="26">
        <v>6713</v>
      </c>
      <c r="B3893" s="27">
        <v>0.42499999999999999</v>
      </c>
      <c r="C3893" s="28"/>
      <c r="D3893" s="29"/>
      <c r="E3893" s="30" t="s">
        <v>3155</v>
      </c>
      <c r="H3893" s="32">
        <v>0</v>
      </c>
      <c r="I3893" s="32" t="s">
        <v>3156</v>
      </c>
      <c r="AG3893" s="32">
        <v>0</v>
      </c>
      <c r="AH3893" s="32">
        <v>0</v>
      </c>
      <c r="AI3893" s="32">
        <v>0</v>
      </c>
      <c r="AK3893" s="32">
        <v>0</v>
      </c>
      <c r="AP3893" s="32">
        <f>55/60</f>
        <v>0.91666666666666663</v>
      </c>
      <c r="AQ3893" s="32" t="s">
        <v>1101</v>
      </c>
      <c r="AU3893">
        <v>3892</v>
      </c>
    </row>
    <row r="3894" spans="1:47" x14ac:dyDescent="0.2">
      <c r="A3894" s="26">
        <v>6713</v>
      </c>
      <c r="B3894" s="27">
        <v>0.51041666666666663</v>
      </c>
      <c r="C3894" s="28"/>
      <c r="D3894" s="29"/>
      <c r="E3894" s="30" t="s">
        <v>464</v>
      </c>
      <c r="H3894" s="32">
        <v>0</v>
      </c>
      <c r="I3894" s="32" t="s">
        <v>4231</v>
      </c>
      <c r="AG3894" s="32">
        <v>0</v>
      </c>
      <c r="AH3894" s="32">
        <v>0</v>
      </c>
      <c r="AL3894" s="32">
        <v>0.33300000000000002</v>
      </c>
      <c r="AO3894" s="32" t="s">
        <v>4067</v>
      </c>
      <c r="AP3894" s="32">
        <v>0.33300000000000002</v>
      </c>
      <c r="AQ3894" s="32" t="s">
        <v>1522</v>
      </c>
      <c r="AU3894">
        <v>3893</v>
      </c>
    </row>
    <row r="3895" spans="1:47" x14ac:dyDescent="0.2">
      <c r="A3895" s="26">
        <v>6713</v>
      </c>
      <c r="B3895" s="27"/>
      <c r="C3895" s="28"/>
      <c r="D3895" s="29"/>
      <c r="E3895" s="30" t="s">
        <v>4666</v>
      </c>
      <c r="H3895" s="32">
        <v>1</v>
      </c>
      <c r="I3895" s="32" t="s">
        <v>5101</v>
      </c>
      <c r="AG3895" s="32">
        <v>0</v>
      </c>
      <c r="AI3895" s="32">
        <v>400</v>
      </c>
      <c r="AK3895" s="32">
        <v>2</v>
      </c>
      <c r="AL3895" s="32">
        <v>1</v>
      </c>
      <c r="AO3895" s="32" t="s">
        <v>4668</v>
      </c>
      <c r="AP3895" s="32">
        <v>1</v>
      </c>
      <c r="AQ3895" s="32">
        <v>408</v>
      </c>
      <c r="AU3895">
        <v>3894</v>
      </c>
    </row>
    <row r="3896" spans="1:47" x14ac:dyDescent="0.2">
      <c r="A3896" s="26">
        <v>6713</v>
      </c>
      <c r="B3896" s="27"/>
      <c r="C3896" s="28"/>
      <c r="D3896" s="29"/>
      <c r="E3896" s="30" t="s">
        <v>5102</v>
      </c>
      <c r="H3896" s="32">
        <v>0</v>
      </c>
      <c r="I3896" s="32" t="s">
        <v>5103</v>
      </c>
      <c r="AG3896" s="32">
        <v>0</v>
      </c>
      <c r="AH3896" s="32">
        <v>0</v>
      </c>
      <c r="AI3896" s="32">
        <v>0</v>
      </c>
      <c r="AK3896" s="32">
        <v>0</v>
      </c>
      <c r="AL3896" s="18">
        <v>1.5</v>
      </c>
      <c r="AM3896" s="18">
        <f>300000/11</f>
        <v>27272.727272727272</v>
      </c>
      <c r="AN3896" s="18"/>
      <c r="AO3896" s="18"/>
      <c r="AP3896" s="18">
        <v>1.5</v>
      </c>
      <c r="AQ3896" s="32" t="s">
        <v>589</v>
      </c>
      <c r="AU3896">
        <v>3895</v>
      </c>
    </row>
    <row r="3897" spans="1:47" x14ac:dyDescent="0.2">
      <c r="A3897" s="133">
        <v>6714</v>
      </c>
      <c r="B3897" s="39" t="s">
        <v>85</v>
      </c>
      <c r="C3897" s="39" t="s">
        <v>4849</v>
      </c>
      <c r="D3897" s="29"/>
      <c r="E3897" s="39" t="s">
        <v>5104</v>
      </c>
      <c r="F3897" s="47" t="s">
        <v>150</v>
      </c>
      <c r="G3897" s="31" t="s">
        <v>49</v>
      </c>
      <c r="H3897" s="32"/>
      <c r="I3897" s="32" t="s">
        <v>5105</v>
      </c>
      <c r="Z3897" s="31" t="s">
        <v>3724</v>
      </c>
      <c r="AQ3897" s="32" t="s">
        <v>5048</v>
      </c>
      <c r="AU3897">
        <v>3896</v>
      </c>
    </row>
    <row r="3898" spans="1:47" x14ac:dyDescent="0.2">
      <c r="A3898" s="133">
        <v>6714</v>
      </c>
      <c r="B3898" s="39" t="s">
        <v>45</v>
      </c>
      <c r="C3898" s="39" t="s">
        <v>142</v>
      </c>
      <c r="D3898" s="29"/>
      <c r="E3898" s="39" t="s">
        <v>5106</v>
      </c>
      <c r="F3898" s="47" t="s">
        <v>5090</v>
      </c>
      <c r="G3898" s="31" t="s">
        <v>49</v>
      </c>
      <c r="H3898" s="32"/>
      <c r="I3898" s="32" t="s">
        <v>5107</v>
      </c>
      <c r="K3898" s="31">
        <f>11585*2.2</f>
        <v>25487.000000000004</v>
      </c>
      <c r="L3898" s="33">
        <f>44+11</f>
        <v>55</v>
      </c>
      <c r="N3898" s="31">
        <v>3</v>
      </c>
      <c r="S3898" s="33">
        <v>52</v>
      </c>
      <c r="T3898" s="31">
        <v>0</v>
      </c>
      <c r="U3898" s="31">
        <v>0</v>
      </c>
      <c r="V3898" s="31">
        <v>1</v>
      </c>
      <c r="Y3898" s="31" t="s">
        <v>120</v>
      </c>
      <c r="Z3898" s="31" t="s">
        <v>3855</v>
      </c>
      <c r="AE3898" s="31" t="s">
        <v>4723</v>
      </c>
      <c r="AF3898" s="31">
        <v>80</v>
      </c>
      <c r="AK3898" s="32">
        <f>185+108+50+9+5</f>
        <v>357</v>
      </c>
      <c r="AQ3898" t="s">
        <v>5108</v>
      </c>
      <c r="AU3898">
        <v>3897</v>
      </c>
    </row>
    <row r="3899" spans="1:47" x14ac:dyDescent="0.2">
      <c r="A3899" s="13">
        <v>6714</v>
      </c>
      <c r="B3899" s="57" t="s">
        <v>45</v>
      </c>
      <c r="C3899" s="57" t="s">
        <v>1992</v>
      </c>
      <c r="D3899" s="29"/>
      <c r="E3899" s="57" t="s">
        <v>175</v>
      </c>
      <c r="F3899" s="31" t="s">
        <v>76</v>
      </c>
      <c r="G3899" s="31" t="s">
        <v>49</v>
      </c>
      <c r="K3899" s="31">
        <v>748</v>
      </c>
      <c r="Z3899" s="31" t="s">
        <v>3814</v>
      </c>
      <c r="AE3899" s="31" t="s">
        <v>4756</v>
      </c>
      <c r="AF3899" s="31">
        <v>140</v>
      </c>
      <c r="AK3899" s="32">
        <v>5</v>
      </c>
      <c r="AQ3899" s="32" t="s">
        <v>5109</v>
      </c>
      <c r="AU3899">
        <v>3898</v>
      </c>
    </row>
    <row r="3900" spans="1:47" x14ac:dyDescent="0.2">
      <c r="A3900" s="13">
        <v>6714</v>
      </c>
      <c r="B3900" s="57" t="s">
        <v>45</v>
      </c>
      <c r="C3900" s="57" t="s">
        <v>4456</v>
      </c>
      <c r="D3900" s="29"/>
      <c r="E3900" s="57" t="s">
        <v>3884</v>
      </c>
      <c r="F3900" s="31" t="s">
        <v>220</v>
      </c>
      <c r="G3900" s="31" t="s">
        <v>49</v>
      </c>
      <c r="I3900" s="31" t="s">
        <v>5110</v>
      </c>
      <c r="K3900" s="135">
        <f>2*8*50*2.2</f>
        <v>1760.0000000000002</v>
      </c>
      <c r="L3900" s="33">
        <v>3</v>
      </c>
      <c r="N3900" s="31">
        <v>1</v>
      </c>
      <c r="S3900" s="33">
        <v>2</v>
      </c>
      <c r="T3900" s="31">
        <v>0</v>
      </c>
      <c r="U3900" s="31">
        <v>0</v>
      </c>
      <c r="V3900" s="31">
        <v>0</v>
      </c>
      <c r="W3900" s="47">
        <f>((2500+2200)/2)*39.37/12</f>
        <v>7709.958333333333</v>
      </c>
      <c r="X3900" s="47"/>
      <c r="Y3900" s="31" t="s">
        <v>51</v>
      </c>
      <c r="Z3900" s="31" t="s">
        <v>1846</v>
      </c>
      <c r="AA3900" s="34">
        <v>6.9444444444444441E-3</v>
      </c>
      <c r="AB3900" s="34">
        <v>9.7222222222222224E-2</v>
      </c>
      <c r="AC3900" s="49">
        <f>AVERAGE(AA3900:AB3900)</f>
        <v>5.2083333333333336E-2</v>
      </c>
      <c r="AD3900" s="35">
        <f>2+5/60</f>
        <v>2.0833333333333335</v>
      </c>
      <c r="AE3900" s="31" t="s">
        <v>4756</v>
      </c>
      <c r="AF3900" s="31">
        <v>85</v>
      </c>
      <c r="AK3900" s="130">
        <f>2*8</f>
        <v>16</v>
      </c>
      <c r="AQ3900" s="32" t="s">
        <v>5111</v>
      </c>
      <c r="AU3900">
        <v>3899</v>
      </c>
    </row>
    <row r="3901" spans="1:47" x14ac:dyDescent="0.2">
      <c r="A3901" s="13">
        <v>6714</v>
      </c>
      <c r="B3901" s="57" t="s">
        <v>45</v>
      </c>
      <c r="C3901" s="57" t="s">
        <v>5027</v>
      </c>
      <c r="D3901" s="29"/>
      <c r="E3901" s="57" t="s">
        <v>5080</v>
      </c>
      <c r="F3901" s="31" t="s">
        <v>83</v>
      </c>
      <c r="G3901" s="31" t="s">
        <v>69</v>
      </c>
      <c r="I3901" s="31" t="s">
        <v>5081</v>
      </c>
      <c r="K3901" s="31">
        <v>6875</v>
      </c>
      <c r="S3901" s="33">
        <v>9</v>
      </c>
      <c r="Z3901" s="31" t="s">
        <v>3855</v>
      </c>
      <c r="AK3901" s="32">
        <v>115</v>
      </c>
      <c r="AQ3901" s="32" t="s">
        <v>5029</v>
      </c>
      <c r="AU3901">
        <v>3900</v>
      </c>
    </row>
    <row r="3902" spans="1:47" x14ac:dyDescent="0.2">
      <c r="A3902" s="13">
        <v>6714</v>
      </c>
      <c r="B3902" s="57" t="s">
        <v>45</v>
      </c>
      <c r="C3902" s="57" t="s">
        <v>5027</v>
      </c>
      <c r="D3902" s="29"/>
      <c r="E3902" s="57" t="s">
        <v>4881</v>
      </c>
      <c r="F3902" s="31" t="s">
        <v>76</v>
      </c>
      <c r="G3902" s="31" t="s">
        <v>49</v>
      </c>
      <c r="I3902" s="31" t="s">
        <v>5083</v>
      </c>
      <c r="K3902" s="31">
        <v>13376</v>
      </c>
      <c r="S3902" s="33">
        <v>8</v>
      </c>
      <c r="Z3902" s="31" t="s">
        <v>3855</v>
      </c>
      <c r="AK3902" s="32">
        <v>242</v>
      </c>
      <c r="AQ3902" s="32" t="s">
        <v>5029</v>
      </c>
      <c r="AU3902">
        <v>3901</v>
      </c>
    </row>
    <row r="3903" spans="1:47" x14ac:dyDescent="0.2">
      <c r="A3903" s="26">
        <v>6714</v>
      </c>
      <c r="B3903" s="27">
        <v>0.40833333333333338</v>
      </c>
      <c r="C3903" s="28"/>
      <c r="D3903" s="29"/>
      <c r="E3903" s="30" t="s">
        <v>4709</v>
      </c>
      <c r="H3903" s="32">
        <v>0</v>
      </c>
      <c r="I3903" s="32" t="s">
        <v>4710</v>
      </c>
      <c r="AG3903" s="32">
        <v>0</v>
      </c>
      <c r="AH3903" s="32">
        <v>0</v>
      </c>
      <c r="AI3903" s="32">
        <v>0</v>
      </c>
      <c r="AK3903" s="32">
        <v>0</v>
      </c>
      <c r="AL3903" s="32">
        <f>37/60</f>
        <v>0.6166666666666667</v>
      </c>
      <c r="AM3903" s="32">
        <f>AL3903*(261300+974800)/18.75</f>
        <v>40653.955555555556</v>
      </c>
      <c r="AP3903" s="32">
        <f>37/60</f>
        <v>0.6166666666666667</v>
      </c>
      <c r="AQ3903" s="32" t="s">
        <v>589</v>
      </c>
      <c r="AU3903">
        <v>3902</v>
      </c>
    </row>
    <row r="3904" spans="1:47" x14ac:dyDescent="0.2">
      <c r="A3904" s="26">
        <v>6714</v>
      </c>
      <c r="B3904" s="27">
        <v>0.40972222222222227</v>
      </c>
      <c r="C3904" s="28"/>
      <c r="D3904" s="29"/>
      <c r="E3904" s="30" t="s">
        <v>110</v>
      </c>
      <c r="H3904" s="32">
        <v>0</v>
      </c>
      <c r="I3904" s="32" t="s">
        <v>3587</v>
      </c>
      <c r="AG3904" s="32">
        <v>0</v>
      </c>
      <c r="AH3904" s="32">
        <v>0</v>
      </c>
      <c r="AI3904" s="32">
        <v>0</v>
      </c>
      <c r="AK3904" s="32">
        <v>0</v>
      </c>
      <c r="AL3904" s="32">
        <f>24/60</f>
        <v>0.4</v>
      </c>
      <c r="AP3904" s="32">
        <f>24/60</f>
        <v>0.4</v>
      </c>
      <c r="AQ3904" s="32" t="s">
        <v>1101</v>
      </c>
      <c r="AU3904">
        <v>3903</v>
      </c>
    </row>
    <row r="3905" spans="1:47" x14ac:dyDescent="0.2">
      <c r="A3905" s="26">
        <v>6714</v>
      </c>
      <c r="B3905" s="27">
        <v>0.41666666666666669</v>
      </c>
      <c r="C3905" s="28"/>
      <c r="D3905" s="29"/>
      <c r="E3905" s="30" t="s">
        <v>4713</v>
      </c>
      <c r="H3905" s="32">
        <v>0</v>
      </c>
      <c r="I3905" s="32" t="s">
        <v>4714</v>
      </c>
      <c r="AG3905" s="32">
        <v>0</v>
      </c>
      <c r="AH3905" s="32">
        <v>0</v>
      </c>
      <c r="AI3905" s="32">
        <v>0</v>
      </c>
      <c r="AK3905" s="32">
        <v>0</v>
      </c>
      <c r="AL3905" s="32">
        <v>0.75</v>
      </c>
      <c r="AP3905" s="32">
        <v>0.75</v>
      </c>
      <c r="AQ3905" s="32" t="s">
        <v>1101</v>
      </c>
      <c r="AU3905">
        <v>3904</v>
      </c>
    </row>
    <row r="3906" spans="1:47" x14ac:dyDescent="0.2">
      <c r="A3906" s="26">
        <v>6714</v>
      </c>
      <c r="B3906" s="27"/>
      <c r="C3906" s="28"/>
      <c r="D3906" s="29"/>
      <c r="E3906" s="102" t="s">
        <v>1421</v>
      </c>
      <c r="H3906" s="32">
        <v>1</v>
      </c>
      <c r="I3906" s="32" t="s">
        <v>1422</v>
      </c>
      <c r="AK3906" s="32">
        <v>9</v>
      </c>
      <c r="AO3906" s="73"/>
      <c r="AQ3906" s="32" t="s">
        <v>589</v>
      </c>
      <c r="AU3906">
        <v>3905</v>
      </c>
    </row>
    <row r="3907" spans="1:47" x14ac:dyDescent="0.2">
      <c r="A3907" s="133">
        <v>6715</v>
      </c>
      <c r="B3907" s="39" t="s">
        <v>85</v>
      </c>
      <c r="C3907" s="39">
        <v>55</v>
      </c>
      <c r="D3907" s="29" t="b">
        <v>0</v>
      </c>
      <c r="E3907" s="39" t="s">
        <v>5112</v>
      </c>
      <c r="F3907" s="47" t="s">
        <v>5113</v>
      </c>
      <c r="G3907" s="47" t="s">
        <v>49</v>
      </c>
      <c r="H3907"/>
      <c r="I3907" s="47" t="b">
        <v>0</v>
      </c>
      <c r="J3907" s="47" t="b">
        <v>1</v>
      </c>
      <c r="K3907" s="47">
        <v>2258</v>
      </c>
      <c r="L3907" s="48">
        <v>12</v>
      </c>
      <c r="M3907" s="47">
        <v>0</v>
      </c>
      <c r="N3907" s="47">
        <v>2</v>
      </c>
      <c r="O3907" s="47">
        <v>0</v>
      </c>
      <c r="P3907" s="47">
        <v>10</v>
      </c>
      <c r="Q3907" s="47">
        <v>0</v>
      </c>
      <c r="R3907" s="47">
        <v>0</v>
      </c>
      <c r="S3907" s="48">
        <v>10</v>
      </c>
      <c r="T3907" s="47">
        <v>0</v>
      </c>
      <c r="U3907" s="47">
        <v>0</v>
      </c>
      <c r="V3907" s="47">
        <v>0</v>
      </c>
      <c r="W3907" s="47">
        <v>14000</v>
      </c>
      <c r="X3907" s="47">
        <v>497</v>
      </c>
      <c r="Y3907" s="47"/>
      <c r="Z3907" s="47" t="s">
        <v>3618</v>
      </c>
      <c r="AA3907" s="49"/>
      <c r="AB3907" s="49"/>
      <c r="AC3907" s="49"/>
      <c r="AD3907" s="50"/>
      <c r="AE3907" s="47" t="s">
        <v>3798</v>
      </c>
      <c r="AF3907" s="47">
        <v>165</v>
      </c>
      <c r="AG3907"/>
      <c r="AH3907"/>
      <c r="AI3907"/>
      <c r="AJ3907"/>
      <c r="AK3907"/>
      <c r="AL3907"/>
      <c r="AM3907"/>
      <c r="AN3907"/>
      <c r="AO3907"/>
      <c r="AP3907"/>
      <c r="AQ3907" t="s">
        <v>2526</v>
      </c>
      <c r="AU3907">
        <v>3906</v>
      </c>
    </row>
    <row r="3908" spans="1:47" x14ac:dyDescent="0.2">
      <c r="A3908" s="133">
        <v>6715</v>
      </c>
      <c r="B3908" s="39" t="s">
        <v>85</v>
      </c>
      <c r="C3908" s="39" t="s">
        <v>4702</v>
      </c>
      <c r="D3908" s="29"/>
      <c r="E3908" s="39" t="s">
        <v>5114</v>
      </c>
      <c r="F3908" s="47" t="s">
        <v>5115</v>
      </c>
      <c r="G3908" s="47" t="s">
        <v>49</v>
      </c>
      <c r="H3908"/>
      <c r="I3908" s="47"/>
      <c r="J3908" s="47"/>
      <c r="K3908" s="47"/>
      <c r="L3908" s="48"/>
      <c r="M3908" s="47"/>
      <c r="N3908" s="47"/>
      <c r="O3908" s="47"/>
      <c r="P3908" s="47"/>
      <c r="Q3908" s="47"/>
      <c r="R3908" s="47"/>
      <c r="S3908" s="48"/>
      <c r="T3908" s="47"/>
      <c r="U3908" s="47"/>
      <c r="V3908" s="47"/>
      <c r="W3908" s="47"/>
      <c r="X3908" s="47"/>
      <c r="Y3908" s="47"/>
      <c r="Z3908" s="31" t="s">
        <v>3724</v>
      </c>
      <c r="AA3908" s="49"/>
      <c r="AB3908" s="49"/>
      <c r="AC3908" s="49"/>
      <c r="AD3908" s="50"/>
      <c r="AE3908" s="47"/>
      <c r="AF3908" s="47"/>
      <c r="AG3908"/>
      <c r="AH3908"/>
      <c r="AI3908"/>
      <c r="AJ3908"/>
      <c r="AK3908"/>
      <c r="AL3908"/>
      <c r="AM3908"/>
      <c r="AN3908"/>
      <c r="AO3908"/>
      <c r="AP3908"/>
      <c r="AQ3908" t="s">
        <v>5048</v>
      </c>
      <c r="AU3908">
        <v>3907</v>
      </c>
    </row>
    <row r="3909" spans="1:47" x14ac:dyDescent="0.2">
      <c r="A3909" s="133">
        <v>6715</v>
      </c>
      <c r="B3909" s="39" t="s">
        <v>45</v>
      </c>
      <c r="C3909" s="39">
        <v>100</v>
      </c>
      <c r="D3909" s="29" t="b">
        <v>0</v>
      </c>
      <c r="E3909" s="39" t="s">
        <v>5116</v>
      </c>
      <c r="F3909" s="47" t="s">
        <v>3992</v>
      </c>
      <c r="G3909" s="47" t="s">
        <v>49</v>
      </c>
      <c r="H3909"/>
      <c r="I3909" s="47" t="b">
        <v>1</v>
      </c>
      <c r="J3909" s="47" t="b">
        <v>1</v>
      </c>
      <c r="K3909" s="47">
        <v>2464</v>
      </c>
      <c r="L3909" s="48">
        <v>14</v>
      </c>
      <c r="M3909" s="47">
        <v>0</v>
      </c>
      <c r="N3909" s="47">
        <v>3</v>
      </c>
      <c r="O3909" s="47">
        <v>0</v>
      </c>
      <c r="P3909" s="47">
        <v>7</v>
      </c>
      <c r="Q3909" s="47">
        <v>0</v>
      </c>
      <c r="R3909" s="47">
        <v>0</v>
      </c>
      <c r="S3909" s="48">
        <v>11</v>
      </c>
      <c r="T3909" s="47">
        <v>0</v>
      </c>
      <c r="U3909" s="47">
        <v>1</v>
      </c>
      <c r="V3909" s="47">
        <v>0</v>
      </c>
      <c r="W3909" s="47">
        <v>1500</v>
      </c>
      <c r="X3909" s="47">
        <v>498</v>
      </c>
      <c r="Y3909" s="47"/>
      <c r="Z3909" s="47" t="s">
        <v>2524</v>
      </c>
      <c r="AA3909" s="49"/>
      <c r="AB3909" s="49"/>
      <c r="AC3909" s="49"/>
      <c r="AD3909" s="50"/>
      <c r="AE3909" s="47" t="s">
        <v>1312</v>
      </c>
      <c r="AF3909" s="31">
        <v>85</v>
      </c>
      <c r="AG3909"/>
      <c r="AH3909"/>
      <c r="AI3909"/>
      <c r="AJ3909"/>
      <c r="AK3909"/>
      <c r="AL3909"/>
      <c r="AM3909"/>
      <c r="AN3909"/>
      <c r="AO3909"/>
      <c r="AP3909"/>
      <c r="AQ3909" t="s">
        <v>2526</v>
      </c>
      <c r="AU3909">
        <v>3908</v>
      </c>
    </row>
    <row r="3910" spans="1:47" x14ac:dyDescent="0.2">
      <c r="A3910" s="133">
        <v>6715</v>
      </c>
      <c r="B3910" s="39" t="s">
        <v>45</v>
      </c>
      <c r="C3910" s="39">
        <v>100</v>
      </c>
      <c r="D3910" s="29" t="b">
        <v>0</v>
      </c>
      <c r="E3910" s="39" t="s">
        <v>1764</v>
      </c>
      <c r="F3910" s="47" t="s">
        <v>48</v>
      </c>
      <c r="G3910" s="47" t="s">
        <v>49</v>
      </c>
      <c r="H3910"/>
      <c r="I3910" s="47" t="b">
        <v>0</v>
      </c>
      <c r="J3910" s="47" t="b">
        <v>0</v>
      </c>
      <c r="K3910" s="47">
        <v>896</v>
      </c>
      <c r="L3910" s="48">
        <v>14</v>
      </c>
      <c r="M3910" s="47">
        <v>0</v>
      </c>
      <c r="N3910" s="47">
        <v>3</v>
      </c>
      <c r="O3910" s="47">
        <v>0</v>
      </c>
      <c r="P3910" s="47">
        <v>7</v>
      </c>
      <c r="Q3910" s="47">
        <v>0</v>
      </c>
      <c r="R3910" s="47">
        <v>0</v>
      </c>
      <c r="S3910" s="48">
        <v>4</v>
      </c>
      <c r="T3910" s="47">
        <v>0</v>
      </c>
      <c r="U3910" s="47">
        <v>1</v>
      </c>
      <c r="V3910" s="47">
        <v>0</v>
      </c>
      <c r="W3910" s="47">
        <v>1500</v>
      </c>
      <c r="X3910" s="47">
        <v>499</v>
      </c>
      <c r="Y3910" s="47"/>
      <c r="Z3910" s="47" t="s">
        <v>2524</v>
      </c>
      <c r="AA3910" s="49"/>
      <c r="AB3910" s="49"/>
      <c r="AC3910" s="49"/>
      <c r="AD3910" s="50"/>
      <c r="AE3910" s="47" t="s">
        <v>1312</v>
      </c>
      <c r="AF3910" s="31">
        <v>85</v>
      </c>
      <c r="AG3910"/>
      <c r="AH3910"/>
      <c r="AI3910"/>
      <c r="AJ3910"/>
      <c r="AK3910"/>
      <c r="AL3910"/>
      <c r="AM3910"/>
      <c r="AN3910"/>
      <c r="AO3910"/>
      <c r="AP3910"/>
      <c r="AQ3910" t="s">
        <v>2526</v>
      </c>
      <c r="AU3910">
        <v>3909</v>
      </c>
    </row>
    <row r="3911" spans="1:47" x14ac:dyDescent="0.2">
      <c r="A3911" s="133">
        <v>6715</v>
      </c>
      <c r="B3911" s="39" t="s">
        <v>45</v>
      </c>
      <c r="C3911" s="39">
        <v>100</v>
      </c>
      <c r="D3911" s="29" t="b">
        <v>0</v>
      </c>
      <c r="E3911" s="39" t="s">
        <v>1104</v>
      </c>
      <c r="F3911" s="47" t="s">
        <v>48</v>
      </c>
      <c r="G3911" s="47" t="s">
        <v>49</v>
      </c>
      <c r="H3911"/>
      <c r="I3911" s="47" t="b">
        <v>0</v>
      </c>
      <c r="J3911" s="47" t="b">
        <v>0</v>
      </c>
      <c r="K3911" s="47">
        <v>1568</v>
      </c>
      <c r="L3911" s="48">
        <v>14</v>
      </c>
      <c r="M3911" s="47">
        <v>0</v>
      </c>
      <c r="N3911" s="47">
        <v>3</v>
      </c>
      <c r="O3911" s="47">
        <v>0</v>
      </c>
      <c r="P3911" s="47">
        <v>7</v>
      </c>
      <c r="Q3911" s="47">
        <v>0</v>
      </c>
      <c r="R3911" s="47">
        <v>0</v>
      </c>
      <c r="S3911" s="48">
        <v>7</v>
      </c>
      <c r="T3911" s="47">
        <v>0</v>
      </c>
      <c r="U3911" s="47">
        <v>1</v>
      </c>
      <c r="V3911" s="47">
        <v>0</v>
      </c>
      <c r="W3911" s="47">
        <v>1500</v>
      </c>
      <c r="X3911" s="47">
        <v>500</v>
      </c>
      <c r="Y3911" s="47"/>
      <c r="Z3911" s="47" t="s">
        <v>2524</v>
      </c>
      <c r="AA3911" s="49"/>
      <c r="AB3911" s="49"/>
      <c r="AC3911" s="49"/>
      <c r="AD3911" s="50"/>
      <c r="AE3911" s="47" t="s">
        <v>1312</v>
      </c>
      <c r="AF3911" s="47">
        <v>60</v>
      </c>
      <c r="AG3911"/>
      <c r="AH3911"/>
      <c r="AI3911"/>
      <c r="AJ3911"/>
      <c r="AK3911"/>
      <c r="AL3911"/>
      <c r="AM3911"/>
      <c r="AN3911"/>
      <c r="AO3911"/>
      <c r="AP3911"/>
      <c r="AQ3911" t="s">
        <v>2526</v>
      </c>
      <c r="AU3911">
        <v>3910</v>
      </c>
    </row>
    <row r="3912" spans="1:47" x14ac:dyDescent="0.2">
      <c r="A3912" s="133">
        <v>6715</v>
      </c>
      <c r="B3912" s="39" t="s">
        <v>45</v>
      </c>
      <c r="C3912" s="39">
        <v>216</v>
      </c>
      <c r="D3912" s="29" t="b">
        <v>0</v>
      </c>
      <c r="E3912" s="39" t="s">
        <v>5117</v>
      </c>
      <c r="F3912" s="47" t="s">
        <v>5118</v>
      </c>
      <c r="G3912" s="47" t="s">
        <v>49</v>
      </c>
      <c r="H3912"/>
      <c r="I3912" s="47" t="b">
        <v>1</v>
      </c>
      <c r="J3912" s="47" t="b">
        <v>1</v>
      </c>
      <c r="K3912" s="47">
        <v>7392</v>
      </c>
      <c r="L3912" s="48">
        <v>6</v>
      </c>
      <c r="M3912" s="47">
        <v>0</v>
      </c>
      <c r="N3912" s="47">
        <v>0</v>
      </c>
      <c r="O3912" s="47">
        <v>0</v>
      </c>
      <c r="P3912" s="47">
        <v>0</v>
      </c>
      <c r="Q3912" s="47">
        <v>0</v>
      </c>
      <c r="R3912" s="47">
        <v>0</v>
      </c>
      <c r="S3912" s="48">
        <v>6</v>
      </c>
      <c r="T3912" s="47">
        <v>0</v>
      </c>
      <c r="U3912" s="47">
        <v>0</v>
      </c>
      <c r="V3912" s="47">
        <v>0</v>
      </c>
      <c r="W3912" s="47">
        <v>4500</v>
      </c>
      <c r="X3912" s="47">
        <v>501</v>
      </c>
      <c r="Y3912" s="47"/>
      <c r="Z3912" s="47" t="s">
        <v>2466</v>
      </c>
      <c r="AA3912" s="49"/>
      <c r="AB3912" s="49"/>
      <c r="AC3912" s="49"/>
      <c r="AD3912" s="50"/>
      <c r="AE3912" s="47" t="s">
        <v>1312</v>
      </c>
      <c r="AF3912" s="47">
        <v>245</v>
      </c>
      <c r="AG3912"/>
      <c r="AH3912"/>
      <c r="AI3912"/>
      <c r="AJ3912"/>
      <c r="AK3912"/>
      <c r="AL3912"/>
      <c r="AM3912"/>
      <c r="AN3912"/>
      <c r="AO3912"/>
      <c r="AP3912"/>
      <c r="AQ3912" t="s">
        <v>2526</v>
      </c>
      <c r="AU3912">
        <v>3911</v>
      </c>
    </row>
    <row r="3913" spans="1:47" x14ac:dyDescent="0.2">
      <c r="A3913" s="133">
        <v>6715</v>
      </c>
      <c r="B3913" s="39" t="s">
        <v>45</v>
      </c>
      <c r="C3913" s="39">
        <v>216</v>
      </c>
      <c r="D3913" s="29" t="b">
        <v>0</v>
      </c>
      <c r="E3913" s="39" t="s">
        <v>1764</v>
      </c>
      <c r="F3913" s="47" t="s">
        <v>48</v>
      </c>
      <c r="G3913" s="47" t="s">
        <v>49</v>
      </c>
      <c r="H3913"/>
      <c r="I3913" s="47" t="b">
        <v>0</v>
      </c>
      <c r="J3913" s="47" t="b">
        <v>0</v>
      </c>
      <c r="K3913" s="47">
        <v>2016</v>
      </c>
      <c r="L3913" s="48">
        <v>6</v>
      </c>
      <c r="M3913" s="47">
        <v>0</v>
      </c>
      <c r="N3913" s="47">
        <v>0</v>
      </c>
      <c r="O3913" s="47">
        <v>0</v>
      </c>
      <c r="P3913" s="47">
        <v>0</v>
      </c>
      <c r="Q3913" s="47">
        <v>0</v>
      </c>
      <c r="R3913" s="47">
        <v>0</v>
      </c>
      <c r="S3913" s="48">
        <v>2</v>
      </c>
      <c r="T3913" s="47">
        <v>0</v>
      </c>
      <c r="U3913" s="47">
        <v>0</v>
      </c>
      <c r="V3913" s="47">
        <v>0</v>
      </c>
      <c r="W3913" s="47">
        <v>5000</v>
      </c>
      <c r="X3913" s="47">
        <v>502</v>
      </c>
      <c r="Y3913" s="47"/>
      <c r="Z3913" s="47" t="s">
        <v>2466</v>
      </c>
      <c r="AA3913" s="49"/>
      <c r="AB3913" s="49"/>
      <c r="AC3913" s="49"/>
      <c r="AD3913" s="50"/>
      <c r="AE3913" s="47" t="s">
        <v>1312</v>
      </c>
      <c r="AF3913" s="31">
        <v>85</v>
      </c>
      <c r="AG3913"/>
      <c r="AH3913"/>
      <c r="AI3913"/>
      <c r="AJ3913"/>
      <c r="AK3913"/>
      <c r="AL3913"/>
      <c r="AM3913"/>
      <c r="AN3913"/>
      <c r="AO3913"/>
      <c r="AP3913"/>
      <c r="AQ3913" t="s">
        <v>2526</v>
      </c>
      <c r="AU3913">
        <v>3912</v>
      </c>
    </row>
    <row r="3914" spans="1:47" x14ac:dyDescent="0.2">
      <c r="A3914" s="133">
        <v>6715</v>
      </c>
      <c r="B3914" s="39" t="s">
        <v>45</v>
      </c>
      <c r="C3914" s="39">
        <v>216</v>
      </c>
      <c r="D3914" s="29" t="b">
        <v>0</v>
      </c>
      <c r="E3914" s="39" t="s">
        <v>1168</v>
      </c>
      <c r="F3914" s="47" t="s">
        <v>48</v>
      </c>
      <c r="G3914" s="47" t="s">
        <v>49</v>
      </c>
      <c r="H3914"/>
      <c r="I3914" s="47" t="b">
        <v>0</v>
      </c>
      <c r="J3914" s="47" t="b">
        <v>0</v>
      </c>
      <c r="K3914" s="47">
        <v>2688</v>
      </c>
      <c r="L3914" s="48">
        <v>6</v>
      </c>
      <c r="M3914" s="47">
        <v>0</v>
      </c>
      <c r="N3914" s="47">
        <v>0</v>
      </c>
      <c r="O3914" s="47">
        <v>0</v>
      </c>
      <c r="P3914" s="47">
        <v>0</v>
      </c>
      <c r="Q3914" s="47">
        <v>0</v>
      </c>
      <c r="R3914" s="47">
        <v>0</v>
      </c>
      <c r="S3914" s="48">
        <v>2</v>
      </c>
      <c r="T3914" s="47">
        <v>0</v>
      </c>
      <c r="U3914" s="47">
        <v>0</v>
      </c>
      <c r="V3914" s="47">
        <v>0</v>
      </c>
      <c r="W3914" s="47">
        <v>6200</v>
      </c>
      <c r="X3914" s="47">
        <v>503</v>
      </c>
      <c r="Y3914" s="47"/>
      <c r="Z3914" s="47" t="s">
        <v>2466</v>
      </c>
      <c r="AA3914" s="49"/>
      <c r="AB3914" s="49"/>
      <c r="AC3914" s="49"/>
      <c r="AD3914" s="50"/>
      <c r="AE3914" s="47" t="s">
        <v>1312</v>
      </c>
      <c r="AF3914" s="47">
        <v>60</v>
      </c>
      <c r="AG3914"/>
      <c r="AH3914"/>
      <c r="AI3914"/>
      <c r="AJ3914"/>
      <c r="AK3914"/>
      <c r="AL3914"/>
      <c r="AM3914"/>
      <c r="AN3914"/>
      <c r="AO3914"/>
      <c r="AP3914"/>
      <c r="AQ3914" t="s">
        <v>2526</v>
      </c>
      <c r="AU3914">
        <v>3913</v>
      </c>
    </row>
    <row r="3915" spans="1:47" x14ac:dyDescent="0.2">
      <c r="A3915" s="133">
        <v>6715</v>
      </c>
      <c r="B3915" s="39" t="s">
        <v>45</v>
      </c>
      <c r="C3915" s="39">
        <v>216</v>
      </c>
      <c r="D3915" s="29" t="b">
        <v>0</v>
      </c>
      <c r="E3915" s="39" t="s">
        <v>2964</v>
      </c>
      <c r="F3915" s="47" t="s">
        <v>5113</v>
      </c>
      <c r="G3915" s="47" t="s">
        <v>49</v>
      </c>
      <c r="H3915"/>
      <c r="I3915" s="47" t="b">
        <v>0</v>
      </c>
      <c r="J3915" s="47" t="b">
        <v>0</v>
      </c>
      <c r="K3915" s="47">
        <v>2688</v>
      </c>
      <c r="L3915" s="48">
        <v>6</v>
      </c>
      <c r="M3915" s="47">
        <v>0</v>
      </c>
      <c r="N3915" s="47">
        <v>0</v>
      </c>
      <c r="O3915" s="47">
        <v>0</v>
      </c>
      <c r="P3915" s="47">
        <v>0</v>
      </c>
      <c r="Q3915" s="47">
        <v>0</v>
      </c>
      <c r="R3915" s="47">
        <v>0</v>
      </c>
      <c r="S3915" s="48">
        <v>2</v>
      </c>
      <c r="T3915" s="47">
        <v>0</v>
      </c>
      <c r="U3915" s="47">
        <v>0</v>
      </c>
      <c r="V3915" s="47">
        <v>0</v>
      </c>
      <c r="W3915" s="47">
        <v>3500</v>
      </c>
      <c r="X3915" s="47">
        <v>504</v>
      </c>
      <c r="Y3915" s="47"/>
      <c r="Z3915" s="47" t="s">
        <v>2466</v>
      </c>
      <c r="AA3915" s="49"/>
      <c r="AB3915" s="49"/>
      <c r="AC3915" s="49"/>
      <c r="AD3915" s="50"/>
      <c r="AE3915" s="47" t="s">
        <v>1312</v>
      </c>
      <c r="AF3915" s="47">
        <v>245</v>
      </c>
      <c r="AG3915"/>
      <c r="AH3915"/>
      <c r="AI3915"/>
      <c r="AJ3915"/>
      <c r="AK3915"/>
      <c r="AL3915"/>
      <c r="AM3915"/>
      <c r="AN3915"/>
      <c r="AO3915"/>
      <c r="AP3915"/>
      <c r="AQ3915" t="s">
        <v>2526</v>
      </c>
      <c r="AU3915">
        <v>3914</v>
      </c>
    </row>
    <row r="3916" spans="1:47" x14ac:dyDescent="0.2">
      <c r="A3916" s="133">
        <v>6715</v>
      </c>
      <c r="B3916" s="39" t="s">
        <v>45</v>
      </c>
      <c r="C3916" s="39" t="s">
        <v>142</v>
      </c>
      <c r="D3916" s="29"/>
      <c r="E3916" s="39" t="s">
        <v>5119</v>
      </c>
      <c r="F3916" s="47" t="s">
        <v>5120</v>
      </c>
      <c r="G3916" s="47" t="s">
        <v>69</v>
      </c>
      <c r="H3916"/>
      <c r="I3916" s="47" t="s">
        <v>5121</v>
      </c>
      <c r="J3916" s="47"/>
      <c r="K3916" s="47">
        <f>7620*2.2</f>
        <v>16764</v>
      </c>
      <c r="L3916" s="48">
        <v>28</v>
      </c>
      <c r="M3916" s="47"/>
      <c r="N3916" s="47"/>
      <c r="O3916" s="47"/>
      <c r="P3916" s="47"/>
      <c r="Q3916" s="47"/>
      <c r="R3916" s="47"/>
      <c r="S3916" s="48">
        <v>28</v>
      </c>
      <c r="T3916" s="47">
        <v>0</v>
      </c>
      <c r="U3916" s="47">
        <v>0</v>
      </c>
      <c r="V3916" s="47">
        <v>0</v>
      </c>
      <c r="W3916" s="47"/>
      <c r="X3916" s="47"/>
      <c r="Y3916" s="47" t="s">
        <v>51</v>
      </c>
      <c r="Z3916" s="31" t="s">
        <v>3855</v>
      </c>
      <c r="AA3916" s="49"/>
      <c r="AB3916" s="49"/>
      <c r="AC3916" s="49"/>
      <c r="AD3916" s="50"/>
      <c r="AE3916" s="31" t="s">
        <v>4723</v>
      </c>
      <c r="AF3916" s="47">
        <v>80</v>
      </c>
      <c r="AG3916"/>
      <c r="AH3916"/>
      <c r="AI3916"/>
      <c r="AJ3916"/>
      <c r="AK3916">
        <f>130+60+37+11+1</f>
        <v>239</v>
      </c>
      <c r="AL3916"/>
      <c r="AM3916"/>
      <c r="AN3916"/>
      <c r="AO3916"/>
      <c r="AP3916"/>
      <c r="AQ3916" t="s">
        <v>5122</v>
      </c>
      <c r="AU3916">
        <v>3915</v>
      </c>
    </row>
    <row r="3917" spans="1:47" x14ac:dyDescent="0.2">
      <c r="A3917" s="133">
        <v>6715</v>
      </c>
      <c r="B3917" s="39" t="s">
        <v>45</v>
      </c>
      <c r="C3917" s="57" t="s">
        <v>4456</v>
      </c>
      <c r="D3917" s="29"/>
      <c r="E3917" s="39" t="s">
        <v>5123</v>
      </c>
      <c r="F3917" s="47" t="s">
        <v>220</v>
      </c>
      <c r="G3917" s="47" t="s">
        <v>49</v>
      </c>
      <c r="H3917"/>
      <c r="I3917" s="47" t="s">
        <v>5124</v>
      </c>
      <c r="J3917" s="47"/>
      <c r="K3917" s="118">
        <f>2*8*50*2.2</f>
        <v>1760.0000000000002</v>
      </c>
      <c r="L3917" s="48">
        <v>2</v>
      </c>
      <c r="M3917" s="47"/>
      <c r="N3917" s="47"/>
      <c r="O3917" s="47"/>
      <c r="P3917" s="47"/>
      <c r="Q3917" s="47"/>
      <c r="R3917" s="47"/>
      <c r="S3917" s="48">
        <v>2</v>
      </c>
      <c r="T3917" s="47">
        <v>0</v>
      </c>
      <c r="U3917" s="47">
        <v>0</v>
      </c>
      <c r="V3917" s="47">
        <v>0</v>
      </c>
      <c r="W3917" s="47">
        <f>((3000+2800)/2)*39.37/12</f>
        <v>9514.4166666666661</v>
      </c>
      <c r="X3917" s="47"/>
      <c r="Y3917" s="31" t="s">
        <v>51</v>
      </c>
      <c r="Z3917" s="31" t="s">
        <v>1846</v>
      </c>
      <c r="AA3917" s="49">
        <v>0.90277777777777779</v>
      </c>
      <c r="AB3917" s="49">
        <v>2.7777777777777776E-2</v>
      </c>
      <c r="AC3917" s="49">
        <v>0.96527777777777779</v>
      </c>
      <c r="AD3917" s="50">
        <v>3</v>
      </c>
      <c r="AE3917" s="31" t="s">
        <v>4756</v>
      </c>
      <c r="AF3917" s="47">
        <v>120</v>
      </c>
      <c r="AG3917"/>
      <c r="AH3917"/>
      <c r="AI3917"/>
      <c r="AJ3917"/>
      <c r="AK3917" s="136">
        <f>2*8</f>
        <v>16</v>
      </c>
      <c r="AL3917"/>
      <c r="AM3917"/>
      <c r="AN3917"/>
      <c r="AO3917"/>
      <c r="AP3917"/>
      <c r="AQ3917" s="32" t="s">
        <v>5111</v>
      </c>
      <c r="AU3917">
        <v>3916</v>
      </c>
    </row>
    <row r="3918" spans="1:47" x14ac:dyDescent="0.2">
      <c r="A3918" s="133">
        <v>6715</v>
      </c>
      <c r="B3918" s="39" t="s">
        <v>45</v>
      </c>
      <c r="C3918" s="57" t="s">
        <v>4456</v>
      </c>
      <c r="D3918" s="29"/>
      <c r="E3918" s="39" t="s">
        <v>5125</v>
      </c>
      <c r="F3918" s="47" t="s">
        <v>220</v>
      </c>
      <c r="G3918" s="47" t="s">
        <v>49</v>
      </c>
      <c r="H3918"/>
      <c r="I3918" s="47" t="s">
        <v>5126</v>
      </c>
      <c r="J3918" s="47"/>
      <c r="K3918" s="118">
        <f>8*50*2.2</f>
        <v>880.00000000000011</v>
      </c>
      <c r="L3918" s="48">
        <v>1</v>
      </c>
      <c r="M3918" s="47"/>
      <c r="N3918" s="47"/>
      <c r="O3918" s="47"/>
      <c r="P3918" s="47"/>
      <c r="Q3918" s="47"/>
      <c r="R3918" s="47"/>
      <c r="S3918" s="48">
        <v>1</v>
      </c>
      <c r="T3918" s="47">
        <v>0</v>
      </c>
      <c r="U3918" s="47">
        <v>0</v>
      </c>
      <c r="V3918" s="47">
        <v>0</v>
      </c>
      <c r="W3918" s="47">
        <f>1800*39.37/12</f>
        <v>5905.5</v>
      </c>
      <c r="X3918" s="47"/>
      <c r="Y3918" s="31" t="s">
        <v>51</v>
      </c>
      <c r="Z3918" s="31" t="s">
        <v>1846</v>
      </c>
      <c r="AA3918" s="49">
        <v>0.91666666666666663</v>
      </c>
      <c r="AB3918" s="49">
        <v>7.6388888888888895E-2</v>
      </c>
      <c r="AC3918" s="49">
        <v>0.99652777777777779</v>
      </c>
      <c r="AD3918" s="50">
        <f>3+5/6</f>
        <v>3.8333333333333335</v>
      </c>
      <c r="AE3918" s="31" t="s">
        <v>4756</v>
      </c>
      <c r="AF3918" s="47">
        <v>145</v>
      </c>
      <c r="AG3918"/>
      <c r="AH3918"/>
      <c r="AI3918"/>
      <c r="AJ3918"/>
      <c r="AK3918" s="136">
        <v>8</v>
      </c>
      <c r="AL3918"/>
      <c r="AM3918"/>
      <c r="AN3918"/>
      <c r="AO3918"/>
      <c r="AP3918"/>
      <c r="AQ3918" s="32" t="s">
        <v>5111</v>
      </c>
      <c r="AU3918">
        <v>3917</v>
      </c>
    </row>
    <row r="3919" spans="1:47" x14ac:dyDescent="0.2">
      <c r="A3919" s="133">
        <v>6715</v>
      </c>
      <c r="B3919" s="39" t="s">
        <v>45</v>
      </c>
      <c r="C3919" s="39" t="s">
        <v>4171</v>
      </c>
      <c r="D3919" s="29"/>
      <c r="E3919" s="39" t="s">
        <v>3884</v>
      </c>
      <c r="F3919" s="47" t="s">
        <v>48</v>
      </c>
      <c r="G3919" s="47" t="s">
        <v>49</v>
      </c>
      <c r="H3919"/>
      <c r="I3919" s="47" t="s">
        <v>5127</v>
      </c>
      <c r="J3919" s="47"/>
      <c r="K3919" s="47"/>
      <c r="L3919" s="48"/>
      <c r="M3919" s="47"/>
      <c r="N3919" s="47"/>
      <c r="O3919" s="47"/>
      <c r="P3919" s="47"/>
      <c r="Q3919" s="47"/>
      <c r="R3919" s="47"/>
      <c r="S3919" s="48"/>
      <c r="T3919" s="47"/>
      <c r="U3919" s="47"/>
      <c r="V3919" s="47"/>
      <c r="W3919" s="47"/>
      <c r="X3919" s="47"/>
      <c r="Y3919" s="47"/>
      <c r="Z3919" s="31" t="s">
        <v>1846</v>
      </c>
      <c r="AA3919" s="49"/>
      <c r="AB3919" s="49"/>
      <c r="AC3919" s="49"/>
      <c r="AD3919" s="50"/>
      <c r="AE3919" s="31" t="s">
        <v>4756</v>
      </c>
      <c r="AF3919" s="47">
        <v>85</v>
      </c>
      <c r="AG3919"/>
      <c r="AH3919"/>
      <c r="AI3919"/>
      <c r="AJ3919"/>
      <c r="AK3919"/>
      <c r="AL3919"/>
      <c r="AM3919"/>
      <c r="AN3919"/>
      <c r="AO3919"/>
      <c r="AP3919"/>
      <c r="AQ3919" t="s">
        <v>5128</v>
      </c>
      <c r="AU3919">
        <v>3918</v>
      </c>
    </row>
    <row r="3920" spans="1:47" x14ac:dyDescent="0.2">
      <c r="A3920" s="13">
        <v>6715</v>
      </c>
      <c r="B3920" s="57" t="s">
        <v>45</v>
      </c>
      <c r="C3920" s="57" t="s">
        <v>5129</v>
      </c>
      <c r="D3920" s="29"/>
      <c r="E3920" s="57" t="s">
        <v>3884</v>
      </c>
      <c r="F3920" s="31" t="s">
        <v>76</v>
      </c>
      <c r="G3920" s="31" t="s">
        <v>49</v>
      </c>
      <c r="K3920" s="31">
        <v>330</v>
      </c>
      <c r="S3920" s="33">
        <v>1</v>
      </c>
      <c r="AK3920" s="32">
        <v>6</v>
      </c>
      <c r="AQ3920" s="32" t="s">
        <v>5029</v>
      </c>
      <c r="AU3920">
        <v>3919</v>
      </c>
    </row>
    <row r="3921" spans="1:47" x14ac:dyDescent="0.2">
      <c r="A3921" s="13">
        <v>6715</v>
      </c>
      <c r="B3921" s="57" t="s">
        <v>45</v>
      </c>
      <c r="C3921" s="57" t="s">
        <v>5027</v>
      </c>
      <c r="D3921" s="29"/>
      <c r="E3921" s="57" t="s">
        <v>5082</v>
      </c>
      <c r="F3921" s="31" t="s">
        <v>204</v>
      </c>
      <c r="G3921" s="31" t="s">
        <v>205</v>
      </c>
      <c r="K3921" s="31">
        <v>4345</v>
      </c>
      <c r="S3921" s="33">
        <v>7</v>
      </c>
      <c r="Z3921" s="31" t="s">
        <v>3855</v>
      </c>
      <c r="AK3921" s="32">
        <v>56</v>
      </c>
      <c r="AQ3921" s="32" t="s">
        <v>5029</v>
      </c>
      <c r="AU3921">
        <v>3920</v>
      </c>
    </row>
    <row r="3922" spans="1:47" x14ac:dyDescent="0.2">
      <c r="A3922" s="26">
        <v>6715</v>
      </c>
      <c r="B3922" s="27">
        <v>8.3333333333333329E-2</v>
      </c>
      <c r="C3922" s="28"/>
      <c r="D3922" s="29"/>
      <c r="E3922" s="30" t="s">
        <v>464</v>
      </c>
      <c r="H3922" s="32">
        <v>0</v>
      </c>
      <c r="I3922" s="32" t="s">
        <v>4220</v>
      </c>
      <c r="AG3922" s="32">
        <v>0</v>
      </c>
      <c r="AH3922" s="32">
        <v>0</v>
      </c>
      <c r="AL3922" s="32">
        <v>0.5</v>
      </c>
      <c r="AO3922" s="32" t="s">
        <v>4067</v>
      </c>
      <c r="AP3922" s="32">
        <v>0.5</v>
      </c>
      <c r="AQ3922" s="32" t="s">
        <v>1522</v>
      </c>
      <c r="AU3922">
        <v>3921</v>
      </c>
    </row>
    <row r="3923" spans="1:47" x14ac:dyDescent="0.2">
      <c r="A3923" s="26">
        <v>6715</v>
      </c>
      <c r="B3923" s="27">
        <v>0.1125</v>
      </c>
      <c r="C3923" s="28"/>
      <c r="D3923" s="29"/>
      <c r="E3923" s="30" t="s">
        <v>1282</v>
      </c>
      <c r="H3923" s="32">
        <v>0</v>
      </c>
      <c r="I3923" s="32" t="s">
        <v>5130</v>
      </c>
      <c r="AG3923" s="32">
        <v>0</v>
      </c>
      <c r="AH3923" s="32">
        <v>0</v>
      </c>
      <c r="AI3923" s="32">
        <v>0</v>
      </c>
      <c r="AK3923" s="32">
        <v>0</v>
      </c>
      <c r="AL3923" s="32">
        <f>58/60</f>
        <v>0.96666666666666667</v>
      </c>
      <c r="AP3923" s="32">
        <f>58/60</f>
        <v>0.96666666666666667</v>
      </c>
      <c r="AQ3923" s="32" t="s">
        <v>1101</v>
      </c>
      <c r="AU3923">
        <v>3922</v>
      </c>
    </row>
    <row r="3924" spans="1:47" x14ac:dyDescent="0.2">
      <c r="A3924" s="26">
        <v>6715</v>
      </c>
      <c r="B3924" s="27">
        <v>0.39374999999999999</v>
      </c>
      <c r="C3924" s="28"/>
      <c r="D3924" s="29"/>
      <c r="E3924" s="102" t="s">
        <v>1102</v>
      </c>
      <c r="H3924" s="32">
        <v>0</v>
      </c>
      <c r="I3924" s="32" t="s">
        <v>1103</v>
      </c>
      <c r="AG3924" s="32">
        <v>0</v>
      </c>
      <c r="AH3924" s="32">
        <v>0</v>
      </c>
      <c r="AI3924" s="32">
        <v>0</v>
      </c>
      <c r="AK3924" s="32">
        <v>0</v>
      </c>
      <c r="AL3924" s="32">
        <f>29/60</f>
        <v>0.48333333333333334</v>
      </c>
      <c r="AO3924" s="73" t="s">
        <v>1006</v>
      </c>
      <c r="AP3924" s="32">
        <f>29/60</f>
        <v>0.48333333333333334</v>
      </c>
      <c r="AQ3924" s="32" t="s">
        <v>589</v>
      </c>
      <c r="AU3924">
        <v>3923</v>
      </c>
    </row>
    <row r="3925" spans="1:47" x14ac:dyDescent="0.2">
      <c r="A3925" s="26">
        <v>6715</v>
      </c>
      <c r="B3925" s="27">
        <v>0.43402777777777773</v>
      </c>
      <c r="C3925" s="28"/>
      <c r="D3925" s="29"/>
      <c r="E3925" s="30" t="s">
        <v>3155</v>
      </c>
      <c r="H3925" s="32">
        <v>0</v>
      </c>
      <c r="I3925" s="32" t="s">
        <v>5131</v>
      </c>
      <c r="AG3925" s="32">
        <v>0</v>
      </c>
      <c r="AH3925" s="32">
        <v>0</v>
      </c>
      <c r="AI3925" s="32">
        <v>0</v>
      </c>
      <c r="AK3925" s="32">
        <v>0</v>
      </c>
      <c r="AP3925" s="32">
        <f>74/60</f>
        <v>1.2333333333333334</v>
      </c>
      <c r="AQ3925" s="32" t="s">
        <v>1101</v>
      </c>
      <c r="AU3925">
        <v>3924</v>
      </c>
    </row>
    <row r="3926" spans="1:47" x14ac:dyDescent="0.2">
      <c r="A3926" s="26">
        <v>6715</v>
      </c>
      <c r="B3926" s="27">
        <v>0.46388888888888885</v>
      </c>
      <c r="C3926" s="28"/>
      <c r="D3926" s="29"/>
      <c r="E3926" s="30" t="s">
        <v>3737</v>
      </c>
      <c r="H3926" s="32">
        <v>0</v>
      </c>
      <c r="I3926" s="32" t="s">
        <v>4926</v>
      </c>
      <c r="AG3926" s="32">
        <v>0</v>
      </c>
      <c r="AH3926" s="32">
        <v>0</v>
      </c>
      <c r="AI3926" s="32">
        <v>0</v>
      </c>
      <c r="AK3926" s="32">
        <v>0</v>
      </c>
      <c r="AL3926" s="32">
        <f>68/60</f>
        <v>1.1333333333333333</v>
      </c>
      <c r="AM3926" s="33">
        <f>(3125+3691)*AL3926</f>
        <v>7724.8</v>
      </c>
      <c r="AP3926" s="32">
        <f>68/60</f>
        <v>1.1333333333333333</v>
      </c>
      <c r="AQ3926" s="32" t="s">
        <v>1101</v>
      </c>
      <c r="AU3926">
        <v>3925</v>
      </c>
    </row>
    <row r="3927" spans="1:47" x14ac:dyDescent="0.2">
      <c r="A3927" s="26">
        <v>6715</v>
      </c>
      <c r="B3927" s="27">
        <v>0.46875</v>
      </c>
      <c r="C3927" s="28"/>
      <c r="D3927" s="29"/>
      <c r="E3927" s="30" t="s">
        <v>631</v>
      </c>
      <c r="H3927" s="32">
        <v>0</v>
      </c>
      <c r="I3927" s="32" t="s">
        <v>837</v>
      </c>
      <c r="AG3927" s="32">
        <v>0</v>
      </c>
      <c r="AH3927" s="32">
        <v>0</v>
      </c>
      <c r="AI3927" s="32">
        <v>0</v>
      </c>
      <c r="AK3927" s="32">
        <v>0</v>
      </c>
      <c r="AL3927" s="32">
        <v>0.5</v>
      </c>
      <c r="AP3927" s="32">
        <v>0.5</v>
      </c>
      <c r="AQ3927" s="32">
        <v>464</v>
      </c>
      <c r="AU3927">
        <v>3926</v>
      </c>
    </row>
    <row r="3928" spans="1:47" x14ac:dyDescent="0.2">
      <c r="A3928" s="26">
        <v>6715</v>
      </c>
      <c r="B3928" s="27">
        <v>0.47222222222222227</v>
      </c>
      <c r="C3928" s="28"/>
      <c r="D3928" s="29"/>
      <c r="E3928" s="30" t="s">
        <v>869</v>
      </c>
      <c r="H3928" s="32">
        <v>0</v>
      </c>
      <c r="I3928" s="32" t="s">
        <v>2344</v>
      </c>
      <c r="AG3928" s="32">
        <v>0</v>
      </c>
      <c r="AH3928" s="32">
        <v>0</v>
      </c>
      <c r="AI3928" s="32">
        <v>0</v>
      </c>
      <c r="AK3928" s="32">
        <v>0</v>
      </c>
      <c r="AL3928" s="32">
        <f>18/60</f>
        <v>0.3</v>
      </c>
      <c r="AP3928" s="32">
        <f>18/60</f>
        <v>0.3</v>
      </c>
      <c r="AQ3928" s="32" t="s">
        <v>589</v>
      </c>
      <c r="AU3928">
        <v>3927</v>
      </c>
    </row>
    <row r="3929" spans="1:47" x14ac:dyDescent="0.2">
      <c r="A3929" s="26">
        <v>6715</v>
      </c>
      <c r="B3929" s="27">
        <v>0.47916666666666669</v>
      </c>
      <c r="C3929" s="28"/>
      <c r="D3929" s="29"/>
      <c r="E3929" s="30" t="s">
        <v>5112</v>
      </c>
      <c r="H3929" s="32">
        <v>1</v>
      </c>
      <c r="I3929" s="32" t="s">
        <v>5132</v>
      </c>
      <c r="AG3929" s="32">
        <v>3</v>
      </c>
      <c r="AH3929" s="32">
        <v>0</v>
      </c>
      <c r="AK3929" s="32">
        <v>17</v>
      </c>
      <c r="AP3929" s="32">
        <v>1</v>
      </c>
      <c r="AQ3929" s="32" t="s">
        <v>5133</v>
      </c>
      <c r="AU3929">
        <v>3928</v>
      </c>
    </row>
    <row r="3930" spans="1:47" x14ac:dyDescent="0.2">
      <c r="A3930" s="26">
        <v>6715</v>
      </c>
      <c r="B3930" s="27">
        <v>0.53472222222222221</v>
      </c>
      <c r="C3930" s="28"/>
      <c r="D3930" s="29"/>
      <c r="E3930" s="30" t="s">
        <v>4709</v>
      </c>
      <c r="H3930" s="32">
        <v>0</v>
      </c>
      <c r="I3930" s="32" t="s">
        <v>4710</v>
      </c>
      <c r="AG3930" s="32">
        <v>0</v>
      </c>
      <c r="AH3930" s="32">
        <v>0</v>
      </c>
      <c r="AI3930" s="32">
        <v>0</v>
      </c>
      <c r="AK3930" s="32">
        <v>0</v>
      </c>
      <c r="AL3930" s="32">
        <f>55/60</f>
        <v>0.91666666666666663</v>
      </c>
      <c r="AM3930" s="32">
        <f>AL3930*(261300+974800)/18.75</f>
        <v>60431.555555555547</v>
      </c>
      <c r="AP3930" s="32">
        <f>55/60</f>
        <v>0.91666666666666663</v>
      </c>
      <c r="AQ3930" s="32" t="s">
        <v>589</v>
      </c>
      <c r="AU3930">
        <v>3929</v>
      </c>
    </row>
    <row r="3931" spans="1:47" x14ac:dyDescent="0.2">
      <c r="A3931" s="26">
        <v>6715</v>
      </c>
      <c r="B3931" s="27">
        <v>0.97916666666666663</v>
      </c>
      <c r="C3931" s="28"/>
      <c r="D3931" s="29"/>
      <c r="E3931" s="30" t="s">
        <v>1282</v>
      </c>
      <c r="H3931" s="32">
        <v>0</v>
      </c>
      <c r="I3931" s="32" t="s">
        <v>5134</v>
      </c>
      <c r="AG3931" s="32">
        <v>0</v>
      </c>
      <c r="AH3931" s="32">
        <v>0</v>
      </c>
      <c r="AI3931" s="32">
        <v>0</v>
      </c>
      <c r="AK3931" s="32">
        <v>0</v>
      </c>
      <c r="AL3931" s="32">
        <f>122/60</f>
        <v>2.0333333333333332</v>
      </c>
      <c r="AP3931" s="32">
        <f>122/60</f>
        <v>2.0333333333333332</v>
      </c>
      <c r="AQ3931" s="32" t="s">
        <v>1101</v>
      </c>
      <c r="AU3931">
        <v>3930</v>
      </c>
    </row>
    <row r="3932" spans="1:47" x14ac:dyDescent="0.2">
      <c r="A3932" s="26">
        <v>6715</v>
      </c>
      <c r="B3932" s="27">
        <v>0.97916666666666663</v>
      </c>
      <c r="C3932" s="28"/>
      <c r="D3932" s="29"/>
      <c r="E3932" s="30" t="s">
        <v>464</v>
      </c>
      <c r="H3932" s="32">
        <v>0</v>
      </c>
      <c r="I3932" s="32" t="s">
        <v>5135</v>
      </c>
      <c r="AG3932" s="32">
        <v>0</v>
      </c>
      <c r="AH3932" s="32">
        <v>0</v>
      </c>
      <c r="AL3932" s="32">
        <v>2</v>
      </c>
      <c r="AO3932" s="32" t="s">
        <v>4067</v>
      </c>
      <c r="AP3932" s="32">
        <v>2</v>
      </c>
      <c r="AQ3932" s="32" t="s">
        <v>1522</v>
      </c>
      <c r="AU3932">
        <v>3931</v>
      </c>
    </row>
    <row r="3933" spans="1:47" x14ac:dyDescent="0.2">
      <c r="A3933" s="26">
        <v>6715</v>
      </c>
      <c r="B3933" s="27">
        <v>0.99305555555555547</v>
      </c>
      <c r="C3933" s="28"/>
      <c r="D3933" s="29"/>
      <c r="E3933" s="30" t="s">
        <v>4219</v>
      </c>
      <c r="H3933" s="32">
        <v>0</v>
      </c>
      <c r="I3933" s="32" t="s">
        <v>4249</v>
      </c>
      <c r="AG3933" s="32">
        <v>0</v>
      </c>
      <c r="AH3933" s="32">
        <v>0</v>
      </c>
      <c r="AI3933" s="32">
        <v>0</v>
      </c>
      <c r="AK3933" s="32">
        <v>0</v>
      </c>
      <c r="AL3933" s="32">
        <v>0.66700000000000004</v>
      </c>
      <c r="AO3933" s="32" t="s">
        <v>858</v>
      </c>
      <c r="AP3933" s="32">
        <v>0.66700000000000004</v>
      </c>
      <c r="AQ3933" s="32" t="s">
        <v>1101</v>
      </c>
      <c r="AU3933">
        <v>3932</v>
      </c>
    </row>
    <row r="3934" spans="1:47" x14ac:dyDescent="0.2">
      <c r="A3934" s="26">
        <v>6715</v>
      </c>
      <c r="B3934" s="27" t="s">
        <v>45</v>
      </c>
      <c r="C3934" s="28"/>
      <c r="D3934" s="29"/>
      <c r="E3934" s="150" t="s">
        <v>2286</v>
      </c>
      <c r="H3934" s="32">
        <v>0</v>
      </c>
      <c r="I3934" s="32" t="s">
        <v>1824</v>
      </c>
      <c r="AG3934" s="32">
        <v>0</v>
      </c>
      <c r="AH3934" s="32">
        <v>0</v>
      </c>
      <c r="AI3934" s="32">
        <v>0</v>
      </c>
      <c r="AK3934" s="32">
        <v>0</v>
      </c>
      <c r="AM3934" s="32">
        <v>9000</v>
      </c>
      <c r="AO3934" s="73" t="s">
        <v>75</v>
      </c>
      <c r="AQ3934" s="32" t="s">
        <v>589</v>
      </c>
      <c r="AU3934">
        <v>3933</v>
      </c>
    </row>
    <row r="3935" spans="1:47" x14ac:dyDescent="0.2">
      <c r="A3935" s="26">
        <v>6715</v>
      </c>
      <c r="B3935" s="27"/>
      <c r="C3935" s="28"/>
      <c r="D3935" s="29"/>
      <c r="E3935" s="30" t="s">
        <v>4666</v>
      </c>
      <c r="H3935" s="32">
        <v>1</v>
      </c>
      <c r="I3935" s="32" t="s">
        <v>5136</v>
      </c>
      <c r="AG3935" s="32">
        <v>0</v>
      </c>
      <c r="AL3935" s="32">
        <f>4+5/6</f>
        <v>4.833333333333333</v>
      </c>
      <c r="AO3935" s="32" t="s">
        <v>4668</v>
      </c>
      <c r="AP3935" s="32">
        <f>4+5/6</f>
        <v>4.833333333333333</v>
      </c>
      <c r="AQ3935" s="32">
        <v>408</v>
      </c>
      <c r="AU3935">
        <v>3934</v>
      </c>
    </row>
    <row r="3936" spans="1:47" x14ac:dyDescent="0.2">
      <c r="A3936" s="26">
        <v>6715</v>
      </c>
      <c r="B3936" s="27"/>
      <c r="C3936" s="28"/>
      <c r="D3936" s="29"/>
      <c r="E3936" s="102" t="s">
        <v>1421</v>
      </c>
      <c r="H3936" s="32">
        <v>1</v>
      </c>
      <c r="I3936" s="32" t="s">
        <v>1422</v>
      </c>
      <c r="AK3936" s="32">
        <v>11</v>
      </c>
      <c r="AO3936" s="73"/>
      <c r="AQ3936" s="32" t="s">
        <v>589</v>
      </c>
      <c r="AU3936">
        <v>3935</v>
      </c>
    </row>
    <row r="3937" spans="1:47" x14ac:dyDescent="0.2">
      <c r="A3937" s="133">
        <v>6716</v>
      </c>
      <c r="B3937" s="39" t="s">
        <v>85</v>
      </c>
      <c r="C3937" s="39">
        <v>55</v>
      </c>
      <c r="D3937" s="29" t="b">
        <v>0</v>
      </c>
      <c r="E3937" s="39" t="s">
        <v>5137</v>
      </c>
      <c r="F3937" s="47" t="s">
        <v>2398</v>
      </c>
      <c r="G3937" s="47" t="s">
        <v>49</v>
      </c>
      <c r="H3937"/>
      <c r="I3937" s="47" t="b">
        <v>1</v>
      </c>
      <c r="J3937" s="47" t="b">
        <v>1</v>
      </c>
      <c r="K3937" s="47">
        <v>2464</v>
      </c>
      <c r="L3937" s="48">
        <v>12</v>
      </c>
      <c r="M3937" s="47">
        <v>0</v>
      </c>
      <c r="N3937" s="47">
        <v>1</v>
      </c>
      <c r="O3937" s="47">
        <v>0</v>
      </c>
      <c r="P3937" s="47">
        <v>11</v>
      </c>
      <c r="Q3937" s="47">
        <v>0</v>
      </c>
      <c r="R3937" s="47">
        <v>0</v>
      </c>
      <c r="S3937" s="48">
        <v>11</v>
      </c>
      <c r="T3937" s="47">
        <v>1</v>
      </c>
      <c r="U3937" s="47">
        <v>0</v>
      </c>
      <c r="V3937" s="47">
        <v>0</v>
      </c>
      <c r="W3937" s="47"/>
      <c r="X3937" s="47">
        <v>505</v>
      </c>
      <c r="Y3937" s="47"/>
      <c r="Z3937" s="47" t="s">
        <v>3618</v>
      </c>
      <c r="AA3937" s="49"/>
      <c r="AB3937" s="49"/>
      <c r="AC3937" s="49"/>
      <c r="AD3937" s="50"/>
      <c r="AE3937" s="47" t="s">
        <v>3798</v>
      </c>
      <c r="AF3937" s="47">
        <v>265</v>
      </c>
      <c r="AG3937"/>
      <c r="AH3937"/>
      <c r="AI3937"/>
      <c r="AJ3937"/>
      <c r="AK3937"/>
      <c r="AL3937"/>
      <c r="AM3937"/>
      <c r="AN3937"/>
      <c r="AO3937"/>
      <c r="AP3937"/>
      <c r="AQ3937" t="s">
        <v>2526</v>
      </c>
      <c r="AU3937">
        <v>3936</v>
      </c>
    </row>
    <row r="3938" spans="1:47" x14ac:dyDescent="0.2">
      <c r="A3938" s="133">
        <v>6716</v>
      </c>
      <c r="B3938" s="39" t="s">
        <v>85</v>
      </c>
      <c r="C3938" s="39">
        <v>55</v>
      </c>
      <c r="D3938" s="29" t="b">
        <v>0</v>
      </c>
      <c r="E3938" s="39" t="s">
        <v>5138</v>
      </c>
      <c r="F3938" s="47" t="s">
        <v>2398</v>
      </c>
      <c r="G3938" s="47" t="s">
        <v>49</v>
      </c>
      <c r="H3938"/>
      <c r="I3938" s="47" t="b">
        <v>0</v>
      </c>
      <c r="J3938" s="47" t="b">
        <v>0</v>
      </c>
      <c r="K3938" s="47">
        <v>1344</v>
      </c>
      <c r="L3938" s="48">
        <v>12</v>
      </c>
      <c r="M3938" s="47">
        <v>0</v>
      </c>
      <c r="N3938" s="47">
        <v>1</v>
      </c>
      <c r="O3938" s="47">
        <v>0</v>
      </c>
      <c r="P3938" s="47">
        <v>11</v>
      </c>
      <c r="Q3938" s="47">
        <v>0</v>
      </c>
      <c r="R3938" s="47">
        <v>0</v>
      </c>
      <c r="S3938" s="48">
        <v>6</v>
      </c>
      <c r="T3938" s="47">
        <v>1</v>
      </c>
      <c r="U3938" s="47">
        <v>0</v>
      </c>
      <c r="V3938" s="47">
        <v>0</v>
      </c>
      <c r="W3938" s="47"/>
      <c r="X3938" s="47">
        <v>506</v>
      </c>
      <c r="Y3938" s="47"/>
      <c r="Z3938" s="47" t="s">
        <v>3618</v>
      </c>
      <c r="AA3938" s="49"/>
      <c r="AB3938" s="49"/>
      <c r="AC3938" s="49"/>
      <c r="AD3938" s="50"/>
      <c r="AE3938" s="47" t="s">
        <v>3798</v>
      </c>
      <c r="AF3938" s="47">
        <v>265</v>
      </c>
      <c r="AG3938"/>
      <c r="AH3938"/>
      <c r="AI3938"/>
      <c r="AJ3938"/>
      <c r="AK3938"/>
      <c r="AL3938"/>
      <c r="AM3938"/>
      <c r="AN3938"/>
      <c r="AO3938"/>
      <c r="AP3938"/>
      <c r="AQ3938" t="s">
        <v>2526</v>
      </c>
      <c r="AU3938">
        <v>3937</v>
      </c>
    </row>
    <row r="3939" spans="1:47" x14ac:dyDescent="0.2">
      <c r="A3939" s="133">
        <v>6716</v>
      </c>
      <c r="B3939" s="39" t="s">
        <v>85</v>
      </c>
      <c r="C3939" s="39">
        <v>55</v>
      </c>
      <c r="D3939" s="29" t="b">
        <v>0</v>
      </c>
      <c r="E3939" s="39" t="s">
        <v>1104</v>
      </c>
      <c r="F3939" s="47" t="s">
        <v>2398</v>
      </c>
      <c r="G3939" s="47" t="s">
        <v>49</v>
      </c>
      <c r="H3939"/>
      <c r="I3939" s="47" t="b">
        <v>0</v>
      </c>
      <c r="J3939" s="47" t="b">
        <v>0</v>
      </c>
      <c r="K3939" s="47">
        <v>1120</v>
      </c>
      <c r="L3939" s="48">
        <v>12</v>
      </c>
      <c r="M3939" s="47">
        <v>0</v>
      </c>
      <c r="N3939" s="47">
        <v>1</v>
      </c>
      <c r="O3939" s="47">
        <v>0</v>
      </c>
      <c r="P3939" s="47">
        <v>11</v>
      </c>
      <c r="Q3939" s="47">
        <v>0</v>
      </c>
      <c r="R3939" s="47">
        <v>0</v>
      </c>
      <c r="S3939" s="48">
        <v>5</v>
      </c>
      <c r="T3939" s="47">
        <v>1</v>
      </c>
      <c r="U3939" s="47">
        <v>0</v>
      </c>
      <c r="V3939" s="47">
        <v>0</v>
      </c>
      <c r="W3939" s="47"/>
      <c r="X3939" s="47">
        <v>507</v>
      </c>
      <c r="Y3939" s="47"/>
      <c r="Z3939" s="47" t="s">
        <v>3618</v>
      </c>
      <c r="AA3939" s="49"/>
      <c r="AB3939" s="49"/>
      <c r="AC3939" s="49"/>
      <c r="AD3939" s="50"/>
      <c r="AE3939" s="47" t="s">
        <v>3798</v>
      </c>
      <c r="AF3939" s="47">
        <v>70</v>
      </c>
      <c r="AG3939"/>
      <c r="AH3939"/>
      <c r="AI3939"/>
      <c r="AJ3939"/>
      <c r="AK3939"/>
      <c r="AL3939"/>
      <c r="AM3939"/>
      <c r="AN3939"/>
      <c r="AO3939"/>
      <c r="AP3939"/>
      <c r="AQ3939" t="s">
        <v>2526</v>
      </c>
      <c r="AU3939">
        <v>3938</v>
      </c>
    </row>
    <row r="3940" spans="1:47" x14ac:dyDescent="0.2">
      <c r="A3940" s="133">
        <v>6716</v>
      </c>
      <c r="B3940" s="39" t="s">
        <v>85</v>
      </c>
      <c r="C3940" s="39">
        <v>99</v>
      </c>
      <c r="D3940" s="29" t="b">
        <v>0</v>
      </c>
      <c r="E3940" s="39" t="s">
        <v>1104</v>
      </c>
      <c r="F3940" s="47" t="s">
        <v>4077</v>
      </c>
      <c r="G3940" s="47" t="s">
        <v>49</v>
      </c>
      <c r="H3940"/>
      <c r="I3940" s="47" t="b">
        <v>0</v>
      </c>
      <c r="J3940" s="47" t="b">
        <v>1</v>
      </c>
      <c r="K3940" s="47">
        <v>1344</v>
      </c>
      <c r="L3940" s="48">
        <v>6</v>
      </c>
      <c r="M3940" s="47">
        <v>0</v>
      </c>
      <c r="N3940" s="47">
        <v>0</v>
      </c>
      <c r="O3940" s="47">
        <v>0</v>
      </c>
      <c r="P3940" s="47">
        <v>0</v>
      </c>
      <c r="Q3940" s="47">
        <v>0</v>
      </c>
      <c r="R3940" s="47">
        <v>0</v>
      </c>
      <c r="S3940" s="48">
        <v>6</v>
      </c>
      <c r="T3940" s="47">
        <v>0</v>
      </c>
      <c r="U3940" s="47">
        <v>0</v>
      </c>
      <c r="V3940" s="47">
        <v>0</v>
      </c>
      <c r="W3940" s="47">
        <v>12500</v>
      </c>
      <c r="X3940" s="47">
        <v>508</v>
      </c>
      <c r="Y3940" s="47" t="s">
        <v>51</v>
      </c>
      <c r="Z3940" s="47" t="s">
        <v>5139</v>
      </c>
      <c r="AA3940" s="49">
        <v>0.21875</v>
      </c>
      <c r="AB3940" s="49"/>
      <c r="AC3940" s="49"/>
      <c r="AD3940" s="50"/>
      <c r="AE3940" s="47" t="s">
        <v>3798</v>
      </c>
      <c r="AF3940" s="47">
        <v>70</v>
      </c>
      <c r="AG3940"/>
      <c r="AH3940"/>
      <c r="AI3940"/>
      <c r="AJ3940"/>
      <c r="AK3940"/>
      <c r="AL3940"/>
      <c r="AM3940"/>
      <c r="AN3940"/>
      <c r="AO3940"/>
      <c r="AP3940"/>
      <c r="AQ3940" t="s">
        <v>2526</v>
      </c>
      <c r="AU3940">
        <v>3939</v>
      </c>
    </row>
    <row r="3941" spans="1:47" x14ac:dyDescent="0.2">
      <c r="A3941" s="133">
        <v>6716</v>
      </c>
      <c r="B3941" s="39" t="s">
        <v>85</v>
      </c>
      <c r="C3941" s="39" t="s">
        <v>4849</v>
      </c>
      <c r="D3941" s="29"/>
      <c r="E3941" s="39" t="s">
        <v>124</v>
      </c>
      <c r="F3941" s="47" t="s">
        <v>150</v>
      </c>
      <c r="G3941" s="47" t="s">
        <v>49</v>
      </c>
      <c r="H3941"/>
      <c r="I3941" s="47"/>
      <c r="J3941" s="47"/>
      <c r="K3941" s="47"/>
      <c r="L3941" s="48"/>
      <c r="M3941" s="47"/>
      <c r="N3941" s="47"/>
      <c r="O3941" s="47"/>
      <c r="P3941" s="47"/>
      <c r="Q3941" s="47"/>
      <c r="R3941" s="47"/>
      <c r="S3941" s="48">
        <v>52</v>
      </c>
      <c r="T3941" s="47"/>
      <c r="U3941" s="47"/>
      <c r="V3941" s="47"/>
      <c r="W3941" s="47"/>
      <c r="X3941" s="47"/>
      <c r="Y3941" s="47"/>
      <c r="Z3941" s="31" t="s">
        <v>3724</v>
      </c>
      <c r="AA3941" s="49"/>
      <c r="AB3941" s="49"/>
      <c r="AC3941" s="49"/>
      <c r="AD3941" s="50"/>
      <c r="AE3941" s="47"/>
      <c r="AF3941" s="47"/>
      <c r="AG3941"/>
      <c r="AH3941"/>
      <c r="AI3941"/>
      <c r="AJ3941"/>
      <c r="AK3941"/>
      <c r="AL3941"/>
      <c r="AM3941"/>
      <c r="AN3941"/>
      <c r="AO3941"/>
      <c r="AP3941"/>
      <c r="AQ3941" t="s">
        <v>5048</v>
      </c>
      <c r="AU3941">
        <v>3940</v>
      </c>
    </row>
    <row r="3942" spans="1:47" x14ac:dyDescent="0.2">
      <c r="A3942" s="133">
        <v>6716</v>
      </c>
      <c r="B3942" s="39" t="s">
        <v>45</v>
      </c>
      <c r="C3942" s="39">
        <v>100</v>
      </c>
      <c r="D3942" s="29" t="b">
        <v>0</v>
      </c>
      <c r="E3942" s="39" t="s">
        <v>5140</v>
      </c>
      <c r="F3942" s="47" t="s">
        <v>4077</v>
      </c>
      <c r="G3942" s="47" t="s">
        <v>49</v>
      </c>
      <c r="H3942"/>
      <c r="I3942" s="47" t="b">
        <v>1</v>
      </c>
      <c r="J3942" s="47" t="b">
        <v>1</v>
      </c>
      <c r="K3942" s="47">
        <v>3248</v>
      </c>
      <c r="L3942" s="48">
        <v>15</v>
      </c>
      <c r="M3942" s="47">
        <v>0</v>
      </c>
      <c r="N3942" s="47">
        <v>0</v>
      </c>
      <c r="O3942" s="47">
        <v>0</v>
      </c>
      <c r="P3942" s="47">
        <v>5</v>
      </c>
      <c r="Q3942" s="47">
        <v>0</v>
      </c>
      <c r="R3942" s="47">
        <v>0</v>
      </c>
      <c r="S3942" s="48">
        <v>15</v>
      </c>
      <c r="T3942" s="47">
        <v>0</v>
      </c>
      <c r="U3942" s="47">
        <v>0</v>
      </c>
      <c r="V3942" s="47">
        <v>4</v>
      </c>
      <c r="W3942" s="47">
        <v>1500</v>
      </c>
      <c r="X3942" s="47">
        <v>509</v>
      </c>
      <c r="Y3942" s="47"/>
      <c r="Z3942" s="47" t="s">
        <v>2524</v>
      </c>
      <c r="AA3942" s="49"/>
      <c r="AB3942" s="49"/>
      <c r="AC3942" s="49"/>
      <c r="AD3942" s="50"/>
      <c r="AE3942" s="47" t="s">
        <v>1312</v>
      </c>
      <c r="AF3942" s="47">
        <v>105</v>
      </c>
      <c r="AG3942"/>
      <c r="AH3942"/>
      <c r="AI3942"/>
      <c r="AJ3942"/>
      <c r="AK3942"/>
      <c r="AL3942"/>
      <c r="AM3942"/>
      <c r="AN3942"/>
      <c r="AO3942"/>
      <c r="AP3942"/>
      <c r="AQ3942" t="s">
        <v>2526</v>
      </c>
      <c r="AU3942">
        <v>3941</v>
      </c>
    </row>
    <row r="3943" spans="1:47" x14ac:dyDescent="0.2">
      <c r="A3943" s="133">
        <v>6716</v>
      </c>
      <c r="B3943" s="39" t="s">
        <v>45</v>
      </c>
      <c r="C3943" s="39">
        <v>100</v>
      </c>
      <c r="D3943" s="29" t="b">
        <v>0</v>
      </c>
      <c r="E3943" s="39" t="s">
        <v>858</v>
      </c>
      <c r="F3943" s="47" t="s">
        <v>4077</v>
      </c>
      <c r="G3943" s="47" t="s">
        <v>49</v>
      </c>
      <c r="H3943"/>
      <c r="I3943" s="47" t="b">
        <v>0</v>
      </c>
      <c r="J3943" s="47" t="b">
        <v>0</v>
      </c>
      <c r="K3943" s="47">
        <v>2240</v>
      </c>
      <c r="L3943" s="48">
        <v>15</v>
      </c>
      <c r="M3943" s="47">
        <v>0</v>
      </c>
      <c r="N3943" s="47">
        <v>0</v>
      </c>
      <c r="O3943" s="47">
        <v>0</v>
      </c>
      <c r="P3943" s="47">
        <v>5</v>
      </c>
      <c r="Q3943" s="47">
        <v>0</v>
      </c>
      <c r="R3943" s="47">
        <v>0</v>
      </c>
      <c r="S3943" s="48">
        <v>10</v>
      </c>
      <c r="T3943" s="47">
        <v>0</v>
      </c>
      <c r="U3943" s="47">
        <v>0</v>
      </c>
      <c r="V3943" s="47">
        <v>4</v>
      </c>
      <c r="W3943" s="47">
        <v>1500</v>
      </c>
      <c r="X3943" s="47">
        <v>510</v>
      </c>
      <c r="Y3943" s="47"/>
      <c r="Z3943" s="47" t="s">
        <v>2524</v>
      </c>
      <c r="AA3943" s="49"/>
      <c r="AB3943" s="49"/>
      <c r="AC3943" s="49"/>
      <c r="AD3943" s="50"/>
      <c r="AE3943" s="47" t="s">
        <v>1312</v>
      </c>
      <c r="AF3943" s="47">
        <v>105</v>
      </c>
      <c r="AG3943"/>
      <c r="AH3943"/>
      <c r="AI3943"/>
      <c r="AJ3943"/>
      <c r="AK3943"/>
      <c r="AL3943"/>
      <c r="AM3943"/>
      <c r="AN3943"/>
      <c r="AO3943"/>
      <c r="AP3943"/>
      <c r="AQ3943" t="s">
        <v>2526</v>
      </c>
      <c r="AU3943">
        <v>3942</v>
      </c>
    </row>
    <row r="3944" spans="1:47" x14ac:dyDescent="0.2">
      <c r="A3944" s="133">
        <v>6716</v>
      </c>
      <c r="B3944" s="39" t="s">
        <v>45</v>
      </c>
      <c r="C3944" s="39">
        <v>100</v>
      </c>
      <c r="D3944" s="29" t="b">
        <v>0</v>
      </c>
      <c r="E3944" s="39" t="s">
        <v>1764</v>
      </c>
      <c r="F3944" s="47" t="s">
        <v>48</v>
      </c>
      <c r="G3944" s="47" t="s">
        <v>49</v>
      </c>
      <c r="H3944"/>
      <c r="I3944" s="47" t="b">
        <v>0</v>
      </c>
      <c r="J3944" s="47" t="b">
        <v>0</v>
      </c>
      <c r="K3944" s="47">
        <v>1008</v>
      </c>
      <c r="L3944" s="48">
        <v>15</v>
      </c>
      <c r="M3944" s="47">
        <v>0</v>
      </c>
      <c r="N3944" s="47">
        <v>0</v>
      </c>
      <c r="O3944" s="47">
        <v>0</v>
      </c>
      <c r="P3944" s="47">
        <v>5</v>
      </c>
      <c r="Q3944" s="47">
        <v>0</v>
      </c>
      <c r="R3944" s="47">
        <v>0</v>
      </c>
      <c r="S3944" s="48">
        <v>5</v>
      </c>
      <c r="T3944" s="47">
        <v>0</v>
      </c>
      <c r="U3944" s="47">
        <v>0</v>
      </c>
      <c r="V3944" s="47">
        <v>4</v>
      </c>
      <c r="W3944" s="47">
        <v>1500</v>
      </c>
      <c r="X3944" s="47">
        <v>511</v>
      </c>
      <c r="Y3944" s="47"/>
      <c r="Z3944" s="47" t="s">
        <v>2524</v>
      </c>
      <c r="AA3944" s="49"/>
      <c r="AB3944" s="49"/>
      <c r="AC3944" s="49"/>
      <c r="AD3944" s="50"/>
      <c r="AE3944" s="47" t="s">
        <v>1312</v>
      </c>
      <c r="AF3944" s="31">
        <v>85</v>
      </c>
      <c r="AG3944"/>
      <c r="AH3944"/>
      <c r="AI3944"/>
      <c r="AJ3944"/>
      <c r="AK3944"/>
      <c r="AL3944"/>
      <c r="AM3944"/>
      <c r="AN3944"/>
      <c r="AO3944"/>
      <c r="AP3944"/>
      <c r="AQ3944" t="s">
        <v>2526</v>
      </c>
      <c r="AU3944">
        <v>3943</v>
      </c>
    </row>
    <row r="3945" spans="1:47" x14ac:dyDescent="0.2">
      <c r="A3945" s="133">
        <v>6716</v>
      </c>
      <c r="B3945" s="39" t="s">
        <v>45</v>
      </c>
      <c r="C3945" s="39">
        <v>216</v>
      </c>
      <c r="D3945" s="29" t="b">
        <v>0</v>
      </c>
      <c r="E3945" s="39" t="s">
        <v>5141</v>
      </c>
      <c r="F3945" s="47" t="s">
        <v>5142</v>
      </c>
      <c r="G3945" s="47" t="s">
        <v>49</v>
      </c>
      <c r="H3945"/>
      <c r="I3945" s="47" t="b">
        <v>1</v>
      </c>
      <c r="J3945" s="47" t="b">
        <v>1</v>
      </c>
      <c r="K3945" s="47">
        <v>9084</v>
      </c>
      <c r="L3945" s="48">
        <v>7</v>
      </c>
      <c r="M3945" s="47">
        <v>0</v>
      </c>
      <c r="N3945" s="47">
        <v>0</v>
      </c>
      <c r="O3945" s="47">
        <v>0</v>
      </c>
      <c r="P3945" s="47">
        <v>0</v>
      </c>
      <c r="Q3945" s="47">
        <v>0</v>
      </c>
      <c r="R3945" s="47">
        <v>0</v>
      </c>
      <c r="S3945" s="48">
        <v>7</v>
      </c>
      <c r="T3945" s="47">
        <v>1</v>
      </c>
      <c r="U3945" s="47">
        <v>0</v>
      </c>
      <c r="V3945" s="47">
        <v>0</v>
      </c>
      <c r="W3945" s="47">
        <v>6464</v>
      </c>
      <c r="X3945" s="47">
        <v>512</v>
      </c>
      <c r="Y3945" s="47"/>
      <c r="Z3945" s="47" t="s">
        <v>2466</v>
      </c>
      <c r="AA3945" s="49"/>
      <c r="AB3945" s="49"/>
      <c r="AC3945" s="49"/>
      <c r="AD3945" s="50"/>
      <c r="AE3945" s="47" t="s">
        <v>1312</v>
      </c>
      <c r="AF3945" s="31">
        <v>210</v>
      </c>
      <c r="AG3945"/>
      <c r="AH3945"/>
      <c r="AI3945"/>
      <c r="AJ3945"/>
      <c r="AK3945"/>
      <c r="AL3945"/>
      <c r="AM3945"/>
      <c r="AN3945"/>
      <c r="AO3945"/>
      <c r="AP3945"/>
      <c r="AQ3945" t="s">
        <v>2526</v>
      </c>
      <c r="AU3945">
        <v>3944</v>
      </c>
    </row>
    <row r="3946" spans="1:47" x14ac:dyDescent="0.2">
      <c r="A3946" s="133">
        <v>6716</v>
      </c>
      <c r="B3946" s="39" t="s">
        <v>45</v>
      </c>
      <c r="C3946" s="39">
        <v>216</v>
      </c>
      <c r="D3946" s="29" t="b">
        <v>0</v>
      </c>
      <c r="E3946" s="39" t="s">
        <v>1764</v>
      </c>
      <c r="F3946" s="47" t="s">
        <v>3992</v>
      </c>
      <c r="G3946" s="47" t="s">
        <v>49</v>
      </c>
      <c r="H3946"/>
      <c r="I3946" s="47" t="b">
        <v>0</v>
      </c>
      <c r="J3946" s="47" t="b">
        <v>0</v>
      </c>
      <c r="K3946" s="47">
        <v>2464</v>
      </c>
      <c r="L3946" s="48">
        <v>7</v>
      </c>
      <c r="M3946" s="47">
        <v>0</v>
      </c>
      <c r="N3946" s="47">
        <v>0</v>
      </c>
      <c r="O3946" s="47">
        <v>0</v>
      </c>
      <c r="P3946" s="47">
        <v>0</v>
      </c>
      <c r="Q3946" s="47">
        <v>0</v>
      </c>
      <c r="R3946" s="47">
        <v>0</v>
      </c>
      <c r="S3946" s="48">
        <v>2</v>
      </c>
      <c r="T3946" s="47">
        <v>1</v>
      </c>
      <c r="U3946" s="47">
        <v>0</v>
      </c>
      <c r="V3946" s="47">
        <v>0</v>
      </c>
      <c r="W3946" s="47">
        <v>6850</v>
      </c>
      <c r="X3946" s="47">
        <v>513</v>
      </c>
      <c r="Y3946" s="47"/>
      <c r="Z3946" s="47" t="s">
        <v>2466</v>
      </c>
      <c r="AA3946" s="49"/>
      <c r="AB3946" s="49"/>
      <c r="AC3946" s="49"/>
      <c r="AD3946" s="50"/>
      <c r="AE3946" s="47" t="s">
        <v>1312</v>
      </c>
      <c r="AF3946" s="31">
        <v>85</v>
      </c>
      <c r="AG3946"/>
      <c r="AH3946"/>
      <c r="AI3946"/>
      <c r="AJ3946"/>
      <c r="AK3946"/>
      <c r="AL3946"/>
      <c r="AM3946"/>
      <c r="AN3946"/>
      <c r="AO3946"/>
      <c r="AP3946"/>
      <c r="AQ3946" t="s">
        <v>2526</v>
      </c>
      <c r="AU3946">
        <v>3945</v>
      </c>
    </row>
    <row r="3947" spans="1:47" x14ac:dyDescent="0.2">
      <c r="A3947" s="133">
        <v>6716</v>
      </c>
      <c r="B3947" s="39" t="s">
        <v>45</v>
      </c>
      <c r="C3947" s="39">
        <v>216</v>
      </c>
      <c r="D3947" s="29" t="b">
        <v>0</v>
      </c>
      <c r="E3947" s="39" t="s">
        <v>5143</v>
      </c>
      <c r="F3947" s="47" t="s">
        <v>5144</v>
      </c>
      <c r="G3947" s="47" t="s">
        <v>49</v>
      </c>
      <c r="H3947"/>
      <c r="I3947" s="47" t="b">
        <v>0</v>
      </c>
      <c r="J3947" s="47" t="b">
        <v>0</v>
      </c>
      <c r="K3947" s="47">
        <v>2588</v>
      </c>
      <c r="L3947" s="48">
        <v>7</v>
      </c>
      <c r="M3947" s="47">
        <v>0</v>
      </c>
      <c r="N3947" s="47">
        <v>0</v>
      </c>
      <c r="O3947" s="47">
        <v>0</v>
      </c>
      <c r="P3947" s="47">
        <v>0</v>
      </c>
      <c r="Q3947" s="47">
        <v>0</v>
      </c>
      <c r="R3947" s="47">
        <v>0</v>
      </c>
      <c r="S3947" s="48">
        <v>2</v>
      </c>
      <c r="T3947" s="47">
        <v>1</v>
      </c>
      <c r="U3947" s="47">
        <v>0</v>
      </c>
      <c r="V3947" s="47">
        <v>0</v>
      </c>
      <c r="W3947" s="47">
        <v>6400</v>
      </c>
      <c r="X3947" s="47">
        <v>514</v>
      </c>
      <c r="Y3947" s="47"/>
      <c r="Z3947" s="47" t="s">
        <v>2466</v>
      </c>
      <c r="AA3947" s="49"/>
      <c r="AB3947" s="49"/>
      <c r="AC3947" s="49"/>
      <c r="AD3947" s="50"/>
      <c r="AE3947" s="47" t="s">
        <v>1312</v>
      </c>
      <c r="AF3947" s="47">
        <v>130</v>
      </c>
      <c r="AG3947"/>
      <c r="AH3947"/>
      <c r="AI3947"/>
      <c r="AJ3947"/>
      <c r="AK3947"/>
      <c r="AL3947"/>
      <c r="AM3947"/>
      <c r="AN3947"/>
      <c r="AO3947"/>
      <c r="AP3947"/>
      <c r="AQ3947" t="s">
        <v>2526</v>
      </c>
      <c r="AU3947">
        <v>3946</v>
      </c>
    </row>
    <row r="3948" spans="1:47" x14ac:dyDescent="0.2">
      <c r="A3948" s="133">
        <v>6716</v>
      </c>
      <c r="B3948" s="39" t="s">
        <v>45</v>
      </c>
      <c r="C3948" s="39">
        <v>216</v>
      </c>
      <c r="D3948" s="29" t="b">
        <v>0</v>
      </c>
      <c r="E3948" s="39" t="s">
        <v>3909</v>
      </c>
      <c r="F3948" s="47" t="s">
        <v>4092</v>
      </c>
      <c r="G3948" s="47" t="s">
        <v>274</v>
      </c>
      <c r="H3948"/>
      <c r="I3948" s="47" t="b">
        <v>0</v>
      </c>
      <c r="J3948" s="47" t="b">
        <v>0</v>
      </c>
      <c r="K3948" s="47">
        <v>4032</v>
      </c>
      <c r="L3948" s="48">
        <v>7</v>
      </c>
      <c r="M3948" s="47">
        <v>0</v>
      </c>
      <c r="N3948" s="47">
        <v>0</v>
      </c>
      <c r="O3948" s="47">
        <v>0</v>
      </c>
      <c r="P3948" s="47">
        <v>0</v>
      </c>
      <c r="Q3948" s="47">
        <v>0</v>
      </c>
      <c r="R3948" s="47">
        <v>0</v>
      </c>
      <c r="S3948" s="48">
        <v>3</v>
      </c>
      <c r="T3948" s="47">
        <v>1</v>
      </c>
      <c r="U3948" s="47">
        <v>0</v>
      </c>
      <c r="V3948" s="47">
        <v>0</v>
      </c>
      <c r="W3948" s="47">
        <v>6250</v>
      </c>
      <c r="X3948" s="47">
        <v>515</v>
      </c>
      <c r="Y3948" s="47"/>
      <c r="Z3948" s="47" t="s">
        <v>2466</v>
      </c>
      <c r="AA3948" s="49"/>
      <c r="AB3948" s="49"/>
      <c r="AC3948" s="49"/>
      <c r="AD3948" s="50"/>
      <c r="AE3948" s="47" t="s">
        <v>1312</v>
      </c>
      <c r="AF3948" s="47">
        <v>210</v>
      </c>
      <c r="AG3948"/>
      <c r="AH3948"/>
      <c r="AI3948"/>
      <c r="AJ3948"/>
      <c r="AK3948"/>
      <c r="AL3948"/>
      <c r="AM3948"/>
      <c r="AN3948"/>
      <c r="AO3948"/>
      <c r="AP3948"/>
      <c r="AQ3948" t="s">
        <v>2526</v>
      </c>
      <c r="AU3948">
        <v>3947</v>
      </c>
    </row>
    <row r="3949" spans="1:47" x14ac:dyDescent="0.2">
      <c r="A3949" s="133">
        <v>6716</v>
      </c>
      <c r="B3949" s="39" t="s">
        <v>45</v>
      </c>
      <c r="C3949" s="39" t="s">
        <v>142</v>
      </c>
      <c r="D3949" s="29"/>
      <c r="E3949" s="39" t="s">
        <v>5145</v>
      </c>
      <c r="F3949" s="47" t="s">
        <v>5146</v>
      </c>
      <c r="G3949" s="47" t="s">
        <v>205</v>
      </c>
      <c r="H3949"/>
      <c r="I3949" s="47" t="s">
        <v>5147</v>
      </c>
      <c r="J3949" s="47"/>
      <c r="K3949" s="47">
        <f>7260*2.2</f>
        <v>15972.000000000002</v>
      </c>
      <c r="L3949" s="48">
        <v>31</v>
      </c>
      <c r="M3949" s="47"/>
      <c r="N3949" s="47">
        <v>6</v>
      </c>
      <c r="O3949" s="47"/>
      <c r="P3949" s="47"/>
      <c r="Q3949" s="47"/>
      <c r="R3949" s="47"/>
      <c r="S3949" s="48">
        <v>25</v>
      </c>
      <c r="T3949" s="47">
        <v>0</v>
      </c>
      <c r="U3949" s="47">
        <v>0</v>
      </c>
      <c r="V3949" s="47">
        <v>0</v>
      </c>
      <c r="W3949" s="47"/>
      <c r="X3949" s="47"/>
      <c r="Y3949" s="47" t="s">
        <v>51</v>
      </c>
      <c r="Z3949" s="31" t="s">
        <v>3855</v>
      </c>
      <c r="AA3949" s="49"/>
      <c r="AB3949" s="49"/>
      <c r="AC3949" s="49"/>
      <c r="AD3949" s="50"/>
      <c r="AE3949" s="31" t="s">
        <v>4723</v>
      </c>
      <c r="AF3949" s="47"/>
      <c r="AG3949"/>
      <c r="AH3949"/>
      <c r="AI3949"/>
      <c r="AJ3949"/>
      <c r="AK3949">
        <f>108+56+44+3+3</f>
        <v>214</v>
      </c>
      <c r="AL3949"/>
      <c r="AM3949"/>
      <c r="AN3949"/>
      <c r="AO3949"/>
      <c r="AP3949"/>
      <c r="AQ3949" t="s">
        <v>5148</v>
      </c>
      <c r="AU3949">
        <v>3948</v>
      </c>
    </row>
    <row r="3950" spans="1:47" x14ac:dyDescent="0.2">
      <c r="A3950" s="133">
        <v>6716</v>
      </c>
      <c r="B3950" s="39" t="s">
        <v>45</v>
      </c>
      <c r="C3950" s="57" t="s">
        <v>4456</v>
      </c>
      <c r="D3950" s="29"/>
      <c r="E3950" s="39" t="s">
        <v>5149</v>
      </c>
      <c r="F3950" s="47" t="s">
        <v>5150</v>
      </c>
      <c r="G3950" s="47" t="s">
        <v>49</v>
      </c>
      <c r="H3950"/>
      <c r="I3950" s="47" t="b">
        <v>1</v>
      </c>
      <c r="J3950" s="47" t="b">
        <v>1</v>
      </c>
      <c r="K3950" s="118">
        <f>3*8*50*2.2</f>
        <v>2640</v>
      </c>
      <c r="L3950" s="48">
        <v>5</v>
      </c>
      <c r="M3950" s="47"/>
      <c r="N3950" s="47">
        <v>2</v>
      </c>
      <c r="O3950" s="47"/>
      <c r="P3950" s="47"/>
      <c r="Q3950" s="47"/>
      <c r="R3950" s="47"/>
      <c r="S3950" s="48">
        <v>3</v>
      </c>
      <c r="T3950" s="47">
        <v>0</v>
      </c>
      <c r="U3950" s="47">
        <v>0</v>
      </c>
      <c r="V3950" s="47">
        <v>0</v>
      </c>
      <c r="W3950" s="47">
        <f>((3000+2100+2000)/3)*39.37/12</f>
        <v>7764.6388888888878</v>
      </c>
      <c r="X3950" s="47"/>
      <c r="Y3950" s="31" t="s">
        <v>51</v>
      </c>
      <c r="Z3950" s="31" t="s">
        <v>1846</v>
      </c>
      <c r="AA3950" s="49">
        <v>0.91666666666666663</v>
      </c>
      <c r="AB3950" s="49">
        <v>7.2916666666666671E-2</v>
      </c>
      <c r="AC3950" s="49">
        <v>0.99513888888888891</v>
      </c>
      <c r="AD3950" s="50">
        <f>2+55/60</f>
        <v>2.9166666666666665</v>
      </c>
      <c r="AE3950" s="31" t="s">
        <v>4756</v>
      </c>
      <c r="AF3950" s="47"/>
      <c r="AG3950"/>
      <c r="AH3950"/>
      <c r="AI3950"/>
      <c r="AJ3950"/>
      <c r="AK3950" s="136">
        <f>3*8</f>
        <v>24</v>
      </c>
      <c r="AL3950"/>
      <c r="AM3950"/>
      <c r="AN3950"/>
      <c r="AO3950"/>
      <c r="AP3950"/>
      <c r="AQ3950" t="s">
        <v>5151</v>
      </c>
      <c r="AR3950" s="32" t="s">
        <v>5152</v>
      </c>
      <c r="AU3950">
        <v>3949</v>
      </c>
    </row>
    <row r="3951" spans="1:47" x14ac:dyDescent="0.2">
      <c r="A3951" s="133">
        <v>6716</v>
      </c>
      <c r="B3951" s="39" t="s">
        <v>45</v>
      </c>
      <c r="C3951" s="57" t="s">
        <v>4456</v>
      </c>
      <c r="D3951" s="29"/>
      <c r="E3951" s="39" t="s">
        <v>5125</v>
      </c>
      <c r="F3951" s="47" t="s">
        <v>76</v>
      </c>
      <c r="G3951" s="47" t="s">
        <v>49</v>
      </c>
      <c r="H3951"/>
      <c r="I3951" s="47" t="b">
        <v>0</v>
      </c>
      <c r="J3951" s="47" t="b">
        <v>0</v>
      </c>
      <c r="K3951" s="118">
        <f>8*50*2.2</f>
        <v>880.00000000000011</v>
      </c>
      <c r="L3951" s="48"/>
      <c r="M3951" s="47"/>
      <c r="N3951" s="47"/>
      <c r="O3951" s="47"/>
      <c r="P3951" s="47"/>
      <c r="Q3951" s="47"/>
      <c r="R3951" s="47"/>
      <c r="S3951" s="48">
        <v>1</v>
      </c>
      <c r="T3951" s="47">
        <v>0</v>
      </c>
      <c r="U3951" s="47">
        <v>0</v>
      </c>
      <c r="V3951" s="47">
        <v>0</v>
      </c>
      <c r="W3951" s="47">
        <f>3000*39.37/12</f>
        <v>9842.4999999999982</v>
      </c>
      <c r="X3951" s="47"/>
      <c r="Y3951" s="31" t="s">
        <v>51</v>
      </c>
      <c r="Z3951" s="31" t="s">
        <v>1846</v>
      </c>
      <c r="AA3951" s="49">
        <v>0.95138888888888884</v>
      </c>
      <c r="AB3951" s="49">
        <v>7.2916666666666671E-2</v>
      </c>
      <c r="AC3951" s="49">
        <v>1.1805555555555555E-2</v>
      </c>
      <c r="AD3951" s="50">
        <f>2+55/60</f>
        <v>2.9166666666666665</v>
      </c>
      <c r="AE3951" s="31" t="s">
        <v>4756</v>
      </c>
      <c r="AF3951" s="47">
        <v>145</v>
      </c>
      <c r="AG3951"/>
      <c r="AH3951"/>
      <c r="AI3951"/>
      <c r="AJ3951"/>
      <c r="AK3951" s="136">
        <v>8</v>
      </c>
      <c r="AL3951"/>
      <c r="AM3951"/>
      <c r="AN3951"/>
      <c r="AO3951"/>
      <c r="AP3951"/>
      <c r="AQ3951" t="s">
        <v>5151</v>
      </c>
      <c r="AR3951" s="32" t="s">
        <v>5153</v>
      </c>
      <c r="AU3951">
        <v>3950</v>
      </c>
    </row>
    <row r="3952" spans="1:47" x14ac:dyDescent="0.2">
      <c r="A3952" s="133">
        <v>6716</v>
      </c>
      <c r="B3952" s="39" t="s">
        <v>45</v>
      </c>
      <c r="C3952" s="57" t="s">
        <v>4456</v>
      </c>
      <c r="D3952" s="29"/>
      <c r="E3952" s="39" t="s">
        <v>5014</v>
      </c>
      <c r="F3952" s="47" t="s">
        <v>5154</v>
      </c>
      <c r="G3952" s="47" t="s">
        <v>49</v>
      </c>
      <c r="H3952"/>
      <c r="I3952" s="47" t="b">
        <v>0</v>
      </c>
      <c r="J3952" s="47" t="b">
        <v>0</v>
      </c>
      <c r="K3952" s="118">
        <f>8*50*2.2</f>
        <v>880.00000000000011</v>
      </c>
      <c r="L3952" s="48"/>
      <c r="M3952" s="47"/>
      <c r="N3952" s="47"/>
      <c r="O3952" s="47"/>
      <c r="P3952" s="47"/>
      <c r="Q3952" s="47"/>
      <c r="R3952" s="47"/>
      <c r="S3952" s="48">
        <v>1</v>
      </c>
      <c r="T3952" s="47">
        <v>0</v>
      </c>
      <c r="U3952" s="47">
        <v>0</v>
      </c>
      <c r="V3952" s="47">
        <v>0</v>
      </c>
      <c r="W3952" s="47">
        <f>2100*39.37/12</f>
        <v>6889.75</v>
      </c>
      <c r="X3952" s="47"/>
      <c r="Y3952" s="31" t="s">
        <v>51</v>
      </c>
      <c r="Z3952" s="31" t="s">
        <v>1846</v>
      </c>
      <c r="AA3952" s="49">
        <v>0.92013888888888884</v>
      </c>
      <c r="AB3952" s="49">
        <v>0.98611111111111116</v>
      </c>
      <c r="AC3952" s="49">
        <f>AVERAGE(AA3952:AB3952)</f>
        <v>0.953125</v>
      </c>
      <c r="AD3952" s="50">
        <f>1+35/60</f>
        <v>1.5833333333333335</v>
      </c>
      <c r="AE3952" s="31" t="s">
        <v>4756</v>
      </c>
      <c r="AF3952" s="47">
        <v>55</v>
      </c>
      <c r="AG3952"/>
      <c r="AH3952"/>
      <c r="AI3952"/>
      <c r="AJ3952"/>
      <c r="AK3952" s="136">
        <v>8</v>
      </c>
      <c r="AL3952"/>
      <c r="AM3952"/>
      <c r="AN3952"/>
      <c r="AO3952"/>
      <c r="AP3952"/>
      <c r="AQ3952" t="s">
        <v>5151</v>
      </c>
      <c r="AR3952" s="32" t="s">
        <v>5155</v>
      </c>
      <c r="AU3952">
        <v>3951</v>
      </c>
    </row>
    <row r="3953" spans="1:47" x14ac:dyDescent="0.2">
      <c r="A3953" s="133">
        <v>6716</v>
      </c>
      <c r="B3953" s="39" t="s">
        <v>45</v>
      </c>
      <c r="C3953" s="57" t="s">
        <v>4456</v>
      </c>
      <c r="D3953" s="29"/>
      <c r="E3953" s="39" t="s">
        <v>4197</v>
      </c>
      <c r="F3953" s="47" t="s">
        <v>204</v>
      </c>
      <c r="G3953" s="47" t="s">
        <v>205</v>
      </c>
      <c r="H3953"/>
      <c r="I3953" s="47" t="b">
        <v>0</v>
      </c>
      <c r="J3953" s="47" t="b">
        <v>0</v>
      </c>
      <c r="K3953" s="118">
        <f>8*50*2.2</f>
        <v>880.00000000000011</v>
      </c>
      <c r="L3953" s="48"/>
      <c r="M3953" s="47"/>
      <c r="N3953" s="47"/>
      <c r="O3953" s="47"/>
      <c r="P3953" s="47"/>
      <c r="Q3953" s="47"/>
      <c r="R3953" s="47"/>
      <c r="S3953" s="48">
        <v>1</v>
      </c>
      <c r="T3953" s="47">
        <v>0</v>
      </c>
      <c r="U3953" s="47">
        <v>0</v>
      </c>
      <c r="V3953" s="47">
        <v>0</v>
      </c>
      <c r="W3953" s="47">
        <f>2000*39.37/12</f>
        <v>6561.666666666667</v>
      </c>
      <c r="X3953" s="47"/>
      <c r="Y3953" s="31" t="s">
        <v>51</v>
      </c>
      <c r="Z3953" s="31" t="s">
        <v>1846</v>
      </c>
      <c r="AA3953" s="49">
        <v>0.97222222222222221</v>
      </c>
      <c r="AB3953" s="49">
        <v>4.5138888888888888E-2</v>
      </c>
      <c r="AC3953" s="49">
        <v>8.3333333333333332E-3</v>
      </c>
      <c r="AD3953" s="50">
        <v>1.75</v>
      </c>
      <c r="AE3953" s="31" t="s">
        <v>4756</v>
      </c>
      <c r="AF3953" s="47">
        <v>80</v>
      </c>
      <c r="AG3953"/>
      <c r="AH3953"/>
      <c r="AI3953"/>
      <c r="AJ3953"/>
      <c r="AK3953" s="136">
        <v>8</v>
      </c>
      <c r="AL3953"/>
      <c r="AM3953"/>
      <c r="AN3953"/>
      <c r="AO3953"/>
      <c r="AP3953"/>
      <c r="AQ3953" t="s">
        <v>5151</v>
      </c>
      <c r="AR3953" s="32" t="s">
        <v>5156</v>
      </c>
      <c r="AU3953">
        <v>3952</v>
      </c>
    </row>
    <row r="3954" spans="1:47" x14ac:dyDescent="0.2">
      <c r="A3954" s="13">
        <v>6716</v>
      </c>
      <c r="B3954" s="57" t="s">
        <v>45</v>
      </c>
      <c r="C3954" s="57" t="s">
        <v>1992</v>
      </c>
      <c r="D3954" s="29"/>
      <c r="E3954" s="57" t="s">
        <v>141</v>
      </c>
      <c r="F3954" s="31" t="s">
        <v>76</v>
      </c>
      <c r="G3954" s="31" t="s">
        <v>49</v>
      </c>
      <c r="K3954" s="31">
        <v>110</v>
      </c>
      <c r="Z3954" s="31" t="s">
        <v>3814</v>
      </c>
      <c r="AE3954" s="31" t="s">
        <v>4756</v>
      </c>
      <c r="AF3954" s="31">
        <v>225</v>
      </c>
      <c r="AK3954" s="32">
        <v>1</v>
      </c>
      <c r="AQ3954" s="32" t="s">
        <v>5109</v>
      </c>
      <c r="AU3954">
        <v>3953</v>
      </c>
    </row>
    <row r="3955" spans="1:47" x14ac:dyDescent="0.2">
      <c r="A3955" s="13">
        <v>6716</v>
      </c>
      <c r="B3955" s="57" t="s">
        <v>45</v>
      </c>
      <c r="C3955" s="57" t="s">
        <v>1992</v>
      </c>
      <c r="D3955" s="29"/>
      <c r="E3955" s="57" t="s">
        <v>788</v>
      </c>
      <c r="F3955" s="31" t="s">
        <v>76</v>
      </c>
      <c r="G3955" s="31" t="s">
        <v>49</v>
      </c>
      <c r="K3955" s="31">
        <v>275</v>
      </c>
      <c r="Z3955" s="31" t="s">
        <v>3814</v>
      </c>
      <c r="AE3955" s="31" t="s">
        <v>4756</v>
      </c>
      <c r="AF3955" s="31">
        <v>135</v>
      </c>
      <c r="AK3955" s="32">
        <v>4</v>
      </c>
      <c r="AQ3955" s="32" t="s">
        <v>5109</v>
      </c>
      <c r="AU3955">
        <v>3954</v>
      </c>
    </row>
    <row r="3956" spans="1:47" x14ac:dyDescent="0.2">
      <c r="A3956" s="13">
        <v>6716</v>
      </c>
      <c r="B3956" s="57" t="s">
        <v>45</v>
      </c>
      <c r="C3956" s="57" t="s">
        <v>1992</v>
      </c>
      <c r="D3956" s="29"/>
      <c r="E3956" s="57" t="s">
        <v>405</v>
      </c>
      <c r="F3956" s="31" t="s">
        <v>76</v>
      </c>
      <c r="G3956" s="31" t="s">
        <v>49</v>
      </c>
      <c r="K3956" s="31">
        <v>275</v>
      </c>
      <c r="Z3956" s="31" t="s">
        <v>3814</v>
      </c>
      <c r="AE3956" s="31" t="s">
        <v>4756</v>
      </c>
      <c r="AF3956" s="31">
        <v>55</v>
      </c>
      <c r="AK3956" s="32">
        <v>4</v>
      </c>
      <c r="AQ3956" s="32" t="s">
        <v>5109</v>
      </c>
      <c r="AU3956">
        <v>3955</v>
      </c>
    </row>
    <row r="3957" spans="1:47" x14ac:dyDescent="0.2">
      <c r="A3957" s="13">
        <v>6716</v>
      </c>
      <c r="B3957" s="57" t="s">
        <v>45</v>
      </c>
      <c r="C3957" s="57" t="s">
        <v>5032</v>
      </c>
      <c r="D3957" s="29"/>
      <c r="E3957" s="57" t="s">
        <v>5080</v>
      </c>
      <c r="F3957" s="31" t="s">
        <v>83</v>
      </c>
      <c r="G3957" s="31" t="s">
        <v>69</v>
      </c>
      <c r="I3957" s="31" t="s">
        <v>5081</v>
      </c>
      <c r="K3957" s="31">
        <v>5005</v>
      </c>
      <c r="S3957" s="33">
        <v>9</v>
      </c>
      <c r="Z3957" s="31" t="s">
        <v>3814</v>
      </c>
      <c r="AE3957" s="31" t="s">
        <v>5034</v>
      </c>
      <c r="AK3957" s="32">
        <v>84</v>
      </c>
      <c r="AQ3957" s="32" t="s">
        <v>5029</v>
      </c>
      <c r="AU3957">
        <v>3956</v>
      </c>
    </row>
    <row r="3958" spans="1:47" x14ac:dyDescent="0.2">
      <c r="A3958" s="26">
        <v>6716</v>
      </c>
      <c r="B3958" s="27">
        <v>3.472222222222222E-3</v>
      </c>
      <c r="C3958" s="28"/>
      <c r="D3958" s="29"/>
      <c r="E3958" s="102" t="s">
        <v>1102</v>
      </c>
      <c r="H3958" s="32">
        <v>0</v>
      </c>
      <c r="I3958" s="32" t="s">
        <v>5157</v>
      </c>
      <c r="AG3958" s="32">
        <v>0</v>
      </c>
      <c r="AH3958" s="32">
        <v>0</v>
      </c>
      <c r="AI3958" s="32">
        <v>0</v>
      </c>
      <c r="AK3958" s="32">
        <v>0</v>
      </c>
      <c r="AL3958" s="32">
        <f>115/60</f>
        <v>1.9166666666666667</v>
      </c>
      <c r="AO3958" s="73" t="s">
        <v>1006</v>
      </c>
      <c r="AP3958" s="32">
        <f>115/60</f>
        <v>1.9166666666666667</v>
      </c>
      <c r="AQ3958" s="32" t="s">
        <v>589</v>
      </c>
      <c r="AU3958">
        <v>3957</v>
      </c>
    </row>
    <row r="3959" spans="1:47" x14ac:dyDescent="0.2">
      <c r="A3959" s="26">
        <v>6716</v>
      </c>
      <c r="B3959" s="27">
        <v>2.6388888888888889E-2</v>
      </c>
      <c r="C3959" s="28"/>
      <c r="D3959" s="29"/>
      <c r="E3959" s="30" t="s">
        <v>2964</v>
      </c>
      <c r="H3959" s="32">
        <v>1</v>
      </c>
      <c r="I3959" s="32" t="s">
        <v>5158</v>
      </c>
      <c r="AG3959" s="32">
        <v>0</v>
      </c>
      <c r="AH3959" s="32">
        <v>0</v>
      </c>
      <c r="AI3959" s="32">
        <f>33629+100+3819+1400+9540</f>
        <v>48488</v>
      </c>
      <c r="AK3959" s="32">
        <v>26</v>
      </c>
      <c r="AL3959" s="32">
        <f>97/60</f>
        <v>1.6166666666666667</v>
      </c>
      <c r="AM3959" s="32">
        <v>1629</v>
      </c>
      <c r="AP3959" s="32">
        <f>97/60</f>
        <v>1.6166666666666667</v>
      </c>
      <c r="AQ3959" s="32" t="s">
        <v>4518</v>
      </c>
      <c r="AU3959">
        <v>3958</v>
      </c>
    </row>
    <row r="3960" spans="1:47" x14ac:dyDescent="0.2">
      <c r="A3960" s="26">
        <v>6716</v>
      </c>
      <c r="B3960" s="27">
        <v>5.5555555555555552E-2</v>
      </c>
      <c r="C3960" s="28"/>
      <c r="D3960" s="29"/>
      <c r="E3960" s="30" t="s">
        <v>3155</v>
      </c>
      <c r="H3960" s="32">
        <v>0</v>
      </c>
      <c r="I3960" s="32" t="s">
        <v>3156</v>
      </c>
      <c r="AG3960" s="32">
        <v>0</v>
      </c>
      <c r="AH3960" s="32">
        <v>0</v>
      </c>
      <c r="AI3960" s="32">
        <v>0</v>
      </c>
      <c r="AK3960" s="32">
        <v>0</v>
      </c>
      <c r="AP3960" s="32">
        <f>5/6</f>
        <v>0.83333333333333337</v>
      </c>
      <c r="AQ3960" s="32" t="s">
        <v>1101</v>
      </c>
      <c r="AU3960">
        <v>3959</v>
      </c>
    </row>
    <row r="3961" spans="1:47" x14ac:dyDescent="0.2">
      <c r="A3961" s="26">
        <v>6716</v>
      </c>
      <c r="B3961" s="27">
        <v>0.10416666666666667</v>
      </c>
      <c r="C3961" s="28"/>
      <c r="D3961" s="29"/>
      <c r="E3961" s="30" t="s">
        <v>464</v>
      </c>
      <c r="H3961" s="32">
        <v>0</v>
      </c>
      <c r="I3961" s="32" t="s">
        <v>4561</v>
      </c>
      <c r="AG3961" s="32">
        <v>0</v>
      </c>
      <c r="AH3961" s="32">
        <v>0</v>
      </c>
      <c r="AL3961" s="32">
        <v>1.5</v>
      </c>
      <c r="AO3961" s="32" t="s">
        <v>4067</v>
      </c>
      <c r="AP3961" s="32">
        <v>1.5</v>
      </c>
      <c r="AQ3961" s="32" t="s">
        <v>1522</v>
      </c>
      <c r="AU3961">
        <v>3960</v>
      </c>
    </row>
    <row r="3962" spans="1:47" x14ac:dyDescent="0.2">
      <c r="A3962" s="26">
        <v>6716</v>
      </c>
      <c r="B3962" s="27">
        <v>0.51944444444444449</v>
      </c>
      <c r="C3962" s="28"/>
      <c r="D3962" s="29"/>
      <c r="E3962" s="30" t="s">
        <v>3737</v>
      </c>
      <c r="H3962" s="32">
        <v>0</v>
      </c>
      <c r="I3962" s="32" t="s">
        <v>4926</v>
      </c>
      <c r="AG3962" s="32">
        <v>0</v>
      </c>
      <c r="AH3962" s="32">
        <v>0</v>
      </c>
      <c r="AI3962" s="32">
        <v>0</v>
      </c>
      <c r="AK3962" s="32">
        <v>0</v>
      </c>
      <c r="AL3962" s="32">
        <f>96/60</f>
        <v>1.6</v>
      </c>
      <c r="AM3962" s="33">
        <f>(3125+3691)*AL3962</f>
        <v>10905.6</v>
      </c>
      <c r="AP3962" s="32">
        <f>96/60</f>
        <v>1.6</v>
      </c>
      <c r="AQ3962" s="32" t="s">
        <v>1101</v>
      </c>
      <c r="AU3962">
        <v>3961</v>
      </c>
    </row>
    <row r="3963" spans="1:47" x14ac:dyDescent="0.2">
      <c r="A3963" s="26">
        <v>6716</v>
      </c>
      <c r="B3963" s="27">
        <v>0.95138888888888884</v>
      </c>
      <c r="C3963" s="28"/>
      <c r="D3963" s="29"/>
      <c r="E3963" s="30" t="s">
        <v>464</v>
      </c>
      <c r="H3963" s="32">
        <v>0</v>
      </c>
      <c r="I3963" s="32" t="s">
        <v>5159</v>
      </c>
      <c r="AG3963" s="32">
        <v>0</v>
      </c>
      <c r="AH3963" s="32">
        <v>0</v>
      </c>
      <c r="AL3963" s="32">
        <v>4</v>
      </c>
      <c r="AO3963" s="32" t="s">
        <v>4067</v>
      </c>
      <c r="AP3963" s="32">
        <v>4</v>
      </c>
      <c r="AQ3963" s="32" t="s">
        <v>1522</v>
      </c>
      <c r="AU3963">
        <v>3962</v>
      </c>
    </row>
    <row r="3964" spans="1:47" x14ac:dyDescent="0.2">
      <c r="A3964" s="26">
        <v>6716</v>
      </c>
      <c r="B3964" s="27">
        <v>0.96875</v>
      </c>
      <c r="C3964" s="28"/>
      <c r="D3964" s="29"/>
      <c r="E3964" s="30" t="s">
        <v>1282</v>
      </c>
      <c r="H3964" s="32">
        <v>0</v>
      </c>
      <c r="I3964" s="32" t="s">
        <v>5160</v>
      </c>
      <c r="AG3964" s="32">
        <v>0</v>
      </c>
      <c r="AH3964" s="32">
        <v>0</v>
      </c>
      <c r="AI3964" s="32">
        <v>0</v>
      </c>
      <c r="AK3964" s="32">
        <v>0</v>
      </c>
      <c r="AL3964" s="32">
        <f>8/60</f>
        <v>0.13333333333333333</v>
      </c>
      <c r="AP3964" s="32">
        <f>8/60</f>
        <v>0.13333333333333333</v>
      </c>
      <c r="AQ3964" s="32" t="s">
        <v>1101</v>
      </c>
      <c r="AU3964">
        <v>3963</v>
      </c>
    </row>
    <row r="3965" spans="1:47" x14ac:dyDescent="0.2">
      <c r="A3965" s="26">
        <v>6716</v>
      </c>
      <c r="B3965" s="27">
        <v>0.99305555555555547</v>
      </c>
      <c r="C3965" s="28"/>
      <c r="D3965" s="29"/>
      <c r="E3965" s="30" t="s">
        <v>4219</v>
      </c>
      <c r="H3965" s="32">
        <v>1</v>
      </c>
      <c r="I3965" s="32" t="s">
        <v>5161</v>
      </c>
      <c r="AK3965" s="32">
        <v>11</v>
      </c>
      <c r="AL3965" s="32">
        <f>185/60</f>
        <v>3.0833333333333335</v>
      </c>
      <c r="AO3965" s="32" t="s">
        <v>858</v>
      </c>
      <c r="AP3965" s="32">
        <f>185/60</f>
        <v>3.0833333333333335</v>
      </c>
      <c r="AQ3965" s="32" t="s">
        <v>5162</v>
      </c>
      <c r="AU3965">
        <v>3964</v>
      </c>
    </row>
    <row r="3966" spans="1:47" x14ac:dyDescent="0.2">
      <c r="A3966" s="26">
        <v>6716</v>
      </c>
      <c r="B3966" s="27" t="s">
        <v>85</v>
      </c>
      <c r="C3966" s="28"/>
      <c r="D3966" s="29"/>
      <c r="E3966" s="30" t="s">
        <v>858</v>
      </c>
      <c r="H3966" s="32">
        <v>1</v>
      </c>
      <c r="I3966" s="32" t="s">
        <v>5163</v>
      </c>
      <c r="AG3966" s="32">
        <v>0</v>
      </c>
      <c r="AH3966" s="32">
        <v>0</v>
      </c>
      <c r="AI3966" s="32">
        <v>3500</v>
      </c>
      <c r="AL3966" s="32">
        <v>10</v>
      </c>
      <c r="AQ3966" s="32">
        <v>438</v>
      </c>
      <c r="AU3966">
        <v>3965</v>
      </c>
    </row>
    <row r="3967" spans="1:47" x14ac:dyDescent="0.2">
      <c r="A3967" s="26">
        <v>6716</v>
      </c>
      <c r="B3967" s="27" t="s">
        <v>85</v>
      </c>
      <c r="C3967" s="28"/>
      <c r="D3967" s="29"/>
      <c r="E3967" s="30" t="s">
        <v>1168</v>
      </c>
      <c r="H3967" s="32">
        <v>1</v>
      </c>
      <c r="I3967" s="32" t="s">
        <v>5164</v>
      </c>
      <c r="AQ3967" s="32" t="s">
        <v>5165</v>
      </c>
      <c r="AU3967">
        <v>3966</v>
      </c>
    </row>
    <row r="3968" spans="1:47" x14ac:dyDescent="0.2">
      <c r="A3968" s="26">
        <v>6716</v>
      </c>
      <c r="B3968" s="27" t="s">
        <v>45</v>
      </c>
      <c r="C3968" s="28"/>
      <c r="D3968" s="29"/>
      <c r="E3968" s="30" t="s">
        <v>5166</v>
      </c>
      <c r="H3968" s="32">
        <v>1</v>
      </c>
      <c r="I3968" s="32" t="s">
        <v>5167</v>
      </c>
      <c r="AI3968" s="32">
        <v>22600</v>
      </c>
      <c r="AK3968" s="32">
        <v>10</v>
      </c>
      <c r="AL3968" s="32">
        <v>48</v>
      </c>
      <c r="AO3968" s="32" t="s">
        <v>5168</v>
      </c>
      <c r="AQ3968" s="32" t="s">
        <v>4622</v>
      </c>
      <c r="AU3968">
        <v>3967</v>
      </c>
    </row>
    <row r="3969" spans="1:47" x14ac:dyDescent="0.2">
      <c r="A3969" s="26">
        <v>6716</v>
      </c>
      <c r="B3969" s="27" t="s">
        <v>45</v>
      </c>
      <c r="C3969" s="28"/>
      <c r="D3969" s="29"/>
      <c r="E3969" s="30" t="s">
        <v>1531</v>
      </c>
      <c r="H3969" s="32">
        <v>0</v>
      </c>
      <c r="I3969" s="32" t="s">
        <v>5169</v>
      </c>
      <c r="AG3969" s="32">
        <v>0</v>
      </c>
      <c r="AH3969" s="32">
        <v>0</v>
      </c>
      <c r="AI3969" s="32">
        <v>0</v>
      </c>
      <c r="AK3969" s="32">
        <v>0</v>
      </c>
      <c r="AM3969" s="32">
        <f>498*146</f>
        <v>72708</v>
      </c>
      <c r="AO3969" s="32" t="s">
        <v>1533</v>
      </c>
      <c r="AQ3969" s="32" t="s">
        <v>1101</v>
      </c>
      <c r="AU3969">
        <v>3968</v>
      </c>
    </row>
    <row r="3970" spans="1:47" x14ac:dyDescent="0.2">
      <c r="A3970" s="26">
        <v>6716</v>
      </c>
      <c r="B3970" s="27" t="s">
        <v>45</v>
      </c>
      <c r="C3970" s="28"/>
      <c r="D3970" s="29"/>
      <c r="E3970" s="150" t="s">
        <v>2286</v>
      </c>
      <c r="H3970" s="32">
        <v>0</v>
      </c>
      <c r="I3970" s="32" t="s">
        <v>1824</v>
      </c>
      <c r="AG3970" s="32">
        <v>0</v>
      </c>
      <c r="AH3970" s="32">
        <v>0</v>
      </c>
      <c r="AI3970" s="32">
        <v>0</v>
      </c>
      <c r="AK3970" s="32">
        <v>0</v>
      </c>
      <c r="AM3970" s="32">
        <v>10000</v>
      </c>
      <c r="AO3970" s="73" t="s">
        <v>75</v>
      </c>
      <c r="AQ3970" s="32" t="s">
        <v>589</v>
      </c>
      <c r="AU3970">
        <v>3969</v>
      </c>
    </row>
    <row r="3971" spans="1:47" x14ac:dyDescent="0.2">
      <c r="A3971" s="26">
        <v>6716</v>
      </c>
      <c r="B3971" s="27"/>
      <c r="C3971" s="28"/>
      <c r="D3971" s="29"/>
      <c r="E3971" s="30" t="s">
        <v>5143</v>
      </c>
      <c r="H3971" s="32">
        <v>1</v>
      </c>
      <c r="I3971" s="32" t="s">
        <v>5170</v>
      </c>
      <c r="AK3971" s="32">
        <v>5</v>
      </c>
      <c r="AO3971" s="32" t="s">
        <v>5171</v>
      </c>
      <c r="AQ3971" s="32" t="s">
        <v>5172</v>
      </c>
      <c r="AU3971">
        <v>3970</v>
      </c>
    </row>
    <row r="3972" spans="1:47" x14ac:dyDescent="0.2">
      <c r="A3972" s="26">
        <v>6716</v>
      </c>
      <c r="B3972" s="27"/>
      <c r="C3972" s="28"/>
      <c r="D3972" s="29"/>
      <c r="E3972" s="30" t="s">
        <v>4666</v>
      </c>
      <c r="H3972" s="32">
        <v>1</v>
      </c>
      <c r="I3972" s="32" t="s">
        <v>5173</v>
      </c>
      <c r="AG3972" s="32">
        <v>0</v>
      </c>
      <c r="AL3972" s="32">
        <v>4.67</v>
      </c>
      <c r="AO3972" s="32" t="s">
        <v>4668</v>
      </c>
      <c r="AP3972" s="32">
        <v>4.67</v>
      </c>
      <c r="AQ3972" s="32">
        <v>408</v>
      </c>
      <c r="AU3972">
        <v>3971</v>
      </c>
    </row>
    <row r="3973" spans="1:47" x14ac:dyDescent="0.2">
      <c r="A3973" s="26">
        <v>6716</v>
      </c>
      <c r="B3973" s="27"/>
      <c r="C3973" s="28"/>
      <c r="D3973" s="29"/>
      <c r="E3973" s="30" t="s">
        <v>1144</v>
      </c>
      <c r="H3973" s="32">
        <v>0</v>
      </c>
      <c r="I3973" s="32" t="s">
        <v>5174</v>
      </c>
      <c r="AG3973" s="32">
        <v>0</v>
      </c>
      <c r="AH3973" s="32">
        <v>0</v>
      </c>
      <c r="AI3973" s="32">
        <v>0</v>
      </c>
      <c r="AK3973" s="32">
        <v>0</v>
      </c>
      <c r="AM3973" s="32">
        <v>709</v>
      </c>
      <c r="AO3973" s="32" t="s">
        <v>1006</v>
      </c>
      <c r="AQ3973" s="32">
        <v>423</v>
      </c>
      <c r="AU3973">
        <v>3972</v>
      </c>
    </row>
    <row r="3974" spans="1:47" x14ac:dyDescent="0.2">
      <c r="A3974" s="133">
        <v>6717</v>
      </c>
      <c r="B3974" s="39" t="s">
        <v>85</v>
      </c>
      <c r="C3974" s="39">
        <v>55</v>
      </c>
      <c r="D3974" s="29" t="b">
        <v>0</v>
      </c>
      <c r="E3974" s="39" t="s">
        <v>5175</v>
      </c>
      <c r="F3974" s="47" t="s">
        <v>48</v>
      </c>
      <c r="G3974" s="47" t="s">
        <v>49</v>
      </c>
      <c r="H3974"/>
      <c r="I3974" s="47" t="b">
        <v>0</v>
      </c>
      <c r="J3974" s="47" t="b">
        <v>1</v>
      </c>
      <c r="K3974" s="47">
        <v>2464</v>
      </c>
      <c r="L3974" s="48">
        <v>12</v>
      </c>
      <c r="M3974" s="47">
        <v>0</v>
      </c>
      <c r="N3974" s="47">
        <v>1</v>
      </c>
      <c r="O3974" s="47">
        <v>0</v>
      </c>
      <c r="P3974" s="47">
        <v>0</v>
      </c>
      <c r="Q3974" s="47">
        <v>0</v>
      </c>
      <c r="R3974" s="47">
        <v>0</v>
      </c>
      <c r="S3974" s="48">
        <v>11</v>
      </c>
      <c r="T3974" s="47">
        <v>0</v>
      </c>
      <c r="U3974" s="47">
        <v>0</v>
      </c>
      <c r="V3974" s="47">
        <v>0</v>
      </c>
      <c r="W3974" s="47">
        <v>14500</v>
      </c>
      <c r="X3974" s="47">
        <v>516</v>
      </c>
      <c r="Y3974" s="47"/>
      <c r="Z3974" s="47" t="s">
        <v>3618</v>
      </c>
      <c r="AA3974" s="49"/>
      <c r="AB3974" s="49"/>
      <c r="AC3974" s="49"/>
      <c r="AD3974" s="50"/>
      <c r="AE3974" s="47" t="s">
        <v>3798</v>
      </c>
      <c r="AF3974" s="47">
        <v>255</v>
      </c>
      <c r="AG3974"/>
      <c r="AH3974"/>
      <c r="AI3974"/>
      <c r="AJ3974"/>
      <c r="AK3974"/>
      <c r="AL3974"/>
      <c r="AM3974"/>
      <c r="AN3974"/>
      <c r="AO3974"/>
      <c r="AP3974"/>
      <c r="AQ3974" t="s">
        <v>2526</v>
      </c>
      <c r="AU3974">
        <v>3973</v>
      </c>
    </row>
    <row r="3975" spans="1:47" x14ac:dyDescent="0.2">
      <c r="A3975" s="133">
        <v>6717</v>
      </c>
      <c r="B3975" s="39" t="s">
        <v>85</v>
      </c>
      <c r="C3975" s="39">
        <v>99</v>
      </c>
      <c r="D3975" s="29" t="b">
        <v>0</v>
      </c>
      <c r="E3975" s="39" t="s">
        <v>1168</v>
      </c>
      <c r="F3975" s="47" t="s">
        <v>5176</v>
      </c>
      <c r="G3975" s="47" t="s">
        <v>49</v>
      </c>
      <c r="H3975"/>
      <c r="I3975" s="47" t="b">
        <v>0</v>
      </c>
      <c r="J3975" s="47" t="b">
        <v>1</v>
      </c>
      <c r="K3975" s="47">
        <v>1344</v>
      </c>
      <c r="L3975" s="48">
        <v>6</v>
      </c>
      <c r="M3975" s="47">
        <v>0</v>
      </c>
      <c r="N3975" s="47">
        <v>0</v>
      </c>
      <c r="O3975" s="47">
        <v>0</v>
      </c>
      <c r="P3975" s="47">
        <v>0</v>
      </c>
      <c r="Q3975" s="47">
        <v>0</v>
      </c>
      <c r="R3975" s="47">
        <v>0</v>
      </c>
      <c r="S3975" s="48">
        <v>6</v>
      </c>
      <c r="T3975" s="47">
        <v>0</v>
      </c>
      <c r="U3975" s="47">
        <v>0</v>
      </c>
      <c r="V3975" s="47">
        <v>0</v>
      </c>
      <c r="W3975" s="47">
        <v>11600</v>
      </c>
      <c r="X3975" s="47">
        <v>517</v>
      </c>
      <c r="Y3975" s="47" t="s">
        <v>51</v>
      </c>
      <c r="Z3975" s="47" t="s">
        <v>5139</v>
      </c>
      <c r="AA3975" s="49"/>
      <c r="AB3975" s="49"/>
      <c r="AC3975" s="49"/>
      <c r="AD3975" s="50"/>
      <c r="AE3975" s="47" t="s">
        <v>3798</v>
      </c>
      <c r="AF3975" s="47">
        <v>70</v>
      </c>
      <c r="AG3975"/>
      <c r="AH3975"/>
      <c r="AI3975"/>
      <c r="AJ3975"/>
      <c r="AK3975"/>
      <c r="AL3975"/>
      <c r="AM3975"/>
      <c r="AN3975"/>
      <c r="AO3975"/>
      <c r="AP3975"/>
      <c r="AQ3975" t="s">
        <v>2526</v>
      </c>
      <c r="AU3975">
        <v>3974</v>
      </c>
    </row>
    <row r="3976" spans="1:47" x14ac:dyDescent="0.2">
      <c r="A3976" s="133">
        <v>6717</v>
      </c>
      <c r="B3976" s="39" t="s">
        <v>85</v>
      </c>
      <c r="C3976" s="39" t="s">
        <v>4702</v>
      </c>
      <c r="D3976" s="29"/>
      <c r="E3976" s="39" t="s">
        <v>5177</v>
      </c>
      <c r="F3976" s="47"/>
      <c r="G3976" s="47"/>
      <c r="H3976"/>
      <c r="I3976" s="47" t="s">
        <v>5178</v>
      </c>
      <c r="J3976" s="47"/>
      <c r="K3976" s="47"/>
      <c r="L3976" s="48"/>
      <c r="M3976" s="47"/>
      <c r="N3976" s="47"/>
      <c r="O3976" s="47"/>
      <c r="P3976" s="47"/>
      <c r="Q3976" s="47"/>
      <c r="R3976" s="47"/>
      <c r="S3976" s="48"/>
      <c r="T3976" s="47"/>
      <c r="U3976" s="47"/>
      <c r="V3976" s="47"/>
      <c r="W3976" s="47"/>
      <c r="X3976" s="47"/>
      <c r="Y3976" s="47" t="s">
        <v>120</v>
      </c>
      <c r="Z3976" s="31" t="s">
        <v>3724</v>
      </c>
      <c r="AA3976" s="49"/>
      <c r="AB3976" s="49"/>
      <c r="AC3976" s="49"/>
      <c r="AD3976" s="50"/>
      <c r="AE3976" s="47"/>
      <c r="AF3976" s="47"/>
      <c r="AG3976"/>
      <c r="AH3976"/>
      <c r="AI3976"/>
      <c r="AJ3976"/>
      <c r="AK3976"/>
      <c r="AL3976"/>
      <c r="AM3976"/>
      <c r="AN3976"/>
      <c r="AO3976"/>
      <c r="AP3976"/>
      <c r="AQ3976" t="s">
        <v>5048</v>
      </c>
      <c r="AU3976">
        <v>3975</v>
      </c>
    </row>
    <row r="3977" spans="1:47" x14ac:dyDescent="0.2">
      <c r="A3977" s="133">
        <v>6717</v>
      </c>
      <c r="B3977" s="39" t="s">
        <v>45</v>
      </c>
      <c r="C3977" s="39">
        <v>100</v>
      </c>
      <c r="D3977" s="29" t="b">
        <v>0</v>
      </c>
      <c r="E3977" s="39" t="s">
        <v>5179</v>
      </c>
      <c r="F3977" s="47" t="s">
        <v>5180</v>
      </c>
      <c r="G3977" s="47" t="s">
        <v>459</v>
      </c>
      <c r="H3977"/>
      <c r="I3977" s="47" t="b">
        <v>1</v>
      </c>
      <c r="J3977" s="47" t="b">
        <v>1</v>
      </c>
      <c r="K3977" s="47">
        <v>3408</v>
      </c>
      <c r="L3977" s="48">
        <v>12</v>
      </c>
      <c r="M3977" s="47">
        <v>0</v>
      </c>
      <c r="N3977" s="47">
        <v>0</v>
      </c>
      <c r="O3977" s="47">
        <v>0</v>
      </c>
      <c r="P3977" s="47">
        <v>0</v>
      </c>
      <c r="Q3977" s="47">
        <v>1</v>
      </c>
      <c r="R3977" s="47">
        <v>0</v>
      </c>
      <c r="S3977" s="48">
        <v>12</v>
      </c>
      <c r="T3977" s="47">
        <v>0</v>
      </c>
      <c r="U3977" s="47">
        <v>0</v>
      </c>
      <c r="V3977" s="47">
        <v>0</v>
      </c>
      <c r="W3977" s="47">
        <v>2500</v>
      </c>
      <c r="X3977" s="47">
        <v>518</v>
      </c>
      <c r="Y3977" s="47"/>
      <c r="Z3977" s="47" t="s">
        <v>2524</v>
      </c>
      <c r="AA3977" s="49"/>
      <c r="AB3977" s="49"/>
      <c r="AC3977" s="49"/>
      <c r="AD3977" s="50"/>
      <c r="AE3977" s="47" t="s">
        <v>1312</v>
      </c>
      <c r="AF3977" s="47">
        <v>110</v>
      </c>
      <c r="AG3977"/>
      <c r="AH3977"/>
      <c r="AI3977"/>
      <c r="AJ3977"/>
      <c r="AK3977"/>
      <c r="AL3977"/>
      <c r="AM3977"/>
      <c r="AN3977"/>
      <c r="AO3977"/>
      <c r="AP3977"/>
      <c r="AQ3977" t="s">
        <v>2526</v>
      </c>
      <c r="AU3977">
        <v>3976</v>
      </c>
    </row>
    <row r="3978" spans="1:47" x14ac:dyDescent="0.2">
      <c r="A3978" s="133">
        <v>6717</v>
      </c>
      <c r="B3978" s="39" t="s">
        <v>45</v>
      </c>
      <c r="C3978" s="39">
        <v>100</v>
      </c>
      <c r="D3978" s="29" t="b">
        <v>0</v>
      </c>
      <c r="E3978" s="39" t="s">
        <v>5181</v>
      </c>
      <c r="F3978" s="47" t="s">
        <v>5182</v>
      </c>
      <c r="G3978" s="47" t="s">
        <v>459</v>
      </c>
      <c r="H3978"/>
      <c r="I3978" s="47" t="b">
        <v>0</v>
      </c>
      <c r="J3978" s="47" t="b">
        <v>0</v>
      </c>
      <c r="K3978" s="47">
        <v>3072</v>
      </c>
      <c r="L3978" s="48">
        <v>12</v>
      </c>
      <c r="M3978" s="47">
        <v>0</v>
      </c>
      <c r="N3978" s="47">
        <v>0</v>
      </c>
      <c r="O3978" s="47">
        <v>0</v>
      </c>
      <c r="P3978" s="47">
        <v>0</v>
      </c>
      <c r="Q3978" s="47">
        <v>1</v>
      </c>
      <c r="R3978" s="47">
        <v>0</v>
      </c>
      <c r="S3978" s="48">
        <v>11</v>
      </c>
      <c r="T3978" s="47">
        <v>0</v>
      </c>
      <c r="U3978" s="47">
        <v>0</v>
      </c>
      <c r="V3978" s="47">
        <v>0</v>
      </c>
      <c r="W3978" s="47">
        <v>2500</v>
      </c>
      <c r="X3978" s="47">
        <v>519</v>
      </c>
      <c r="Y3978" s="47"/>
      <c r="Z3978" s="47" t="s">
        <v>2524</v>
      </c>
      <c r="AA3978" s="49"/>
      <c r="AB3978" s="49"/>
      <c r="AC3978" s="49"/>
      <c r="AD3978" s="50"/>
      <c r="AE3978" s="47" t="s">
        <v>1312</v>
      </c>
      <c r="AF3978" s="47">
        <v>110</v>
      </c>
      <c r="AG3978"/>
      <c r="AH3978"/>
      <c r="AI3978"/>
      <c r="AJ3978"/>
      <c r="AK3978"/>
      <c r="AL3978"/>
      <c r="AM3978"/>
      <c r="AN3978"/>
      <c r="AO3978"/>
      <c r="AP3978"/>
      <c r="AQ3978" t="s">
        <v>2526</v>
      </c>
      <c r="AU3978">
        <v>3977</v>
      </c>
    </row>
    <row r="3979" spans="1:47" x14ac:dyDescent="0.2">
      <c r="A3979" s="133">
        <v>6717</v>
      </c>
      <c r="B3979" s="39" t="s">
        <v>45</v>
      </c>
      <c r="C3979" s="39">
        <v>100</v>
      </c>
      <c r="D3979" s="29" t="b">
        <v>0</v>
      </c>
      <c r="E3979" s="39" t="s">
        <v>5183</v>
      </c>
      <c r="F3979" s="47" t="s">
        <v>3801</v>
      </c>
      <c r="G3979" s="47" t="s">
        <v>49</v>
      </c>
      <c r="H3979"/>
      <c r="I3979" s="47" t="b">
        <v>0</v>
      </c>
      <c r="J3979" s="47" t="b">
        <v>0</v>
      </c>
      <c r="K3979" s="47">
        <v>336</v>
      </c>
      <c r="L3979" s="48">
        <v>12</v>
      </c>
      <c r="M3979" s="47">
        <v>0</v>
      </c>
      <c r="N3979" s="47">
        <v>0</v>
      </c>
      <c r="O3979" s="47">
        <v>0</v>
      </c>
      <c r="P3979" s="47">
        <v>0</v>
      </c>
      <c r="Q3979" s="47">
        <v>1</v>
      </c>
      <c r="R3979" s="47">
        <v>0</v>
      </c>
      <c r="S3979" s="48">
        <v>1</v>
      </c>
      <c r="T3979" s="47">
        <v>0</v>
      </c>
      <c r="U3979" s="47">
        <v>0</v>
      </c>
      <c r="V3979" s="47">
        <v>0</v>
      </c>
      <c r="W3979" s="47"/>
      <c r="X3979" s="47">
        <v>520</v>
      </c>
      <c r="Y3979" s="47"/>
      <c r="Z3979" s="47" t="s">
        <v>2524</v>
      </c>
      <c r="AA3979" s="49"/>
      <c r="AB3979" s="49"/>
      <c r="AC3979" s="49"/>
      <c r="AD3979" s="50"/>
      <c r="AE3979" s="47" t="s">
        <v>1312</v>
      </c>
      <c r="AF3979" s="47"/>
      <c r="AG3979"/>
      <c r="AH3979"/>
      <c r="AI3979"/>
      <c r="AJ3979"/>
      <c r="AK3979"/>
      <c r="AL3979"/>
      <c r="AM3979"/>
      <c r="AN3979"/>
      <c r="AO3979"/>
      <c r="AP3979"/>
      <c r="AQ3979" t="s">
        <v>2526</v>
      </c>
      <c r="AU3979">
        <v>3978</v>
      </c>
    </row>
    <row r="3980" spans="1:47" x14ac:dyDescent="0.2">
      <c r="A3980" s="133">
        <v>6717</v>
      </c>
      <c r="B3980" s="39" t="s">
        <v>45</v>
      </c>
      <c r="C3980" s="39">
        <v>216</v>
      </c>
      <c r="D3980" s="29" t="b">
        <v>0</v>
      </c>
      <c r="E3980" s="39" t="s">
        <v>5184</v>
      </c>
      <c r="F3980" s="47" t="s">
        <v>5185</v>
      </c>
      <c r="G3980" s="47" t="s">
        <v>459</v>
      </c>
      <c r="H3980"/>
      <c r="I3980" s="47" t="b">
        <v>1</v>
      </c>
      <c r="J3980" s="47" t="b">
        <v>1</v>
      </c>
      <c r="K3980" s="47">
        <v>6496</v>
      </c>
      <c r="L3980" s="48">
        <v>5</v>
      </c>
      <c r="M3980" s="47">
        <v>0</v>
      </c>
      <c r="N3980" s="47">
        <v>0</v>
      </c>
      <c r="O3980" s="47">
        <v>0</v>
      </c>
      <c r="P3980" s="47">
        <v>0</v>
      </c>
      <c r="Q3980" s="47">
        <v>0</v>
      </c>
      <c r="R3980" s="47">
        <v>0</v>
      </c>
      <c r="S3980" s="48">
        <v>5</v>
      </c>
      <c r="T3980" s="47">
        <v>0</v>
      </c>
      <c r="U3980" s="47">
        <v>0</v>
      </c>
      <c r="V3980" s="47">
        <v>0</v>
      </c>
      <c r="W3980" s="47">
        <v>6800</v>
      </c>
      <c r="X3980" s="47">
        <v>521</v>
      </c>
      <c r="Y3980" s="47"/>
      <c r="Z3980" s="47" t="s">
        <v>2466</v>
      </c>
      <c r="AA3980" s="49"/>
      <c r="AB3980" s="49"/>
      <c r="AC3980" s="49"/>
      <c r="AD3980" s="50"/>
      <c r="AE3980" s="47" t="s">
        <v>1312</v>
      </c>
      <c r="AF3980" s="47">
        <v>210</v>
      </c>
      <c r="AG3980"/>
      <c r="AH3980"/>
      <c r="AI3980"/>
      <c r="AJ3980"/>
      <c r="AK3980"/>
      <c r="AL3980"/>
      <c r="AM3980"/>
      <c r="AN3980"/>
      <c r="AO3980"/>
      <c r="AP3980"/>
      <c r="AQ3980" t="s">
        <v>2526</v>
      </c>
      <c r="AU3980">
        <v>3979</v>
      </c>
    </row>
    <row r="3981" spans="1:47" x14ac:dyDescent="0.2">
      <c r="A3981" s="133">
        <v>6717</v>
      </c>
      <c r="B3981" s="39" t="s">
        <v>45</v>
      </c>
      <c r="C3981" s="39">
        <v>216</v>
      </c>
      <c r="D3981" s="29" t="b">
        <v>0</v>
      </c>
      <c r="E3981" s="39" t="s">
        <v>5186</v>
      </c>
      <c r="F3981" s="47" t="s">
        <v>5182</v>
      </c>
      <c r="G3981" s="47" t="s">
        <v>459</v>
      </c>
      <c r="H3981"/>
      <c r="I3981" s="47" t="b">
        <v>0</v>
      </c>
      <c r="J3981" s="47" t="b">
        <v>0</v>
      </c>
      <c r="K3981" s="47">
        <v>3808</v>
      </c>
      <c r="L3981" s="48">
        <v>5</v>
      </c>
      <c r="M3981" s="47">
        <v>0</v>
      </c>
      <c r="N3981" s="47">
        <v>0</v>
      </c>
      <c r="O3981" s="47">
        <v>0</v>
      </c>
      <c r="P3981" s="47">
        <v>0</v>
      </c>
      <c r="Q3981" s="47">
        <v>0</v>
      </c>
      <c r="R3981" s="47">
        <v>0</v>
      </c>
      <c r="S3981" s="48">
        <v>3</v>
      </c>
      <c r="T3981" s="47">
        <v>0</v>
      </c>
      <c r="U3981" s="47">
        <v>0</v>
      </c>
      <c r="V3981" s="47">
        <v>0</v>
      </c>
      <c r="W3981" s="47">
        <v>7000</v>
      </c>
      <c r="X3981" s="47">
        <v>522</v>
      </c>
      <c r="Y3981" s="47"/>
      <c r="Z3981" s="47" t="s">
        <v>2466</v>
      </c>
      <c r="AA3981" s="49"/>
      <c r="AB3981" s="49"/>
      <c r="AC3981" s="49"/>
      <c r="AD3981" s="50"/>
      <c r="AE3981" s="47" t="s">
        <v>1312</v>
      </c>
      <c r="AF3981" s="47">
        <v>110</v>
      </c>
      <c r="AG3981"/>
      <c r="AH3981"/>
      <c r="AI3981"/>
      <c r="AJ3981"/>
      <c r="AK3981"/>
      <c r="AL3981"/>
      <c r="AM3981"/>
      <c r="AN3981"/>
      <c r="AO3981"/>
      <c r="AP3981"/>
      <c r="AQ3981" t="s">
        <v>2526</v>
      </c>
      <c r="AU3981">
        <v>3980</v>
      </c>
    </row>
    <row r="3982" spans="1:47" x14ac:dyDescent="0.2">
      <c r="A3982" s="133">
        <v>6717</v>
      </c>
      <c r="B3982" s="39" t="s">
        <v>45</v>
      </c>
      <c r="C3982" s="39">
        <v>216</v>
      </c>
      <c r="D3982" s="29" t="b">
        <v>0</v>
      </c>
      <c r="E3982" s="39" t="s">
        <v>3909</v>
      </c>
      <c r="F3982" s="47" t="s">
        <v>4092</v>
      </c>
      <c r="G3982" s="47" t="s">
        <v>274</v>
      </c>
      <c r="H3982"/>
      <c r="I3982" s="47" t="b">
        <v>0</v>
      </c>
      <c r="J3982" s="47" t="b">
        <v>0</v>
      </c>
      <c r="K3982" s="47">
        <v>2688</v>
      </c>
      <c r="L3982" s="48">
        <v>5</v>
      </c>
      <c r="M3982" s="47">
        <v>0</v>
      </c>
      <c r="N3982" s="47">
        <v>0</v>
      </c>
      <c r="O3982" s="47">
        <v>0</v>
      </c>
      <c r="P3982" s="47">
        <v>0</v>
      </c>
      <c r="Q3982" s="47">
        <v>0</v>
      </c>
      <c r="R3982" s="47">
        <v>0</v>
      </c>
      <c r="S3982" s="48">
        <v>2</v>
      </c>
      <c r="T3982" s="47">
        <v>0</v>
      </c>
      <c r="U3982" s="47">
        <v>0</v>
      </c>
      <c r="V3982" s="47">
        <v>0</v>
      </c>
      <c r="W3982" s="47">
        <v>6500</v>
      </c>
      <c r="X3982" s="47">
        <v>523</v>
      </c>
      <c r="Y3982" s="47"/>
      <c r="Z3982" s="47" t="s">
        <v>2466</v>
      </c>
      <c r="AA3982" s="49"/>
      <c r="AB3982" s="49"/>
      <c r="AC3982" s="49"/>
      <c r="AD3982" s="50"/>
      <c r="AE3982" s="47" t="s">
        <v>1312</v>
      </c>
      <c r="AF3982" s="47">
        <v>210</v>
      </c>
      <c r="AG3982"/>
      <c r="AH3982"/>
      <c r="AI3982"/>
      <c r="AJ3982"/>
      <c r="AK3982"/>
      <c r="AL3982"/>
      <c r="AM3982"/>
      <c r="AN3982"/>
      <c r="AO3982"/>
      <c r="AP3982"/>
      <c r="AQ3982" t="s">
        <v>2526</v>
      </c>
      <c r="AU3982">
        <v>3981</v>
      </c>
    </row>
    <row r="3983" spans="1:47" x14ac:dyDescent="0.2">
      <c r="A3983" s="133">
        <v>6717</v>
      </c>
      <c r="B3983" s="39" t="s">
        <v>45</v>
      </c>
      <c r="C3983" s="39" t="s">
        <v>142</v>
      </c>
      <c r="D3983" s="29"/>
      <c r="E3983" s="39" t="s">
        <v>5187</v>
      </c>
      <c r="F3983" s="47" t="s">
        <v>5188</v>
      </c>
      <c r="G3983" s="47" t="s">
        <v>73</v>
      </c>
      <c r="H3983"/>
      <c r="I3983" s="47" t="s">
        <v>5189</v>
      </c>
      <c r="J3983" s="47"/>
      <c r="K3983" s="47">
        <f>9920*2.2</f>
        <v>21824</v>
      </c>
      <c r="L3983" s="48">
        <f>26+9</f>
        <v>35</v>
      </c>
      <c r="M3983" s="47"/>
      <c r="N3983" s="47">
        <v>1</v>
      </c>
      <c r="O3983" s="47"/>
      <c r="P3983" s="47"/>
      <c r="Q3983" s="47"/>
      <c r="R3983" s="47"/>
      <c r="S3983" s="48">
        <f>25+9</f>
        <v>34</v>
      </c>
      <c r="T3983" s="47">
        <v>1</v>
      </c>
      <c r="U3983" s="47">
        <v>0</v>
      </c>
      <c r="V3983" s="47">
        <v>0</v>
      </c>
      <c r="W3983" s="47"/>
      <c r="X3983" s="47"/>
      <c r="Y3983" s="47" t="s">
        <v>120</v>
      </c>
      <c r="Z3983" s="31" t="s">
        <v>3855</v>
      </c>
      <c r="AA3983" s="49"/>
      <c r="AB3983" s="49"/>
      <c r="AC3983" s="49"/>
      <c r="AD3983" s="50"/>
      <c r="AE3983" s="31" t="s">
        <v>4723</v>
      </c>
      <c r="AF3983" s="47"/>
      <c r="AG3983"/>
      <c r="AH3983"/>
      <c r="AI3983"/>
      <c r="AJ3983"/>
      <c r="AK3983">
        <f>176+81+43+9+4</f>
        <v>313</v>
      </c>
      <c r="AL3983"/>
      <c r="AM3983"/>
      <c r="AN3983"/>
      <c r="AO3983"/>
      <c r="AP3983"/>
      <c r="AQ3983" t="s">
        <v>5190</v>
      </c>
      <c r="AU3983">
        <v>3982</v>
      </c>
    </row>
    <row r="3984" spans="1:47" x14ac:dyDescent="0.2">
      <c r="A3984" s="133">
        <v>6717</v>
      </c>
      <c r="B3984" s="39" t="s">
        <v>45</v>
      </c>
      <c r="C3984" s="57" t="s">
        <v>4456</v>
      </c>
      <c r="D3984" s="29" t="s">
        <v>296</v>
      </c>
      <c r="E3984" s="39" t="s">
        <v>3816</v>
      </c>
      <c r="F3984" s="47" t="s">
        <v>107</v>
      </c>
      <c r="G3984" s="47"/>
      <c r="H3984"/>
      <c r="I3984" s="47" t="s">
        <v>5191</v>
      </c>
      <c r="J3984" s="47"/>
      <c r="K3984" s="47">
        <v>0</v>
      </c>
      <c r="L3984" s="48">
        <v>1</v>
      </c>
      <c r="M3984" s="47"/>
      <c r="N3984" s="47">
        <v>1</v>
      </c>
      <c r="O3984" s="47"/>
      <c r="P3984" s="47"/>
      <c r="Q3984" s="47"/>
      <c r="R3984" s="47"/>
      <c r="S3984" s="48">
        <v>0</v>
      </c>
      <c r="T3984" s="47">
        <v>0</v>
      </c>
      <c r="U3984" s="47">
        <v>0</v>
      </c>
      <c r="V3984" s="47">
        <v>0</v>
      </c>
      <c r="W3984" s="47"/>
      <c r="X3984" s="47"/>
      <c r="Y3984" s="31" t="s">
        <v>51</v>
      </c>
      <c r="Z3984" s="31" t="s">
        <v>1846</v>
      </c>
      <c r="AA3984" s="49">
        <v>0.91319444444444453</v>
      </c>
      <c r="AB3984" s="49">
        <v>0.97222222222222221</v>
      </c>
      <c r="AC3984" s="49"/>
      <c r="AD3984" s="50"/>
      <c r="AE3984" s="31" t="s">
        <v>4756</v>
      </c>
      <c r="AF3984" s="47">
        <v>110</v>
      </c>
      <c r="AG3984"/>
      <c r="AH3984"/>
      <c r="AI3984"/>
      <c r="AJ3984"/>
      <c r="AK3984">
        <v>0</v>
      </c>
      <c r="AL3984"/>
      <c r="AM3984"/>
      <c r="AN3984"/>
      <c r="AO3984"/>
      <c r="AP3984"/>
      <c r="AQ3984" t="s">
        <v>5192</v>
      </c>
      <c r="AU3984">
        <v>3983</v>
      </c>
    </row>
    <row r="3985" spans="1:47" x14ac:dyDescent="0.2">
      <c r="A3985" s="133">
        <v>6717</v>
      </c>
      <c r="B3985" s="39" t="s">
        <v>45</v>
      </c>
      <c r="C3985" s="57" t="s">
        <v>4456</v>
      </c>
      <c r="D3985" s="29"/>
      <c r="E3985" s="39" t="s">
        <v>5014</v>
      </c>
      <c r="F3985" s="47" t="s">
        <v>5154</v>
      </c>
      <c r="G3985" s="47" t="s">
        <v>49</v>
      </c>
      <c r="H3985"/>
      <c r="I3985" s="47" t="s">
        <v>5193</v>
      </c>
      <c r="J3985" s="47"/>
      <c r="K3985" s="118">
        <f>8*50*2.2</f>
        <v>880.00000000000011</v>
      </c>
      <c r="L3985" s="48">
        <v>1</v>
      </c>
      <c r="M3985" s="47"/>
      <c r="N3985" s="47"/>
      <c r="O3985" s="47"/>
      <c r="P3985" s="47"/>
      <c r="Q3985" s="47"/>
      <c r="R3985" s="47"/>
      <c r="S3985" s="48">
        <v>1</v>
      </c>
      <c r="T3985" s="47">
        <v>0</v>
      </c>
      <c r="U3985" s="47">
        <v>0</v>
      </c>
      <c r="V3985" s="47">
        <v>0</v>
      </c>
      <c r="W3985" s="47">
        <f>3000*39.37/12</f>
        <v>9842.4999999999982</v>
      </c>
      <c r="X3985" s="47"/>
      <c r="Y3985" s="31" t="s">
        <v>51</v>
      </c>
      <c r="Z3985" s="31" t="s">
        <v>1846</v>
      </c>
      <c r="AA3985" s="49">
        <v>0.94444444444444453</v>
      </c>
      <c r="AB3985" s="49">
        <v>1</v>
      </c>
      <c r="AC3985" s="49">
        <f>AVERAGE(AA3985:AB3985)</f>
        <v>0.97222222222222232</v>
      </c>
      <c r="AD3985" s="50">
        <v>1.33</v>
      </c>
      <c r="AE3985" s="31" t="s">
        <v>4756</v>
      </c>
      <c r="AF3985" s="47">
        <v>55</v>
      </c>
      <c r="AG3985"/>
      <c r="AH3985"/>
      <c r="AI3985"/>
      <c r="AJ3985"/>
      <c r="AK3985" s="136">
        <v>8</v>
      </c>
      <c r="AL3985"/>
      <c r="AM3985"/>
      <c r="AN3985"/>
      <c r="AO3985"/>
      <c r="AP3985"/>
      <c r="AQ3985" t="s">
        <v>5192</v>
      </c>
      <c r="AU3985">
        <v>3984</v>
      </c>
    </row>
    <row r="3986" spans="1:47" x14ac:dyDescent="0.2">
      <c r="A3986" s="133">
        <v>6717</v>
      </c>
      <c r="B3986" s="39" t="s">
        <v>45</v>
      </c>
      <c r="C3986" s="57" t="s">
        <v>4456</v>
      </c>
      <c r="D3986" s="29"/>
      <c r="E3986" s="39" t="s">
        <v>5194</v>
      </c>
      <c r="F3986" s="47" t="s">
        <v>76</v>
      </c>
      <c r="G3986" s="47" t="s">
        <v>49</v>
      </c>
      <c r="H3986"/>
      <c r="I3986" s="47" t="s">
        <v>5195</v>
      </c>
      <c r="J3986" s="47"/>
      <c r="K3986" s="118">
        <f>8*50*2.2</f>
        <v>880.00000000000011</v>
      </c>
      <c r="L3986" s="48">
        <v>1</v>
      </c>
      <c r="M3986" s="47"/>
      <c r="N3986" s="47"/>
      <c r="O3986" s="47"/>
      <c r="P3986" s="47"/>
      <c r="Q3986" s="47"/>
      <c r="R3986" s="47"/>
      <c r="S3986" s="48">
        <v>1</v>
      </c>
      <c r="T3986" s="47">
        <v>0</v>
      </c>
      <c r="U3986" s="47">
        <v>0</v>
      </c>
      <c r="V3986" s="47">
        <v>0</v>
      </c>
      <c r="W3986" s="47">
        <f>1400*39.37/12</f>
        <v>4593.166666666667</v>
      </c>
      <c r="X3986" s="47"/>
      <c r="Y3986" s="31" t="s">
        <v>51</v>
      </c>
      <c r="Z3986" s="31" t="s">
        <v>1846</v>
      </c>
      <c r="AA3986" s="49">
        <v>0.90972222222222221</v>
      </c>
      <c r="AB3986" s="49">
        <v>3.125E-2</v>
      </c>
      <c r="AC3986" s="49">
        <v>0.97013888888888899</v>
      </c>
      <c r="AD3986" s="50">
        <f>2+55/60</f>
        <v>2.9166666666666665</v>
      </c>
      <c r="AE3986" s="31" t="s">
        <v>4756</v>
      </c>
      <c r="AF3986" s="47">
        <v>75</v>
      </c>
      <c r="AG3986"/>
      <c r="AH3986"/>
      <c r="AI3986"/>
      <c r="AJ3986"/>
      <c r="AK3986" s="136">
        <v>8</v>
      </c>
      <c r="AL3986"/>
      <c r="AM3986"/>
      <c r="AN3986"/>
      <c r="AO3986"/>
      <c r="AP3986"/>
      <c r="AQ3986" t="s">
        <v>5192</v>
      </c>
      <c r="AU3986">
        <v>3985</v>
      </c>
    </row>
    <row r="3987" spans="1:47" x14ac:dyDescent="0.2">
      <c r="A3987" s="133">
        <v>6717</v>
      </c>
      <c r="B3987" s="39" t="s">
        <v>45</v>
      </c>
      <c r="C3987" s="57" t="s">
        <v>4456</v>
      </c>
      <c r="D3987" s="29"/>
      <c r="E3987" s="39" t="s">
        <v>3895</v>
      </c>
      <c r="F3987" s="47" t="s">
        <v>5154</v>
      </c>
      <c r="G3987" s="47" t="s">
        <v>49</v>
      </c>
      <c r="H3987"/>
      <c r="I3987" s="47" t="s">
        <v>5039</v>
      </c>
      <c r="J3987" s="47"/>
      <c r="K3987" s="118">
        <f>8*50*2.2</f>
        <v>880.00000000000011</v>
      </c>
      <c r="L3987" s="48">
        <v>1</v>
      </c>
      <c r="M3987" s="47"/>
      <c r="N3987" s="47"/>
      <c r="O3987" s="47"/>
      <c r="P3987" s="47"/>
      <c r="Q3987" s="47"/>
      <c r="R3987" s="47"/>
      <c r="S3987" s="48">
        <v>1</v>
      </c>
      <c r="T3987" s="47">
        <v>0</v>
      </c>
      <c r="U3987" s="47">
        <v>0</v>
      </c>
      <c r="V3987" s="47">
        <v>0</v>
      </c>
      <c r="W3987" s="47">
        <f>2400*39.37/12</f>
        <v>7874</v>
      </c>
      <c r="X3987" s="47"/>
      <c r="Y3987" s="31" t="s">
        <v>51</v>
      </c>
      <c r="Z3987" s="31" t="s">
        <v>1846</v>
      </c>
      <c r="AA3987" s="49">
        <v>0.83333333333333337</v>
      </c>
      <c r="AB3987" s="49">
        <v>0.99305555555555547</v>
      </c>
      <c r="AC3987" s="49">
        <f>AVERAGE(AA3987:AB3987)</f>
        <v>0.91319444444444442</v>
      </c>
      <c r="AD3987" s="50">
        <f>1+5/6</f>
        <v>1.8333333333333335</v>
      </c>
      <c r="AE3987" s="31" t="s">
        <v>4756</v>
      </c>
      <c r="AF3987" s="47">
        <v>60</v>
      </c>
      <c r="AG3987"/>
      <c r="AH3987"/>
      <c r="AI3987"/>
      <c r="AJ3987"/>
      <c r="AK3987" s="136">
        <v>8</v>
      </c>
      <c r="AL3987"/>
      <c r="AM3987"/>
      <c r="AN3987"/>
      <c r="AO3987"/>
      <c r="AP3987"/>
      <c r="AQ3987" t="s">
        <v>5192</v>
      </c>
      <c r="AU3987">
        <v>3986</v>
      </c>
    </row>
    <row r="3988" spans="1:47" x14ac:dyDescent="0.2">
      <c r="A3988" s="133">
        <v>6717</v>
      </c>
      <c r="B3988" s="39" t="s">
        <v>45</v>
      </c>
      <c r="C3988" s="57" t="s">
        <v>4456</v>
      </c>
      <c r="D3988" s="29"/>
      <c r="E3988" s="39" t="s">
        <v>3419</v>
      </c>
      <c r="F3988" s="47" t="s">
        <v>204</v>
      </c>
      <c r="G3988" s="47" t="s">
        <v>205</v>
      </c>
      <c r="H3988"/>
      <c r="I3988" s="47" t="s">
        <v>5196</v>
      </c>
      <c r="J3988" s="47"/>
      <c r="K3988" s="118">
        <f>8*50*2.2</f>
        <v>880.00000000000011</v>
      </c>
      <c r="L3988" s="48">
        <v>1</v>
      </c>
      <c r="M3988" s="47"/>
      <c r="N3988" s="47"/>
      <c r="O3988" s="47"/>
      <c r="P3988" s="47"/>
      <c r="Q3988" s="47"/>
      <c r="R3988" s="47"/>
      <c r="S3988" s="48">
        <v>1</v>
      </c>
      <c r="T3988" s="47">
        <v>0</v>
      </c>
      <c r="U3988" s="47">
        <v>0</v>
      </c>
      <c r="V3988" s="47">
        <v>0</v>
      </c>
      <c r="W3988" s="47">
        <f>2600*39.37/12</f>
        <v>8530.1666666666661</v>
      </c>
      <c r="X3988" s="47"/>
      <c r="Y3988" s="31" t="s">
        <v>51</v>
      </c>
      <c r="Z3988" s="31" t="s">
        <v>1846</v>
      </c>
      <c r="AA3988" s="49">
        <v>4.8611111111111112E-2</v>
      </c>
      <c r="AB3988" s="49">
        <v>0.1388888888888889</v>
      </c>
      <c r="AC3988" s="49">
        <f>AVERAGE(AA3988:AB3988)</f>
        <v>9.375E-2</v>
      </c>
      <c r="AD3988" s="50">
        <f>2+1/6</f>
        <v>2.1666666666666665</v>
      </c>
      <c r="AE3988" s="31" t="s">
        <v>4756</v>
      </c>
      <c r="AF3988" s="47"/>
      <c r="AG3988"/>
      <c r="AH3988"/>
      <c r="AI3988"/>
      <c r="AJ3988"/>
      <c r="AK3988" s="136">
        <v>8</v>
      </c>
      <c r="AL3988"/>
      <c r="AM3988"/>
      <c r="AN3988"/>
      <c r="AO3988"/>
      <c r="AP3988"/>
      <c r="AQ3988" t="s">
        <v>5192</v>
      </c>
      <c r="AU3988">
        <v>3987</v>
      </c>
    </row>
    <row r="3989" spans="1:47" x14ac:dyDescent="0.2">
      <c r="A3989" s="26">
        <v>6717</v>
      </c>
      <c r="B3989" s="27">
        <v>3.8194444444444441E-2</v>
      </c>
      <c r="C3989" s="28"/>
      <c r="D3989" s="29"/>
      <c r="E3989" s="102" t="s">
        <v>1102</v>
      </c>
      <c r="H3989" s="32">
        <v>0</v>
      </c>
      <c r="I3989" s="32" t="s">
        <v>5197</v>
      </c>
      <c r="AG3989" s="32">
        <v>0</v>
      </c>
      <c r="AH3989" s="32">
        <v>0</v>
      </c>
      <c r="AI3989" s="32">
        <v>0</v>
      </c>
      <c r="AK3989" s="32">
        <v>0</v>
      </c>
      <c r="AL3989" s="32">
        <f>78/60</f>
        <v>1.3</v>
      </c>
      <c r="AO3989" s="73" t="s">
        <v>1006</v>
      </c>
      <c r="AP3989" s="32">
        <f>78/60</f>
        <v>1.3</v>
      </c>
      <c r="AQ3989" s="32" t="s">
        <v>589</v>
      </c>
      <c r="AU3989">
        <v>3988</v>
      </c>
    </row>
    <row r="3990" spans="1:47" x14ac:dyDescent="0.2">
      <c r="A3990" s="26">
        <v>6717</v>
      </c>
      <c r="B3990" s="27">
        <v>4.1666666666666664E-2</v>
      </c>
      <c r="C3990" s="28"/>
      <c r="D3990" s="29"/>
      <c r="E3990" s="30" t="s">
        <v>631</v>
      </c>
      <c r="H3990" s="32">
        <v>1</v>
      </c>
      <c r="I3990" s="32" t="s">
        <v>5198</v>
      </c>
      <c r="AG3990" s="32">
        <v>0</v>
      </c>
      <c r="AH3990" s="32">
        <v>0</v>
      </c>
      <c r="AK3990" s="32">
        <v>26</v>
      </c>
      <c r="AL3990" s="32">
        <v>0.5</v>
      </c>
      <c r="AO3990" s="32" t="s">
        <v>633</v>
      </c>
      <c r="AP3990" s="32">
        <v>0.5</v>
      </c>
      <c r="AQ3990" s="32">
        <v>464</v>
      </c>
      <c r="AU3990">
        <v>3989</v>
      </c>
    </row>
    <row r="3991" spans="1:47" x14ac:dyDescent="0.2">
      <c r="A3991" s="26">
        <v>6717</v>
      </c>
      <c r="B3991" s="27">
        <v>5.2083333333333336E-2</v>
      </c>
      <c r="C3991" s="28"/>
      <c r="D3991" s="29"/>
      <c r="E3991" s="30" t="s">
        <v>3155</v>
      </c>
      <c r="H3991" s="32">
        <v>0</v>
      </c>
      <c r="I3991" s="32" t="s">
        <v>5199</v>
      </c>
      <c r="AG3991" s="32">
        <v>0</v>
      </c>
      <c r="AH3991" s="32">
        <v>0</v>
      </c>
      <c r="AI3991" s="32">
        <v>0</v>
      </c>
      <c r="AK3991" s="32">
        <v>0</v>
      </c>
      <c r="AP3991" s="32">
        <f>96/60</f>
        <v>1.6</v>
      </c>
      <c r="AQ3991" s="32" t="s">
        <v>1101</v>
      </c>
      <c r="AU3991">
        <v>3990</v>
      </c>
    </row>
    <row r="3992" spans="1:47" x14ac:dyDescent="0.2">
      <c r="A3992" s="26">
        <v>6717</v>
      </c>
      <c r="B3992" s="27">
        <v>0.14583333333333334</v>
      </c>
      <c r="C3992" s="28"/>
      <c r="D3992" s="29"/>
      <c r="E3992" s="30" t="s">
        <v>2087</v>
      </c>
      <c r="H3992" s="32">
        <v>0</v>
      </c>
      <c r="I3992" s="32"/>
      <c r="AG3992" s="32">
        <v>0</v>
      </c>
      <c r="AH3992" s="32">
        <v>0</v>
      </c>
      <c r="AI3992" s="32">
        <v>0</v>
      </c>
      <c r="AK3992" s="32">
        <v>0</v>
      </c>
      <c r="AL3992" s="32">
        <v>0</v>
      </c>
      <c r="AP3992" s="32">
        <v>0.33300000000000002</v>
      </c>
      <c r="AQ3992" s="32" t="s">
        <v>1101</v>
      </c>
      <c r="AU3992">
        <v>3991</v>
      </c>
    </row>
    <row r="3993" spans="1:47" x14ac:dyDescent="0.2">
      <c r="A3993" s="26">
        <v>6717</v>
      </c>
      <c r="B3993" s="27">
        <v>0.18888888888888888</v>
      </c>
      <c r="C3993" s="28"/>
      <c r="D3993" s="29"/>
      <c r="E3993" s="30" t="s">
        <v>3737</v>
      </c>
      <c r="H3993" s="32">
        <v>0</v>
      </c>
      <c r="I3993" s="32" t="s">
        <v>4926</v>
      </c>
      <c r="AG3993" s="32">
        <v>0</v>
      </c>
      <c r="AH3993" s="32">
        <v>0</v>
      </c>
      <c r="AI3993" s="32">
        <v>0</v>
      </c>
      <c r="AK3993" s="32">
        <v>0</v>
      </c>
      <c r="AL3993" s="32">
        <f>42/60</f>
        <v>0.7</v>
      </c>
      <c r="AM3993" s="33">
        <f>3125*AL3993</f>
        <v>2187.5</v>
      </c>
      <c r="AP3993" s="32">
        <f>42/60</f>
        <v>0.7</v>
      </c>
      <c r="AQ3993" s="32" t="s">
        <v>1101</v>
      </c>
      <c r="AU3993">
        <v>3992</v>
      </c>
    </row>
    <row r="3994" spans="1:47" x14ac:dyDescent="0.2">
      <c r="A3994" s="26">
        <v>6717</v>
      </c>
      <c r="B3994" s="27">
        <v>0.42569444444444443</v>
      </c>
      <c r="C3994" s="28"/>
      <c r="D3994" s="29"/>
      <c r="E3994" s="102" t="s">
        <v>5200</v>
      </c>
      <c r="H3994" s="32">
        <v>0</v>
      </c>
      <c r="I3994" s="32" t="s">
        <v>5201</v>
      </c>
      <c r="AG3994" s="32">
        <v>0</v>
      </c>
      <c r="AH3994" s="32">
        <v>0</v>
      </c>
      <c r="AI3994" s="32">
        <v>0</v>
      </c>
      <c r="AK3994" s="32">
        <v>0</v>
      </c>
      <c r="AL3994" s="32">
        <f>57/60</f>
        <v>0.95</v>
      </c>
      <c r="AO3994" s="73"/>
      <c r="AP3994" s="32">
        <f>57/60</f>
        <v>0.95</v>
      </c>
      <c r="AQ3994" s="32" t="s">
        <v>589</v>
      </c>
      <c r="AU3994">
        <v>3993</v>
      </c>
    </row>
    <row r="3995" spans="1:47" x14ac:dyDescent="0.2">
      <c r="A3995" s="26">
        <v>6717</v>
      </c>
      <c r="B3995" s="27">
        <v>0.43055555555555558</v>
      </c>
      <c r="C3995" s="28"/>
      <c r="D3995" s="29"/>
      <c r="E3995" s="30" t="s">
        <v>110</v>
      </c>
      <c r="H3995" s="32">
        <v>0</v>
      </c>
      <c r="I3995" s="32" t="s">
        <v>3587</v>
      </c>
      <c r="AG3995" s="32">
        <v>0</v>
      </c>
      <c r="AH3995" s="32">
        <v>0</v>
      </c>
      <c r="AI3995" s="32">
        <v>0</v>
      </c>
      <c r="AK3995" s="32">
        <v>0</v>
      </c>
      <c r="AL3995" s="32">
        <f>2/3</f>
        <v>0.66666666666666663</v>
      </c>
      <c r="AP3995" s="32">
        <f>2/3</f>
        <v>0.66666666666666663</v>
      </c>
      <c r="AQ3995" s="32" t="s">
        <v>1101</v>
      </c>
      <c r="AU3995">
        <v>3994</v>
      </c>
    </row>
    <row r="3996" spans="1:47" x14ac:dyDescent="0.2">
      <c r="A3996" s="26">
        <v>6717</v>
      </c>
      <c r="B3996" s="27">
        <v>0.43055555555555558</v>
      </c>
      <c r="C3996" s="28"/>
      <c r="D3996" s="29"/>
      <c r="E3996" s="30" t="s">
        <v>4709</v>
      </c>
      <c r="H3996" s="32">
        <v>0</v>
      </c>
      <c r="I3996" s="32" t="s">
        <v>4710</v>
      </c>
      <c r="AG3996" s="32">
        <v>0</v>
      </c>
      <c r="AH3996" s="32">
        <v>0</v>
      </c>
      <c r="AI3996" s="32">
        <v>0</v>
      </c>
      <c r="AK3996" s="32">
        <v>0</v>
      </c>
      <c r="AL3996" s="32">
        <f>55/60</f>
        <v>0.91666666666666663</v>
      </c>
      <c r="AM3996" s="32">
        <f>AL3996*(261300+974800)/18.75</f>
        <v>60431.555555555547</v>
      </c>
      <c r="AP3996" s="32">
        <f>55/60</f>
        <v>0.91666666666666663</v>
      </c>
      <c r="AQ3996" s="32" t="s">
        <v>589</v>
      </c>
      <c r="AU3996">
        <v>3995</v>
      </c>
    </row>
    <row r="3997" spans="1:47" x14ac:dyDescent="0.2">
      <c r="A3997" s="26">
        <v>6717</v>
      </c>
      <c r="B3997" s="27">
        <v>0.44791666666666669</v>
      </c>
      <c r="C3997" s="28"/>
      <c r="D3997" s="29"/>
      <c r="E3997" s="30" t="s">
        <v>4713</v>
      </c>
      <c r="H3997" s="32">
        <v>0</v>
      </c>
      <c r="I3997" s="32" t="s">
        <v>4714</v>
      </c>
      <c r="AG3997" s="32">
        <v>0</v>
      </c>
      <c r="AH3997" s="32">
        <v>0</v>
      </c>
      <c r="AI3997" s="32">
        <v>0</v>
      </c>
      <c r="AK3997" s="32">
        <v>0</v>
      </c>
      <c r="AL3997" s="32">
        <v>0.5</v>
      </c>
      <c r="AP3997" s="32">
        <v>0.5</v>
      </c>
      <c r="AQ3997" s="32" t="s">
        <v>1101</v>
      </c>
      <c r="AU3997">
        <v>3996</v>
      </c>
    </row>
    <row r="3998" spans="1:47" x14ac:dyDescent="0.2">
      <c r="A3998" s="26">
        <v>6717</v>
      </c>
      <c r="B3998" s="27">
        <v>0.45624999999999999</v>
      </c>
      <c r="C3998" s="28"/>
      <c r="D3998" s="29"/>
      <c r="E3998" s="30" t="s">
        <v>2964</v>
      </c>
      <c r="H3998" s="32">
        <v>0</v>
      </c>
      <c r="I3998" s="32" t="s">
        <v>4158</v>
      </c>
      <c r="AG3998" s="32">
        <v>0</v>
      </c>
      <c r="AH3998" s="32">
        <v>0</v>
      </c>
      <c r="AI3998" s="32">
        <v>0</v>
      </c>
      <c r="AK3998" s="32">
        <v>0</v>
      </c>
      <c r="AL3998" s="32">
        <f>5/60</f>
        <v>8.3333333333333329E-2</v>
      </c>
      <c r="AP3998" s="32">
        <f>5/60</f>
        <v>8.3333333333333329E-2</v>
      </c>
      <c r="AQ3998" s="32" t="s">
        <v>1101</v>
      </c>
      <c r="AU3998">
        <v>3997</v>
      </c>
    </row>
    <row r="3999" spans="1:47" x14ac:dyDescent="0.2">
      <c r="A3999" s="26">
        <v>6717</v>
      </c>
      <c r="B3999" s="27">
        <v>0.4861111111111111</v>
      </c>
      <c r="C3999" s="28"/>
      <c r="D3999" s="29"/>
      <c r="E3999" s="30" t="s">
        <v>3737</v>
      </c>
      <c r="H3999" s="32">
        <v>0</v>
      </c>
      <c r="I3999" s="32" t="s">
        <v>4926</v>
      </c>
      <c r="AG3999" s="32">
        <v>0</v>
      </c>
      <c r="AH3999" s="32">
        <v>0</v>
      </c>
      <c r="AI3999" s="32">
        <v>0</v>
      </c>
      <c r="AK3999" s="32">
        <v>0</v>
      </c>
      <c r="AM3999" s="74"/>
      <c r="AQ3999" s="32" t="s">
        <v>1101</v>
      </c>
      <c r="AU3999">
        <v>3998</v>
      </c>
    </row>
    <row r="4000" spans="1:47" x14ac:dyDescent="0.2">
      <c r="A4000" s="26">
        <v>6717</v>
      </c>
      <c r="B4000" s="27">
        <v>0.51944444444444449</v>
      </c>
      <c r="C4000" s="28"/>
      <c r="D4000" s="29"/>
      <c r="E4000" s="30" t="s">
        <v>869</v>
      </c>
      <c r="H4000" s="32">
        <v>0</v>
      </c>
      <c r="I4000" s="32" t="s">
        <v>5202</v>
      </c>
      <c r="AG4000" s="32">
        <v>0</v>
      </c>
      <c r="AH4000" s="32">
        <v>0</v>
      </c>
      <c r="AI4000" s="32">
        <v>0</v>
      </c>
      <c r="AK4000" s="32">
        <v>0</v>
      </c>
      <c r="AL4000" s="32">
        <v>2</v>
      </c>
      <c r="AP4000" s="32">
        <v>2</v>
      </c>
      <c r="AQ4000" s="32" t="s">
        <v>589</v>
      </c>
      <c r="AU4000">
        <v>3999</v>
      </c>
    </row>
    <row r="4001" spans="1:47" x14ac:dyDescent="0.2">
      <c r="A4001" s="26">
        <v>6717</v>
      </c>
      <c r="B4001" s="27">
        <v>0.52083333333333337</v>
      </c>
      <c r="C4001" s="28"/>
      <c r="D4001" s="29"/>
      <c r="E4001" s="182" t="s">
        <v>2087</v>
      </c>
      <c r="H4001" s="32">
        <v>0</v>
      </c>
      <c r="I4001" s="32"/>
      <c r="AG4001" s="32">
        <v>0</v>
      </c>
      <c r="AH4001" s="32">
        <v>0</v>
      </c>
      <c r="AI4001" s="32">
        <v>0</v>
      </c>
      <c r="AK4001" s="32">
        <v>0</v>
      </c>
      <c r="AL4001" s="32">
        <v>0</v>
      </c>
      <c r="AP4001" s="32">
        <v>0.25</v>
      </c>
      <c r="AQ4001" s="32" t="s">
        <v>1101</v>
      </c>
      <c r="AU4001">
        <v>4000</v>
      </c>
    </row>
    <row r="4002" spans="1:47" x14ac:dyDescent="0.2">
      <c r="A4002" s="26">
        <v>6717</v>
      </c>
      <c r="B4002" s="27">
        <v>0.85416666666666663</v>
      </c>
      <c r="C4002" s="28"/>
      <c r="D4002" s="29"/>
      <c r="E4002" s="102" t="s">
        <v>1102</v>
      </c>
      <c r="H4002" s="32">
        <v>0</v>
      </c>
      <c r="I4002" s="32" t="s">
        <v>1103</v>
      </c>
      <c r="AG4002" s="32">
        <v>0</v>
      </c>
      <c r="AH4002" s="32">
        <v>0</v>
      </c>
      <c r="AI4002" s="32">
        <v>0</v>
      </c>
      <c r="AK4002" s="32">
        <v>0</v>
      </c>
      <c r="AL4002" s="32">
        <v>0.5</v>
      </c>
      <c r="AO4002" s="73" t="s">
        <v>1006</v>
      </c>
      <c r="AP4002" s="32">
        <v>0.5</v>
      </c>
      <c r="AQ4002" s="32" t="s">
        <v>589</v>
      </c>
      <c r="AU4002">
        <v>4001</v>
      </c>
    </row>
    <row r="4003" spans="1:47" x14ac:dyDescent="0.2">
      <c r="A4003" s="26">
        <v>6717</v>
      </c>
      <c r="B4003" s="27">
        <v>0.96180555555555547</v>
      </c>
      <c r="C4003" s="28"/>
      <c r="D4003" s="29"/>
      <c r="E4003" s="30" t="s">
        <v>464</v>
      </c>
      <c r="H4003" s="32">
        <v>0</v>
      </c>
      <c r="I4003" s="32" t="s">
        <v>5203</v>
      </c>
      <c r="AG4003" s="32">
        <v>0</v>
      </c>
      <c r="AH4003" s="32">
        <v>0</v>
      </c>
      <c r="AL4003" s="32">
        <f>2+25/60</f>
        <v>2.4166666666666665</v>
      </c>
      <c r="AO4003" s="32" t="s">
        <v>4067</v>
      </c>
      <c r="AP4003" s="32">
        <f>2+25/60</f>
        <v>2.4166666666666665</v>
      </c>
      <c r="AQ4003" s="32" t="s">
        <v>1522</v>
      </c>
      <c r="AU4003">
        <v>4002</v>
      </c>
    </row>
    <row r="4004" spans="1:47" x14ac:dyDescent="0.2">
      <c r="A4004" s="26">
        <v>6717</v>
      </c>
      <c r="B4004" s="27">
        <v>0.97222222222222221</v>
      </c>
      <c r="C4004" s="28"/>
      <c r="D4004" s="29"/>
      <c r="E4004" s="30" t="s">
        <v>4219</v>
      </c>
      <c r="H4004" s="32">
        <v>1</v>
      </c>
      <c r="I4004" s="32"/>
      <c r="AL4004" s="32">
        <f>130/60</f>
        <v>2.1666666666666665</v>
      </c>
      <c r="AO4004" s="32" t="s">
        <v>858</v>
      </c>
      <c r="AP4004" s="32">
        <f>130/60</f>
        <v>2.1666666666666665</v>
      </c>
      <c r="AQ4004" s="32" t="s">
        <v>1101</v>
      </c>
      <c r="AU4004">
        <v>4003</v>
      </c>
    </row>
    <row r="4005" spans="1:47" x14ac:dyDescent="0.2">
      <c r="A4005" s="26">
        <v>6717</v>
      </c>
      <c r="B4005" s="27" t="s">
        <v>85</v>
      </c>
      <c r="C4005" s="28"/>
      <c r="D4005" s="29"/>
      <c r="E4005" s="30" t="s">
        <v>1168</v>
      </c>
      <c r="H4005" s="32">
        <v>1</v>
      </c>
      <c r="I4005" s="32" t="s">
        <v>5204</v>
      </c>
      <c r="AL4005" s="32">
        <v>2</v>
      </c>
      <c r="AQ4005" s="32" t="s">
        <v>5205</v>
      </c>
      <c r="AU4005">
        <v>4004</v>
      </c>
    </row>
    <row r="4006" spans="1:47" x14ac:dyDescent="0.2">
      <c r="A4006" s="26">
        <v>6717</v>
      </c>
      <c r="B4006" s="27" t="s">
        <v>45</v>
      </c>
      <c r="C4006" s="28"/>
      <c r="D4006" s="29"/>
      <c r="E4006" s="30" t="s">
        <v>5166</v>
      </c>
      <c r="H4006" s="32">
        <v>1</v>
      </c>
      <c r="I4006" s="32" t="s">
        <v>5206</v>
      </c>
      <c r="AI4006" s="32">
        <v>38800</v>
      </c>
      <c r="AK4006" s="32">
        <v>11</v>
      </c>
      <c r="AO4006" s="32" t="s">
        <v>5168</v>
      </c>
      <c r="AQ4006" s="32" t="s">
        <v>5207</v>
      </c>
      <c r="AU4006">
        <v>4005</v>
      </c>
    </row>
    <row r="4007" spans="1:47" x14ac:dyDescent="0.2">
      <c r="A4007" s="26">
        <v>6717</v>
      </c>
      <c r="B4007" s="27" t="s">
        <v>45</v>
      </c>
      <c r="C4007" s="28"/>
      <c r="D4007" s="29"/>
      <c r="E4007" s="30" t="s">
        <v>1531</v>
      </c>
      <c r="H4007" s="32">
        <v>0</v>
      </c>
      <c r="I4007" s="32" t="s">
        <v>1532</v>
      </c>
      <c r="AG4007" s="32">
        <v>0</v>
      </c>
      <c r="AH4007" s="32">
        <v>0</v>
      </c>
      <c r="AI4007" s="32">
        <v>0</v>
      </c>
      <c r="AK4007" s="32">
        <v>0</v>
      </c>
      <c r="AM4007" s="32">
        <f>498*32</f>
        <v>15936</v>
      </c>
      <c r="AO4007" s="32" t="s">
        <v>1533</v>
      </c>
      <c r="AQ4007" s="32" t="s">
        <v>1101</v>
      </c>
      <c r="AU4007">
        <v>4006</v>
      </c>
    </row>
    <row r="4008" spans="1:47" x14ac:dyDescent="0.2">
      <c r="A4008" s="26">
        <v>6717</v>
      </c>
      <c r="B4008" s="27" t="s">
        <v>45</v>
      </c>
      <c r="C4008" s="28"/>
      <c r="D4008" s="29"/>
      <c r="E4008" s="150" t="s">
        <v>2286</v>
      </c>
      <c r="H4008" s="32">
        <v>0</v>
      </c>
      <c r="I4008" s="32" t="s">
        <v>1824</v>
      </c>
      <c r="AG4008" s="32">
        <v>0</v>
      </c>
      <c r="AH4008" s="32">
        <v>0</v>
      </c>
      <c r="AI4008" s="32">
        <v>0</v>
      </c>
      <c r="AK4008" s="32">
        <v>0</v>
      </c>
      <c r="AM4008" s="32">
        <v>2500</v>
      </c>
      <c r="AO4008" s="73" t="s">
        <v>75</v>
      </c>
      <c r="AQ4008" s="32" t="s">
        <v>589</v>
      </c>
      <c r="AU4008">
        <v>4007</v>
      </c>
    </row>
    <row r="4009" spans="1:47" x14ac:dyDescent="0.2">
      <c r="A4009" s="26">
        <v>6717</v>
      </c>
      <c r="B4009" s="27"/>
      <c r="C4009" s="28"/>
      <c r="D4009" s="29"/>
      <c r="E4009" s="30" t="s">
        <v>1882</v>
      </c>
      <c r="H4009" s="32">
        <v>1</v>
      </c>
      <c r="I4009" s="32" t="s">
        <v>5208</v>
      </c>
      <c r="AI4009" s="32">
        <v>8970</v>
      </c>
      <c r="AO4009" s="73" t="s">
        <v>858</v>
      </c>
      <c r="AQ4009" s="32">
        <v>441</v>
      </c>
      <c r="AU4009">
        <v>4008</v>
      </c>
    </row>
    <row r="4010" spans="1:47" x14ac:dyDescent="0.2">
      <c r="A4010" s="26">
        <v>6717</v>
      </c>
      <c r="B4010" s="27"/>
      <c r="C4010" s="28"/>
      <c r="D4010" s="29"/>
      <c r="E4010" s="102" t="s">
        <v>1421</v>
      </c>
      <c r="H4010" s="32">
        <v>1</v>
      </c>
      <c r="I4010" s="32" t="s">
        <v>1422</v>
      </c>
      <c r="AK4010" s="32">
        <v>24</v>
      </c>
      <c r="AO4010" s="73"/>
      <c r="AQ4010" s="32" t="s">
        <v>589</v>
      </c>
      <c r="AU4010">
        <v>4009</v>
      </c>
    </row>
    <row r="4011" spans="1:47" x14ac:dyDescent="0.2">
      <c r="A4011" s="26">
        <v>6717</v>
      </c>
      <c r="B4011" s="27"/>
      <c r="C4011" s="28"/>
      <c r="D4011" s="29"/>
      <c r="E4011" s="30" t="s">
        <v>4469</v>
      </c>
      <c r="H4011" s="32">
        <v>0</v>
      </c>
      <c r="I4011" s="32" t="s">
        <v>5209</v>
      </c>
      <c r="AG4011" s="32">
        <v>0</v>
      </c>
      <c r="AH4011" s="32">
        <v>0</v>
      </c>
      <c r="AI4011" s="32">
        <v>0</v>
      </c>
      <c r="AK4011" s="32">
        <v>0</v>
      </c>
      <c r="AL4011" s="32">
        <f>43/60</f>
        <v>0.71666666666666667</v>
      </c>
      <c r="AO4011" s="32" t="s">
        <v>5210</v>
      </c>
      <c r="AP4011" s="32">
        <f>43/60</f>
        <v>0.71666666666666667</v>
      </c>
      <c r="AQ4011" s="32" t="s">
        <v>5211</v>
      </c>
      <c r="AU4011">
        <v>4010</v>
      </c>
    </row>
    <row r="4012" spans="1:47" x14ac:dyDescent="0.2">
      <c r="A4012" s="26">
        <v>6717</v>
      </c>
      <c r="B4012" s="27"/>
      <c r="C4012" s="28"/>
      <c r="D4012" s="29"/>
      <c r="E4012" s="30" t="s">
        <v>5102</v>
      </c>
      <c r="H4012" s="32">
        <v>0</v>
      </c>
      <c r="I4012" s="32" t="s">
        <v>5103</v>
      </c>
      <c r="AG4012" s="32">
        <v>0</v>
      </c>
      <c r="AH4012" s="32">
        <v>0</v>
      </c>
      <c r="AI4012" s="32">
        <v>0</v>
      </c>
      <c r="AK4012" s="32">
        <v>0</v>
      </c>
      <c r="AL4012" s="18">
        <v>1.5</v>
      </c>
      <c r="AM4012" s="18">
        <f>300000/11</f>
        <v>27272.727272727272</v>
      </c>
      <c r="AN4012" s="18"/>
      <c r="AO4012" s="18"/>
      <c r="AP4012" s="18">
        <v>1.5</v>
      </c>
      <c r="AQ4012" s="32" t="s">
        <v>589</v>
      </c>
      <c r="AU4012">
        <v>4011</v>
      </c>
    </row>
    <row r="4013" spans="1:47" x14ac:dyDescent="0.2">
      <c r="A4013" s="133">
        <v>6718</v>
      </c>
      <c r="B4013" s="39" t="s">
        <v>85</v>
      </c>
      <c r="C4013" s="39">
        <v>99</v>
      </c>
      <c r="D4013" s="29" t="b">
        <v>0</v>
      </c>
      <c r="E4013" s="39" t="s">
        <v>1168</v>
      </c>
      <c r="F4013" s="47" t="s">
        <v>5212</v>
      </c>
      <c r="G4013" s="47" t="s">
        <v>49</v>
      </c>
      <c r="H4013"/>
      <c r="I4013" s="47" t="b">
        <v>0</v>
      </c>
      <c r="J4013" s="47" t="b">
        <v>1</v>
      </c>
      <c r="K4013" s="47">
        <v>2464</v>
      </c>
      <c r="L4013" s="48">
        <v>12</v>
      </c>
      <c r="M4013" s="47">
        <v>0</v>
      </c>
      <c r="N4013" s="47">
        <v>1</v>
      </c>
      <c r="O4013" s="47">
        <v>0</v>
      </c>
      <c r="P4013" s="47">
        <v>0</v>
      </c>
      <c r="Q4013" s="47">
        <v>0</v>
      </c>
      <c r="R4013" s="47">
        <v>0</v>
      </c>
      <c r="S4013" s="48">
        <v>11</v>
      </c>
      <c r="T4013" s="47">
        <v>0</v>
      </c>
      <c r="U4013" s="47">
        <v>0</v>
      </c>
      <c r="V4013" s="47">
        <v>0</v>
      </c>
      <c r="W4013" s="47">
        <v>13750</v>
      </c>
      <c r="X4013" s="47">
        <v>524</v>
      </c>
      <c r="Y4013" s="47" t="s">
        <v>51</v>
      </c>
      <c r="Z4013" s="47" t="s">
        <v>5139</v>
      </c>
      <c r="AA4013" s="49"/>
      <c r="AB4013" s="49"/>
      <c r="AC4013" s="49"/>
      <c r="AD4013" s="50"/>
      <c r="AE4013" s="47" t="s">
        <v>3798</v>
      </c>
      <c r="AF4013" s="47">
        <v>70</v>
      </c>
      <c r="AG4013"/>
      <c r="AH4013"/>
      <c r="AI4013"/>
      <c r="AJ4013"/>
      <c r="AK4013"/>
      <c r="AL4013"/>
      <c r="AM4013"/>
      <c r="AN4013"/>
      <c r="AO4013"/>
      <c r="AP4013"/>
      <c r="AQ4013" t="s">
        <v>2526</v>
      </c>
      <c r="AU4013">
        <v>4012</v>
      </c>
    </row>
    <row r="4014" spans="1:47" x14ac:dyDescent="0.2">
      <c r="A4014" s="151">
        <v>6718</v>
      </c>
      <c r="B4014" s="61" t="s">
        <v>85</v>
      </c>
      <c r="C4014" s="61">
        <v>55</v>
      </c>
      <c r="D4014" s="62"/>
      <c r="E4014" s="61" t="s">
        <v>5213</v>
      </c>
      <c r="F4014" s="66"/>
      <c r="G4014" s="66"/>
      <c r="H4014" s="67"/>
      <c r="I4014" s="66" t="s">
        <v>3830</v>
      </c>
      <c r="J4014" s="47"/>
      <c r="K4014" s="47">
        <v>0</v>
      </c>
      <c r="L4014" s="48">
        <v>1</v>
      </c>
      <c r="M4014" s="47"/>
      <c r="N4014" s="47"/>
      <c r="O4014" s="47"/>
      <c r="P4014" s="47"/>
      <c r="Q4014" s="47"/>
      <c r="R4014" s="47"/>
      <c r="S4014" s="48">
        <v>0</v>
      </c>
      <c r="T4014" s="47"/>
      <c r="U4014" s="47"/>
      <c r="V4014" s="47"/>
      <c r="W4014" s="47"/>
      <c r="X4014" s="47"/>
      <c r="Y4014" s="47"/>
      <c r="Z4014" s="47" t="s">
        <v>3618</v>
      </c>
      <c r="AA4014" s="49"/>
      <c r="AB4014" s="49"/>
      <c r="AC4014" s="49"/>
      <c r="AD4014" s="50"/>
      <c r="AE4014" s="47" t="s">
        <v>3798</v>
      </c>
      <c r="AF4014" s="47"/>
      <c r="AG4014"/>
      <c r="AH4014"/>
      <c r="AI4014"/>
      <c r="AJ4014"/>
      <c r="AK4014"/>
      <c r="AL4014"/>
      <c r="AM4014"/>
      <c r="AN4014"/>
      <c r="AO4014"/>
      <c r="AP4014"/>
      <c r="AQ4014" t="s">
        <v>2526</v>
      </c>
      <c r="AU4014">
        <v>4013</v>
      </c>
    </row>
    <row r="4015" spans="1:47" x14ac:dyDescent="0.2">
      <c r="A4015" s="133">
        <v>6718</v>
      </c>
      <c r="B4015" s="39" t="s">
        <v>85</v>
      </c>
      <c r="C4015" s="39" t="s">
        <v>4849</v>
      </c>
      <c r="D4015" s="29"/>
      <c r="E4015" s="39" t="s">
        <v>5044</v>
      </c>
      <c r="F4015" s="47" t="s">
        <v>5214</v>
      </c>
      <c r="G4015" s="47" t="s">
        <v>205</v>
      </c>
      <c r="H4015"/>
      <c r="I4015" s="47"/>
      <c r="J4015" s="47"/>
      <c r="K4015" s="47"/>
      <c r="L4015" s="48"/>
      <c r="M4015" s="47"/>
      <c r="N4015" s="47"/>
      <c r="O4015" s="47"/>
      <c r="P4015" s="47"/>
      <c r="Q4015" s="47"/>
      <c r="R4015" s="47"/>
      <c r="S4015" s="48"/>
      <c r="T4015" s="47"/>
      <c r="U4015" s="47"/>
      <c r="V4015" s="47"/>
      <c r="W4015" s="47"/>
      <c r="X4015" s="47"/>
      <c r="Y4015" s="47"/>
      <c r="Z4015" s="31" t="s">
        <v>3724</v>
      </c>
      <c r="AA4015" s="49"/>
      <c r="AB4015" s="49"/>
      <c r="AC4015" s="49"/>
      <c r="AD4015" s="50"/>
      <c r="AE4015" s="47"/>
      <c r="AF4015" s="47"/>
      <c r="AG4015"/>
      <c r="AH4015"/>
      <c r="AI4015"/>
      <c r="AJ4015"/>
      <c r="AK4015"/>
      <c r="AL4015"/>
      <c r="AM4015"/>
      <c r="AN4015"/>
      <c r="AO4015"/>
      <c r="AP4015"/>
      <c r="AQ4015" t="s">
        <v>5048</v>
      </c>
      <c r="AU4015">
        <v>4014</v>
      </c>
    </row>
    <row r="4016" spans="1:47" x14ac:dyDescent="0.2">
      <c r="A4016" s="133">
        <v>6718</v>
      </c>
      <c r="B4016" s="39" t="s">
        <v>45</v>
      </c>
      <c r="C4016" s="39" t="s">
        <v>5215</v>
      </c>
      <c r="D4016" s="29"/>
      <c r="E4016" s="39" t="s">
        <v>5216</v>
      </c>
      <c r="F4016" s="47" t="s">
        <v>150</v>
      </c>
      <c r="G4016" s="47" t="s">
        <v>49</v>
      </c>
      <c r="H4016"/>
      <c r="I4016" s="47" t="s">
        <v>5217</v>
      </c>
      <c r="J4016" s="47"/>
      <c r="K4016" s="47">
        <f>5*25*2.2</f>
        <v>275</v>
      </c>
      <c r="L4016" s="48">
        <v>1</v>
      </c>
      <c r="M4016" s="47"/>
      <c r="N4016" s="47"/>
      <c r="O4016" s="47"/>
      <c r="P4016" s="47"/>
      <c r="Q4016" s="47"/>
      <c r="R4016" s="47"/>
      <c r="S4016" s="48">
        <v>1</v>
      </c>
      <c r="T4016" s="47">
        <v>0</v>
      </c>
      <c r="U4016" s="47">
        <v>0</v>
      </c>
      <c r="V4016" s="47">
        <v>0</v>
      </c>
      <c r="W4016" s="47"/>
      <c r="X4016" s="47"/>
      <c r="Y4016" s="47" t="s">
        <v>51</v>
      </c>
      <c r="Z4016" s="47" t="s">
        <v>3855</v>
      </c>
      <c r="AA4016" s="49"/>
      <c r="AB4016" s="49"/>
      <c r="AC4016" s="49"/>
      <c r="AD4016" s="50"/>
      <c r="AE4016" s="47" t="s">
        <v>5218</v>
      </c>
      <c r="AF4016" s="47">
        <v>130</v>
      </c>
      <c r="AG4016"/>
      <c r="AH4016"/>
      <c r="AI4016"/>
      <c r="AJ4016"/>
      <c r="AK4016">
        <v>5</v>
      </c>
      <c r="AL4016"/>
      <c r="AM4016"/>
      <c r="AN4016"/>
      <c r="AO4016"/>
      <c r="AP4016"/>
      <c r="AQ4016" t="s">
        <v>5219</v>
      </c>
      <c r="AU4016">
        <v>4015</v>
      </c>
    </row>
    <row r="4017" spans="1:47" x14ac:dyDescent="0.2">
      <c r="A4017" s="26">
        <v>6718</v>
      </c>
      <c r="B4017" s="27">
        <v>0</v>
      </c>
      <c r="C4017" s="28"/>
      <c r="D4017" s="29"/>
      <c r="E4017" s="30" t="s">
        <v>631</v>
      </c>
      <c r="H4017" s="32">
        <v>1</v>
      </c>
      <c r="I4017" s="32" t="s">
        <v>5220</v>
      </c>
      <c r="AG4017" s="32">
        <v>0</v>
      </c>
      <c r="AH4017" s="32">
        <v>0</v>
      </c>
      <c r="AK4017" s="32">
        <v>20</v>
      </c>
      <c r="AL4017" s="32">
        <v>0.75</v>
      </c>
      <c r="AO4017" s="32" t="s">
        <v>633</v>
      </c>
      <c r="AP4017" s="32">
        <v>0.75</v>
      </c>
      <c r="AQ4017" s="32">
        <v>464</v>
      </c>
      <c r="AU4017">
        <v>4016</v>
      </c>
    </row>
    <row r="4018" spans="1:47" x14ac:dyDescent="0.2">
      <c r="A4018" s="26">
        <v>6718</v>
      </c>
      <c r="B4018" s="27">
        <v>9.7222222222222224E-3</v>
      </c>
      <c r="C4018" s="28"/>
      <c r="D4018" s="29"/>
      <c r="E4018" s="30" t="s">
        <v>3155</v>
      </c>
      <c r="H4018" s="32">
        <v>0</v>
      </c>
      <c r="I4018" s="32" t="s">
        <v>3156</v>
      </c>
      <c r="AG4018" s="32">
        <v>0</v>
      </c>
      <c r="AH4018" s="32">
        <v>0</v>
      </c>
      <c r="AI4018" s="32">
        <v>0</v>
      </c>
      <c r="AK4018" s="32">
        <v>0</v>
      </c>
      <c r="AP4018" s="32">
        <f>61/60</f>
        <v>1.0166666666666666</v>
      </c>
      <c r="AQ4018" s="32" t="s">
        <v>1101</v>
      </c>
      <c r="AU4018">
        <v>4017</v>
      </c>
    </row>
    <row r="4019" spans="1:47" x14ac:dyDescent="0.2">
      <c r="A4019" s="26">
        <v>6718</v>
      </c>
      <c r="B4019" s="27">
        <v>0.05</v>
      </c>
      <c r="C4019" s="28"/>
      <c r="D4019" s="29"/>
      <c r="E4019" s="30" t="s">
        <v>2964</v>
      </c>
      <c r="H4019" s="32">
        <v>0</v>
      </c>
      <c r="I4019" s="32" t="s">
        <v>4158</v>
      </c>
      <c r="AG4019" s="32">
        <v>0</v>
      </c>
      <c r="AH4019" s="32">
        <v>0</v>
      </c>
      <c r="AI4019" s="32">
        <v>0</v>
      </c>
      <c r="AK4019" s="32">
        <v>0</v>
      </c>
      <c r="AL4019" s="32">
        <f>26/60</f>
        <v>0.43333333333333335</v>
      </c>
      <c r="AP4019" s="32">
        <f>26/60</f>
        <v>0.43333333333333335</v>
      </c>
      <c r="AQ4019" s="32" t="s">
        <v>1101</v>
      </c>
      <c r="AU4019">
        <v>4018</v>
      </c>
    </row>
    <row r="4020" spans="1:47" x14ac:dyDescent="0.2">
      <c r="A4020" s="26">
        <v>6718</v>
      </c>
      <c r="B4020" s="27">
        <v>0.38541666666666669</v>
      </c>
      <c r="C4020" s="28"/>
      <c r="D4020" s="29"/>
      <c r="E4020" s="30" t="s">
        <v>464</v>
      </c>
      <c r="H4020" s="32">
        <v>0</v>
      </c>
      <c r="I4020" s="32" t="s">
        <v>4231</v>
      </c>
      <c r="AG4020" s="32">
        <v>0</v>
      </c>
      <c r="AH4020" s="32">
        <v>0</v>
      </c>
      <c r="AL4020" s="32">
        <v>0.33300000000000002</v>
      </c>
      <c r="AO4020" s="32" t="s">
        <v>4067</v>
      </c>
      <c r="AP4020" s="32">
        <v>0.33300000000000002</v>
      </c>
      <c r="AQ4020" s="32" t="s">
        <v>1522</v>
      </c>
      <c r="AU4020">
        <v>4019</v>
      </c>
    </row>
    <row r="4021" spans="1:47" x14ac:dyDescent="0.2">
      <c r="A4021" s="26">
        <v>6718</v>
      </c>
      <c r="B4021" s="27">
        <v>0.97916666666666663</v>
      </c>
      <c r="C4021" s="28"/>
      <c r="D4021" s="29"/>
      <c r="E4021" s="30" t="s">
        <v>2087</v>
      </c>
      <c r="H4021" s="32">
        <v>0</v>
      </c>
      <c r="I4021" s="32"/>
      <c r="AG4021" s="32">
        <v>0</v>
      </c>
      <c r="AH4021" s="32">
        <v>0</v>
      </c>
      <c r="AI4021" s="32">
        <v>0</v>
      </c>
      <c r="AK4021" s="32">
        <v>0</v>
      </c>
      <c r="AL4021" s="32">
        <v>0</v>
      </c>
      <c r="AP4021" s="32">
        <v>0.25</v>
      </c>
      <c r="AQ4021" s="32" t="s">
        <v>1101</v>
      </c>
      <c r="AU4021">
        <v>4020</v>
      </c>
    </row>
    <row r="4022" spans="1:47" x14ac:dyDescent="0.2">
      <c r="A4022" s="26">
        <v>6718</v>
      </c>
      <c r="B4022" s="27"/>
      <c r="C4022" s="28"/>
      <c r="D4022" s="29"/>
      <c r="E4022" s="30" t="s">
        <v>1168</v>
      </c>
      <c r="H4022" s="32">
        <v>1</v>
      </c>
      <c r="I4022" s="32" t="s">
        <v>5221</v>
      </c>
      <c r="AG4022" s="32">
        <v>4</v>
      </c>
      <c r="AH4022" s="32">
        <v>15</v>
      </c>
      <c r="AK4022" s="32">
        <v>3</v>
      </c>
      <c r="AL4022" s="32">
        <v>2</v>
      </c>
      <c r="AQ4022" s="32" t="s">
        <v>5222</v>
      </c>
      <c r="AU4022">
        <v>4021</v>
      </c>
    </row>
    <row r="4023" spans="1:47" x14ac:dyDescent="0.2">
      <c r="A4023" s="26">
        <v>6718</v>
      </c>
      <c r="B4023" s="27"/>
      <c r="C4023" s="28"/>
      <c r="D4023" s="29"/>
      <c r="E4023" s="30" t="s">
        <v>5102</v>
      </c>
      <c r="H4023" s="32">
        <v>0</v>
      </c>
      <c r="I4023" s="32" t="s">
        <v>5103</v>
      </c>
      <c r="AG4023" s="32">
        <v>0</v>
      </c>
      <c r="AH4023" s="32">
        <v>0</v>
      </c>
      <c r="AI4023" s="32">
        <v>0</v>
      </c>
      <c r="AK4023" s="32">
        <v>0</v>
      </c>
      <c r="AL4023" s="18">
        <v>1.5</v>
      </c>
      <c r="AM4023" s="18">
        <f>300000/11</f>
        <v>27272.727272727272</v>
      </c>
      <c r="AN4023" s="18"/>
      <c r="AO4023" s="18"/>
      <c r="AP4023" s="18">
        <v>1.5</v>
      </c>
      <c r="AQ4023" s="32" t="s">
        <v>589</v>
      </c>
      <c r="AU4023">
        <v>4022</v>
      </c>
    </row>
    <row r="4024" spans="1:47" x14ac:dyDescent="0.2">
      <c r="A4024" s="133">
        <v>6719</v>
      </c>
      <c r="B4024" s="39" t="s">
        <v>85</v>
      </c>
      <c r="C4024" s="39">
        <v>99</v>
      </c>
      <c r="D4024" s="29" t="b">
        <v>0</v>
      </c>
      <c r="E4024" s="39" t="s">
        <v>464</v>
      </c>
      <c r="F4024" s="47" t="s">
        <v>5223</v>
      </c>
      <c r="G4024" s="47" t="s">
        <v>481</v>
      </c>
      <c r="H4024"/>
      <c r="I4024" s="47" t="b">
        <v>0</v>
      </c>
      <c r="J4024" s="47" t="b">
        <v>1</v>
      </c>
      <c r="K4024" s="47">
        <v>1792</v>
      </c>
      <c r="L4024" s="48">
        <v>12</v>
      </c>
      <c r="M4024" s="47">
        <v>3</v>
      </c>
      <c r="N4024" s="47">
        <v>1</v>
      </c>
      <c r="O4024" s="47">
        <v>0</v>
      </c>
      <c r="P4024" s="47">
        <v>0</v>
      </c>
      <c r="Q4024" s="47">
        <v>0</v>
      </c>
      <c r="R4024" s="47">
        <v>0</v>
      </c>
      <c r="S4024" s="48">
        <v>8</v>
      </c>
      <c r="T4024" s="47">
        <v>0</v>
      </c>
      <c r="U4024" s="47">
        <v>0</v>
      </c>
      <c r="V4024" s="47">
        <v>0</v>
      </c>
      <c r="W4024" s="47">
        <v>14000</v>
      </c>
      <c r="X4024" s="47">
        <v>525</v>
      </c>
      <c r="Y4024" s="47" t="s">
        <v>120</v>
      </c>
      <c r="Z4024" s="47" t="s">
        <v>5139</v>
      </c>
      <c r="AA4024" s="49"/>
      <c r="AB4024" s="49"/>
      <c r="AC4024" s="49"/>
      <c r="AD4024" s="50"/>
      <c r="AE4024" s="47" t="s">
        <v>3798</v>
      </c>
      <c r="AF4024" s="47">
        <v>85</v>
      </c>
      <c r="AG4024"/>
      <c r="AH4024"/>
      <c r="AI4024"/>
      <c r="AJ4024"/>
      <c r="AK4024"/>
      <c r="AL4024"/>
      <c r="AM4024"/>
      <c r="AN4024"/>
      <c r="AO4024"/>
      <c r="AP4024"/>
      <c r="AQ4024" t="s">
        <v>2526</v>
      </c>
      <c r="AU4024">
        <v>4023</v>
      </c>
    </row>
    <row r="4025" spans="1:47" x14ac:dyDescent="0.2">
      <c r="A4025" s="26">
        <v>6719</v>
      </c>
      <c r="B4025" s="27">
        <v>6.25E-2</v>
      </c>
      <c r="C4025" s="28"/>
      <c r="D4025" s="29"/>
      <c r="E4025" s="30" t="s">
        <v>110</v>
      </c>
      <c r="H4025" s="32">
        <v>0</v>
      </c>
      <c r="I4025" s="32" t="s">
        <v>3587</v>
      </c>
      <c r="AG4025" s="32">
        <v>0</v>
      </c>
      <c r="AH4025" s="32">
        <v>0</v>
      </c>
      <c r="AI4025" s="32">
        <v>0</v>
      </c>
      <c r="AK4025" s="32">
        <v>0</v>
      </c>
      <c r="AL4025" s="32">
        <f>95/60</f>
        <v>1.5833333333333333</v>
      </c>
      <c r="AP4025" s="32">
        <f>95/60</f>
        <v>1.5833333333333333</v>
      </c>
      <c r="AQ4025" s="32" t="s">
        <v>1101</v>
      </c>
      <c r="AU4025">
        <v>4024</v>
      </c>
    </row>
    <row r="4026" spans="1:47" x14ac:dyDescent="0.2">
      <c r="A4026" s="26">
        <v>6719</v>
      </c>
      <c r="B4026" s="27">
        <v>6.9444444444444434E-2</v>
      </c>
      <c r="C4026" s="28"/>
      <c r="D4026" s="29"/>
      <c r="E4026" s="102" t="s">
        <v>5200</v>
      </c>
      <c r="H4026" s="32">
        <v>0</v>
      </c>
      <c r="I4026" s="32" t="s">
        <v>5201</v>
      </c>
      <c r="AG4026" s="32">
        <v>0</v>
      </c>
      <c r="AH4026" s="32">
        <v>0</v>
      </c>
      <c r="AI4026" s="32">
        <v>0</v>
      </c>
      <c r="AK4026" s="32">
        <v>0</v>
      </c>
      <c r="AL4026" s="32">
        <f>35/60</f>
        <v>0.58333333333333337</v>
      </c>
      <c r="AO4026" s="73"/>
      <c r="AP4026" s="32">
        <f>35/60</f>
        <v>0.58333333333333337</v>
      </c>
      <c r="AQ4026" s="32" t="s">
        <v>589</v>
      </c>
      <c r="AU4026">
        <v>4025</v>
      </c>
    </row>
    <row r="4027" spans="1:47" x14ac:dyDescent="0.2">
      <c r="A4027" s="26">
        <v>6719</v>
      </c>
      <c r="B4027" s="27">
        <v>7.9861111111111105E-2</v>
      </c>
      <c r="C4027" s="28"/>
      <c r="D4027" s="29"/>
      <c r="E4027" s="30" t="s">
        <v>5224</v>
      </c>
      <c r="H4027" s="32">
        <v>0</v>
      </c>
      <c r="I4027" s="32" t="s">
        <v>5225</v>
      </c>
      <c r="AG4027" s="32">
        <v>0</v>
      </c>
      <c r="AH4027" s="32">
        <v>0</v>
      </c>
      <c r="AI4027" s="32">
        <v>0</v>
      </c>
      <c r="AK4027" s="32">
        <v>0</v>
      </c>
      <c r="AL4027" s="32">
        <f>108/60</f>
        <v>1.8</v>
      </c>
      <c r="AP4027" s="32">
        <f>108/60</f>
        <v>1.8</v>
      </c>
      <c r="AQ4027" s="32" t="s">
        <v>1101</v>
      </c>
      <c r="AU4027">
        <v>4026</v>
      </c>
    </row>
    <row r="4028" spans="1:47" x14ac:dyDescent="0.2">
      <c r="A4028" s="26">
        <v>6719</v>
      </c>
      <c r="B4028" s="27">
        <v>8.6805555555555566E-2</v>
      </c>
      <c r="C4028" s="28"/>
      <c r="D4028" s="29"/>
      <c r="E4028" s="30" t="s">
        <v>4709</v>
      </c>
      <c r="H4028" s="32">
        <v>0</v>
      </c>
      <c r="I4028" s="32" t="s">
        <v>4710</v>
      </c>
      <c r="AG4028" s="32">
        <v>0</v>
      </c>
      <c r="AH4028" s="32">
        <v>0</v>
      </c>
      <c r="AI4028" s="32">
        <v>0</v>
      </c>
      <c r="AK4028" s="32">
        <v>0</v>
      </c>
      <c r="AL4028" s="32">
        <v>1</v>
      </c>
      <c r="AM4028" s="32">
        <f>AL4028*(261300+974800)/18.75</f>
        <v>65925.333333333328</v>
      </c>
      <c r="AP4028" s="32">
        <v>1</v>
      </c>
      <c r="AQ4028" s="32" t="s">
        <v>589</v>
      </c>
      <c r="AU4028">
        <v>4027</v>
      </c>
    </row>
    <row r="4029" spans="1:47" x14ac:dyDescent="0.2">
      <c r="A4029" s="26">
        <v>6719</v>
      </c>
      <c r="B4029" s="27">
        <v>0.34375</v>
      </c>
      <c r="C4029" s="28"/>
      <c r="D4029" s="29"/>
      <c r="E4029" s="30" t="s">
        <v>464</v>
      </c>
      <c r="H4029" s="32">
        <v>1</v>
      </c>
      <c r="I4029" s="32" t="s">
        <v>5226</v>
      </c>
      <c r="AG4029" s="32">
        <v>2</v>
      </c>
      <c r="AH4029" s="32">
        <v>2</v>
      </c>
      <c r="AL4029" s="32">
        <f>5/6</f>
        <v>0.83333333333333337</v>
      </c>
      <c r="AO4029" s="32" t="s">
        <v>5227</v>
      </c>
      <c r="AP4029" s="32">
        <f>5/6</f>
        <v>0.83333333333333337</v>
      </c>
      <c r="AQ4029" s="32" t="s">
        <v>5228</v>
      </c>
      <c r="AU4029">
        <v>4028</v>
      </c>
    </row>
    <row r="4030" spans="1:47" x14ac:dyDescent="0.2">
      <c r="A4030" s="13">
        <v>6720</v>
      </c>
      <c r="B4030" s="57" t="s">
        <v>45</v>
      </c>
      <c r="C4030" s="57" t="s">
        <v>1992</v>
      </c>
      <c r="D4030" s="29"/>
      <c r="E4030" s="57" t="s">
        <v>1491</v>
      </c>
      <c r="F4030" s="31" t="s">
        <v>76</v>
      </c>
      <c r="G4030" s="31" t="s">
        <v>49</v>
      </c>
      <c r="K4030" s="31">
        <v>770</v>
      </c>
      <c r="Z4030" s="31" t="s">
        <v>3814</v>
      </c>
      <c r="AE4030" s="31" t="s">
        <v>4756</v>
      </c>
      <c r="AF4030" s="31">
        <v>90</v>
      </c>
      <c r="AK4030" s="32">
        <v>14</v>
      </c>
      <c r="AQ4030" s="32" t="s">
        <v>5109</v>
      </c>
      <c r="AU4030">
        <v>4029</v>
      </c>
    </row>
    <row r="4031" spans="1:47" x14ac:dyDescent="0.2">
      <c r="A4031" s="13">
        <v>6720</v>
      </c>
      <c r="B4031" s="57" t="s">
        <v>45</v>
      </c>
      <c r="C4031" s="57" t="s">
        <v>1992</v>
      </c>
      <c r="D4031" s="29"/>
      <c r="E4031" s="57" t="s">
        <v>512</v>
      </c>
      <c r="F4031" s="31" t="s">
        <v>76</v>
      </c>
      <c r="G4031" s="31" t="s">
        <v>49</v>
      </c>
      <c r="K4031" s="31">
        <v>1078</v>
      </c>
      <c r="Z4031" s="31" t="s">
        <v>3814</v>
      </c>
      <c r="AE4031" s="31" t="s">
        <v>4756</v>
      </c>
      <c r="AF4031" s="31">
        <v>150</v>
      </c>
      <c r="AK4031" s="32">
        <v>15</v>
      </c>
      <c r="AQ4031" s="32" t="s">
        <v>5109</v>
      </c>
      <c r="AU4031">
        <v>4030</v>
      </c>
    </row>
    <row r="4032" spans="1:47" x14ac:dyDescent="0.2">
      <c r="A4032" s="13">
        <v>6721</v>
      </c>
      <c r="B4032" s="57" t="s">
        <v>45</v>
      </c>
      <c r="C4032" s="57" t="s">
        <v>142</v>
      </c>
      <c r="D4032" s="29"/>
      <c r="E4032" s="57" t="s">
        <v>5229</v>
      </c>
      <c r="F4032" s="31" t="s">
        <v>5006</v>
      </c>
      <c r="G4032" s="31" t="s">
        <v>73</v>
      </c>
      <c r="K4032" s="31">
        <f>4240*2.2</f>
        <v>9328</v>
      </c>
      <c r="L4032" s="33">
        <v>23</v>
      </c>
      <c r="M4032" s="31">
        <v>7</v>
      </c>
      <c r="N4032" s="31">
        <v>1</v>
      </c>
      <c r="S4032" s="33">
        <v>15</v>
      </c>
      <c r="T4032" s="31">
        <v>0</v>
      </c>
      <c r="U4032" s="31">
        <v>0</v>
      </c>
      <c r="V4032" s="31">
        <v>0</v>
      </c>
      <c r="Y4032" s="31" t="s">
        <v>51</v>
      </c>
      <c r="Z4032" s="31" t="s">
        <v>3855</v>
      </c>
      <c r="AE4032" s="31" t="s">
        <v>4723</v>
      </c>
      <c r="AF4032" s="31">
        <v>80</v>
      </c>
      <c r="AK4032" s="32">
        <f>60+31+18+8+2</f>
        <v>119</v>
      </c>
      <c r="AQ4032" t="s">
        <v>5219</v>
      </c>
      <c r="AU4032">
        <v>4031</v>
      </c>
    </row>
    <row r="4033" spans="1:47" x14ac:dyDescent="0.2">
      <c r="A4033" s="133">
        <v>6722</v>
      </c>
      <c r="B4033" s="39" t="s">
        <v>85</v>
      </c>
      <c r="C4033" s="39">
        <v>99</v>
      </c>
      <c r="D4033" s="29" t="b">
        <v>0</v>
      </c>
      <c r="E4033" s="39" t="s">
        <v>653</v>
      </c>
      <c r="F4033" s="47" t="s">
        <v>4077</v>
      </c>
      <c r="G4033" s="47" t="s">
        <v>49</v>
      </c>
      <c r="H4033"/>
      <c r="I4033" s="47" t="b">
        <v>0</v>
      </c>
      <c r="J4033" s="47" t="b">
        <v>1</v>
      </c>
      <c r="K4033" s="47">
        <v>2128</v>
      </c>
      <c r="L4033" s="48">
        <v>12</v>
      </c>
      <c r="M4033" s="47">
        <v>0</v>
      </c>
      <c r="N4033" s="47">
        <v>2</v>
      </c>
      <c r="O4033" s="47">
        <v>0</v>
      </c>
      <c r="P4033" s="47">
        <v>0</v>
      </c>
      <c r="Q4033" s="47">
        <v>0</v>
      </c>
      <c r="R4033" s="47">
        <v>0</v>
      </c>
      <c r="S4033" s="48">
        <v>10</v>
      </c>
      <c r="T4033" s="47">
        <v>1</v>
      </c>
      <c r="U4033" s="47">
        <v>0</v>
      </c>
      <c r="V4033" s="47">
        <v>0</v>
      </c>
      <c r="W4033" s="47">
        <v>13000</v>
      </c>
      <c r="X4033" s="47">
        <v>526</v>
      </c>
      <c r="Y4033" s="47" t="s">
        <v>120</v>
      </c>
      <c r="Z4033" s="47" t="s">
        <v>5139</v>
      </c>
      <c r="AA4033" s="49"/>
      <c r="AB4033" s="49"/>
      <c r="AC4033" s="49"/>
      <c r="AD4033" s="50"/>
      <c r="AE4033" s="47" t="s">
        <v>3798</v>
      </c>
      <c r="AF4033" s="47">
        <v>65</v>
      </c>
      <c r="AG4033"/>
      <c r="AH4033"/>
      <c r="AI4033"/>
      <c r="AJ4033"/>
      <c r="AK4033"/>
      <c r="AL4033"/>
      <c r="AM4033"/>
      <c r="AN4033"/>
      <c r="AO4033"/>
      <c r="AP4033"/>
      <c r="AQ4033" t="s">
        <v>2526</v>
      </c>
      <c r="AR4033" s="32" t="s">
        <v>5230</v>
      </c>
      <c r="AU4033">
        <v>4032</v>
      </c>
    </row>
    <row r="4034" spans="1:47" x14ac:dyDescent="0.2">
      <c r="A4034" s="133">
        <v>6722</v>
      </c>
      <c r="B4034" s="39" t="s">
        <v>45</v>
      </c>
      <c r="C4034" s="39">
        <v>100</v>
      </c>
      <c r="D4034" s="29" t="b">
        <v>0</v>
      </c>
      <c r="E4034" s="39" t="s">
        <v>5231</v>
      </c>
      <c r="F4034" s="47" t="s">
        <v>5232</v>
      </c>
      <c r="G4034" s="47" t="s">
        <v>459</v>
      </c>
      <c r="H4034"/>
      <c r="I4034" s="47" t="b">
        <v>1</v>
      </c>
      <c r="J4034" s="47" t="b">
        <v>1</v>
      </c>
      <c r="K4034" s="47">
        <v>3424</v>
      </c>
      <c r="L4034" s="48">
        <v>18</v>
      </c>
      <c r="M4034" s="47">
        <v>2</v>
      </c>
      <c r="N4034" s="47">
        <v>3</v>
      </c>
      <c r="O4034" s="47">
        <v>0</v>
      </c>
      <c r="P4034" s="47">
        <v>4</v>
      </c>
      <c r="Q4034" s="47">
        <v>0</v>
      </c>
      <c r="R4034" s="47">
        <v>0</v>
      </c>
      <c r="S4034" s="48">
        <v>12</v>
      </c>
      <c r="T4034" s="47">
        <v>1</v>
      </c>
      <c r="U4034" s="47">
        <v>1</v>
      </c>
      <c r="V4034" s="47">
        <v>0</v>
      </c>
      <c r="W4034" s="47">
        <v>1500</v>
      </c>
      <c r="X4034" s="47">
        <v>527</v>
      </c>
      <c r="Y4034" s="47"/>
      <c r="Z4034" s="47" t="s">
        <v>2524</v>
      </c>
      <c r="AA4034" s="49"/>
      <c r="AB4034" s="49"/>
      <c r="AC4034" s="49"/>
      <c r="AD4034" s="50"/>
      <c r="AE4034" s="47" t="s">
        <v>1312</v>
      </c>
      <c r="AF4034" s="47">
        <v>110</v>
      </c>
      <c r="AG4034"/>
      <c r="AH4034"/>
      <c r="AI4034"/>
      <c r="AJ4034"/>
      <c r="AK4034"/>
      <c r="AL4034"/>
      <c r="AM4034"/>
      <c r="AN4034"/>
      <c r="AO4034"/>
      <c r="AP4034"/>
      <c r="AQ4034" t="s">
        <v>2526</v>
      </c>
      <c r="AU4034">
        <v>4033</v>
      </c>
    </row>
    <row r="4035" spans="1:47" x14ac:dyDescent="0.2">
      <c r="A4035" s="133">
        <v>6722</v>
      </c>
      <c r="B4035" s="39" t="s">
        <v>45</v>
      </c>
      <c r="C4035" s="39">
        <v>100</v>
      </c>
      <c r="D4035" s="29" t="b">
        <v>0</v>
      </c>
      <c r="E4035" s="39" t="s">
        <v>5181</v>
      </c>
      <c r="F4035" s="47" t="s">
        <v>5233</v>
      </c>
      <c r="G4035" s="47" t="s">
        <v>459</v>
      </c>
      <c r="H4035"/>
      <c r="I4035" s="47" t="b">
        <v>0</v>
      </c>
      <c r="J4035" s="47" t="b">
        <v>0</v>
      </c>
      <c r="K4035" s="47">
        <v>2352</v>
      </c>
      <c r="L4035" s="48">
        <v>18</v>
      </c>
      <c r="M4035" s="47">
        <v>2</v>
      </c>
      <c r="N4035" s="47">
        <v>3</v>
      </c>
      <c r="O4035" s="47">
        <v>0</v>
      </c>
      <c r="P4035" s="47">
        <v>4</v>
      </c>
      <c r="Q4035" s="47">
        <v>0</v>
      </c>
      <c r="R4035" s="47">
        <v>0</v>
      </c>
      <c r="S4035" s="48">
        <v>8</v>
      </c>
      <c r="T4035" s="47">
        <v>1</v>
      </c>
      <c r="U4035" s="47">
        <v>1</v>
      </c>
      <c r="V4035" s="47">
        <v>0</v>
      </c>
      <c r="W4035" s="47">
        <v>1500</v>
      </c>
      <c r="X4035" s="47">
        <v>528</v>
      </c>
      <c r="Y4035" s="47"/>
      <c r="Z4035" s="47" t="s">
        <v>2524</v>
      </c>
      <c r="AA4035" s="49"/>
      <c r="AB4035" s="49"/>
      <c r="AC4035" s="49"/>
      <c r="AD4035" s="50"/>
      <c r="AE4035" s="47" t="s">
        <v>1312</v>
      </c>
      <c r="AF4035" s="47">
        <v>110</v>
      </c>
      <c r="AG4035"/>
      <c r="AH4035"/>
      <c r="AI4035"/>
      <c r="AJ4035"/>
      <c r="AK4035"/>
      <c r="AL4035"/>
      <c r="AM4035"/>
      <c r="AN4035"/>
      <c r="AO4035"/>
      <c r="AP4035"/>
      <c r="AQ4035" t="s">
        <v>2526</v>
      </c>
      <c r="AU4035">
        <v>4034</v>
      </c>
    </row>
    <row r="4036" spans="1:47" x14ac:dyDescent="0.2">
      <c r="A4036" s="133">
        <v>6722</v>
      </c>
      <c r="B4036" s="39" t="s">
        <v>45</v>
      </c>
      <c r="C4036" s="39">
        <v>100</v>
      </c>
      <c r="D4036" s="29" t="b">
        <v>0</v>
      </c>
      <c r="E4036" s="39" t="s">
        <v>1168</v>
      </c>
      <c r="F4036" s="47" t="s">
        <v>5234</v>
      </c>
      <c r="G4036" s="47" t="s">
        <v>49</v>
      </c>
      <c r="H4036"/>
      <c r="I4036" s="47" t="b">
        <v>0</v>
      </c>
      <c r="J4036" s="47" t="b">
        <v>0</v>
      </c>
      <c r="K4036" s="47">
        <v>1072</v>
      </c>
      <c r="L4036" s="48">
        <v>18</v>
      </c>
      <c r="M4036" s="47">
        <v>2</v>
      </c>
      <c r="N4036" s="47">
        <v>3</v>
      </c>
      <c r="O4036" s="47">
        <v>0</v>
      </c>
      <c r="P4036" s="47">
        <v>4</v>
      </c>
      <c r="Q4036" s="47">
        <v>0</v>
      </c>
      <c r="R4036" s="47">
        <v>0</v>
      </c>
      <c r="S4036" s="48">
        <v>4</v>
      </c>
      <c r="T4036" s="47">
        <v>1</v>
      </c>
      <c r="U4036" s="47">
        <v>1</v>
      </c>
      <c r="V4036" s="47">
        <v>0</v>
      </c>
      <c r="W4036" s="47">
        <v>1500</v>
      </c>
      <c r="X4036" s="47">
        <v>529</v>
      </c>
      <c r="Y4036" s="47"/>
      <c r="Z4036" s="47" t="s">
        <v>2524</v>
      </c>
      <c r="AA4036" s="49"/>
      <c r="AB4036" s="49"/>
      <c r="AC4036" s="49"/>
      <c r="AD4036" s="50"/>
      <c r="AE4036" s="47" t="s">
        <v>1312</v>
      </c>
      <c r="AF4036" s="47">
        <v>60</v>
      </c>
      <c r="AG4036"/>
      <c r="AH4036"/>
      <c r="AI4036"/>
      <c r="AJ4036"/>
      <c r="AK4036"/>
      <c r="AL4036"/>
      <c r="AM4036"/>
      <c r="AN4036"/>
      <c r="AO4036"/>
      <c r="AP4036"/>
      <c r="AQ4036" t="s">
        <v>2526</v>
      </c>
      <c r="AU4036">
        <v>4035</v>
      </c>
    </row>
    <row r="4037" spans="1:47" x14ac:dyDescent="0.2">
      <c r="A4037" s="133">
        <v>6722</v>
      </c>
      <c r="B4037" s="39" t="s">
        <v>45</v>
      </c>
      <c r="C4037" s="39">
        <v>216</v>
      </c>
      <c r="D4037" s="29" t="b">
        <v>0</v>
      </c>
      <c r="E4037" s="39" t="s">
        <v>5235</v>
      </c>
      <c r="F4037" s="47" t="s">
        <v>5236</v>
      </c>
      <c r="G4037" s="47" t="s">
        <v>73</v>
      </c>
      <c r="H4037"/>
      <c r="I4037" s="47" t="b">
        <v>1</v>
      </c>
      <c r="J4037" s="47" t="b">
        <v>1</v>
      </c>
      <c r="K4037" s="47">
        <v>6720</v>
      </c>
      <c r="L4037" s="48">
        <v>8</v>
      </c>
      <c r="M4037" s="47">
        <v>0</v>
      </c>
      <c r="N4037" s="47">
        <v>3</v>
      </c>
      <c r="O4037" s="47">
        <v>0</v>
      </c>
      <c r="P4037" s="47">
        <v>0</v>
      </c>
      <c r="Q4037" s="47">
        <v>2</v>
      </c>
      <c r="R4037" s="47">
        <v>0</v>
      </c>
      <c r="S4037" s="48">
        <v>5</v>
      </c>
      <c r="T4037" s="47">
        <v>0</v>
      </c>
      <c r="U4037" s="47">
        <v>0</v>
      </c>
      <c r="V4037" s="47">
        <v>0</v>
      </c>
      <c r="W4037" s="47">
        <v>6560</v>
      </c>
      <c r="X4037" s="47">
        <v>530</v>
      </c>
      <c r="Y4037" s="47"/>
      <c r="Z4037" s="47" t="s">
        <v>2466</v>
      </c>
      <c r="AA4037" s="49"/>
      <c r="AB4037" s="49"/>
      <c r="AC4037" s="49"/>
      <c r="AD4037" s="50"/>
      <c r="AE4037" s="47" t="s">
        <v>1312</v>
      </c>
      <c r="AF4037" s="47">
        <v>210</v>
      </c>
      <c r="AG4037"/>
      <c r="AH4037"/>
      <c r="AI4037"/>
      <c r="AJ4037"/>
      <c r="AK4037"/>
      <c r="AL4037"/>
      <c r="AM4037"/>
      <c r="AN4037"/>
      <c r="AO4037"/>
      <c r="AP4037"/>
      <c r="AQ4037" t="s">
        <v>2526</v>
      </c>
      <c r="AU4037">
        <v>4036</v>
      </c>
    </row>
    <row r="4038" spans="1:47" x14ac:dyDescent="0.2">
      <c r="A4038" s="133">
        <v>6722</v>
      </c>
      <c r="B4038" s="39" t="s">
        <v>45</v>
      </c>
      <c r="C4038" s="39">
        <v>216</v>
      </c>
      <c r="D4038" s="29" t="b">
        <v>0</v>
      </c>
      <c r="E4038" s="39" t="s">
        <v>3909</v>
      </c>
      <c r="F4038" s="47" t="s">
        <v>626</v>
      </c>
      <c r="G4038" s="47" t="s">
        <v>274</v>
      </c>
      <c r="H4038"/>
      <c r="I4038" s="47" t="b">
        <v>0</v>
      </c>
      <c r="J4038" s="47" t="b">
        <v>0</v>
      </c>
      <c r="K4038" s="47">
        <v>2688</v>
      </c>
      <c r="L4038" s="48">
        <v>8</v>
      </c>
      <c r="M4038" s="47">
        <v>0</v>
      </c>
      <c r="N4038" s="47">
        <v>3</v>
      </c>
      <c r="O4038" s="47">
        <v>0</v>
      </c>
      <c r="P4038" s="47">
        <v>0</v>
      </c>
      <c r="Q4038" s="47">
        <v>2</v>
      </c>
      <c r="R4038" s="47">
        <v>0</v>
      </c>
      <c r="S4038" s="48">
        <v>2</v>
      </c>
      <c r="T4038" s="47">
        <v>0</v>
      </c>
      <c r="U4038" s="47">
        <v>0</v>
      </c>
      <c r="V4038" s="47">
        <v>0</v>
      </c>
      <c r="W4038" s="47">
        <v>6900</v>
      </c>
      <c r="X4038" s="47">
        <v>531</v>
      </c>
      <c r="Y4038" s="47"/>
      <c r="Z4038" s="47" t="s">
        <v>2466</v>
      </c>
      <c r="AA4038" s="49"/>
      <c r="AB4038" s="49"/>
      <c r="AC4038" s="49"/>
      <c r="AD4038" s="50"/>
      <c r="AE4038" s="47" t="s">
        <v>1312</v>
      </c>
      <c r="AF4038" s="47">
        <v>210</v>
      </c>
      <c r="AG4038"/>
      <c r="AH4038"/>
      <c r="AI4038"/>
      <c r="AJ4038"/>
      <c r="AK4038"/>
      <c r="AL4038"/>
      <c r="AM4038"/>
      <c r="AN4038"/>
      <c r="AO4038"/>
      <c r="AP4038"/>
      <c r="AQ4038" t="s">
        <v>2526</v>
      </c>
      <c r="AU4038">
        <v>4037</v>
      </c>
    </row>
    <row r="4039" spans="1:47" x14ac:dyDescent="0.2">
      <c r="A4039" s="133">
        <v>6722</v>
      </c>
      <c r="B4039" s="39" t="s">
        <v>45</v>
      </c>
      <c r="C4039" s="39">
        <v>216</v>
      </c>
      <c r="D4039" s="29" t="b">
        <v>0</v>
      </c>
      <c r="E4039" s="39" t="s">
        <v>5181</v>
      </c>
      <c r="F4039" s="47" t="s">
        <v>5237</v>
      </c>
      <c r="G4039" s="47" t="s">
        <v>459</v>
      </c>
      <c r="H4039"/>
      <c r="I4039" s="47" t="b">
        <v>0</v>
      </c>
      <c r="J4039" s="47" t="b">
        <v>0</v>
      </c>
      <c r="K4039" s="47">
        <v>1344</v>
      </c>
      <c r="L4039" s="48">
        <v>8</v>
      </c>
      <c r="M4039" s="47">
        <v>0</v>
      </c>
      <c r="N4039" s="47">
        <v>3</v>
      </c>
      <c r="O4039" s="47">
        <v>0</v>
      </c>
      <c r="P4039" s="47">
        <v>0</v>
      </c>
      <c r="Q4039" s="47">
        <v>2</v>
      </c>
      <c r="R4039" s="47">
        <v>0</v>
      </c>
      <c r="S4039" s="48">
        <v>1</v>
      </c>
      <c r="T4039" s="47">
        <v>0</v>
      </c>
      <c r="U4039" s="47">
        <v>0</v>
      </c>
      <c r="V4039" s="47">
        <v>0</v>
      </c>
      <c r="W4039" s="47">
        <v>7000</v>
      </c>
      <c r="X4039" s="47">
        <v>532</v>
      </c>
      <c r="Y4039" s="47"/>
      <c r="Z4039" s="47" t="s">
        <v>2466</v>
      </c>
      <c r="AA4039" s="49"/>
      <c r="AB4039" s="49"/>
      <c r="AC4039" s="49"/>
      <c r="AD4039" s="50"/>
      <c r="AE4039" s="47" t="s">
        <v>1312</v>
      </c>
      <c r="AF4039" s="47">
        <v>110</v>
      </c>
      <c r="AG4039"/>
      <c r="AH4039"/>
      <c r="AI4039"/>
      <c r="AJ4039"/>
      <c r="AK4039"/>
      <c r="AL4039"/>
      <c r="AM4039"/>
      <c r="AN4039"/>
      <c r="AO4039"/>
      <c r="AP4039"/>
      <c r="AQ4039" t="s">
        <v>2526</v>
      </c>
      <c r="AU4039">
        <v>4038</v>
      </c>
    </row>
    <row r="4040" spans="1:47" x14ac:dyDescent="0.2">
      <c r="A4040" s="133">
        <v>6722</v>
      </c>
      <c r="B4040" s="39" t="s">
        <v>45</v>
      </c>
      <c r="C4040" s="39">
        <v>216</v>
      </c>
      <c r="D4040" s="29" t="b">
        <v>0</v>
      </c>
      <c r="E4040" s="39" t="s">
        <v>5112</v>
      </c>
      <c r="F4040" s="47" t="s">
        <v>5238</v>
      </c>
      <c r="G4040" s="47" t="s">
        <v>49</v>
      </c>
      <c r="H4040"/>
      <c r="I4040" s="47" t="b">
        <v>0</v>
      </c>
      <c r="J4040" s="47" t="b">
        <v>0</v>
      </c>
      <c r="K4040" s="47">
        <v>1344</v>
      </c>
      <c r="L4040" s="48">
        <v>8</v>
      </c>
      <c r="M4040" s="47">
        <v>0</v>
      </c>
      <c r="N4040" s="47">
        <v>3</v>
      </c>
      <c r="O4040" s="47">
        <v>0</v>
      </c>
      <c r="P4040" s="47">
        <v>0</v>
      </c>
      <c r="Q4040" s="47">
        <v>2</v>
      </c>
      <c r="R4040" s="47">
        <v>0</v>
      </c>
      <c r="S4040" s="48">
        <v>1</v>
      </c>
      <c r="T4040" s="47">
        <v>0</v>
      </c>
      <c r="U4040" s="47">
        <v>0</v>
      </c>
      <c r="V4040" s="47">
        <v>0</v>
      </c>
      <c r="W4040" s="47">
        <v>6000</v>
      </c>
      <c r="X4040" s="47">
        <v>533</v>
      </c>
      <c r="Y4040" s="47"/>
      <c r="Z4040" s="47" t="s">
        <v>2466</v>
      </c>
      <c r="AA4040" s="49"/>
      <c r="AB4040" s="49"/>
      <c r="AC4040" s="49"/>
      <c r="AD4040" s="50"/>
      <c r="AE4040" s="47" t="s">
        <v>1312</v>
      </c>
      <c r="AF4040" s="47">
        <v>170</v>
      </c>
      <c r="AG4040"/>
      <c r="AH4040"/>
      <c r="AI4040"/>
      <c r="AJ4040"/>
      <c r="AK4040"/>
      <c r="AL4040"/>
      <c r="AM4040"/>
      <c r="AN4040"/>
      <c r="AO4040"/>
      <c r="AP4040"/>
      <c r="AQ4040" t="s">
        <v>2526</v>
      </c>
      <c r="AU4040">
        <v>4039</v>
      </c>
    </row>
    <row r="4041" spans="1:47" x14ac:dyDescent="0.2">
      <c r="A4041" s="133">
        <v>6722</v>
      </c>
      <c r="B4041" s="39" t="s">
        <v>45</v>
      </c>
      <c r="C4041" s="39">
        <v>216</v>
      </c>
      <c r="D4041" s="29" t="b">
        <v>0</v>
      </c>
      <c r="E4041" s="39" t="s">
        <v>405</v>
      </c>
      <c r="F4041" s="47" t="s">
        <v>3663</v>
      </c>
      <c r="G4041" s="47" t="s">
        <v>49</v>
      </c>
      <c r="H4041"/>
      <c r="I4041" s="47" t="b">
        <v>0</v>
      </c>
      <c r="J4041" s="47" t="b">
        <v>0</v>
      </c>
      <c r="K4041" s="47">
        <v>1344</v>
      </c>
      <c r="L4041" s="48">
        <v>8</v>
      </c>
      <c r="M4041" s="47">
        <v>0</v>
      </c>
      <c r="N4041" s="47">
        <v>3</v>
      </c>
      <c r="O4041" s="47">
        <v>0</v>
      </c>
      <c r="P4041" s="47">
        <v>0</v>
      </c>
      <c r="Q4041" s="47">
        <v>2</v>
      </c>
      <c r="R4041" s="47">
        <v>0</v>
      </c>
      <c r="S4041" s="48">
        <v>1</v>
      </c>
      <c r="T4041" s="47">
        <v>0</v>
      </c>
      <c r="U4041" s="47">
        <v>0</v>
      </c>
      <c r="V4041" s="47">
        <v>0</v>
      </c>
      <c r="W4041" s="47">
        <v>6000</v>
      </c>
      <c r="X4041" s="47">
        <v>534</v>
      </c>
      <c r="Y4041" s="47"/>
      <c r="Z4041" s="47" t="s">
        <v>2466</v>
      </c>
      <c r="AA4041" s="49"/>
      <c r="AB4041" s="49"/>
      <c r="AC4041" s="49"/>
      <c r="AD4041" s="50"/>
      <c r="AE4041" s="47" t="s">
        <v>1312</v>
      </c>
      <c r="AF4041" s="47">
        <v>60</v>
      </c>
      <c r="AG4041"/>
      <c r="AH4041"/>
      <c r="AI4041"/>
      <c r="AJ4041"/>
      <c r="AK4041"/>
      <c r="AL4041"/>
      <c r="AM4041"/>
      <c r="AN4041"/>
      <c r="AO4041"/>
      <c r="AP4041"/>
      <c r="AQ4041" t="s">
        <v>2526</v>
      </c>
      <c r="AU4041">
        <v>4040</v>
      </c>
    </row>
    <row r="4042" spans="1:47" x14ac:dyDescent="0.2">
      <c r="A4042" s="133">
        <v>6722</v>
      </c>
      <c r="B4042" s="39" t="s">
        <v>45</v>
      </c>
      <c r="C4042" s="39" t="s">
        <v>142</v>
      </c>
      <c r="D4042" s="29"/>
      <c r="E4042" s="39" t="s">
        <v>5239</v>
      </c>
      <c r="F4042" s="47" t="s">
        <v>5240</v>
      </c>
      <c r="G4042" s="47" t="s">
        <v>69</v>
      </c>
      <c r="H4042"/>
      <c r="I4042" s="47" t="s">
        <v>5241</v>
      </c>
      <c r="J4042" s="47"/>
      <c r="K4042" s="47">
        <f>11405*2.2</f>
        <v>25091.000000000004</v>
      </c>
      <c r="L4042" s="48">
        <f>40+9+3*2</f>
        <v>55</v>
      </c>
      <c r="M4042" s="47"/>
      <c r="N4042" s="47">
        <v>2</v>
      </c>
      <c r="O4042" s="47"/>
      <c r="P4042" s="47"/>
      <c r="Q4042" s="47"/>
      <c r="R4042" s="47"/>
      <c r="S4042" s="48">
        <v>53</v>
      </c>
      <c r="T4042" s="47">
        <v>0</v>
      </c>
      <c r="U4042" s="47">
        <v>0</v>
      </c>
      <c r="V4042" s="47">
        <v>1</v>
      </c>
      <c r="W4042" s="47"/>
      <c r="X4042" s="47"/>
      <c r="Y4042" s="47" t="s">
        <v>51</v>
      </c>
      <c r="Z4042" s="31" t="s">
        <v>3855</v>
      </c>
      <c r="AA4042" s="49"/>
      <c r="AB4042" s="49"/>
      <c r="AC4042" s="49"/>
      <c r="AD4042" s="50"/>
      <c r="AE4042" s="31" t="s">
        <v>4723</v>
      </c>
      <c r="AF4042" s="47"/>
      <c r="AG4042"/>
      <c r="AH4042"/>
      <c r="AI4042"/>
      <c r="AJ4042"/>
      <c r="AK4042">
        <f>211+78+57+8+8</f>
        <v>362</v>
      </c>
      <c r="AL4042"/>
      <c r="AM4042"/>
      <c r="AN4042"/>
      <c r="AO4042"/>
      <c r="AP4042"/>
      <c r="AQ4042" t="s">
        <v>5242</v>
      </c>
      <c r="AU4042">
        <v>4041</v>
      </c>
    </row>
    <row r="4043" spans="1:47" x14ac:dyDescent="0.2">
      <c r="A4043" s="133">
        <v>6722</v>
      </c>
      <c r="B4043" s="39" t="s">
        <v>45</v>
      </c>
      <c r="C4043" s="57" t="s">
        <v>4456</v>
      </c>
      <c r="D4043" s="29"/>
      <c r="E4043" s="39" t="s">
        <v>5243</v>
      </c>
      <c r="F4043" s="47" t="s">
        <v>5154</v>
      </c>
      <c r="G4043" s="47" t="s">
        <v>49</v>
      </c>
      <c r="H4043"/>
      <c r="I4043" s="47" t="s">
        <v>5244</v>
      </c>
      <c r="J4043" s="47"/>
      <c r="K4043" s="118">
        <f>5*8*50*2.2</f>
        <v>4400</v>
      </c>
      <c r="L4043" s="48">
        <v>5</v>
      </c>
      <c r="M4043" s="47"/>
      <c r="N4043" s="47"/>
      <c r="O4043" s="47"/>
      <c r="P4043" s="47"/>
      <c r="Q4043" s="47"/>
      <c r="R4043" s="47"/>
      <c r="S4043" s="48">
        <v>5</v>
      </c>
      <c r="T4043" s="47">
        <v>0</v>
      </c>
      <c r="U4043" s="47">
        <v>0</v>
      </c>
      <c r="V4043" s="47">
        <v>0</v>
      </c>
      <c r="W4043" s="47">
        <f>((1800+1400+1500+2000+2200)/5)*39.37/12</f>
        <v>5839.8833333333323</v>
      </c>
      <c r="X4043" s="47"/>
      <c r="Y4043" s="31" t="s">
        <v>51</v>
      </c>
      <c r="Z4043" s="31" t="s">
        <v>1846</v>
      </c>
      <c r="AA4043" s="49">
        <v>0.98611111111111116</v>
      </c>
      <c r="AB4043" s="49">
        <v>0.1388888888888889</v>
      </c>
      <c r="AC4043" s="49">
        <v>6.25E-2</v>
      </c>
      <c r="AD4043" s="50">
        <f>1+55/60</f>
        <v>1.9166666666666665</v>
      </c>
      <c r="AE4043" s="31" t="s">
        <v>4756</v>
      </c>
      <c r="AF4043" s="47"/>
      <c r="AG4043"/>
      <c r="AH4043"/>
      <c r="AI4043"/>
      <c r="AJ4043"/>
      <c r="AK4043" s="136">
        <f>5*8</f>
        <v>40</v>
      </c>
      <c r="AL4043"/>
      <c r="AM4043"/>
      <c r="AN4043"/>
      <c r="AO4043"/>
      <c r="AP4043"/>
      <c r="AQ4043" t="s">
        <v>5245</v>
      </c>
      <c r="AU4043">
        <v>4042</v>
      </c>
    </row>
    <row r="4044" spans="1:47" x14ac:dyDescent="0.2">
      <c r="A4044" s="133">
        <v>6722</v>
      </c>
      <c r="B4044" s="39" t="s">
        <v>45</v>
      </c>
      <c r="C4044" s="57" t="s">
        <v>4456</v>
      </c>
      <c r="D4044" s="29"/>
      <c r="E4044" s="39" t="s">
        <v>3895</v>
      </c>
      <c r="F4044" s="47" t="s">
        <v>5154</v>
      </c>
      <c r="G4044" s="47" t="s">
        <v>49</v>
      </c>
      <c r="H4044"/>
      <c r="I4044" s="47" t="s">
        <v>5246</v>
      </c>
      <c r="J4044" s="47"/>
      <c r="K4044" s="118">
        <f>8*50*2.2</f>
        <v>880.00000000000011</v>
      </c>
      <c r="L4044" s="48">
        <v>1</v>
      </c>
      <c r="M4044" s="47"/>
      <c r="N4044" s="47"/>
      <c r="O4044" s="47"/>
      <c r="P4044" s="47"/>
      <c r="Q4044" s="47"/>
      <c r="R4044" s="47"/>
      <c r="S4044" s="48">
        <v>1</v>
      </c>
      <c r="T4044" s="47">
        <v>0</v>
      </c>
      <c r="U4044" s="47">
        <v>0</v>
      </c>
      <c r="V4044" s="47">
        <v>0</v>
      </c>
      <c r="W4044" s="47">
        <f>2200*39.37/12</f>
        <v>7217.833333333333</v>
      </c>
      <c r="X4044" s="47"/>
      <c r="Y4044" s="31" t="s">
        <v>51</v>
      </c>
      <c r="Z4044" s="31" t="s">
        <v>1846</v>
      </c>
      <c r="AA4044" s="49">
        <v>9.0277777777777776E-2</v>
      </c>
      <c r="AB4044" s="49">
        <v>0.14583333333333334</v>
      </c>
      <c r="AC4044" s="49">
        <f>AVERAGE(AA4044:AB4044)</f>
        <v>0.11805555555555555</v>
      </c>
      <c r="AD4044" s="50">
        <v>1.33</v>
      </c>
      <c r="AE4044" s="31" t="s">
        <v>4756</v>
      </c>
      <c r="AF4044" s="47">
        <v>60</v>
      </c>
      <c r="AG4044"/>
      <c r="AH4044"/>
      <c r="AI4044"/>
      <c r="AJ4044"/>
      <c r="AK4044" s="136">
        <v>8</v>
      </c>
      <c r="AL4044"/>
      <c r="AM4044"/>
      <c r="AN4044"/>
      <c r="AO4044"/>
      <c r="AP4044"/>
      <c r="AQ4044" t="s">
        <v>5245</v>
      </c>
      <c r="AU4044">
        <v>4043</v>
      </c>
    </row>
    <row r="4045" spans="1:47" x14ac:dyDescent="0.2">
      <c r="A4045" s="133">
        <v>6722</v>
      </c>
      <c r="B4045" s="39" t="s">
        <v>45</v>
      </c>
      <c r="C4045" s="57" t="s">
        <v>4456</v>
      </c>
      <c r="D4045" s="29"/>
      <c r="E4045" s="39" t="s">
        <v>4182</v>
      </c>
      <c r="F4045" s="47" t="s">
        <v>5154</v>
      </c>
      <c r="G4045" s="47" t="s">
        <v>49</v>
      </c>
      <c r="H4045"/>
      <c r="I4045" s="47" t="s">
        <v>5247</v>
      </c>
      <c r="J4045" s="47"/>
      <c r="K4045" s="118">
        <f>8*50*2.2</f>
        <v>880.00000000000011</v>
      </c>
      <c r="L4045" s="48">
        <v>1</v>
      </c>
      <c r="M4045" s="47"/>
      <c r="N4045" s="47"/>
      <c r="O4045" s="47"/>
      <c r="P4045" s="47"/>
      <c r="Q4045" s="47"/>
      <c r="R4045" s="47"/>
      <c r="S4045" s="48">
        <v>1</v>
      </c>
      <c r="T4045" s="47">
        <v>0</v>
      </c>
      <c r="U4045" s="47">
        <v>0</v>
      </c>
      <c r="V4045" s="47">
        <v>0</v>
      </c>
      <c r="W4045" s="47">
        <f>AVERAGE(900,1700)*39.37/12</f>
        <v>4265.083333333333</v>
      </c>
      <c r="X4045" s="47"/>
      <c r="Y4045" s="31" t="s">
        <v>51</v>
      </c>
      <c r="Z4045" s="31" t="s">
        <v>1846</v>
      </c>
      <c r="AA4045" s="49">
        <v>0.99305555555555547</v>
      </c>
      <c r="AB4045" s="49">
        <v>0.1111111111111111</v>
      </c>
      <c r="AC4045" s="49">
        <v>5.2083333333333336E-2</v>
      </c>
      <c r="AD4045" s="50">
        <f>2+5/6</f>
        <v>2.8333333333333335</v>
      </c>
      <c r="AE4045" s="31" t="s">
        <v>4756</v>
      </c>
      <c r="AF4045" s="47">
        <v>95</v>
      </c>
      <c r="AG4045"/>
      <c r="AH4045"/>
      <c r="AI4045"/>
      <c r="AJ4045"/>
      <c r="AK4045" s="136">
        <v>8</v>
      </c>
      <c r="AL4045"/>
      <c r="AM4045"/>
      <c r="AN4045"/>
      <c r="AO4045"/>
      <c r="AP4045"/>
      <c r="AQ4045" t="s">
        <v>5245</v>
      </c>
      <c r="AU4045">
        <v>4044</v>
      </c>
    </row>
    <row r="4046" spans="1:47" x14ac:dyDescent="0.2">
      <c r="A4046" s="13">
        <v>6722</v>
      </c>
      <c r="B4046" s="57" t="s">
        <v>45</v>
      </c>
      <c r="C4046" s="57" t="s">
        <v>5030</v>
      </c>
      <c r="D4046" s="29"/>
      <c r="E4046" s="57" t="s">
        <v>3820</v>
      </c>
      <c r="F4046" s="31" t="s">
        <v>76</v>
      </c>
      <c r="G4046" s="31" t="s">
        <v>49</v>
      </c>
      <c r="K4046" s="31">
        <v>330</v>
      </c>
      <c r="S4046" s="33">
        <v>1</v>
      </c>
      <c r="Z4046" s="31" t="s">
        <v>3855</v>
      </c>
      <c r="AE4046" s="31" t="s">
        <v>5248</v>
      </c>
      <c r="AF4046" s="31">
        <v>115</v>
      </c>
      <c r="AK4046" s="32">
        <v>6</v>
      </c>
      <c r="AQ4046" s="32" t="s">
        <v>5029</v>
      </c>
      <c r="AU4046">
        <v>4045</v>
      </c>
    </row>
    <row r="4047" spans="1:47" x14ac:dyDescent="0.2">
      <c r="A4047" s="13">
        <v>6722</v>
      </c>
      <c r="B4047" s="57" t="s">
        <v>45</v>
      </c>
      <c r="C4047" s="57" t="s">
        <v>5032</v>
      </c>
      <c r="D4047" s="29"/>
      <c r="E4047" s="57" t="s">
        <v>3820</v>
      </c>
      <c r="F4047" s="31" t="s">
        <v>76</v>
      </c>
      <c r="G4047" s="31" t="s">
        <v>49</v>
      </c>
      <c r="K4047" s="31">
        <v>440</v>
      </c>
      <c r="S4047" s="33">
        <v>1</v>
      </c>
      <c r="Z4047" s="31" t="s">
        <v>3814</v>
      </c>
      <c r="AE4047" s="31" t="s">
        <v>5034</v>
      </c>
      <c r="AF4047" s="31">
        <v>80</v>
      </c>
      <c r="AK4047" s="32">
        <v>8</v>
      </c>
      <c r="AQ4047" s="32" t="s">
        <v>5029</v>
      </c>
      <c r="AU4047">
        <v>4046</v>
      </c>
    </row>
    <row r="4048" spans="1:47" x14ac:dyDescent="0.2">
      <c r="A4048" s="26">
        <v>6722</v>
      </c>
      <c r="B4048" s="27">
        <v>5.5555555555555558E-3</v>
      </c>
      <c r="C4048" s="28"/>
      <c r="D4048" s="29"/>
      <c r="E4048" s="30" t="s">
        <v>4219</v>
      </c>
      <c r="H4048" s="32">
        <v>1</v>
      </c>
      <c r="I4048" s="32" t="s">
        <v>5249</v>
      </c>
      <c r="AL4048" s="32">
        <v>1.5</v>
      </c>
      <c r="AO4048" s="32" t="s">
        <v>858</v>
      </c>
      <c r="AP4048" s="32">
        <v>1.5</v>
      </c>
      <c r="AQ4048" s="32" t="s">
        <v>1101</v>
      </c>
      <c r="AU4048">
        <v>4047</v>
      </c>
    </row>
    <row r="4049" spans="1:47" x14ac:dyDescent="0.2">
      <c r="A4049" s="26">
        <v>6722</v>
      </c>
      <c r="B4049" s="27">
        <v>0.43402777777777773</v>
      </c>
      <c r="C4049" s="28"/>
      <c r="D4049" s="29"/>
      <c r="E4049" s="30" t="s">
        <v>464</v>
      </c>
      <c r="H4049" s="32">
        <v>0</v>
      </c>
      <c r="I4049" s="32" t="s">
        <v>4561</v>
      </c>
      <c r="AG4049" s="32">
        <v>0</v>
      </c>
      <c r="AH4049" s="32">
        <v>0</v>
      </c>
      <c r="AL4049" s="32">
        <f>35/60</f>
        <v>0.58333333333333337</v>
      </c>
      <c r="AO4049" s="32" t="s">
        <v>1898</v>
      </c>
      <c r="AP4049" s="32">
        <f>35/60</f>
        <v>0.58333333333333337</v>
      </c>
      <c r="AQ4049" s="32" t="s">
        <v>1522</v>
      </c>
      <c r="AU4049">
        <v>4048</v>
      </c>
    </row>
    <row r="4050" spans="1:47" x14ac:dyDescent="0.2">
      <c r="A4050" s="26">
        <v>6722</v>
      </c>
      <c r="B4050" s="27">
        <v>0.44930555555555557</v>
      </c>
      <c r="C4050" s="28"/>
      <c r="D4050" s="29"/>
      <c r="E4050" s="30" t="s">
        <v>2964</v>
      </c>
      <c r="H4050" s="32">
        <v>0</v>
      </c>
      <c r="I4050" s="32" t="s">
        <v>4158</v>
      </c>
      <c r="AG4050" s="32">
        <v>0</v>
      </c>
      <c r="AH4050" s="32">
        <v>0</v>
      </c>
      <c r="AI4050" s="32">
        <v>0</v>
      </c>
      <c r="AK4050" s="32">
        <v>0</v>
      </c>
      <c r="AL4050" s="32">
        <f>73/60</f>
        <v>1.2166666666666666</v>
      </c>
      <c r="AP4050" s="32">
        <f>73/60</f>
        <v>1.2166666666666666</v>
      </c>
      <c r="AQ4050" s="32" t="s">
        <v>1101</v>
      </c>
      <c r="AU4050">
        <v>4049</v>
      </c>
    </row>
    <row r="4051" spans="1:47" x14ac:dyDescent="0.2">
      <c r="A4051" s="26">
        <v>6722</v>
      </c>
      <c r="B4051" s="27">
        <v>0.97569444444444453</v>
      </c>
      <c r="C4051" s="28"/>
      <c r="D4051" s="29"/>
      <c r="E4051" s="30" t="s">
        <v>1282</v>
      </c>
      <c r="H4051" s="32">
        <v>0</v>
      </c>
      <c r="I4051" s="32" t="s">
        <v>5250</v>
      </c>
      <c r="AG4051" s="32">
        <v>0</v>
      </c>
      <c r="AH4051" s="32">
        <v>0</v>
      </c>
      <c r="AI4051" s="32">
        <v>0</v>
      </c>
      <c r="AK4051" s="32">
        <v>0</v>
      </c>
      <c r="AL4051" s="32">
        <v>2.5</v>
      </c>
      <c r="AP4051" s="32">
        <v>2.5</v>
      </c>
      <c r="AQ4051" s="32" t="s">
        <v>1101</v>
      </c>
      <c r="AU4051">
        <v>4050</v>
      </c>
    </row>
    <row r="4052" spans="1:47" x14ac:dyDescent="0.2">
      <c r="A4052" s="26">
        <v>6722</v>
      </c>
      <c r="B4052" s="27"/>
      <c r="C4052" s="28"/>
      <c r="D4052" s="29"/>
      <c r="E4052" s="30" t="s">
        <v>653</v>
      </c>
      <c r="H4052" s="32">
        <v>1</v>
      </c>
      <c r="I4052" s="32"/>
      <c r="AK4052" s="32">
        <v>8</v>
      </c>
      <c r="AO4052" s="32" t="s">
        <v>655</v>
      </c>
      <c r="AQ4052" s="32">
        <v>447</v>
      </c>
      <c r="AU4052">
        <v>4051</v>
      </c>
    </row>
    <row r="4053" spans="1:47" x14ac:dyDescent="0.2">
      <c r="A4053" s="133">
        <v>6723</v>
      </c>
      <c r="B4053" s="39" t="s">
        <v>85</v>
      </c>
      <c r="C4053" s="39">
        <v>99</v>
      </c>
      <c r="D4053" s="29" t="b">
        <v>0</v>
      </c>
      <c r="E4053" s="39" t="s">
        <v>653</v>
      </c>
      <c r="F4053" s="47" t="s">
        <v>5238</v>
      </c>
      <c r="G4053" s="47" t="s">
        <v>49</v>
      </c>
      <c r="H4053"/>
      <c r="I4053" s="47" t="b">
        <v>0</v>
      </c>
      <c r="J4053" s="47" t="b">
        <v>1</v>
      </c>
      <c r="K4053" s="47">
        <v>2240</v>
      </c>
      <c r="L4053" s="48">
        <v>12</v>
      </c>
      <c r="M4053" s="47">
        <v>0</v>
      </c>
      <c r="N4053" s="47">
        <v>2</v>
      </c>
      <c r="O4053" s="47">
        <v>0</v>
      </c>
      <c r="P4053" s="47">
        <v>0</v>
      </c>
      <c r="Q4053" s="47">
        <v>0</v>
      </c>
      <c r="R4053" s="47">
        <v>0</v>
      </c>
      <c r="S4053" s="48">
        <v>10</v>
      </c>
      <c r="T4053" s="47">
        <v>0</v>
      </c>
      <c r="U4053" s="47">
        <v>0</v>
      </c>
      <c r="V4053" s="47">
        <v>0</v>
      </c>
      <c r="W4053" s="47">
        <v>13500</v>
      </c>
      <c r="X4053" s="47">
        <v>535</v>
      </c>
      <c r="Y4053" s="47" t="s">
        <v>120</v>
      </c>
      <c r="Z4053" s="47" t="s">
        <v>5139</v>
      </c>
      <c r="AA4053" s="49"/>
      <c r="AB4053" s="49"/>
      <c r="AC4053" s="49"/>
      <c r="AD4053" s="50"/>
      <c r="AE4053" s="47" t="s">
        <v>3798</v>
      </c>
      <c r="AF4053" s="47">
        <v>65</v>
      </c>
      <c r="AG4053"/>
      <c r="AH4053"/>
      <c r="AI4053"/>
      <c r="AJ4053"/>
      <c r="AK4053"/>
      <c r="AL4053"/>
      <c r="AM4053"/>
      <c r="AN4053"/>
      <c r="AO4053"/>
      <c r="AP4053"/>
      <c r="AQ4053" t="s">
        <v>2526</v>
      </c>
      <c r="AR4053" s="32" t="s">
        <v>5230</v>
      </c>
      <c r="AU4053">
        <v>4052</v>
      </c>
    </row>
    <row r="4054" spans="1:47" x14ac:dyDescent="0.2">
      <c r="A4054" s="133">
        <v>6723</v>
      </c>
      <c r="B4054" s="39" t="s">
        <v>45</v>
      </c>
      <c r="C4054" s="39">
        <v>100</v>
      </c>
      <c r="D4054" s="29" t="b">
        <v>0</v>
      </c>
      <c r="E4054" s="39" t="s">
        <v>1048</v>
      </c>
      <c r="F4054" s="47" t="s">
        <v>76</v>
      </c>
      <c r="G4054" s="47" t="s">
        <v>49</v>
      </c>
      <c r="H4054"/>
      <c r="I4054" s="47" t="b">
        <v>0</v>
      </c>
      <c r="J4054" s="47" t="b">
        <v>1</v>
      </c>
      <c r="K4054" s="47">
        <v>864</v>
      </c>
      <c r="L4054" s="48">
        <v>5</v>
      </c>
      <c r="M4054" s="47">
        <v>0</v>
      </c>
      <c r="N4054" s="47">
        <v>1</v>
      </c>
      <c r="O4054" s="47">
        <v>0</v>
      </c>
      <c r="P4054" s="47">
        <v>0</v>
      </c>
      <c r="Q4054" s="47">
        <v>0</v>
      </c>
      <c r="R4054" s="47">
        <v>0</v>
      </c>
      <c r="S4054" s="48">
        <v>3</v>
      </c>
      <c r="T4054" s="47">
        <v>1</v>
      </c>
      <c r="U4054" s="47">
        <v>0</v>
      </c>
      <c r="V4054" s="47">
        <v>0</v>
      </c>
      <c r="W4054" s="47">
        <v>2000</v>
      </c>
      <c r="X4054" s="47">
        <v>536</v>
      </c>
      <c r="Y4054" s="47"/>
      <c r="Z4054" s="47" t="s">
        <v>2524</v>
      </c>
      <c r="AA4054" s="49"/>
      <c r="AB4054" s="49"/>
      <c r="AC4054" s="49"/>
      <c r="AD4054" s="50"/>
      <c r="AE4054" s="47" t="s">
        <v>1312</v>
      </c>
      <c r="AF4054" s="47">
        <v>60</v>
      </c>
      <c r="AG4054"/>
      <c r="AH4054"/>
      <c r="AI4054"/>
      <c r="AJ4054"/>
      <c r="AK4054"/>
      <c r="AL4054"/>
      <c r="AM4054"/>
      <c r="AN4054"/>
      <c r="AO4054"/>
      <c r="AP4054"/>
      <c r="AQ4054" t="s">
        <v>2526</v>
      </c>
      <c r="AU4054">
        <v>4053</v>
      </c>
    </row>
    <row r="4055" spans="1:47" x14ac:dyDescent="0.2">
      <c r="A4055" s="13">
        <v>6723</v>
      </c>
      <c r="B4055" s="57" t="s">
        <v>45</v>
      </c>
      <c r="C4055" s="57" t="s">
        <v>5030</v>
      </c>
      <c r="D4055" s="29"/>
      <c r="E4055" s="57" t="s">
        <v>977</v>
      </c>
      <c r="F4055" s="31" t="s">
        <v>76</v>
      </c>
      <c r="G4055" s="31" t="s">
        <v>49</v>
      </c>
      <c r="K4055" s="31">
        <v>660</v>
      </c>
      <c r="S4055" s="33">
        <v>3</v>
      </c>
      <c r="Z4055" s="31" t="s">
        <v>3855</v>
      </c>
      <c r="AE4055" s="31" t="s">
        <v>5248</v>
      </c>
      <c r="AF4055" s="31">
        <v>70</v>
      </c>
      <c r="AK4055" s="32">
        <v>12</v>
      </c>
      <c r="AQ4055" s="32" t="s">
        <v>5029</v>
      </c>
      <c r="AU4055">
        <v>4054</v>
      </c>
    </row>
    <row r="4056" spans="1:47" x14ac:dyDescent="0.2">
      <c r="A4056" s="13">
        <v>6723</v>
      </c>
      <c r="B4056" s="57" t="s">
        <v>45</v>
      </c>
      <c r="C4056" s="57" t="s">
        <v>4456</v>
      </c>
      <c r="D4056" s="29"/>
      <c r="E4056" s="57" t="s">
        <v>4910</v>
      </c>
      <c r="F4056" s="31" t="s">
        <v>76</v>
      </c>
      <c r="G4056" s="31" t="s">
        <v>49</v>
      </c>
      <c r="I4056" s="31" t="s">
        <v>5251</v>
      </c>
      <c r="K4056" s="118">
        <f>5*8*50*2.2</f>
        <v>4400</v>
      </c>
      <c r="L4056" s="48">
        <v>5</v>
      </c>
      <c r="S4056" s="48">
        <v>5</v>
      </c>
      <c r="T4056" s="47">
        <v>0</v>
      </c>
      <c r="U4056" s="47">
        <v>0</v>
      </c>
      <c r="V4056" s="47">
        <v>0</v>
      </c>
      <c r="W4056" s="47">
        <f>((2000+700+1800+1400)/4)*39.37/12</f>
        <v>4839.2291666666661</v>
      </c>
      <c r="X4056" s="47"/>
      <c r="Y4056" s="31" t="s">
        <v>51</v>
      </c>
      <c r="Z4056" s="31" t="s">
        <v>1846</v>
      </c>
      <c r="AA4056" s="49">
        <v>0.91319444444444453</v>
      </c>
      <c r="AB4056" s="49">
        <v>2.7777777777777776E-2</v>
      </c>
      <c r="AC4056" s="49">
        <v>0.99097222222222225</v>
      </c>
      <c r="AD4056" s="50">
        <f>2+1/6</f>
        <v>2.1666666666666665</v>
      </c>
      <c r="AE4056" s="31" t="s">
        <v>4756</v>
      </c>
      <c r="AF4056" s="47">
        <v>75</v>
      </c>
      <c r="AG4056"/>
      <c r="AH4056"/>
      <c r="AI4056"/>
      <c r="AJ4056"/>
      <c r="AK4056" s="136">
        <f>5*8</f>
        <v>40</v>
      </c>
      <c r="AL4056"/>
      <c r="AM4056"/>
      <c r="AN4056"/>
      <c r="AO4056"/>
      <c r="AP4056"/>
      <c r="AQ4056" t="s">
        <v>5252</v>
      </c>
      <c r="AU4056">
        <v>4055</v>
      </c>
    </row>
    <row r="4057" spans="1:47" x14ac:dyDescent="0.2">
      <c r="A4057" s="13">
        <v>6723</v>
      </c>
      <c r="B4057" s="57" t="s">
        <v>45</v>
      </c>
      <c r="C4057" s="57" t="s">
        <v>4456</v>
      </c>
      <c r="D4057" s="29"/>
      <c r="E4057" s="57" t="s">
        <v>5253</v>
      </c>
      <c r="F4057" s="31" t="s">
        <v>76</v>
      </c>
      <c r="G4057" s="31" t="s">
        <v>49</v>
      </c>
      <c r="I4057" s="31" t="s">
        <v>5254</v>
      </c>
      <c r="K4057" s="118">
        <f>4*8*50*2.2</f>
        <v>3520.0000000000005</v>
      </c>
      <c r="L4057" s="48">
        <v>4</v>
      </c>
      <c r="S4057" s="48">
        <v>4</v>
      </c>
      <c r="T4057" s="47">
        <v>0</v>
      </c>
      <c r="U4057" s="47">
        <v>0</v>
      </c>
      <c r="V4057" s="47">
        <v>0</v>
      </c>
      <c r="W4057" s="47">
        <f>((1800+1400+1800+1200)/4)*39.37/12</f>
        <v>5085.2916666666661</v>
      </c>
      <c r="X4057" s="47"/>
      <c r="Y4057" s="31" t="s">
        <v>51</v>
      </c>
      <c r="Z4057" s="31" t="s">
        <v>1846</v>
      </c>
      <c r="AA4057" s="49">
        <v>0.99305555555555547</v>
      </c>
      <c r="AB4057" s="49">
        <v>0.15625</v>
      </c>
      <c r="AC4057" s="49">
        <v>7.4305555555555555E-2</v>
      </c>
      <c r="AD4057" s="50">
        <f>1+25/60</f>
        <v>1.4166666666666667</v>
      </c>
      <c r="AE4057" s="31" t="s">
        <v>4756</v>
      </c>
      <c r="AF4057" s="47">
        <v>50</v>
      </c>
      <c r="AG4057"/>
      <c r="AH4057"/>
      <c r="AI4057"/>
      <c r="AJ4057"/>
      <c r="AK4057" s="136">
        <f>4*8</f>
        <v>32</v>
      </c>
      <c r="AL4057"/>
      <c r="AM4057"/>
      <c r="AN4057"/>
      <c r="AO4057"/>
      <c r="AP4057"/>
      <c r="AQ4057" t="s">
        <v>5252</v>
      </c>
      <c r="AU4057">
        <v>4056</v>
      </c>
    </row>
    <row r="4058" spans="1:47" x14ac:dyDescent="0.2">
      <c r="A4058" s="13">
        <v>6723</v>
      </c>
      <c r="B4058" s="57" t="s">
        <v>45</v>
      </c>
      <c r="C4058" s="57" t="s">
        <v>4456</v>
      </c>
      <c r="D4058" s="29"/>
      <c r="E4058" s="57" t="s">
        <v>1397</v>
      </c>
      <c r="F4058" s="31" t="s">
        <v>76</v>
      </c>
      <c r="G4058" s="31" t="s">
        <v>49</v>
      </c>
      <c r="I4058" s="31" t="s">
        <v>5255</v>
      </c>
      <c r="K4058" s="118">
        <f>8*50*2.2</f>
        <v>880.00000000000011</v>
      </c>
      <c r="L4058" s="48">
        <v>1</v>
      </c>
      <c r="S4058" s="48">
        <v>1</v>
      </c>
      <c r="T4058" s="47">
        <v>0</v>
      </c>
      <c r="U4058" s="47">
        <v>0</v>
      </c>
      <c r="V4058" s="47">
        <v>0</v>
      </c>
      <c r="W4058" s="47">
        <f>1600*39.37/12</f>
        <v>5249.333333333333</v>
      </c>
      <c r="X4058" s="47"/>
      <c r="Y4058" s="31" t="s">
        <v>51</v>
      </c>
      <c r="Z4058" s="31" t="s">
        <v>1846</v>
      </c>
      <c r="AA4058" s="49">
        <v>0.99305555555555547</v>
      </c>
      <c r="AB4058" s="49">
        <v>0.1076388888888889</v>
      </c>
      <c r="AC4058" s="49">
        <v>4.9999999999999996E-2</v>
      </c>
      <c r="AD4058" s="50">
        <f>2+25/60</f>
        <v>2.4166666666666665</v>
      </c>
      <c r="AE4058" s="31" t="s">
        <v>4756</v>
      </c>
      <c r="AF4058" s="47">
        <v>80</v>
      </c>
      <c r="AG4058"/>
      <c r="AH4058"/>
      <c r="AI4058"/>
      <c r="AJ4058"/>
      <c r="AK4058" s="136">
        <v>8</v>
      </c>
      <c r="AL4058"/>
      <c r="AM4058"/>
      <c r="AN4058"/>
      <c r="AO4058"/>
      <c r="AP4058"/>
      <c r="AQ4058" t="s">
        <v>5252</v>
      </c>
      <c r="AU4058">
        <v>4057</v>
      </c>
    </row>
    <row r="4059" spans="1:47" x14ac:dyDescent="0.2">
      <c r="A4059" s="26">
        <v>6723</v>
      </c>
      <c r="B4059" s="27">
        <v>3.8194444444444441E-2</v>
      </c>
      <c r="C4059" s="28"/>
      <c r="D4059" s="29"/>
      <c r="E4059" s="30" t="s">
        <v>631</v>
      </c>
      <c r="H4059" s="32">
        <v>1</v>
      </c>
      <c r="I4059" s="32" t="s">
        <v>5256</v>
      </c>
      <c r="AG4059" s="32">
        <v>0</v>
      </c>
      <c r="AH4059" s="32">
        <v>0</v>
      </c>
      <c r="AK4059" s="32">
        <v>6</v>
      </c>
      <c r="AL4059" s="32">
        <f>65/60</f>
        <v>1.0833333333333333</v>
      </c>
      <c r="AO4059" s="32" t="s">
        <v>633</v>
      </c>
      <c r="AP4059" s="32">
        <f>65/60</f>
        <v>1.0833333333333333</v>
      </c>
      <c r="AQ4059" s="32">
        <v>464</v>
      </c>
      <c r="AU4059">
        <v>4058</v>
      </c>
    </row>
    <row r="4060" spans="1:47" x14ac:dyDescent="0.2">
      <c r="A4060" s="26">
        <v>6723</v>
      </c>
      <c r="B4060" s="27">
        <v>4.1666666666666664E-2</v>
      </c>
      <c r="C4060" s="28"/>
      <c r="D4060" s="29"/>
      <c r="E4060" s="30" t="s">
        <v>3155</v>
      </c>
      <c r="H4060" s="32">
        <v>0</v>
      </c>
      <c r="I4060" s="32" t="s">
        <v>3156</v>
      </c>
      <c r="AG4060" s="32">
        <v>0</v>
      </c>
      <c r="AH4060" s="32">
        <v>0</v>
      </c>
      <c r="AI4060" s="32">
        <v>0</v>
      </c>
      <c r="AK4060" s="32">
        <v>0</v>
      </c>
      <c r="AP4060" s="32">
        <f>115/60</f>
        <v>1.9166666666666667</v>
      </c>
      <c r="AQ4060" s="32" t="s">
        <v>1101</v>
      </c>
      <c r="AU4060">
        <v>4059</v>
      </c>
    </row>
    <row r="4061" spans="1:47" x14ac:dyDescent="0.2">
      <c r="A4061" s="26">
        <v>6723</v>
      </c>
      <c r="B4061" s="27">
        <v>7.2916666666666671E-2</v>
      </c>
      <c r="C4061" s="28"/>
      <c r="D4061" s="29"/>
      <c r="E4061" s="30" t="s">
        <v>464</v>
      </c>
      <c r="H4061" s="32">
        <v>0</v>
      </c>
      <c r="I4061" s="32" t="s">
        <v>5257</v>
      </c>
      <c r="AG4061" s="32">
        <v>0</v>
      </c>
      <c r="AH4061" s="32">
        <v>0</v>
      </c>
      <c r="AL4061" s="32">
        <f>3/60</f>
        <v>0.05</v>
      </c>
      <c r="AO4061" s="32" t="s">
        <v>4067</v>
      </c>
      <c r="AP4061" s="32">
        <f>3/60</f>
        <v>0.05</v>
      </c>
      <c r="AQ4061" s="32" t="s">
        <v>1522</v>
      </c>
      <c r="AU4061">
        <v>4060</v>
      </c>
    </row>
    <row r="4062" spans="1:47" x14ac:dyDescent="0.2">
      <c r="A4062" s="26">
        <v>6723</v>
      </c>
      <c r="B4062" s="27">
        <v>0.39583333333333331</v>
      </c>
      <c r="C4062" s="28"/>
      <c r="D4062" s="29"/>
      <c r="E4062" s="30" t="s">
        <v>653</v>
      </c>
      <c r="H4062" s="32">
        <v>1</v>
      </c>
      <c r="I4062" s="32"/>
      <c r="AK4062" s="32">
        <v>23</v>
      </c>
      <c r="AO4062" s="32" t="s">
        <v>655</v>
      </c>
      <c r="AQ4062" s="32">
        <v>447</v>
      </c>
      <c r="AU4062">
        <v>4061</v>
      </c>
    </row>
    <row r="4063" spans="1:47" x14ac:dyDescent="0.2">
      <c r="A4063" s="26">
        <v>6723</v>
      </c>
      <c r="B4063" s="27">
        <v>0.46527777777777773</v>
      </c>
      <c r="C4063" s="28"/>
      <c r="D4063" s="29"/>
      <c r="E4063" s="102" t="s">
        <v>5200</v>
      </c>
      <c r="H4063" s="32">
        <v>0</v>
      </c>
      <c r="I4063" s="32" t="s">
        <v>5201</v>
      </c>
      <c r="AG4063" s="32">
        <v>0</v>
      </c>
      <c r="AH4063" s="32">
        <v>0</v>
      </c>
      <c r="AI4063" s="32">
        <v>0</v>
      </c>
      <c r="AK4063" s="32">
        <v>0</v>
      </c>
      <c r="AL4063" s="32">
        <f>5/6</f>
        <v>0.83333333333333337</v>
      </c>
      <c r="AO4063" s="73"/>
      <c r="AP4063" s="32">
        <f>5/6</f>
        <v>0.83333333333333337</v>
      </c>
      <c r="AQ4063" s="32" t="s">
        <v>589</v>
      </c>
      <c r="AU4063">
        <v>4062</v>
      </c>
    </row>
    <row r="4064" spans="1:47" x14ac:dyDescent="0.2">
      <c r="A4064" s="26">
        <v>6723</v>
      </c>
      <c r="B4064" s="27">
        <v>0.50902777777777775</v>
      </c>
      <c r="C4064" s="28"/>
      <c r="D4064" s="29"/>
      <c r="E4064" s="30" t="s">
        <v>3737</v>
      </c>
      <c r="H4064" s="32">
        <v>0</v>
      </c>
      <c r="I4064" s="32" t="s">
        <v>4926</v>
      </c>
      <c r="AG4064" s="32">
        <v>0</v>
      </c>
      <c r="AH4064" s="32">
        <v>0</v>
      </c>
      <c r="AI4064" s="32">
        <v>0</v>
      </c>
      <c r="AK4064" s="32">
        <v>0</v>
      </c>
      <c r="AM4064" s="74"/>
      <c r="AQ4064" s="32" t="s">
        <v>1101</v>
      </c>
      <c r="AU4064">
        <v>4063</v>
      </c>
    </row>
    <row r="4065" spans="1:47" x14ac:dyDescent="0.2">
      <c r="A4065" s="133">
        <v>6724</v>
      </c>
      <c r="B4065" s="39" t="s">
        <v>85</v>
      </c>
      <c r="C4065" s="39">
        <v>55</v>
      </c>
      <c r="D4065" s="29" t="b">
        <v>0</v>
      </c>
      <c r="E4065" s="39" t="s">
        <v>1764</v>
      </c>
      <c r="F4065" s="47" t="s">
        <v>2398</v>
      </c>
      <c r="G4065" s="47" t="s">
        <v>49</v>
      </c>
      <c r="H4065"/>
      <c r="I4065" s="47" t="b">
        <v>0</v>
      </c>
      <c r="J4065" s="47" t="b">
        <v>1</v>
      </c>
      <c r="K4065" s="47">
        <v>2464</v>
      </c>
      <c r="L4065" s="48">
        <v>12</v>
      </c>
      <c r="M4065" s="47">
        <v>0</v>
      </c>
      <c r="N4065" s="47">
        <v>1</v>
      </c>
      <c r="O4065" s="47">
        <v>0</v>
      </c>
      <c r="P4065" s="47">
        <v>11</v>
      </c>
      <c r="Q4065" s="47">
        <v>0</v>
      </c>
      <c r="R4065" s="47">
        <v>0</v>
      </c>
      <c r="S4065" s="48">
        <v>11</v>
      </c>
      <c r="T4065" s="47">
        <v>0</v>
      </c>
      <c r="U4065" s="47">
        <v>0</v>
      </c>
      <c r="V4065" s="47">
        <v>0</v>
      </c>
      <c r="W4065" s="47">
        <v>14750</v>
      </c>
      <c r="X4065" s="47">
        <v>537</v>
      </c>
      <c r="Y4065" s="47"/>
      <c r="Z4065" s="47" t="s">
        <v>3618</v>
      </c>
      <c r="AA4065" s="49"/>
      <c r="AB4065" s="49"/>
      <c r="AC4065" s="49"/>
      <c r="AD4065" s="50"/>
      <c r="AE4065" s="47" t="s">
        <v>3798</v>
      </c>
      <c r="AF4065" s="47">
        <v>95</v>
      </c>
      <c r="AG4065"/>
      <c r="AH4065"/>
      <c r="AI4065"/>
      <c r="AJ4065"/>
      <c r="AK4065"/>
      <c r="AL4065"/>
      <c r="AM4065"/>
      <c r="AN4065"/>
      <c r="AO4065"/>
      <c r="AP4065"/>
      <c r="AQ4065" t="s">
        <v>2526</v>
      </c>
      <c r="AU4065">
        <v>4064</v>
      </c>
    </row>
    <row r="4066" spans="1:47" x14ac:dyDescent="0.2">
      <c r="A4066" s="133">
        <v>6724</v>
      </c>
      <c r="B4066" s="39" t="s">
        <v>85</v>
      </c>
      <c r="C4066" s="39">
        <v>99</v>
      </c>
      <c r="D4066" s="29" t="b">
        <v>0</v>
      </c>
      <c r="E4066" s="39" t="s">
        <v>1168</v>
      </c>
      <c r="F4066" s="47" t="s">
        <v>5176</v>
      </c>
      <c r="G4066" s="47" t="s">
        <v>49</v>
      </c>
      <c r="H4066"/>
      <c r="I4066" s="47" t="b">
        <v>0</v>
      </c>
      <c r="J4066" s="47" t="b">
        <v>1</v>
      </c>
      <c r="K4066" s="47">
        <v>1344</v>
      </c>
      <c r="L4066" s="48">
        <v>12</v>
      </c>
      <c r="M4066" s="47">
        <v>0</v>
      </c>
      <c r="N4066" s="47">
        <v>6</v>
      </c>
      <c r="O4066" s="47">
        <v>0</v>
      </c>
      <c r="P4066" s="47">
        <v>0</v>
      </c>
      <c r="Q4066" s="47">
        <v>0</v>
      </c>
      <c r="R4066" s="47">
        <v>0</v>
      </c>
      <c r="S4066" s="48">
        <v>6</v>
      </c>
      <c r="T4066" s="47">
        <v>0</v>
      </c>
      <c r="U4066" s="47">
        <v>0</v>
      </c>
      <c r="V4066" s="47">
        <v>0</v>
      </c>
      <c r="W4066" s="47">
        <v>13500</v>
      </c>
      <c r="X4066" s="47">
        <v>538</v>
      </c>
      <c r="Y4066" s="47" t="s">
        <v>51</v>
      </c>
      <c r="Z4066" s="47" t="s">
        <v>5139</v>
      </c>
      <c r="AA4066" s="49"/>
      <c r="AB4066" s="49"/>
      <c r="AC4066" s="49"/>
      <c r="AD4066" s="50"/>
      <c r="AE4066" s="47" t="s">
        <v>3798</v>
      </c>
      <c r="AF4066" s="47">
        <v>70</v>
      </c>
      <c r="AG4066"/>
      <c r="AH4066"/>
      <c r="AI4066"/>
      <c r="AJ4066"/>
      <c r="AK4066"/>
      <c r="AL4066"/>
      <c r="AM4066"/>
      <c r="AN4066"/>
      <c r="AO4066"/>
      <c r="AP4066"/>
      <c r="AQ4066" t="s">
        <v>2526</v>
      </c>
      <c r="AU4066">
        <v>4065</v>
      </c>
    </row>
    <row r="4067" spans="1:47" x14ac:dyDescent="0.2">
      <c r="A4067" s="13">
        <v>6724</v>
      </c>
      <c r="B4067" s="57" t="s">
        <v>45</v>
      </c>
      <c r="C4067" s="57" t="s">
        <v>4456</v>
      </c>
      <c r="D4067" s="29"/>
      <c r="E4067" s="39" t="s">
        <v>5258</v>
      </c>
      <c r="F4067" s="47" t="s">
        <v>5259</v>
      </c>
      <c r="G4067" s="47" t="s">
        <v>69</v>
      </c>
      <c r="H4067"/>
      <c r="I4067" s="47" t="s">
        <v>5260</v>
      </c>
      <c r="J4067" s="47"/>
      <c r="K4067" s="118">
        <f>5*8*50*2.2</f>
        <v>4400</v>
      </c>
      <c r="L4067" s="48">
        <v>5</v>
      </c>
      <c r="S4067" s="48">
        <v>5</v>
      </c>
      <c r="T4067" s="47">
        <v>0</v>
      </c>
      <c r="U4067" s="47">
        <v>0</v>
      </c>
      <c r="V4067" s="47">
        <v>0</v>
      </c>
      <c r="W4067" s="47">
        <f>((1500+1400+1400+1200+700)/5)*39.37/12</f>
        <v>4068.2333333333331</v>
      </c>
      <c r="X4067" s="47"/>
      <c r="Y4067" s="31" t="s">
        <v>51</v>
      </c>
      <c r="Z4067" s="31" t="s">
        <v>1846</v>
      </c>
      <c r="AA4067" s="49">
        <v>0.90625</v>
      </c>
      <c r="AB4067" s="49">
        <v>0.11805555555555557</v>
      </c>
      <c r="AC4067" s="49">
        <f>AVERAGE(AA4067:AB4067)</f>
        <v>0.51215277777777779</v>
      </c>
      <c r="AD4067" s="50">
        <v>1.5</v>
      </c>
      <c r="AE4067" s="31" t="s">
        <v>4756</v>
      </c>
      <c r="AF4067" s="47">
        <v>50</v>
      </c>
      <c r="AG4067"/>
      <c r="AH4067"/>
      <c r="AI4067"/>
      <c r="AJ4067"/>
      <c r="AK4067" s="136">
        <f>5*8</f>
        <v>40</v>
      </c>
      <c r="AL4067"/>
      <c r="AM4067"/>
      <c r="AN4067"/>
      <c r="AO4067"/>
      <c r="AP4067"/>
      <c r="AQ4067" t="s">
        <v>5261</v>
      </c>
      <c r="AU4067">
        <v>4066</v>
      </c>
    </row>
    <row r="4068" spans="1:47" x14ac:dyDescent="0.2">
      <c r="A4068" s="13">
        <v>6724</v>
      </c>
      <c r="B4068" s="57" t="s">
        <v>45</v>
      </c>
      <c r="C4068" s="57" t="s">
        <v>4456</v>
      </c>
      <c r="D4068" s="29"/>
      <c r="E4068" s="39" t="s">
        <v>5262</v>
      </c>
      <c r="F4068" s="47" t="s">
        <v>220</v>
      </c>
      <c r="G4068" s="47" t="s">
        <v>49</v>
      </c>
      <c r="H4068"/>
      <c r="I4068" s="47" t="s">
        <v>5263</v>
      </c>
      <c r="J4068" s="47"/>
      <c r="K4068" s="118">
        <f>2*8*50*2.2</f>
        <v>1760.0000000000002</v>
      </c>
      <c r="L4068" s="48">
        <v>2</v>
      </c>
      <c r="S4068" s="48">
        <v>2</v>
      </c>
      <c r="T4068" s="47">
        <v>0</v>
      </c>
      <c r="U4068" s="47">
        <v>0</v>
      </c>
      <c r="V4068" s="47">
        <v>0</v>
      </c>
      <c r="W4068" s="47">
        <f>((1800+1500)/2)*39.37/12</f>
        <v>5413.3749999999991</v>
      </c>
      <c r="X4068" s="47"/>
      <c r="Y4068" s="31" t="s">
        <v>51</v>
      </c>
      <c r="Z4068" s="31" t="s">
        <v>1846</v>
      </c>
      <c r="AA4068" s="49">
        <v>0.89930555555555547</v>
      </c>
      <c r="AB4068" s="49">
        <v>0.97222222222222221</v>
      </c>
      <c r="AC4068" s="49">
        <f>AVERAGE(AA4068:AB4068)</f>
        <v>0.93576388888888884</v>
      </c>
      <c r="AD4068" s="50">
        <f>1+35/60</f>
        <v>1.5833333333333335</v>
      </c>
      <c r="AE4068" s="31" t="s">
        <v>4756</v>
      </c>
      <c r="AF4068" s="47">
        <v>75</v>
      </c>
      <c r="AG4068"/>
      <c r="AH4068"/>
      <c r="AI4068"/>
      <c r="AJ4068"/>
      <c r="AK4068" s="136">
        <f>2*8</f>
        <v>16</v>
      </c>
      <c r="AL4068"/>
      <c r="AM4068"/>
      <c r="AN4068"/>
      <c r="AO4068"/>
      <c r="AP4068"/>
      <c r="AQ4068" t="s">
        <v>5261</v>
      </c>
      <c r="AU4068">
        <v>4067</v>
      </c>
    </row>
    <row r="4069" spans="1:47" x14ac:dyDescent="0.2">
      <c r="A4069" s="13">
        <v>6724</v>
      </c>
      <c r="B4069" s="57" t="s">
        <v>45</v>
      </c>
      <c r="C4069" s="57" t="s">
        <v>4456</v>
      </c>
      <c r="D4069" s="29"/>
      <c r="E4069" s="39" t="s">
        <v>5264</v>
      </c>
      <c r="F4069" s="47" t="s">
        <v>4647</v>
      </c>
      <c r="G4069" s="47" t="s">
        <v>69</v>
      </c>
      <c r="H4069"/>
      <c r="I4069" s="47" t="s">
        <v>5265</v>
      </c>
      <c r="J4069" s="47"/>
      <c r="K4069" s="118">
        <f>2*8*50*2.2</f>
        <v>1760.0000000000002</v>
      </c>
      <c r="L4069" s="48">
        <v>2</v>
      </c>
      <c r="M4069" s="47"/>
      <c r="N4069" s="47"/>
      <c r="O4069" s="47"/>
      <c r="P4069" s="47"/>
      <c r="Q4069" s="47"/>
      <c r="R4069" s="47"/>
      <c r="S4069" s="48">
        <v>2</v>
      </c>
      <c r="T4069" s="47">
        <v>0</v>
      </c>
      <c r="U4069" s="47">
        <v>0</v>
      </c>
      <c r="V4069" s="47">
        <v>0</v>
      </c>
      <c r="W4069" s="47">
        <f>((1700+1700)/2)*39.37/12</f>
        <v>5577.416666666667</v>
      </c>
      <c r="X4069" s="47"/>
      <c r="Y4069" s="31" t="s">
        <v>51</v>
      </c>
      <c r="Z4069" s="31" t="s">
        <v>1846</v>
      </c>
      <c r="AA4069" s="49">
        <v>0.99305555555555547</v>
      </c>
      <c r="AB4069" s="49">
        <v>0.10069444444444443</v>
      </c>
      <c r="AC4069" s="49">
        <v>4.6527777777777779E-2</v>
      </c>
      <c r="AD4069" s="50">
        <f>1+1/6</f>
        <v>1.1666666666666667</v>
      </c>
      <c r="AE4069" s="31" t="s">
        <v>4756</v>
      </c>
      <c r="AF4069" s="47">
        <v>50</v>
      </c>
      <c r="AG4069"/>
      <c r="AH4069"/>
      <c r="AI4069"/>
      <c r="AJ4069"/>
      <c r="AK4069" s="136">
        <f>2*8</f>
        <v>16</v>
      </c>
      <c r="AL4069"/>
      <c r="AM4069"/>
      <c r="AN4069"/>
      <c r="AO4069"/>
      <c r="AP4069"/>
      <c r="AQ4069" t="s">
        <v>5261</v>
      </c>
      <c r="AU4069">
        <v>4068</v>
      </c>
    </row>
    <row r="4070" spans="1:47" x14ac:dyDescent="0.2">
      <c r="A4070" s="13">
        <v>6724</v>
      </c>
      <c r="B4070" s="57" t="s">
        <v>45</v>
      </c>
      <c r="C4070" s="57" t="s">
        <v>4456</v>
      </c>
      <c r="D4070" s="29"/>
      <c r="E4070" s="39" t="s">
        <v>1078</v>
      </c>
      <c r="F4070" s="47" t="s">
        <v>220</v>
      </c>
      <c r="G4070" s="47" t="s">
        <v>49</v>
      </c>
      <c r="H4070"/>
      <c r="I4070" s="47" t="s">
        <v>5266</v>
      </c>
      <c r="J4070" s="47"/>
      <c r="K4070" s="118">
        <f>8*50*2.2</f>
        <v>880.00000000000011</v>
      </c>
      <c r="L4070" s="48">
        <v>1</v>
      </c>
      <c r="M4070" s="47"/>
      <c r="N4070" s="47"/>
      <c r="O4070" s="47"/>
      <c r="P4070" s="47"/>
      <c r="Q4070" s="47"/>
      <c r="R4070" s="47"/>
      <c r="S4070" s="48">
        <v>1</v>
      </c>
      <c r="T4070" s="47">
        <v>0</v>
      </c>
      <c r="U4070" s="47">
        <v>0</v>
      </c>
      <c r="V4070" s="47">
        <v>0</v>
      </c>
      <c r="W4070" s="47">
        <f>1800*39.37/12</f>
        <v>5905.5</v>
      </c>
      <c r="X4070" s="47"/>
      <c r="Y4070" s="31" t="s">
        <v>51</v>
      </c>
      <c r="Z4070" s="31" t="s">
        <v>1846</v>
      </c>
      <c r="AA4070" s="49">
        <v>0.90277777777777779</v>
      </c>
      <c r="AB4070" s="49">
        <v>0.97569444444444453</v>
      </c>
      <c r="AC4070" s="49">
        <f>AVERAGE(AA4070:AB4070)</f>
        <v>0.93923611111111116</v>
      </c>
      <c r="AD4070" s="50">
        <v>1.75</v>
      </c>
      <c r="AE4070" s="31" t="s">
        <v>4756</v>
      </c>
      <c r="AF4070" s="47">
        <v>60</v>
      </c>
      <c r="AG4070"/>
      <c r="AH4070"/>
      <c r="AI4070"/>
      <c r="AJ4070"/>
      <c r="AK4070" s="136">
        <v>8</v>
      </c>
      <c r="AL4070"/>
      <c r="AM4070"/>
      <c r="AN4070"/>
      <c r="AO4070"/>
      <c r="AP4070"/>
      <c r="AQ4070" t="s">
        <v>5261</v>
      </c>
      <c r="AU4070">
        <v>4069</v>
      </c>
    </row>
    <row r="4071" spans="1:47" x14ac:dyDescent="0.2">
      <c r="A4071" s="13">
        <v>6724</v>
      </c>
      <c r="B4071" s="57" t="s">
        <v>45</v>
      </c>
      <c r="C4071" s="57" t="s">
        <v>4456</v>
      </c>
      <c r="D4071" s="29"/>
      <c r="E4071" s="39" t="s">
        <v>5267</v>
      </c>
      <c r="F4071" s="47" t="s">
        <v>340</v>
      </c>
      <c r="G4071" s="47" t="s">
        <v>49</v>
      </c>
      <c r="H4071"/>
      <c r="I4071" s="47" t="s">
        <v>5268</v>
      </c>
      <c r="J4071" s="47"/>
      <c r="K4071" s="118">
        <f>8*50*2.2</f>
        <v>880.00000000000011</v>
      </c>
      <c r="L4071" s="48">
        <v>1</v>
      </c>
      <c r="M4071" s="47"/>
      <c r="N4071" s="47"/>
      <c r="O4071" s="47"/>
      <c r="P4071" s="47"/>
      <c r="Q4071" s="47"/>
      <c r="R4071" s="47"/>
      <c r="S4071" s="48">
        <v>1</v>
      </c>
      <c r="T4071" s="47">
        <v>0</v>
      </c>
      <c r="U4071" s="47">
        <v>0</v>
      </c>
      <c r="V4071" s="47">
        <v>0</v>
      </c>
      <c r="W4071" s="47">
        <f>2000*39.37/12</f>
        <v>6561.666666666667</v>
      </c>
      <c r="X4071" s="47"/>
      <c r="Y4071" s="31" t="s">
        <v>51</v>
      </c>
      <c r="Z4071" s="31" t="s">
        <v>1846</v>
      </c>
      <c r="AA4071" s="49">
        <v>0.92013888888888884</v>
      </c>
      <c r="AB4071" s="49">
        <v>0.99652777777777779</v>
      </c>
      <c r="AC4071" s="49">
        <f>AVERAGE(AA4071:AB4071)</f>
        <v>0.95833333333333326</v>
      </c>
      <c r="AD4071" s="50">
        <f>1+5/6</f>
        <v>1.8333333333333335</v>
      </c>
      <c r="AE4071" s="31" t="s">
        <v>4756</v>
      </c>
      <c r="AF4071" s="47">
        <v>75</v>
      </c>
      <c r="AG4071"/>
      <c r="AH4071"/>
      <c r="AI4071"/>
      <c r="AJ4071"/>
      <c r="AK4071" s="136">
        <v>8</v>
      </c>
      <c r="AL4071"/>
      <c r="AM4071"/>
      <c r="AN4071"/>
      <c r="AO4071"/>
      <c r="AP4071"/>
      <c r="AQ4071" t="s">
        <v>5261</v>
      </c>
      <c r="AU4071">
        <v>4070</v>
      </c>
    </row>
    <row r="4072" spans="1:47" x14ac:dyDescent="0.2">
      <c r="A4072" s="13">
        <v>6724</v>
      </c>
      <c r="B4072" s="57" t="s">
        <v>45</v>
      </c>
      <c r="C4072" s="57" t="s">
        <v>4456</v>
      </c>
      <c r="D4072" s="29"/>
      <c r="E4072" s="39" t="s">
        <v>5269</v>
      </c>
      <c r="F4072" s="47" t="s">
        <v>2548</v>
      </c>
      <c r="G4072" s="47" t="s">
        <v>49</v>
      </c>
      <c r="H4072"/>
      <c r="I4072" s="47" t="s">
        <v>5270</v>
      </c>
      <c r="J4072" s="47"/>
      <c r="K4072" s="118">
        <f>8*50*2.2</f>
        <v>880.00000000000011</v>
      </c>
      <c r="L4072" s="48">
        <v>1</v>
      </c>
      <c r="M4072" s="47"/>
      <c r="N4072" s="47"/>
      <c r="O4072" s="47"/>
      <c r="P4072" s="47"/>
      <c r="Q4072" s="47"/>
      <c r="R4072" s="47"/>
      <c r="S4072" s="48">
        <v>1</v>
      </c>
      <c r="T4072" s="47">
        <v>0</v>
      </c>
      <c r="U4072" s="47">
        <v>0</v>
      </c>
      <c r="V4072" s="47">
        <v>0</v>
      </c>
      <c r="W4072" s="47">
        <f>1400*39.37/12</f>
        <v>4593.166666666667</v>
      </c>
      <c r="X4072" s="47"/>
      <c r="Y4072" s="31" t="s">
        <v>51</v>
      </c>
      <c r="Z4072" s="31" t="s">
        <v>1846</v>
      </c>
      <c r="AA4072" s="49">
        <v>7.2916666666666671E-2</v>
      </c>
      <c r="AB4072" s="49">
        <v>0.13541666666666666</v>
      </c>
      <c r="AC4072" s="49">
        <f>AVERAGE(AA4072:AB4072)</f>
        <v>0.10416666666666666</v>
      </c>
      <c r="AD4072" s="50">
        <v>1.5</v>
      </c>
      <c r="AE4072" s="31" t="s">
        <v>4756</v>
      </c>
      <c r="AF4072" s="47">
        <v>50</v>
      </c>
      <c r="AG4072"/>
      <c r="AH4072"/>
      <c r="AI4072"/>
      <c r="AJ4072"/>
      <c r="AK4072" s="136">
        <v>8</v>
      </c>
      <c r="AL4072"/>
      <c r="AM4072"/>
      <c r="AN4072"/>
      <c r="AO4072"/>
      <c r="AP4072"/>
      <c r="AQ4072" t="s">
        <v>5261</v>
      </c>
      <c r="AU4072">
        <v>4071</v>
      </c>
    </row>
    <row r="4073" spans="1:47" x14ac:dyDescent="0.2">
      <c r="A4073" s="13">
        <v>6724</v>
      </c>
      <c r="B4073" s="57" t="s">
        <v>45</v>
      </c>
      <c r="C4073" s="57" t="s">
        <v>4456</v>
      </c>
      <c r="D4073" s="29"/>
      <c r="E4073" s="39" t="s">
        <v>5271</v>
      </c>
      <c r="F4073" s="47" t="s">
        <v>2548</v>
      </c>
      <c r="G4073" s="47" t="s">
        <v>49</v>
      </c>
      <c r="H4073"/>
      <c r="I4073" s="47" t="s">
        <v>5272</v>
      </c>
      <c r="J4073" s="47"/>
      <c r="K4073" s="118">
        <f>8*50*2.2</f>
        <v>880.00000000000011</v>
      </c>
      <c r="L4073" s="48">
        <v>1</v>
      </c>
      <c r="M4073" s="47"/>
      <c r="N4073" s="47"/>
      <c r="O4073" s="47"/>
      <c r="P4073" s="47"/>
      <c r="Q4073" s="47"/>
      <c r="R4073" s="47"/>
      <c r="S4073" s="48">
        <v>1</v>
      </c>
      <c r="T4073" s="47">
        <v>0</v>
      </c>
      <c r="U4073" s="47">
        <v>0</v>
      </c>
      <c r="V4073" s="47">
        <v>0</v>
      </c>
      <c r="W4073" s="47">
        <f>2000*39.37/12</f>
        <v>6561.666666666667</v>
      </c>
      <c r="X4073" s="47"/>
      <c r="Y4073" s="31" t="s">
        <v>51</v>
      </c>
      <c r="Z4073" s="31" t="s">
        <v>1846</v>
      </c>
      <c r="AA4073" s="49">
        <v>0.10416666666666667</v>
      </c>
      <c r="AB4073" s="49">
        <v>0.14930555555555555</v>
      </c>
      <c r="AC4073" s="49">
        <f>AVERAGE(AA4073:AB4073)</f>
        <v>0.1267361111111111</v>
      </c>
      <c r="AD4073" s="50">
        <f>1+5/60</f>
        <v>1.0833333333333333</v>
      </c>
      <c r="AE4073" s="31" t="s">
        <v>4756</v>
      </c>
      <c r="AF4073" s="47">
        <v>45</v>
      </c>
      <c r="AG4073"/>
      <c r="AH4073"/>
      <c r="AI4073"/>
      <c r="AJ4073"/>
      <c r="AK4073" s="136">
        <v>8</v>
      </c>
      <c r="AL4073"/>
      <c r="AM4073"/>
      <c r="AN4073"/>
      <c r="AO4073"/>
      <c r="AP4073"/>
      <c r="AQ4073" t="s">
        <v>5261</v>
      </c>
      <c r="AU4073">
        <v>4072</v>
      </c>
    </row>
    <row r="4074" spans="1:47" x14ac:dyDescent="0.2">
      <c r="A4074" s="13">
        <v>6724</v>
      </c>
      <c r="B4074" s="57" t="s">
        <v>45</v>
      </c>
      <c r="C4074" s="57" t="s">
        <v>5032</v>
      </c>
      <c r="D4074" s="29"/>
      <c r="E4074" s="57" t="s">
        <v>1593</v>
      </c>
      <c r="F4074" s="31" t="s">
        <v>76</v>
      </c>
      <c r="G4074" s="47" t="s">
        <v>49</v>
      </c>
      <c r="K4074" s="31">
        <v>660</v>
      </c>
      <c r="S4074" s="33">
        <v>1</v>
      </c>
      <c r="Z4074" s="31" t="s">
        <v>3814</v>
      </c>
      <c r="AE4074" s="31" t="s">
        <v>5248</v>
      </c>
      <c r="AF4074" s="31">
        <v>70</v>
      </c>
      <c r="AK4074" s="32">
        <v>16</v>
      </c>
      <c r="AQ4074" s="32" t="s">
        <v>5029</v>
      </c>
      <c r="AU4074">
        <v>4073</v>
      </c>
    </row>
    <row r="4075" spans="1:47" x14ac:dyDescent="0.2">
      <c r="A4075" s="13">
        <v>6724</v>
      </c>
      <c r="B4075" s="57" t="s">
        <v>45</v>
      </c>
      <c r="C4075" s="57" t="s">
        <v>5030</v>
      </c>
      <c r="D4075" s="29"/>
      <c r="E4075" s="57" t="s">
        <v>1593</v>
      </c>
      <c r="F4075" s="31" t="s">
        <v>76</v>
      </c>
      <c r="G4075" s="47" t="s">
        <v>49</v>
      </c>
      <c r="K4075" s="31">
        <v>715</v>
      </c>
      <c r="S4075" s="33">
        <v>1</v>
      </c>
      <c r="Z4075" s="31" t="s">
        <v>3855</v>
      </c>
      <c r="AE4075" s="31" t="s">
        <v>5248</v>
      </c>
      <c r="AF4075" s="31">
        <v>70</v>
      </c>
      <c r="AK4075" s="32">
        <v>9</v>
      </c>
      <c r="AQ4075" s="32" t="s">
        <v>5029</v>
      </c>
      <c r="AU4075">
        <v>4074</v>
      </c>
    </row>
    <row r="4076" spans="1:47" x14ac:dyDescent="0.2">
      <c r="A4076" s="13">
        <v>6724</v>
      </c>
      <c r="B4076" s="57" t="s">
        <v>45</v>
      </c>
      <c r="C4076" s="57" t="s">
        <v>5027</v>
      </c>
      <c r="D4076" s="29"/>
      <c r="E4076" s="57" t="s">
        <v>977</v>
      </c>
      <c r="F4076" s="31" t="s">
        <v>76</v>
      </c>
      <c r="G4076" s="47" t="s">
        <v>49</v>
      </c>
      <c r="K4076" s="31">
        <v>880</v>
      </c>
      <c r="S4076" s="33">
        <v>3</v>
      </c>
      <c r="Z4076" s="31" t="s">
        <v>3855</v>
      </c>
      <c r="AE4076" s="31" t="s">
        <v>5248</v>
      </c>
      <c r="AF4076" s="31">
        <v>70</v>
      </c>
      <c r="AK4076" s="32">
        <v>13</v>
      </c>
      <c r="AQ4076" s="32" t="s">
        <v>5029</v>
      </c>
      <c r="AU4076">
        <v>4075</v>
      </c>
    </row>
    <row r="4077" spans="1:47" x14ac:dyDescent="0.2">
      <c r="A4077" s="13">
        <v>6724</v>
      </c>
      <c r="B4077" s="57" t="s">
        <v>45</v>
      </c>
      <c r="C4077" s="57" t="s">
        <v>1992</v>
      </c>
      <c r="D4077" s="29"/>
      <c r="E4077" s="57" t="s">
        <v>175</v>
      </c>
      <c r="F4077" s="31" t="s">
        <v>76</v>
      </c>
      <c r="G4077" s="47" t="s">
        <v>49</v>
      </c>
      <c r="K4077" s="31">
        <v>1078</v>
      </c>
      <c r="Z4077" s="31" t="s">
        <v>3814</v>
      </c>
      <c r="AE4077" s="31" t="s">
        <v>4756</v>
      </c>
      <c r="AF4077" s="31">
        <v>140</v>
      </c>
      <c r="AK4077" s="32">
        <v>15</v>
      </c>
      <c r="AQ4077" s="32" t="s">
        <v>5109</v>
      </c>
      <c r="AU4077">
        <v>4076</v>
      </c>
    </row>
    <row r="4078" spans="1:47" x14ac:dyDescent="0.2">
      <c r="A4078" s="13">
        <v>6724</v>
      </c>
      <c r="B4078" s="57" t="s">
        <v>45</v>
      </c>
      <c r="C4078" s="57" t="s">
        <v>5030</v>
      </c>
      <c r="D4078" s="29"/>
      <c r="E4078" s="57" t="s">
        <v>4752</v>
      </c>
      <c r="F4078" s="31" t="s">
        <v>76</v>
      </c>
      <c r="G4078" s="47" t="s">
        <v>49</v>
      </c>
      <c r="I4078" s="31" t="s">
        <v>5273</v>
      </c>
      <c r="K4078" s="31">
        <v>1320</v>
      </c>
      <c r="S4078" s="33">
        <v>1</v>
      </c>
      <c r="Z4078" s="31" t="s">
        <v>3855</v>
      </c>
      <c r="AE4078" s="31" t="s">
        <v>5248</v>
      </c>
      <c r="AF4078" s="31">
        <v>65</v>
      </c>
      <c r="AK4078" s="32">
        <v>17</v>
      </c>
      <c r="AQ4078" s="32" t="s">
        <v>5029</v>
      </c>
      <c r="AU4078">
        <v>4077</v>
      </c>
    </row>
    <row r="4079" spans="1:47" x14ac:dyDescent="0.2">
      <c r="A4079" s="13">
        <v>6724</v>
      </c>
      <c r="B4079" s="57" t="s">
        <v>45</v>
      </c>
      <c r="C4079" s="57" t="s">
        <v>5032</v>
      </c>
      <c r="D4079" s="29"/>
      <c r="E4079" s="57" t="s">
        <v>4881</v>
      </c>
      <c r="F4079" s="31" t="s">
        <v>76</v>
      </c>
      <c r="G4079" s="47" t="s">
        <v>49</v>
      </c>
      <c r="K4079" s="31">
        <v>14619</v>
      </c>
      <c r="S4079" s="33">
        <v>8</v>
      </c>
      <c r="Z4079" s="31" t="s">
        <v>3814</v>
      </c>
      <c r="AE4079" s="31" t="s">
        <v>5248</v>
      </c>
      <c r="AF4079" s="31">
        <v>75</v>
      </c>
      <c r="AK4079" s="32">
        <v>199</v>
      </c>
      <c r="AQ4079" s="32" t="s">
        <v>5029</v>
      </c>
      <c r="AU4079">
        <v>4078</v>
      </c>
    </row>
    <row r="4080" spans="1:47" x14ac:dyDescent="0.2">
      <c r="A4080" s="26">
        <v>6724</v>
      </c>
      <c r="B4080" s="27">
        <v>4.8611111111111112E-2</v>
      </c>
      <c r="C4080" s="28"/>
      <c r="D4080" s="29"/>
      <c r="E4080" s="30" t="s">
        <v>464</v>
      </c>
      <c r="H4080" s="32">
        <v>0</v>
      </c>
      <c r="I4080" s="32" t="s">
        <v>5274</v>
      </c>
      <c r="AG4080" s="32">
        <v>0</v>
      </c>
      <c r="AH4080" s="32">
        <v>0</v>
      </c>
      <c r="AL4080" s="32">
        <f>35/60</f>
        <v>0.58333333333333337</v>
      </c>
      <c r="AO4080" s="32" t="s">
        <v>4067</v>
      </c>
      <c r="AP4080" s="32">
        <f>35/60</f>
        <v>0.58333333333333337</v>
      </c>
      <c r="AQ4080" s="32" t="s">
        <v>1522</v>
      </c>
      <c r="AU4080">
        <v>4079</v>
      </c>
    </row>
    <row r="4081" spans="1:47" x14ac:dyDescent="0.2">
      <c r="A4081" s="26">
        <v>6724</v>
      </c>
      <c r="B4081" s="27">
        <v>5.5555555555555552E-2</v>
      </c>
      <c r="C4081" s="28"/>
      <c r="D4081" s="29"/>
      <c r="E4081" s="30" t="s">
        <v>1282</v>
      </c>
      <c r="H4081" s="32">
        <v>0</v>
      </c>
      <c r="I4081" s="32" t="s">
        <v>5275</v>
      </c>
      <c r="AG4081" s="32">
        <v>0</v>
      </c>
      <c r="AH4081" s="32">
        <v>0</v>
      </c>
      <c r="AI4081" s="32">
        <v>0</v>
      </c>
      <c r="AK4081" s="32">
        <v>0</v>
      </c>
      <c r="AL4081" s="32">
        <v>0.5</v>
      </c>
      <c r="AP4081" s="32">
        <v>0.5</v>
      </c>
      <c r="AQ4081" s="32" t="s">
        <v>1101</v>
      </c>
      <c r="AU4081">
        <v>4080</v>
      </c>
    </row>
    <row r="4082" spans="1:47" x14ac:dyDescent="0.2">
      <c r="A4082" s="26">
        <v>6724</v>
      </c>
      <c r="B4082" s="27">
        <v>0.35069444444444442</v>
      </c>
      <c r="C4082" s="28"/>
      <c r="D4082" s="29"/>
      <c r="E4082" s="30" t="s">
        <v>464</v>
      </c>
      <c r="H4082" s="32">
        <v>0</v>
      </c>
      <c r="I4082" s="32" t="s">
        <v>5276</v>
      </c>
      <c r="AG4082" s="32">
        <v>0</v>
      </c>
      <c r="AH4082" s="32">
        <v>0</v>
      </c>
      <c r="AL4082" s="32">
        <v>0.33300000000000002</v>
      </c>
      <c r="AO4082" s="32" t="s">
        <v>4067</v>
      </c>
      <c r="AP4082" s="32">
        <v>0.33300000000000002</v>
      </c>
      <c r="AQ4082" s="32" t="s">
        <v>1522</v>
      </c>
      <c r="AU4082">
        <v>4081</v>
      </c>
    </row>
    <row r="4083" spans="1:47" x14ac:dyDescent="0.2">
      <c r="A4083" s="26">
        <v>6724</v>
      </c>
      <c r="B4083" s="27">
        <v>0.43055555555555558</v>
      </c>
      <c r="C4083" s="28"/>
      <c r="D4083" s="29"/>
      <c r="E4083" s="102" t="s">
        <v>1102</v>
      </c>
      <c r="H4083" s="32">
        <v>0</v>
      </c>
      <c r="I4083" s="32" t="s">
        <v>1103</v>
      </c>
      <c r="AG4083" s="32">
        <v>0</v>
      </c>
      <c r="AH4083" s="32">
        <v>0</v>
      </c>
      <c r="AI4083" s="32">
        <v>0</v>
      </c>
      <c r="AK4083" s="32">
        <v>0</v>
      </c>
      <c r="AL4083" s="32">
        <f>65/60</f>
        <v>1.0833333333333333</v>
      </c>
      <c r="AO4083" s="73" t="s">
        <v>1006</v>
      </c>
      <c r="AP4083" s="32">
        <f>65/60</f>
        <v>1.0833333333333333</v>
      </c>
      <c r="AQ4083" s="32" t="s">
        <v>589</v>
      </c>
      <c r="AU4083">
        <v>4082</v>
      </c>
    </row>
    <row r="4084" spans="1:47" x14ac:dyDescent="0.2">
      <c r="A4084" s="26">
        <v>6724</v>
      </c>
      <c r="B4084" s="27">
        <v>0.44444444444444442</v>
      </c>
      <c r="C4084" s="28"/>
      <c r="D4084" s="29"/>
      <c r="E4084" s="30" t="s">
        <v>4713</v>
      </c>
      <c r="H4084" s="32">
        <v>0</v>
      </c>
      <c r="I4084" s="32" t="s">
        <v>4714</v>
      </c>
      <c r="AG4084" s="32">
        <v>0</v>
      </c>
      <c r="AH4084" s="32">
        <v>0</v>
      </c>
      <c r="AI4084" s="32">
        <v>0</v>
      </c>
      <c r="AK4084" s="32">
        <v>0</v>
      </c>
      <c r="AL4084" s="32">
        <v>0.5</v>
      </c>
      <c r="AP4084" s="32">
        <v>0.5</v>
      </c>
      <c r="AQ4084" s="32" t="s">
        <v>1101</v>
      </c>
      <c r="AU4084">
        <v>4083</v>
      </c>
    </row>
    <row r="4085" spans="1:47" x14ac:dyDescent="0.2">
      <c r="A4085" s="26">
        <v>6724</v>
      </c>
      <c r="B4085" s="27">
        <v>0.46388888888888885</v>
      </c>
      <c r="C4085" s="28"/>
      <c r="D4085" s="29"/>
      <c r="E4085" s="30" t="s">
        <v>110</v>
      </c>
      <c r="H4085" s="32">
        <v>0</v>
      </c>
      <c r="I4085" s="32" t="s">
        <v>3587</v>
      </c>
      <c r="AG4085" s="32">
        <v>0</v>
      </c>
      <c r="AH4085" s="32">
        <v>0</v>
      </c>
      <c r="AI4085" s="32">
        <v>0</v>
      </c>
      <c r="AK4085" s="32">
        <v>0</v>
      </c>
      <c r="AL4085" s="32">
        <f>2/3</f>
        <v>0.66666666666666663</v>
      </c>
      <c r="AP4085" s="32">
        <f>2/3</f>
        <v>0.66666666666666663</v>
      </c>
      <c r="AQ4085" s="32" t="s">
        <v>1101</v>
      </c>
      <c r="AU4085">
        <v>4084</v>
      </c>
    </row>
    <row r="4086" spans="1:47" x14ac:dyDescent="0.2">
      <c r="A4086" s="26">
        <v>6724</v>
      </c>
      <c r="B4086" s="27">
        <v>0.47222222222222227</v>
      </c>
      <c r="C4086" s="28"/>
      <c r="D4086" s="29"/>
      <c r="E4086" s="30" t="s">
        <v>4709</v>
      </c>
      <c r="H4086" s="32">
        <v>0</v>
      </c>
      <c r="I4086" s="32" t="s">
        <v>4710</v>
      </c>
      <c r="AG4086" s="32">
        <v>0</v>
      </c>
      <c r="AH4086" s="32">
        <v>0</v>
      </c>
      <c r="AI4086" s="32">
        <v>0</v>
      </c>
      <c r="AK4086" s="32">
        <v>0</v>
      </c>
      <c r="AL4086" s="32">
        <f>31/60</f>
        <v>0.51666666666666672</v>
      </c>
      <c r="AM4086" s="32">
        <f>AL4086*(261300+974800)/18.75</f>
        <v>34061.422222222223</v>
      </c>
      <c r="AP4086" s="32">
        <f>31/60</f>
        <v>0.51666666666666672</v>
      </c>
      <c r="AQ4086" s="32" t="s">
        <v>589</v>
      </c>
      <c r="AU4086">
        <v>4085</v>
      </c>
    </row>
    <row r="4087" spans="1:47" x14ac:dyDescent="0.2">
      <c r="A4087" s="26">
        <v>6724</v>
      </c>
      <c r="B4087" s="27">
        <v>0.47916666666666669</v>
      </c>
      <c r="C4087" s="28"/>
      <c r="D4087" s="29"/>
      <c r="E4087" s="30" t="s">
        <v>4219</v>
      </c>
      <c r="H4087" s="32">
        <v>0</v>
      </c>
      <c r="I4087" s="32" t="s">
        <v>4249</v>
      </c>
      <c r="AG4087" s="32">
        <v>0</v>
      </c>
      <c r="AH4087" s="32">
        <v>0</v>
      </c>
      <c r="AI4087" s="32">
        <v>0</v>
      </c>
      <c r="AK4087" s="32">
        <v>0</v>
      </c>
      <c r="AL4087" s="32">
        <f>13/60</f>
        <v>0.21666666666666667</v>
      </c>
      <c r="AO4087" s="32" t="s">
        <v>858</v>
      </c>
      <c r="AP4087" s="32">
        <f>13/60</f>
        <v>0.21666666666666667</v>
      </c>
      <c r="AQ4087" s="32" t="s">
        <v>1101</v>
      </c>
      <c r="AU4087">
        <v>4086</v>
      </c>
    </row>
    <row r="4088" spans="1:47" x14ac:dyDescent="0.2">
      <c r="A4088" s="26">
        <v>6724</v>
      </c>
      <c r="B4088" s="27">
        <v>0.9458333333333333</v>
      </c>
      <c r="C4088" s="28"/>
      <c r="D4088" s="29"/>
      <c r="E4088" s="30" t="s">
        <v>1282</v>
      </c>
      <c r="H4088" s="32">
        <v>0</v>
      </c>
      <c r="I4088" s="32" t="s">
        <v>5277</v>
      </c>
      <c r="AG4088" s="32">
        <v>0</v>
      </c>
      <c r="AH4088" s="32">
        <v>0</v>
      </c>
      <c r="AI4088" s="32">
        <v>0</v>
      </c>
      <c r="AK4088" s="32">
        <v>0</v>
      </c>
      <c r="AL4088" s="32">
        <f>28/60</f>
        <v>0.46666666666666667</v>
      </c>
      <c r="AP4088" s="32">
        <f>28/60</f>
        <v>0.46666666666666667</v>
      </c>
      <c r="AQ4088" s="32" t="s">
        <v>1101</v>
      </c>
      <c r="AU4088">
        <v>4087</v>
      </c>
    </row>
    <row r="4089" spans="1:47" x14ac:dyDescent="0.2">
      <c r="A4089" s="26">
        <v>6724</v>
      </c>
      <c r="B4089" s="27" t="s">
        <v>85</v>
      </c>
      <c r="C4089" s="28"/>
      <c r="D4089" s="29"/>
      <c r="E4089" s="30" t="s">
        <v>1461</v>
      </c>
      <c r="H4089" s="32">
        <v>1</v>
      </c>
      <c r="I4089" s="32" t="s">
        <v>5278</v>
      </c>
      <c r="AG4089" s="32">
        <v>1</v>
      </c>
      <c r="AH4089" s="32">
        <v>0</v>
      </c>
      <c r="AI4089" s="32">
        <v>353</v>
      </c>
      <c r="AK4089" s="32">
        <v>9</v>
      </c>
      <c r="AO4089" s="32" t="s">
        <v>1463</v>
      </c>
      <c r="AQ4089" s="32">
        <v>403</v>
      </c>
      <c r="AU4089">
        <v>4088</v>
      </c>
    </row>
    <row r="4090" spans="1:47" x14ac:dyDescent="0.2">
      <c r="A4090" s="26">
        <v>6724</v>
      </c>
      <c r="B4090" s="27" t="s">
        <v>45</v>
      </c>
      <c r="C4090" s="28"/>
      <c r="D4090" s="29"/>
      <c r="E4090" s="30" t="s">
        <v>1531</v>
      </c>
      <c r="H4090" s="32">
        <v>0</v>
      </c>
      <c r="I4090" s="32" t="s">
        <v>1532</v>
      </c>
      <c r="AG4090" s="32">
        <v>0</v>
      </c>
      <c r="AH4090" s="32">
        <v>0</v>
      </c>
      <c r="AI4090" s="32">
        <v>0</v>
      </c>
      <c r="AK4090" s="32">
        <v>0</v>
      </c>
      <c r="AM4090" s="32">
        <f>498*6</f>
        <v>2988</v>
      </c>
      <c r="AO4090" s="32" t="s">
        <v>1533</v>
      </c>
      <c r="AQ4090" s="32" t="s">
        <v>1101</v>
      </c>
      <c r="AU4090">
        <v>4089</v>
      </c>
    </row>
    <row r="4091" spans="1:47" x14ac:dyDescent="0.2">
      <c r="A4091" s="26">
        <v>6724</v>
      </c>
      <c r="B4091" s="27"/>
      <c r="C4091" s="28"/>
      <c r="D4091" s="29"/>
      <c r="E4091" s="30" t="s">
        <v>4666</v>
      </c>
      <c r="H4091" s="32">
        <v>1</v>
      </c>
      <c r="I4091" s="32" t="s">
        <v>5279</v>
      </c>
      <c r="AG4091" s="32">
        <v>2</v>
      </c>
      <c r="AI4091" s="32">
        <v>200</v>
      </c>
      <c r="AO4091" s="32" t="s">
        <v>4668</v>
      </c>
      <c r="AQ4091" s="32">
        <v>408</v>
      </c>
      <c r="AU4091">
        <v>4090</v>
      </c>
    </row>
    <row r="4092" spans="1:47" x14ac:dyDescent="0.2">
      <c r="A4092" s="26">
        <v>6724</v>
      </c>
      <c r="B4092" s="27"/>
      <c r="C4092" s="28"/>
      <c r="D4092" s="29"/>
      <c r="E4092" s="102" t="s">
        <v>1421</v>
      </c>
      <c r="H4092" s="32">
        <v>1</v>
      </c>
      <c r="I4092" s="32" t="s">
        <v>1422</v>
      </c>
      <c r="AK4092" s="32">
        <v>18</v>
      </c>
      <c r="AO4092" s="73"/>
      <c r="AQ4092" s="32" t="s">
        <v>589</v>
      </c>
      <c r="AU4092">
        <v>4091</v>
      </c>
    </row>
    <row r="4093" spans="1:47" x14ac:dyDescent="0.2">
      <c r="A4093" s="26">
        <v>6724</v>
      </c>
      <c r="B4093" s="27"/>
      <c r="C4093" s="28"/>
      <c r="D4093" s="29"/>
      <c r="E4093" s="30" t="s">
        <v>5102</v>
      </c>
      <c r="H4093" s="32">
        <v>0</v>
      </c>
      <c r="I4093" s="32" t="s">
        <v>5103</v>
      </c>
      <c r="AG4093" s="32">
        <v>0</v>
      </c>
      <c r="AH4093" s="32">
        <v>0</v>
      </c>
      <c r="AI4093" s="32">
        <v>0</v>
      </c>
      <c r="AK4093" s="32">
        <v>0</v>
      </c>
      <c r="AL4093" s="18">
        <v>1.5</v>
      </c>
      <c r="AM4093" s="18">
        <f>300000/11</f>
        <v>27272.727272727272</v>
      </c>
      <c r="AN4093" s="18"/>
      <c r="AO4093" s="18"/>
      <c r="AP4093" s="18">
        <v>1.5</v>
      </c>
      <c r="AQ4093" s="32" t="s">
        <v>589</v>
      </c>
      <c r="AU4093">
        <v>4092</v>
      </c>
    </row>
    <row r="4094" spans="1:47" x14ac:dyDescent="0.2">
      <c r="A4094" s="133">
        <v>6725</v>
      </c>
      <c r="B4094" s="39" t="s">
        <v>85</v>
      </c>
      <c r="C4094" s="39">
        <v>55</v>
      </c>
      <c r="D4094" s="29" t="b">
        <v>0</v>
      </c>
      <c r="E4094" s="39" t="s">
        <v>1764</v>
      </c>
      <c r="F4094" s="47" t="s">
        <v>2398</v>
      </c>
      <c r="G4094" s="47" t="s">
        <v>49</v>
      </c>
      <c r="H4094"/>
      <c r="I4094" s="47" t="b">
        <v>0</v>
      </c>
      <c r="J4094" s="47" t="b">
        <v>1</v>
      </c>
      <c r="K4094" s="47">
        <v>2688</v>
      </c>
      <c r="L4094" s="48">
        <v>12</v>
      </c>
      <c r="M4094" s="47">
        <v>0</v>
      </c>
      <c r="N4094" s="47">
        <v>0</v>
      </c>
      <c r="O4094" s="47">
        <v>0</v>
      </c>
      <c r="P4094" s="47">
        <v>0</v>
      </c>
      <c r="Q4094" s="47">
        <v>0</v>
      </c>
      <c r="R4094" s="47">
        <v>0</v>
      </c>
      <c r="S4094" s="48">
        <v>12</v>
      </c>
      <c r="T4094" s="47">
        <v>0</v>
      </c>
      <c r="U4094" s="47">
        <v>0</v>
      </c>
      <c r="V4094" s="47">
        <v>0</v>
      </c>
      <c r="W4094" s="47">
        <v>14500</v>
      </c>
      <c r="X4094" s="47">
        <v>539</v>
      </c>
      <c r="Y4094" s="47"/>
      <c r="Z4094" s="47" t="s">
        <v>3618</v>
      </c>
      <c r="AA4094" s="49"/>
      <c r="AB4094" s="49"/>
      <c r="AC4094" s="49"/>
      <c r="AD4094" s="50"/>
      <c r="AE4094" s="47" t="s">
        <v>3798</v>
      </c>
      <c r="AF4094" s="47">
        <v>95</v>
      </c>
      <c r="AG4094"/>
      <c r="AH4094"/>
      <c r="AI4094"/>
      <c r="AJ4094"/>
      <c r="AK4094"/>
      <c r="AL4094"/>
      <c r="AM4094"/>
      <c r="AN4094"/>
      <c r="AO4094"/>
      <c r="AP4094"/>
      <c r="AQ4094" t="s">
        <v>2526</v>
      </c>
      <c r="AU4094">
        <v>4093</v>
      </c>
    </row>
    <row r="4095" spans="1:47" x14ac:dyDescent="0.2">
      <c r="A4095" s="133">
        <v>6725</v>
      </c>
      <c r="B4095" s="39" t="s">
        <v>85</v>
      </c>
      <c r="C4095" s="39">
        <v>99</v>
      </c>
      <c r="D4095" s="29" t="b">
        <v>0</v>
      </c>
      <c r="E4095" s="39" t="s">
        <v>1168</v>
      </c>
      <c r="F4095" s="47" t="s">
        <v>2398</v>
      </c>
      <c r="G4095" s="47" t="s">
        <v>49</v>
      </c>
      <c r="H4095"/>
      <c r="I4095" s="47" t="b">
        <v>0</v>
      </c>
      <c r="J4095" s="47" t="b">
        <v>1</v>
      </c>
      <c r="K4095" s="47">
        <v>896</v>
      </c>
      <c r="L4095" s="48">
        <v>12</v>
      </c>
      <c r="M4095" s="47">
        <v>6</v>
      </c>
      <c r="N4095" s="47">
        <v>2</v>
      </c>
      <c r="O4095" s="47">
        <v>0</v>
      </c>
      <c r="P4095" s="47">
        <v>4</v>
      </c>
      <c r="Q4095" s="47">
        <v>0</v>
      </c>
      <c r="R4095" s="47">
        <v>0</v>
      </c>
      <c r="S4095" s="48">
        <v>4</v>
      </c>
      <c r="T4095" s="47">
        <v>0</v>
      </c>
      <c r="U4095" s="47">
        <v>0</v>
      </c>
      <c r="V4095" s="47">
        <v>0</v>
      </c>
      <c r="W4095" s="47">
        <v>14000</v>
      </c>
      <c r="X4095" s="47">
        <v>540</v>
      </c>
      <c r="Y4095" s="47" t="s">
        <v>51</v>
      </c>
      <c r="Z4095" s="47" t="s">
        <v>5139</v>
      </c>
      <c r="AA4095" s="49">
        <v>0.19791666666666666</v>
      </c>
      <c r="AB4095" s="49"/>
      <c r="AC4095" s="49"/>
      <c r="AD4095" s="50"/>
      <c r="AE4095" s="47" t="s">
        <v>3798</v>
      </c>
      <c r="AF4095" s="47">
        <v>70</v>
      </c>
      <c r="AG4095"/>
      <c r="AH4095"/>
      <c r="AI4095"/>
      <c r="AJ4095"/>
      <c r="AK4095"/>
      <c r="AL4095"/>
      <c r="AM4095"/>
      <c r="AN4095"/>
      <c r="AO4095"/>
      <c r="AP4095"/>
      <c r="AQ4095" t="s">
        <v>2526</v>
      </c>
      <c r="AU4095">
        <v>4094</v>
      </c>
    </row>
    <row r="4096" spans="1:47" x14ac:dyDescent="0.2">
      <c r="A4096" s="37">
        <v>6725</v>
      </c>
      <c r="B4096" s="38" t="s">
        <v>85</v>
      </c>
      <c r="C4096" s="39" t="s">
        <v>4940</v>
      </c>
      <c r="D4096" s="29"/>
      <c r="E4096" s="38" t="s">
        <v>5280</v>
      </c>
      <c r="F4096" s="32" t="s">
        <v>5281</v>
      </c>
      <c r="G4096" s="47" t="s">
        <v>69</v>
      </c>
      <c r="H4096"/>
      <c r="I4096" s="32"/>
      <c r="J4096" s="47"/>
      <c r="K4096" s="47"/>
      <c r="L4096" s="48"/>
      <c r="M4096" s="47"/>
      <c r="N4096" s="47"/>
      <c r="O4096" s="47"/>
      <c r="P4096" s="47"/>
      <c r="Q4096" s="47"/>
      <c r="R4096" s="47"/>
      <c r="S4096" s="48"/>
      <c r="T4096" s="47"/>
      <c r="U4096" s="47"/>
      <c r="V4096" s="47"/>
      <c r="W4096" s="47"/>
      <c r="X4096" s="47"/>
      <c r="Y4096" s="47"/>
      <c r="Z4096" s="31" t="s">
        <v>3724</v>
      </c>
      <c r="AA4096" s="49"/>
      <c r="AB4096" s="49"/>
      <c r="AC4096" s="49"/>
      <c r="AD4096" s="50"/>
      <c r="AE4096" s="31" t="s">
        <v>4898</v>
      </c>
      <c r="AF4096" s="47">
        <v>105</v>
      </c>
      <c r="AG4096"/>
      <c r="AH4096"/>
      <c r="AI4096"/>
      <c r="AJ4096"/>
      <c r="AK4096"/>
      <c r="AL4096"/>
      <c r="AM4096"/>
      <c r="AN4096"/>
      <c r="AO4096"/>
      <c r="AP4096"/>
      <c r="AQ4096" t="s">
        <v>5282</v>
      </c>
      <c r="AU4096">
        <v>4095</v>
      </c>
    </row>
    <row r="4097" spans="1:47" x14ac:dyDescent="0.2">
      <c r="A4097" s="133">
        <v>6725</v>
      </c>
      <c r="B4097" s="39" t="s">
        <v>45</v>
      </c>
      <c r="C4097" s="39">
        <v>100</v>
      </c>
      <c r="D4097" s="29" t="b">
        <v>0</v>
      </c>
      <c r="E4097" s="39" t="s">
        <v>1168</v>
      </c>
      <c r="F4097" s="47" t="s">
        <v>48</v>
      </c>
      <c r="G4097" s="47" t="s">
        <v>49</v>
      </c>
      <c r="H4097"/>
      <c r="I4097" s="47" t="b">
        <v>0</v>
      </c>
      <c r="J4097" s="47" t="b">
        <v>1</v>
      </c>
      <c r="K4097" s="47">
        <v>1728</v>
      </c>
      <c r="L4097" s="48">
        <v>7</v>
      </c>
      <c r="M4097" s="47">
        <v>0</v>
      </c>
      <c r="N4097" s="47">
        <v>1</v>
      </c>
      <c r="O4097" s="47">
        <v>0</v>
      </c>
      <c r="P4097" s="47">
        <v>0</v>
      </c>
      <c r="Q4097" s="47">
        <v>0</v>
      </c>
      <c r="R4097" s="47">
        <v>0</v>
      </c>
      <c r="S4097" s="48">
        <v>6</v>
      </c>
      <c r="T4097" s="47">
        <v>0</v>
      </c>
      <c r="U4097" s="47">
        <v>0</v>
      </c>
      <c r="V4097" s="47">
        <v>0</v>
      </c>
      <c r="W4097" s="47">
        <v>2500</v>
      </c>
      <c r="X4097" s="47">
        <v>541</v>
      </c>
      <c r="Y4097" s="47"/>
      <c r="Z4097" s="47" t="s">
        <v>2524</v>
      </c>
      <c r="AA4097" s="49"/>
      <c r="AB4097" s="49"/>
      <c r="AC4097" s="49"/>
      <c r="AD4097" s="50"/>
      <c r="AE4097" s="47" t="s">
        <v>1312</v>
      </c>
      <c r="AF4097" s="47">
        <v>60</v>
      </c>
      <c r="AG4097"/>
      <c r="AH4097"/>
      <c r="AI4097"/>
      <c r="AJ4097"/>
      <c r="AK4097"/>
      <c r="AL4097"/>
      <c r="AM4097"/>
      <c r="AN4097"/>
      <c r="AO4097"/>
      <c r="AP4097"/>
      <c r="AQ4097" t="s">
        <v>2526</v>
      </c>
      <c r="AU4097">
        <v>4096</v>
      </c>
    </row>
    <row r="4098" spans="1:47" x14ac:dyDescent="0.2">
      <c r="A4098" s="133">
        <v>6725</v>
      </c>
      <c r="B4098" s="39" t="s">
        <v>45</v>
      </c>
      <c r="C4098" s="39">
        <v>216</v>
      </c>
      <c r="D4098" s="29" t="b">
        <v>0</v>
      </c>
      <c r="E4098" s="39" t="s">
        <v>5283</v>
      </c>
      <c r="F4098" s="47" t="s">
        <v>5284</v>
      </c>
      <c r="G4098" s="47" t="s">
        <v>49</v>
      </c>
      <c r="H4098"/>
      <c r="I4098" s="47" t="b">
        <v>1</v>
      </c>
      <c r="J4098" s="47" t="b">
        <v>1</v>
      </c>
      <c r="K4098" s="47">
        <v>8552</v>
      </c>
      <c r="L4098" s="48">
        <v>7</v>
      </c>
      <c r="M4098" s="47">
        <v>0</v>
      </c>
      <c r="N4098" s="47">
        <v>0</v>
      </c>
      <c r="O4098" s="47">
        <v>0</v>
      </c>
      <c r="P4098" s="47">
        <v>0</v>
      </c>
      <c r="Q4098" s="47">
        <v>0</v>
      </c>
      <c r="R4098" s="47">
        <v>0</v>
      </c>
      <c r="S4098" s="48">
        <v>7</v>
      </c>
      <c r="T4098" s="47">
        <v>0</v>
      </c>
      <c r="U4098" s="47">
        <v>0</v>
      </c>
      <c r="V4098" s="47">
        <v>0</v>
      </c>
      <c r="W4098" s="47">
        <v>7083</v>
      </c>
      <c r="X4098" s="47">
        <v>542</v>
      </c>
      <c r="Y4098" s="47"/>
      <c r="Z4098" s="47" t="s">
        <v>2466</v>
      </c>
      <c r="AA4098" s="49"/>
      <c r="AB4098" s="49"/>
      <c r="AC4098" s="49"/>
      <c r="AD4098" s="50"/>
      <c r="AE4098" s="47" t="s">
        <v>1312</v>
      </c>
      <c r="AF4098" s="47"/>
      <c r="AG4098"/>
      <c r="AH4098"/>
      <c r="AI4098"/>
      <c r="AJ4098"/>
      <c r="AK4098"/>
      <c r="AL4098"/>
      <c r="AM4098"/>
      <c r="AN4098"/>
      <c r="AO4098"/>
      <c r="AP4098"/>
      <c r="AQ4098" t="s">
        <v>2526</v>
      </c>
      <c r="AU4098">
        <v>4097</v>
      </c>
    </row>
    <row r="4099" spans="1:47" x14ac:dyDescent="0.2">
      <c r="A4099" s="133">
        <v>6725</v>
      </c>
      <c r="B4099" s="39" t="s">
        <v>45</v>
      </c>
      <c r="C4099" s="39">
        <v>216</v>
      </c>
      <c r="D4099" s="29" t="b">
        <v>0</v>
      </c>
      <c r="E4099" s="39" t="s">
        <v>1764</v>
      </c>
      <c r="F4099" s="47" t="s">
        <v>4077</v>
      </c>
      <c r="G4099" s="47" t="s">
        <v>49</v>
      </c>
      <c r="H4099"/>
      <c r="I4099" s="47" t="b">
        <v>0</v>
      </c>
      <c r="J4099" s="47" t="b">
        <v>0</v>
      </c>
      <c r="K4099" s="47">
        <v>4032</v>
      </c>
      <c r="L4099" s="48">
        <v>7</v>
      </c>
      <c r="M4099" s="47">
        <v>0</v>
      </c>
      <c r="N4099" s="47">
        <v>0</v>
      </c>
      <c r="O4099" s="47">
        <v>0</v>
      </c>
      <c r="P4099" s="47">
        <v>0</v>
      </c>
      <c r="Q4099" s="47">
        <v>0</v>
      </c>
      <c r="R4099" s="47">
        <v>0</v>
      </c>
      <c r="S4099" s="48">
        <v>3</v>
      </c>
      <c r="T4099" s="47">
        <v>0</v>
      </c>
      <c r="U4099" s="47">
        <v>0</v>
      </c>
      <c r="V4099" s="47">
        <v>0</v>
      </c>
      <c r="W4099" s="47">
        <v>7000</v>
      </c>
      <c r="X4099" s="47">
        <v>543</v>
      </c>
      <c r="Y4099" s="47"/>
      <c r="Z4099" s="47" t="s">
        <v>2466</v>
      </c>
      <c r="AA4099" s="49"/>
      <c r="AB4099" s="49"/>
      <c r="AC4099" s="49"/>
      <c r="AD4099" s="50"/>
      <c r="AE4099" s="47" t="s">
        <v>1312</v>
      </c>
      <c r="AF4099" s="31">
        <v>85</v>
      </c>
      <c r="AG4099"/>
      <c r="AH4099"/>
      <c r="AI4099"/>
      <c r="AJ4099"/>
      <c r="AK4099"/>
      <c r="AL4099"/>
      <c r="AM4099"/>
      <c r="AN4099"/>
      <c r="AO4099"/>
      <c r="AP4099"/>
      <c r="AQ4099" t="s">
        <v>2526</v>
      </c>
      <c r="AU4099">
        <v>4098</v>
      </c>
    </row>
    <row r="4100" spans="1:47" x14ac:dyDescent="0.2">
      <c r="A4100" s="133">
        <v>6725</v>
      </c>
      <c r="B4100" s="39" t="s">
        <v>45</v>
      </c>
      <c r="C4100" s="39">
        <v>216</v>
      </c>
      <c r="D4100" s="29" t="b">
        <v>0</v>
      </c>
      <c r="E4100" s="39" t="s">
        <v>5285</v>
      </c>
      <c r="F4100" s="47" t="s">
        <v>4077</v>
      </c>
      <c r="G4100" s="47" t="s">
        <v>49</v>
      </c>
      <c r="H4100"/>
      <c r="I4100" s="47" t="b">
        <v>0</v>
      </c>
      <c r="J4100" s="47" t="b">
        <v>0</v>
      </c>
      <c r="K4100" s="47">
        <v>1344</v>
      </c>
      <c r="L4100" s="48">
        <v>7</v>
      </c>
      <c r="M4100" s="47">
        <v>0</v>
      </c>
      <c r="N4100" s="47">
        <v>0</v>
      </c>
      <c r="O4100" s="47">
        <v>0</v>
      </c>
      <c r="P4100" s="47">
        <v>0</v>
      </c>
      <c r="Q4100" s="47">
        <v>0</v>
      </c>
      <c r="R4100" s="47">
        <v>0</v>
      </c>
      <c r="S4100" s="48">
        <v>1</v>
      </c>
      <c r="T4100" s="47">
        <v>0</v>
      </c>
      <c r="U4100" s="47">
        <v>0</v>
      </c>
      <c r="V4100" s="47">
        <v>0</v>
      </c>
      <c r="W4100" s="47">
        <v>7500</v>
      </c>
      <c r="X4100" s="47">
        <v>544</v>
      </c>
      <c r="Y4100" s="47"/>
      <c r="Z4100" s="47" t="s">
        <v>2466</v>
      </c>
      <c r="AA4100" s="49"/>
      <c r="AB4100" s="49"/>
      <c r="AC4100" s="49"/>
      <c r="AD4100" s="50"/>
      <c r="AE4100" s="47" t="s">
        <v>1312</v>
      </c>
      <c r="AF4100" s="47">
        <v>130</v>
      </c>
      <c r="AG4100"/>
      <c r="AH4100"/>
      <c r="AI4100"/>
      <c r="AJ4100"/>
      <c r="AK4100"/>
      <c r="AL4100"/>
      <c r="AM4100"/>
      <c r="AN4100"/>
      <c r="AO4100"/>
      <c r="AP4100"/>
      <c r="AQ4100" t="s">
        <v>2526</v>
      </c>
      <c r="AU4100">
        <v>4099</v>
      </c>
    </row>
    <row r="4101" spans="1:47" x14ac:dyDescent="0.2">
      <c r="A4101" s="133">
        <v>6725</v>
      </c>
      <c r="B4101" s="39" t="s">
        <v>45</v>
      </c>
      <c r="C4101" s="39">
        <v>216</v>
      </c>
      <c r="D4101" s="29" t="b">
        <v>0</v>
      </c>
      <c r="E4101" s="39" t="s">
        <v>405</v>
      </c>
      <c r="F4101" s="47" t="s">
        <v>4077</v>
      </c>
      <c r="G4101" s="47" t="s">
        <v>49</v>
      </c>
      <c r="H4101"/>
      <c r="I4101" s="47" t="b">
        <v>0</v>
      </c>
      <c r="J4101" s="47" t="b">
        <v>0</v>
      </c>
      <c r="K4101" s="47">
        <v>1344</v>
      </c>
      <c r="L4101" s="48">
        <v>7</v>
      </c>
      <c r="M4101" s="47">
        <v>0</v>
      </c>
      <c r="N4101" s="47">
        <v>0</v>
      </c>
      <c r="O4101" s="47">
        <v>0</v>
      </c>
      <c r="P4101" s="47">
        <v>0</v>
      </c>
      <c r="Q4101" s="47">
        <v>0</v>
      </c>
      <c r="R4101" s="47">
        <v>0</v>
      </c>
      <c r="S4101" s="48">
        <v>1</v>
      </c>
      <c r="T4101" s="47">
        <v>0</v>
      </c>
      <c r="U4101" s="47">
        <v>0</v>
      </c>
      <c r="V4101" s="47">
        <v>0</v>
      </c>
      <c r="W4101" s="47">
        <v>6000</v>
      </c>
      <c r="X4101" s="47">
        <v>545</v>
      </c>
      <c r="Y4101" s="47"/>
      <c r="Z4101" s="47" t="s">
        <v>2466</v>
      </c>
      <c r="AA4101" s="49"/>
      <c r="AB4101" s="49"/>
      <c r="AC4101" s="49"/>
      <c r="AD4101" s="50"/>
      <c r="AE4101" s="47" t="s">
        <v>1312</v>
      </c>
      <c r="AF4101" s="47">
        <v>60</v>
      </c>
      <c r="AG4101"/>
      <c r="AH4101"/>
      <c r="AI4101"/>
      <c r="AJ4101"/>
      <c r="AK4101"/>
      <c r="AL4101"/>
      <c r="AM4101"/>
      <c r="AN4101"/>
      <c r="AO4101"/>
      <c r="AP4101"/>
      <c r="AQ4101" t="s">
        <v>2526</v>
      </c>
      <c r="AU4101">
        <v>4100</v>
      </c>
    </row>
    <row r="4102" spans="1:47" x14ac:dyDescent="0.2">
      <c r="A4102" s="133">
        <v>6725</v>
      </c>
      <c r="B4102" s="39" t="s">
        <v>45</v>
      </c>
      <c r="C4102" s="39">
        <v>216</v>
      </c>
      <c r="D4102" s="29" t="b">
        <v>0</v>
      </c>
      <c r="E4102" s="39" t="s">
        <v>1168</v>
      </c>
      <c r="F4102" s="47" t="s">
        <v>4077</v>
      </c>
      <c r="G4102" s="47" t="s">
        <v>49</v>
      </c>
      <c r="H4102"/>
      <c r="I4102" s="47" t="b">
        <v>0</v>
      </c>
      <c r="J4102" s="47" t="b">
        <v>0</v>
      </c>
      <c r="K4102" s="47">
        <v>1344</v>
      </c>
      <c r="L4102" s="48">
        <v>7</v>
      </c>
      <c r="M4102" s="47">
        <v>0</v>
      </c>
      <c r="N4102" s="47">
        <v>0</v>
      </c>
      <c r="O4102" s="47">
        <v>0</v>
      </c>
      <c r="P4102" s="47">
        <v>0</v>
      </c>
      <c r="Q4102" s="47">
        <v>0</v>
      </c>
      <c r="R4102" s="47">
        <v>0</v>
      </c>
      <c r="S4102" s="48">
        <v>1</v>
      </c>
      <c r="T4102" s="47">
        <v>0</v>
      </c>
      <c r="U4102" s="47">
        <v>0</v>
      </c>
      <c r="V4102" s="47">
        <v>0</v>
      </c>
      <c r="W4102" s="47">
        <v>8000</v>
      </c>
      <c r="X4102" s="47">
        <v>546</v>
      </c>
      <c r="Y4102" s="47"/>
      <c r="Z4102" s="47" t="s">
        <v>2466</v>
      </c>
      <c r="AA4102" s="49"/>
      <c r="AB4102" s="49"/>
      <c r="AC4102" s="49"/>
      <c r="AD4102" s="50"/>
      <c r="AE4102" s="47" t="s">
        <v>1312</v>
      </c>
      <c r="AF4102" s="47">
        <v>60</v>
      </c>
      <c r="AG4102"/>
      <c r="AH4102"/>
      <c r="AI4102"/>
      <c r="AJ4102"/>
      <c r="AK4102"/>
      <c r="AL4102"/>
      <c r="AM4102"/>
      <c r="AN4102"/>
      <c r="AO4102"/>
      <c r="AP4102"/>
      <c r="AQ4102" t="s">
        <v>2526</v>
      </c>
      <c r="AU4102">
        <v>4101</v>
      </c>
    </row>
    <row r="4103" spans="1:47" x14ac:dyDescent="0.2">
      <c r="A4103" s="133">
        <v>6725</v>
      </c>
      <c r="B4103" s="39" t="s">
        <v>45</v>
      </c>
      <c r="C4103" s="39">
        <v>216</v>
      </c>
      <c r="D4103" s="29" t="b">
        <v>0</v>
      </c>
      <c r="E4103" s="39" t="s">
        <v>5286</v>
      </c>
      <c r="F4103" s="47" t="s">
        <v>48</v>
      </c>
      <c r="G4103" s="47" t="s">
        <v>49</v>
      </c>
      <c r="H4103"/>
      <c r="I4103" s="47" t="b">
        <v>0</v>
      </c>
      <c r="J4103" s="47" t="b">
        <v>0</v>
      </c>
      <c r="K4103" s="47">
        <v>488</v>
      </c>
      <c r="L4103" s="48">
        <v>7</v>
      </c>
      <c r="M4103" s="47">
        <v>0</v>
      </c>
      <c r="N4103" s="47">
        <v>0</v>
      </c>
      <c r="O4103" s="47">
        <v>0</v>
      </c>
      <c r="P4103" s="47">
        <v>0</v>
      </c>
      <c r="Q4103" s="47">
        <v>0</v>
      </c>
      <c r="R4103" s="47">
        <v>0</v>
      </c>
      <c r="S4103" s="48">
        <v>1</v>
      </c>
      <c r="T4103" s="47">
        <v>0</v>
      </c>
      <c r="U4103" s="47">
        <v>0</v>
      </c>
      <c r="V4103" s="47">
        <v>0</v>
      </c>
      <c r="W4103" s="47"/>
      <c r="X4103" s="47">
        <v>547</v>
      </c>
      <c r="Y4103" s="47"/>
      <c r="Z4103" s="47" t="s">
        <v>2466</v>
      </c>
      <c r="AA4103" s="49"/>
      <c r="AB4103" s="49"/>
      <c r="AC4103" s="49"/>
      <c r="AD4103" s="50"/>
      <c r="AE4103" s="47" t="s">
        <v>1312</v>
      </c>
      <c r="AF4103" s="47">
        <v>100</v>
      </c>
      <c r="AG4103"/>
      <c r="AH4103"/>
      <c r="AI4103"/>
      <c r="AJ4103"/>
      <c r="AK4103"/>
      <c r="AL4103"/>
      <c r="AM4103"/>
      <c r="AN4103"/>
      <c r="AO4103"/>
      <c r="AP4103"/>
      <c r="AQ4103" t="s">
        <v>2526</v>
      </c>
      <c r="AU4103">
        <v>4102</v>
      </c>
    </row>
    <row r="4104" spans="1:47" x14ac:dyDescent="0.2">
      <c r="A4104" s="133">
        <v>6725</v>
      </c>
      <c r="B4104" s="39" t="s">
        <v>45</v>
      </c>
      <c r="C4104" s="39" t="s">
        <v>142</v>
      </c>
      <c r="D4104" s="29"/>
      <c r="E4104" s="38" t="s">
        <v>5287</v>
      </c>
      <c r="F4104" s="32" t="s">
        <v>5288</v>
      </c>
      <c r="G4104" s="47" t="s">
        <v>69</v>
      </c>
      <c r="H4104"/>
      <c r="I4104" s="32" t="s">
        <v>5289</v>
      </c>
      <c r="J4104" s="47"/>
      <c r="K4104" s="47">
        <f>2975*2.2</f>
        <v>6545.0000000000009</v>
      </c>
      <c r="L4104" s="48">
        <v>21</v>
      </c>
      <c r="M4104" s="47"/>
      <c r="N4104" s="47"/>
      <c r="O4104" s="47"/>
      <c r="P4104" s="47"/>
      <c r="Q4104" s="47"/>
      <c r="R4104" s="47"/>
      <c r="S4104" s="48">
        <v>21</v>
      </c>
      <c r="T4104" s="47">
        <v>0</v>
      </c>
      <c r="U4104" s="47">
        <v>0</v>
      </c>
      <c r="V4104" s="47">
        <v>0</v>
      </c>
      <c r="W4104" s="47"/>
      <c r="X4104" s="47"/>
      <c r="Y4104" s="47" t="s">
        <v>51</v>
      </c>
      <c r="Z4104" s="31" t="s">
        <v>3855</v>
      </c>
      <c r="AA4104" s="49"/>
      <c r="AB4104" s="49"/>
      <c r="AC4104" s="49"/>
      <c r="AD4104" s="50"/>
      <c r="AE4104" s="47" t="s">
        <v>4217</v>
      </c>
      <c r="AF4104" s="47"/>
      <c r="AG4104"/>
      <c r="AH4104"/>
      <c r="AI4104"/>
      <c r="AJ4104"/>
      <c r="AK4104">
        <v>115</v>
      </c>
      <c r="AL4104"/>
      <c r="AM4104"/>
      <c r="AN4104"/>
      <c r="AO4104"/>
      <c r="AP4104"/>
      <c r="AQ4104" t="s">
        <v>5290</v>
      </c>
      <c r="AU4104">
        <v>4103</v>
      </c>
    </row>
    <row r="4105" spans="1:47" x14ac:dyDescent="0.2">
      <c r="A4105" s="133">
        <v>6725</v>
      </c>
      <c r="B4105" s="39" t="s">
        <v>45</v>
      </c>
      <c r="C4105" s="57" t="s">
        <v>4456</v>
      </c>
      <c r="D4105" s="29"/>
      <c r="E4105" s="38" t="s">
        <v>5291</v>
      </c>
      <c r="F4105" s="31" t="s">
        <v>5292</v>
      </c>
      <c r="G4105" s="47" t="s">
        <v>49</v>
      </c>
      <c r="H4105"/>
      <c r="I4105" s="32" t="s">
        <v>5293</v>
      </c>
      <c r="J4105" s="47"/>
      <c r="K4105" s="118">
        <f>3*8*50*2.2</f>
        <v>2640</v>
      </c>
      <c r="L4105" s="48">
        <v>3</v>
      </c>
      <c r="M4105" s="47"/>
      <c r="N4105" s="47"/>
      <c r="O4105" s="47"/>
      <c r="P4105" s="47"/>
      <c r="Q4105" s="47"/>
      <c r="R4105" s="47"/>
      <c r="S4105" s="48">
        <v>3</v>
      </c>
      <c r="T4105" s="47">
        <v>0</v>
      </c>
      <c r="U4105" s="47">
        <v>0</v>
      </c>
      <c r="V4105" s="47">
        <v>0</v>
      </c>
      <c r="W4105" s="47">
        <f>((1600+1700+1400)/3)*39.37/12</f>
        <v>5139.9722222222217</v>
      </c>
      <c r="X4105" s="47"/>
      <c r="Y4105" s="31" t="s">
        <v>51</v>
      </c>
      <c r="Z4105" s="31" t="s">
        <v>1846</v>
      </c>
      <c r="AA4105" s="49">
        <v>0.97222222222222221</v>
      </c>
      <c r="AB4105" s="49">
        <v>7.6388888888888895E-2</v>
      </c>
      <c r="AC4105" s="49">
        <v>2.4305555555555556E-2</v>
      </c>
      <c r="AD4105" s="50">
        <v>2</v>
      </c>
      <c r="AE4105" s="31" t="s">
        <v>4756</v>
      </c>
      <c r="AF4105" s="47"/>
      <c r="AG4105"/>
      <c r="AH4105"/>
      <c r="AI4105"/>
      <c r="AJ4105"/>
      <c r="AK4105" s="136">
        <f>3*8</f>
        <v>24</v>
      </c>
      <c r="AL4105"/>
      <c r="AM4105"/>
      <c r="AN4105"/>
      <c r="AO4105"/>
      <c r="AP4105"/>
      <c r="AQ4105" t="s">
        <v>5294</v>
      </c>
      <c r="AU4105">
        <v>4104</v>
      </c>
    </row>
    <row r="4106" spans="1:47" x14ac:dyDescent="0.2">
      <c r="A4106" s="133">
        <v>6725</v>
      </c>
      <c r="B4106" s="39" t="s">
        <v>45</v>
      </c>
      <c r="C4106" s="57" t="s">
        <v>4456</v>
      </c>
      <c r="D4106" s="29"/>
      <c r="E4106" s="38" t="s">
        <v>5295</v>
      </c>
      <c r="F4106" s="31" t="s">
        <v>5296</v>
      </c>
      <c r="G4106" s="47" t="s">
        <v>69</v>
      </c>
      <c r="H4106"/>
      <c r="I4106" s="32" t="s">
        <v>5297</v>
      </c>
      <c r="J4106" s="47"/>
      <c r="K4106" s="118">
        <f>3*8*50*2.2</f>
        <v>2640</v>
      </c>
      <c r="L4106" s="48">
        <v>3</v>
      </c>
      <c r="M4106" s="47"/>
      <c r="N4106" s="47"/>
      <c r="O4106" s="47"/>
      <c r="P4106" s="47"/>
      <c r="Q4106" s="47"/>
      <c r="R4106" s="47"/>
      <c r="S4106" s="48">
        <v>3</v>
      </c>
      <c r="T4106" s="47">
        <v>0</v>
      </c>
      <c r="U4106" s="47">
        <v>0</v>
      </c>
      <c r="V4106" s="47">
        <v>0</v>
      </c>
      <c r="W4106" s="47">
        <f>((1900+1800+1500)/3)*39.37/12</f>
        <v>5686.7777777777774</v>
      </c>
      <c r="X4106" s="47"/>
      <c r="Y4106" s="31" t="s">
        <v>51</v>
      </c>
      <c r="Z4106" s="31" t="s">
        <v>1846</v>
      </c>
      <c r="AA4106" s="49">
        <v>0.97222222222222221</v>
      </c>
      <c r="AB4106" s="49">
        <v>0.14583333333333334</v>
      </c>
      <c r="AC4106" s="49">
        <v>5.9027777777777783E-2</v>
      </c>
      <c r="AD4106" s="50">
        <f>1+35/60</f>
        <v>1.5833333333333335</v>
      </c>
      <c r="AE4106" s="31" t="s">
        <v>4756</v>
      </c>
      <c r="AF4106" s="47"/>
      <c r="AG4106"/>
      <c r="AH4106"/>
      <c r="AI4106"/>
      <c r="AJ4106"/>
      <c r="AK4106" s="136">
        <f>3*8</f>
        <v>24</v>
      </c>
      <c r="AL4106"/>
      <c r="AM4106"/>
      <c r="AN4106"/>
      <c r="AO4106"/>
      <c r="AP4106"/>
      <c r="AQ4106" t="s">
        <v>5294</v>
      </c>
      <c r="AU4106">
        <v>4105</v>
      </c>
    </row>
    <row r="4107" spans="1:47" x14ac:dyDescent="0.2">
      <c r="A4107" s="133">
        <v>6725</v>
      </c>
      <c r="B4107" s="39" t="s">
        <v>45</v>
      </c>
      <c r="C4107" s="57" t="s">
        <v>4456</v>
      </c>
      <c r="D4107" s="29"/>
      <c r="E4107" s="38" t="s">
        <v>5298</v>
      </c>
      <c r="F4107" s="31" t="s">
        <v>4647</v>
      </c>
      <c r="G4107" s="47" t="s">
        <v>69</v>
      </c>
      <c r="H4107"/>
      <c r="I4107" s="32" t="s">
        <v>5246</v>
      </c>
      <c r="J4107" s="47"/>
      <c r="K4107" s="118">
        <f>8*50*2.2</f>
        <v>880.00000000000011</v>
      </c>
      <c r="L4107" s="48">
        <v>1</v>
      </c>
      <c r="M4107" s="47"/>
      <c r="N4107" s="47"/>
      <c r="O4107" s="47"/>
      <c r="P4107" s="47"/>
      <c r="Q4107" s="47"/>
      <c r="R4107" s="47"/>
      <c r="S4107" s="48">
        <v>1</v>
      </c>
      <c r="T4107" s="47">
        <v>0</v>
      </c>
      <c r="U4107" s="47">
        <v>0</v>
      </c>
      <c r="V4107" s="47">
        <v>0</v>
      </c>
      <c r="W4107" s="47">
        <f>1000*39.37/12</f>
        <v>3280.8333333333335</v>
      </c>
      <c r="X4107" s="47"/>
      <c r="Y4107" s="31" t="s">
        <v>51</v>
      </c>
      <c r="Z4107" s="31" t="s">
        <v>1846</v>
      </c>
      <c r="AA4107" s="49">
        <v>9.375E-2</v>
      </c>
      <c r="AB4107" s="49">
        <v>0.13194444444444445</v>
      </c>
      <c r="AC4107" s="49">
        <f>AVERAGE(AA4107:AB4107)</f>
        <v>0.11284722222222222</v>
      </c>
      <c r="AD4107" s="50">
        <f>55/60</f>
        <v>0.91666666666666663</v>
      </c>
      <c r="AE4107" s="31" t="s">
        <v>4756</v>
      </c>
      <c r="AF4107" s="47">
        <v>40</v>
      </c>
      <c r="AG4107"/>
      <c r="AH4107"/>
      <c r="AI4107"/>
      <c r="AJ4107"/>
      <c r="AK4107" s="136">
        <v>8</v>
      </c>
      <c r="AL4107"/>
      <c r="AM4107"/>
      <c r="AN4107"/>
      <c r="AO4107"/>
      <c r="AP4107"/>
      <c r="AQ4107" t="s">
        <v>5294</v>
      </c>
      <c r="AU4107">
        <v>4106</v>
      </c>
    </row>
    <row r="4108" spans="1:47" x14ac:dyDescent="0.2">
      <c r="A4108" s="133">
        <v>6725</v>
      </c>
      <c r="B4108" s="39" t="s">
        <v>45</v>
      </c>
      <c r="C4108" s="57" t="s">
        <v>4456</v>
      </c>
      <c r="D4108" s="29"/>
      <c r="E4108" s="38" t="s">
        <v>4910</v>
      </c>
      <c r="F4108" s="31" t="s">
        <v>5299</v>
      </c>
      <c r="G4108" s="47" t="s">
        <v>49</v>
      </c>
      <c r="H4108"/>
      <c r="I4108" s="32" t="s">
        <v>5268</v>
      </c>
      <c r="J4108" s="47"/>
      <c r="K4108" s="118">
        <f>8*50*2.2</f>
        <v>880.00000000000011</v>
      </c>
      <c r="L4108" s="48">
        <v>1</v>
      </c>
      <c r="M4108" s="47"/>
      <c r="N4108" s="47"/>
      <c r="O4108" s="47"/>
      <c r="P4108" s="47"/>
      <c r="Q4108" s="47"/>
      <c r="R4108" s="47"/>
      <c r="S4108" s="48">
        <v>1</v>
      </c>
      <c r="T4108" s="47">
        <v>0</v>
      </c>
      <c r="U4108" s="47">
        <v>0</v>
      </c>
      <c r="V4108" s="47">
        <v>0</v>
      </c>
      <c r="W4108" s="47">
        <f>1500*39.37/12</f>
        <v>4921.2499999999991</v>
      </c>
      <c r="X4108" s="47"/>
      <c r="Y4108" s="31" t="s">
        <v>51</v>
      </c>
      <c r="Z4108" s="31" t="s">
        <v>1846</v>
      </c>
      <c r="AA4108" s="49">
        <v>0.98611111111111116</v>
      </c>
      <c r="AB4108" s="49">
        <v>4.5138888888888888E-2</v>
      </c>
      <c r="AC4108" s="49">
        <v>1.5277777777777777E-2</v>
      </c>
      <c r="AD4108" s="50">
        <f>1+25/60</f>
        <v>1.4166666666666667</v>
      </c>
      <c r="AE4108" s="31" t="s">
        <v>4756</v>
      </c>
      <c r="AF4108" s="47">
        <v>75</v>
      </c>
      <c r="AG4108"/>
      <c r="AH4108"/>
      <c r="AI4108"/>
      <c r="AJ4108"/>
      <c r="AK4108" s="136">
        <v>8</v>
      </c>
      <c r="AL4108"/>
      <c r="AM4108"/>
      <c r="AN4108"/>
      <c r="AO4108"/>
      <c r="AP4108"/>
      <c r="AQ4108" t="s">
        <v>5294</v>
      </c>
      <c r="AU4108">
        <v>4107</v>
      </c>
    </row>
    <row r="4109" spans="1:47" x14ac:dyDescent="0.2">
      <c r="A4109" s="13">
        <v>6725</v>
      </c>
      <c r="B4109" s="57" t="s">
        <v>45</v>
      </c>
      <c r="C4109" s="57" t="s">
        <v>5030</v>
      </c>
      <c r="D4109" s="29"/>
      <c r="E4109" s="57" t="s">
        <v>5216</v>
      </c>
      <c r="F4109" s="31" t="s">
        <v>76</v>
      </c>
      <c r="G4109" s="31" t="s">
        <v>49</v>
      </c>
      <c r="K4109" s="31">
        <v>275</v>
      </c>
      <c r="S4109" s="33">
        <v>1</v>
      </c>
      <c r="Z4109" s="31" t="s">
        <v>3855</v>
      </c>
      <c r="AE4109" s="31" t="s">
        <v>5248</v>
      </c>
      <c r="AF4109" s="31">
        <v>80</v>
      </c>
      <c r="AK4109" s="32">
        <v>5</v>
      </c>
      <c r="AQ4109" s="32" t="s">
        <v>5029</v>
      </c>
      <c r="AU4109">
        <v>4108</v>
      </c>
    </row>
    <row r="4110" spans="1:47" x14ac:dyDescent="0.2">
      <c r="A4110" s="13">
        <v>6725</v>
      </c>
      <c r="B4110" s="57" t="s">
        <v>45</v>
      </c>
      <c r="C4110" s="57" t="s">
        <v>5030</v>
      </c>
      <c r="D4110" s="29"/>
      <c r="E4110" s="57" t="s">
        <v>2040</v>
      </c>
      <c r="F4110" s="31" t="s">
        <v>76</v>
      </c>
      <c r="G4110" s="31" t="s">
        <v>49</v>
      </c>
      <c r="K4110" s="31">
        <v>330</v>
      </c>
      <c r="S4110" s="33">
        <v>1</v>
      </c>
      <c r="Z4110" s="31" t="s">
        <v>3855</v>
      </c>
      <c r="AE4110" s="31" t="s">
        <v>5248</v>
      </c>
      <c r="AF4110" s="31">
        <v>90</v>
      </c>
      <c r="AK4110" s="32">
        <v>6</v>
      </c>
      <c r="AQ4110" s="32" t="s">
        <v>5029</v>
      </c>
      <c r="AU4110">
        <v>4109</v>
      </c>
    </row>
    <row r="4111" spans="1:47" x14ac:dyDescent="0.2">
      <c r="A4111" s="13">
        <v>6725</v>
      </c>
      <c r="B4111" s="57" t="s">
        <v>45</v>
      </c>
      <c r="C4111" s="57" t="s">
        <v>5032</v>
      </c>
      <c r="D4111" s="29"/>
      <c r="E4111" s="57" t="s">
        <v>5216</v>
      </c>
      <c r="F4111" s="31" t="s">
        <v>76</v>
      </c>
      <c r="G4111" s="31" t="s">
        <v>49</v>
      </c>
      <c r="K4111" s="31">
        <v>495</v>
      </c>
      <c r="S4111" s="33">
        <v>1</v>
      </c>
      <c r="Z4111" s="31" t="s">
        <v>3814</v>
      </c>
      <c r="AE4111" s="31" t="s">
        <v>5248</v>
      </c>
      <c r="AF4111" s="31">
        <v>80</v>
      </c>
      <c r="AK4111" s="32">
        <v>7</v>
      </c>
      <c r="AQ4111" s="32" t="s">
        <v>5029</v>
      </c>
      <c r="AU4111">
        <v>4110</v>
      </c>
    </row>
    <row r="4112" spans="1:47" x14ac:dyDescent="0.2">
      <c r="A4112" s="13">
        <v>6725</v>
      </c>
      <c r="B4112" s="57" t="s">
        <v>45</v>
      </c>
      <c r="C4112" s="57" t="s">
        <v>1992</v>
      </c>
      <c r="D4112" s="29"/>
      <c r="E4112" s="57" t="s">
        <v>1404</v>
      </c>
      <c r="F4112" s="31" t="s">
        <v>76</v>
      </c>
      <c r="G4112" s="31" t="s">
        <v>49</v>
      </c>
      <c r="K4112" s="31">
        <v>770</v>
      </c>
      <c r="Z4112" s="31" t="s">
        <v>3814</v>
      </c>
      <c r="AE4112" s="31" t="s">
        <v>4756</v>
      </c>
      <c r="AF4112" s="31">
        <v>120</v>
      </c>
      <c r="AK4112" s="32">
        <v>14</v>
      </c>
      <c r="AQ4112" s="32" t="s">
        <v>5109</v>
      </c>
      <c r="AU4112">
        <v>4111</v>
      </c>
    </row>
    <row r="4113" spans="1:47" x14ac:dyDescent="0.2">
      <c r="A4113" s="13">
        <v>6725</v>
      </c>
      <c r="B4113" s="57" t="s">
        <v>45</v>
      </c>
      <c r="C4113" s="57" t="s">
        <v>1992</v>
      </c>
      <c r="D4113" s="29"/>
      <c r="E4113" s="57" t="s">
        <v>788</v>
      </c>
      <c r="F4113" s="31" t="s">
        <v>76</v>
      </c>
      <c r="G4113" s="31" t="s">
        <v>49</v>
      </c>
      <c r="K4113" s="31">
        <v>1078</v>
      </c>
      <c r="Z4113" s="31" t="s">
        <v>3814</v>
      </c>
      <c r="AE4113" s="31" t="s">
        <v>4756</v>
      </c>
      <c r="AF4113" s="31">
        <v>135</v>
      </c>
      <c r="AK4113" s="32">
        <v>15</v>
      </c>
      <c r="AQ4113" s="32" t="s">
        <v>5109</v>
      </c>
      <c r="AU4113">
        <v>4112</v>
      </c>
    </row>
    <row r="4114" spans="1:47" x14ac:dyDescent="0.2">
      <c r="A4114" s="13">
        <v>6725</v>
      </c>
      <c r="B4114" s="57" t="s">
        <v>45</v>
      </c>
      <c r="C4114" s="57" t="s">
        <v>1992</v>
      </c>
      <c r="D4114" s="29"/>
      <c r="E4114" s="57" t="s">
        <v>1048</v>
      </c>
      <c r="F4114" s="31" t="s">
        <v>76</v>
      </c>
      <c r="G4114" s="31" t="s">
        <v>49</v>
      </c>
      <c r="K4114" s="31">
        <v>1078</v>
      </c>
      <c r="Z4114" s="31" t="s">
        <v>3814</v>
      </c>
      <c r="AE4114" s="31" t="s">
        <v>4756</v>
      </c>
      <c r="AF4114" s="31">
        <v>160</v>
      </c>
      <c r="AK4114" s="32">
        <v>15</v>
      </c>
      <c r="AQ4114" s="32" t="s">
        <v>5109</v>
      </c>
      <c r="AU4114">
        <v>4113</v>
      </c>
    </row>
    <row r="4115" spans="1:47" x14ac:dyDescent="0.2">
      <c r="A4115" s="13">
        <v>6725</v>
      </c>
      <c r="B4115" s="57" t="s">
        <v>45</v>
      </c>
      <c r="C4115" s="57" t="s">
        <v>5032</v>
      </c>
      <c r="D4115" s="29"/>
      <c r="E4115" s="57" t="s">
        <v>977</v>
      </c>
      <c r="F4115" s="31" t="s">
        <v>76</v>
      </c>
      <c r="G4115" s="31" t="s">
        <v>49</v>
      </c>
      <c r="K4115" s="31">
        <v>4070</v>
      </c>
      <c r="S4115" s="33">
        <v>3</v>
      </c>
      <c r="Z4115" s="31" t="s">
        <v>3814</v>
      </c>
      <c r="AE4115" s="31" t="s">
        <v>5248</v>
      </c>
      <c r="AF4115" s="31">
        <v>70</v>
      </c>
      <c r="AK4115" s="32">
        <v>45</v>
      </c>
      <c r="AQ4115" s="32" t="s">
        <v>5029</v>
      </c>
      <c r="AU4115">
        <v>4114</v>
      </c>
    </row>
    <row r="4116" spans="1:47" x14ac:dyDescent="0.2">
      <c r="A4116" s="26">
        <v>6725</v>
      </c>
      <c r="B4116" s="27">
        <v>0.31597222222222221</v>
      </c>
      <c r="C4116" s="28"/>
      <c r="D4116" s="29"/>
      <c r="E4116" s="30" t="s">
        <v>464</v>
      </c>
      <c r="H4116" s="32">
        <v>0</v>
      </c>
      <c r="I4116" s="32" t="s">
        <v>5300</v>
      </c>
      <c r="AG4116" s="32">
        <v>0</v>
      </c>
      <c r="AH4116" s="32">
        <v>0</v>
      </c>
      <c r="AL4116" s="32">
        <v>2.25</v>
      </c>
      <c r="AO4116" s="32" t="s">
        <v>4067</v>
      </c>
      <c r="AP4116" s="32">
        <v>2.25</v>
      </c>
      <c r="AQ4116" s="32" t="s">
        <v>1522</v>
      </c>
      <c r="AU4116">
        <v>4115</v>
      </c>
    </row>
    <row r="4117" spans="1:47" x14ac:dyDescent="0.2">
      <c r="A4117" s="26">
        <v>6725</v>
      </c>
      <c r="B4117" s="27">
        <v>0.34375</v>
      </c>
      <c r="C4117" s="28"/>
      <c r="D4117" s="29"/>
      <c r="E4117" s="30" t="s">
        <v>4219</v>
      </c>
      <c r="H4117" s="32">
        <v>0</v>
      </c>
      <c r="I4117" s="32" t="s">
        <v>5301</v>
      </c>
      <c r="AG4117" s="32">
        <v>0</v>
      </c>
      <c r="AH4117" s="32">
        <v>0</v>
      </c>
      <c r="AI4117" s="32">
        <v>0</v>
      </c>
      <c r="AK4117" s="32">
        <v>0</v>
      </c>
      <c r="AL4117" s="32">
        <v>0.33300000000000002</v>
      </c>
      <c r="AO4117" s="32" t="s">
        <v>858</v>
      </c>
      <c r="AP4117" s="32">
        <v>0.33300000000000002</v>
      </c>
      <c r="AQ4117" s="32" t="s">
        <v>1101</v>
      </c>
      <c r="AU4117">
        <v>4116</v>
      </c>
    </row>
    <row r="4118" spans="1:47" x14ac:dyDescent="0.2">
      <c r="A4118" s="26">
        <v>6725</v>
      </c>
      <c r="B4118" s="27">
        <v>0.4458333333333333</v>
      </c>
      <c r="C4118" s="28"/>
      <c r="D4118" s="29"/>
      <c r="E4118" s="102" t="s">
        <v>1102</v>
      </c>
      <c r="H4118" s="32">
        <v>0</v>
      </c>
      <c r="I4118" s="32" t="s">
        <v>1103</v>
      </c>
      <c r="AG4118" s="32">
        <v>0</v>
      </c>
      <c r="AH4118" s="32">
        <v>0</v>
      </c>
      <c r="AI4118" s="32">
        <v>0</v>
      </c>
      <c r="AK4118" s="32">
        <v>0</v>
      </c>
      <c r="AL4118" s="32">
        <f>28/60</f>
        <v>0.46666666666666667</v>
      </c>
      <c r="AO4118" s="73" t="s">
        <v>1006</v>
      </c>
      <c r="AP4118" s="32">
        <f>28/60</f>
        <v>0.46666666666666667</v>
      </c>
      <c r="AQ4118" s="32" t="s">
        <v>589</v>
      </c>
      <c r="AU4118">
        <v>4117</v>
      </c>
    </row>
    <row r="4119" spans="1:47" x14ac:dyDescent="0.2">
      <c r="A4119" s="26">
        <v>6725</v>
      </c>
      <c r="B4119" s="27">
        <v>0.4513888888888889</v>
      </c>
      <c r="C4119" s="28"/>
      <c r="D4119" s="29"/>
      <c r="E4119" s="30" t="s">
        <v>5224</v>
      </c>
      <c r="H4119" s="32">
        <v>0</v>
      </c>
      <c r="I4119" s="32" t="s">
        <v>5225</v>
      </c>
      <c r="AG4119" s="32">
        <v>0</v>
      </c>
      <c r="AH4119" s="32">
        <v>0</v>
      </c>
      <c r="AI4119" s="32">
        <v>0</v>
      </c>
      <c r="AK4119" s="32">
        <v>0</v>
      </c>
      <c r="AL4119" s="32">
        <f>67/60</f>
        <v>1.1166666666666667</v>
      </c>
      <c r="AP4119" s="32">
        <f>67/60</f>
        <v>1.1166666666666667</v>
      </c>
      <c r="AQ4119" s="32" t="s">
        <v>1101</v>
      </c>
      <c r="AU4119">
        <v>4118</v>
      </c>
    </row>
    <row r="4120" spans="1:47" x14ac:dyDescent="0.2">
      <c r="A4120" s="26">
        <v>6725</v>
      </c>
      <c r="B4120" s="27">
        <v>0.93402777777777779</v>
      </c>
      <c r="C4120" s="28"/>
      <c r="D4120" s="29"/>
      <c r="E4120" s="30" t="s">
        <v>1282</v>
      </c>
      <c r="H4120" s="32">
        <v>0</v>
      </c>
      <c r="I4120" s="32" t="s">
        <v>5302</v>
      </c>
      <c r="AG4120" s="32">
        <v>0</v>
      </c>
      <c r="AH4120" s="32">
        <v>0</v>
      </c>
      <c r="AI4120" s="32">
        <v>0</v>
      </c>
      <c r="AK4120" s="32">
        <v>0</v>
      </c>
      <c r="AL4120" s="32">
        <v>4.75</v>
      </c>
      <c r="AP4120" s="32">
        <v>4.75</v>
      </c>
      <c r="AQ4120" s="32" t="s">
        <v>1101</v>
      </c>
      <c r="AU4120">
        <v>4119</v>
      </c>
    </row>
    <row r="4121" spans="1:47" x14ac:dyDescent="0.2">
      <c r="A4121" s="26">
        <v>6725</v>
      </c>
      <c r="B4121" s="27">
        <v>0.9375</v>
      </c>
      <c r="C4121" s="28"/>
      <c r="D4121" s="29"/>
      <c r="E4121" s="30" t="s">
        <v>464</v>
      </c>
      <c r="H4121" s="32">
        <v>0</v>
      </c>
      <c r="I4121" s="32" t="s">
        <v>5303</v>
      </c>
      <c r="AG4121" s="32">
        <v>0</v>
      </c>
      <c r="AH4121" s="32">
        <v>0</v>
      </c>
      <c r="AL4121" s="32">
        <f>115/60</f>
        <v>1.9166666666666667</v>
      </c>
      <c r="AO4121" s="32" t="s">
        <v>4067</v>
      </c>
      <c r="AP4121" s="32">
        <f>115/60</f>
        <v>1.9166666666666667</v>
      </c>
      <c r="AQ4121" s="32" t="s">
        <v>1522</v>
      </c>
      <c r="AU4121">
        <v>4120</v>
      </c>
    </row>
    <row r="4122" spans="1:47" x14ac:dyDescent="0.2">
      <c r="A4122" s="26">
        <v>6725</v>
      </c>
      <c r="B4122" s="27" t="s">
        <v>85</v>
      </c>
      <c r="C4122" s="28"/>
      <c r="D4122" s="29"/>
      <c r="E4122" s="30" t="s">
        <v>1168</v>
      </c>
      <c r="H4122" s="32">
        <v>1</v>
      </c>
      <c r="I4122" s="32" t="s">
        <v>5304</v>
      </c>
      <c r="AL4122" s="32">
        <v>0</v>
      </c>
      <c r="AQ4122" s="32" t="s">
        <v>5305</v>
      </c>
      <c r="AU4122">
        <v>4121</v>
      </c>
    </row>
    <row r="4123" spans="1:47" x14ac:dyDescent="0.2">
      <c r="A4123" s="26">
        <v>6725</v>
      </c>
      <c r="B4123" s="27" t="s">
        <v>45</v>
      </c>
      <c r="C4123" s="28"/>
      <c r="D4123" s="29"/>
      <c r="E4123" s="30" t="s">
        <v>1168</v>
      </c>
      <c r="H4123" s="32">
        <v>1</v>
      </c>
      <c r="I4123" s="32" t="s">
        <v>5306</v>
      </c>
      <c r="AO4123" s="73"/>
      <c r="AQ4123" s="32" t="s">
        <v>5305</v>
      </c>
      <c r="AU4123">
        <v>4122</v>
      </c>
    </row>
    <row r="4124" spans="1:47" x14ac:dyDescent="0.2">
      <c r="A4124" s="26">
        <v>6725</v>
      </c>
      <c r="B4124" s="27" t="s">
        <v>45</v>
      </c>
      <c r="C4124" s="28"/>
      <c r="D4124" s="29"/>
      <c r="E4124" s="30" t="s">
        <v>1531</v>
      </c>
      <c r="H4124" s="32">
        <v>0</v>
      </c>
      <c r="I4124" s="32" t="s">
        <v>5307</v>
      </c>
      <c r="AG4124" s="32">
        <v>0</v>
      </c>
      <c r="AH4124" s="32">
        <v>0</v>
      </c>
      <c r="AI4124" s="32">
        <v>0</v>
      </c>
      <c r="AK4124" s="32">
        <v>0</v>
      </c>
      <c r="AM4124" s="32">
        <f>498*99</f>
        <v>49302</v>
      </c>
      <c r="AO4124" s="32" t="s">
        <v>1533</v>
      </c>
      <c r="AQ4124" s="32" t="s">
        <v>1101</v>
      </c>
      <c r="AU4124">
        <v>4123</v>
      </c>
    </row>
    <row r="4125" spans="1:47" x14ac:dyDescent="0.2">
      <c r="A4125" s="26">
        <v>6725</v>
      </c>
      <c r="B4125" s="27" t="s">
        <v>45</v>
      </c>
      <c r="C4125" s="28"/>
      <c r="D4125" s="29"/>
      <c r="E4125" s="150" t="s">
        <v>2286</v>
      </c>
      <c r="H4125" s="32">
        <v>0</v>
      </c>
      <c r="I4125" s="32" t="s">
        <v>1824</v>
      </c>
      <c r="AG4125" s="32">
        <v>0</v>
      </c>
      <c r="AH4125" s="32">
        <v>0</v>
      </c>
      <c r="AI4125" s="32">
        <v>0</v>
      </c>
      <c r="AK4125" s="32">
        <v>0</v>
      </c>
      <c r="AM4125" s="32">
        <v>12000</v>
      </c>
      <c r="AO4125" s="73" t="s">
        <v>75</v>
      </c>
      <c r="AQ4125" s="32" t="s">
        <v>589</v>
      </c>
      <c r="AU4125">
        <v>4124</v>
      </c>
    </row>
    <row r="4126" spans="1:47" x14ac:dyDescent="0.2">
      <c r="A4126" s="26">
        <v>6725</v>
      </c>
      <c r="B4126" s="27"/>
      <c r="C4126" s="28"/>
      <c r="D4126" s="29"/>
      <c r="E4126" s="30" t="s">
        <v>4666</v>
      </c>
      <c r="H4126" s="32">
        <v>1</v>
      </c>
      <c r="I4126" s="32" t="s">
        <v>5308</v>
      </c>
      <c r="AG4126" s="32">
        <v>14</v>
      </c>
      <c r="AH4126" s="32">
        <v>11</v>
      </c>
      <c r="AI4126" s="32">
        <v>9000</v>
      </c>
      <c r="AK4126" s="32">
        <v>25</v>
      </c>
      <c r="AL4126" s="32">
        <v>0</v>
      </c>
      <c r="AO4126" s="32" t="s">
        <v>4668</v>
      </c>
      <c r="AQ4126" s="32">
        <v>408</v>
      </c>
      <c r="AU4126">
        <v>4125</v>
      </c>
    </row>
    <row r="4127" spans="1:47" x14ac:dyDescent="0.2">
      <c r="A4127" s="26">
        <v>6725</v>
      </c>
      <c r="B4127" s="27"/>
      <c r="C4127" s="28"/>
      <c r="D4127" s="29"/>
      <c r="E4127" s="102" t="s">
        <v>1421</v>
      </c>
      <c r="H4127" s="32">
        <v>1</v>
      </c>
      <c r="I4127" s="32" t="s">
        <v>1422</v>
      </c>
      <c r="AK4127" s="32">
        <v>14</v>
      </c>
      <c r="AO4127" s="73"/>
      <c r="AQ4127" s="32" t="s">
        <v>589</v>
      </c>
      <c r="AU4127">
        <v>4126</v>
      </c>
    </row>
    <row r="4128" spans="1:47" x14ac:dyDescent="0.2">
      <c r="A4128" s="133">
        <v>6726</v>
      </c>
      <c r="B4128" s="39" t="s">
        <v>85</v>
      </c>
      <c r="C4128" s="39">
        <v>55</v>
      </c>
      <c r="D4128" s="29" t="b">
        <v>0</v>
      </c>
      <c r="E4128" s="39" t="s">
        <v>720</v>
      </c>
      <c r="F4128" s="47" t="s">
        <v>5309</v>
      </c>
      <c r="G4128" s="47" t="s">
        <v>49</v>
      </c>
      <c r="H4128"/>
      <c r="I4128" s="47" t="b">
        <v>0</v>
      </c>
      <c r="J4128" s="47" t="b">
        <v>1</v>
      </c>
      <c r="K4128" s="47">
        <v>2464</v>
      </c>
      <c r="L4128" s="48">
        <v>12</v>
      </c>
      <c r="M4128" s="47">
        <v>0</v>
      </c>
      <c r="N4128" s="47">
        <v>0</v>
      </c>
      <c r="O4128" s="47">
        <v>0</v>
      </c>
      <c r="P4128" s="47">
        <v>12</v>
      </c>
      <c r="Q4128" s="47">
        <v>0</v>
      </c>
      <c r="R4128" s="47">
        <v>0</v>
      </c>
      <c r="S4128" s="48">
        <v>11</v>
      </c>
      <c r="T4128" s="47">
        <v>1</v>
      </c>
      <c r="U4128" s="47">
        <v>0</v>
      </c>
      <c r="V4128" s="47">
        <v>0</v>
      </c>
      <c r="W4128" s="47">
        <v>15000</v>
      </c>
      <c r="X4128" s="47">
        <v>548</v>
      </c>
      <c r="Y4128" s="47"/>
      <c r="Z4128" s="47" t="s">
        <v>3618</v>
      </c>
      <c r="AA4128" s="49"/>
      <c r="AB4128" s="49"/>
      <c r="AC4128" s="49"/>
      <c r="AD4128" s="50"/>
      <c r="AE4128" s="47" t="s">
        <v>3798</v>
      </c>
      <c r="AF4128" s="47">
        <v>175</v>
      </c>
      <c r="AM4128"/>
      <c r="AN4128"/>
      <c r="AO4128"/>
      <c r="AP4128"/>
      <c r="AQ4128" t="s">
        <v>2526</v>
      </c>
      <c r="AU4128">
        <v>4127</v>
      </c>
    </row>
    <row r="4129" spans="1:47" x14ac:dyDescent="0.2">
      <c r="A4129" s="133">
        <v>6726</v>
      </c>
      <c r="B4129" s="39" t="s">
        <v>85</v>
      </c>
      <c r="C4129" s="39">
        <v>99</v>
      </c>
      <c r="D4129" s="29" t="b">
        <v>0</v>
      </c>
      <c r="E4129" s="39" t="s">
        <v>1168</v>
      </c>
      <c r="F4129" s="47" t="s">
        <v>5176</v>
      </c>
      <c r="G4129" s="47" t="s">
        <v>49</v>
      </c>
      <c r="H4129"/>
      <c r="I4129" s="47" t="b">
        <v>0</v>
      </c>
      <c r="J4129" s="47" t="b">
        <v>1</v>
      </c>
      <c r="K4129" s="47">
        <v>2240</v>
      </c>
      <c r="L4129" s="48">
        <v>11</v>
      </c>
      <c r="M4129" s="47">
        <v>0</v>
      </c>
      <c r="N4129" s="47">
        <v>0</v>
      </c>
      <c r="O4129" s="47">
        <v>0</v>
      </c>
      <c r="P4129" s="47">
        <v>11</v>
      </c>
      <c r="Q4129" s="47">
        <v>0</v>
      </c>
      <c r="R4129" s="47">
        <v>0</v>
      </c>
      <c r="S4129" s="48">
        <v>11</v>
      </c>
      <c r="T4129" s="47">
        <v>0</v>
      </c>
      <c r="U4129" s="47">
        <v>0</v>
      </c>
      <c r="V4129" s="47">
        <v>0</v>
      </c>
      <c r="W4129" s="47">
        <v>13500</v>
      </c>
      <c r="X4129" s="47">
        <v>549</v>
      </c>
      <c r="Y4129" s="47" t="s">
        <v>51</v>
      </c>
      <c r="Z4129" s="47" t="s">
        <v>5139</v>
      </c>
      <c r="AA4129" s="49">
        <v>0.17708333333333334</v>
      </c>
      <c r="AB4129" s="49"/>
      <c r="AC4129" s="49"/>
      <c r="AD4129" s="50"/>
      <c r="AE4129" s="47" t="s">
        <v>3798</v>
      </c>
      <c r="AF4129" s="47">
        <v>70</v>
      </c>
      <c r="AG4129"/>
      <c r="AH4129"/>
      <c r="AI4129"/>
      <c r="AJ4129"/>
      <c r="AK4129"/>
      <c r="AL4129"/>
      <c r="AM4129"/>
      <c r="AN4129"/>
      <c r="AO4129"/>
      <c r="AP4129"/>
      <c r="AQ4129" t="s">
        <v>2526</v>
      </c>
      <c r="AR4129" s="32" t="s">
        <v>5310</v>
      </c>
      <c r="AU4129">
        <v>4128</v>
      </c>
    </row>
    <row r="4130" spans="1:47" x14ac:dyDescent="0.2">
      <c r="A4130" s="37">
        <v>6726</v>
      </c>
      <c r="B4130" s="38" t="s">
        <v>85</v>
      </c>
      <c r="C4130" s="39" t="s">
        <v>4940</v>
      </c>
      <c r="D4130" s="29"/>
      <c r="E4130" s="38" t="s">
        <v>5311</v>
      </c>
      <c r="F4130" s="32"/>
      <c r="G4130" s="47"/>
      <c r="H4130"/>
      <c r="I4130" s="32"/>
      <c r="J4130" s="47"/>
      <c r="K4130" s="47"/>
      <c r="L4130" s="48"/>
      <c r="M4130" s="47"/>
      <c r="N4130" s="47"/>
      <c r="O4130" s="47"/>
      <c r="P4130" s="47"/>
      <c r="Q4130" s="47"/>
      <c r="R4130" s="47"/>
      <c r="S4130" s="48"/>
      <c r="T4130" s="47"/>
      <c r="U4130" s="47"/>
      <c r="V4130" s="47"/>
      <c r="W4130" s="47"/>
      <c r="X4130" s="47"/>
      <c r="Y4130" s="47"/>
      <c r="Z4130" s="31" t="s">
        <v>3724</v>
      </c>
      <c r="AA4130" s="49"/>
      <c r="AB4130" s="49"/>
      <c r="AC4130" s="49"/>
      <c r="AD4130" s="50"/>
      <c r="AE4130" s="31" t="s">
        <v>4898</v>
      </c>
      <c r="AF4130" s="47"/>
      <c r="AG4130"/>
      <c r="AH4130"/>
      <c r="AI4130"/>
      <c r="AJ4130"/>
      <c r="AK4130"/>
      <c r="AL4130"/>
      <c r="AM4130"/>
      <c r="AN4130"/>
      <c r="AO4130"/>
      <c r="AP4130"/>
      <c r="AQ4130" t="s">
        <v>5282</v>
      </c>
      <c r="AU4130">
        <v>4129</v>
      </c>
    </row>
    <row r="4131" spans="1:47" x14ac:dyDescent="0.2">
      <c r="A4131" s="37">
        <v>6726</v>
      </c>
      <c r="B4131" s="38" t="s">
        <v>85</v>
      </c>
      <c r="C4131" s="39" t="s">
        <v>4849</v>
      </c>
      <c r="D4131" s="29"/>
      <c r="E4131" s="38" t="s">
        <v>5312</v>
      </c>
      <c r="F4131" s="32" t="s">
        <v>5313</v>
      </c>
      <c r="G4131" s="47" t="s">
        <v>69</v>
      </c>
      <c r="H4131"/>
      <c r="I4131" s="186" t="s">
        <v>5314</v>
      </c>
      <c r="J4131" s="187"/>
      <c r="K4131" s="47">
        <f>37760*2.2</f>
        <v>83072</v>
      </c>
      <c r="M4131" s="47"/>
      <c r="N4131" s="47"/>
      <c r="O4131" s="47"/>
      <c r="P4131" s="47"/>
      <c r="Q4131" s="47"/>
      <c r="R4131" s="47"/>
      <c r="S4131" s="48">
        <v>223</v>
      </c>
      <c r="T4131" s="47">
        <v>5</v>
      </c>
      <c r="U4131" s="47"/>
      <c r="V4131" s="47"/>
      <c r="W4131" s="47"/>
      <c r="X4131" s="47"/>
      <c r="Y4131" s="47" t="s">
        <v>120</v>
      </c>
      <c r="Z4131" s="31" t="s">
        <v>3724</v>
      </c>
      <c r="AA4131" s="49"/>
      <c r="AB4131" s="49"/>
      <c r="AC4131" s="49"/>
      <c r="AD4131" s="50"/>
      <c r="AE4131" s="47"/>
      <c r="AF4131" s="47"/>
      <c r="AG4131"/>
      <c r="AH4131"/>
      <c r="AI4131"/>
      <c r="AJ4131"/>
      <c r="AK4131"/>
      <c r="AL4131"/>
      <c r="AM4131"/>
      <c r="AN4131"/>
      <c r="AO4131"/>
      <c r="AP4131"/>
      <c r="AQ4131" t="s">
        <v>5315</v>
      </c>
      <c r="AU4131">
        <v>4130</v>
      </c>
    </row>
    <row r="4132" spans="1:47" x14ac:dyDescent="0.2">
      <c r="A4132" s="133">
        <v>6726</v>
      </c>
      <c r="B4132" s="39" t="s">
        <v>45</v>
      </c>
      <c r="C4132" s="39">
        <v>100</v>
      </c>
      <c r="D4132" s="29" t="b">
        <v>0</v>
      </c>
      <c r="E4132" s="39" t="s">
        <v>5316</v>
      </c>
      <c r="F4132" s="47" t="s">
        <v>5317</v>
      </c>
      <c r="G4132" s="47" t="s">
        <v>49</v>
      </c>
      <c r="H4132"/>
      <c r="I4132" s="47" t="b">
        <v>1</v>
      </c>
      <c r="J4132" s="47" t="b">
        <v>1</v>
      </c>
      <c r="K4132" s="47">
        <v>3296</v>
      </c>
      <c r="L4132" s="48">
        <v>15</v>
      </c>
      <c r="M4132" s="47">
        <v>0</v>
      </c>
      <c r="N4132" s="47">
        <v>0</v>
      </c>
      <c r="O4132" s="47">
        <v>0</v>
      </c>
      <c r="P4132" s="47">
        <v>0</v>
      </c>
      <c r="Q4132" s="47">
        <v>0</v>
      </c>
      <c r="R4132" s="47">
        <v>0</v>
      </c>
      <c r="S4132" s="48">
        <v>15</v>
      </c>
      <c r="T4132" s="47">
        <v>0</v>
      </c>
      <c r="U4132" s="47">
        <v>0</v>
      </c>
      <c r="V4132" s="47">
        <v>0</v>
      </c>
      <c r="W4132" s="47">
        <v>2500</v>
      </c>
      <c r="X4132" s="47">
        <v>550</v>
      </c>
      <c r="Y4132" s="47"/>
      <c r="Z4132" s="47" t="s">
        <v>2524</v>
      </c>
      <c r="AA4132" s="49"/>
      <c r="AB4132" s="49"/>
      <c r="AC4132" s="49"/>
      <c r="AD4132" s="50"/>
      <c r="AE4132" s="47" t="s">
        <v>1312</v>
      </c>
      <c r="AF4132" s="31">
        <v>85</v>
      </c>
      <c r="AG4132"/>
      <c r="AH4132"/>
      <c r="AI4132"/>
      <c r="AJ4132"/>
      <c r="AK4132"/>
      <c r="AL4132"/>
      <c r="AM4132"/>
      <c r="AN4132"/>
      <c r="AO4132"/>
      <c r="AP4132"/>
      <c r="AQ4132" t="s">
        <v>2526</v>
      </c>
      <c r="AU4132">
        <v>4131</v>
      </c>
    </row>
    <row r="4133" spans="1:47" x14ac:dyDescent="0.2">
      <c r="A4133" s="133">
        <v>6726</v>
      </c>
      <c r="B4133" s="39" t="s">
        <v>45</v>
      </c>
      <c r="C4133" s="39">
        <v>100</v>
      </c>
      <c r="D4133" s="29" t="b">
        <v>0</v>
      </c>
      <c r="E4133" s="39" t="s">
        <v>1764</v>
      </c>
      <c r="F4133" s="47" t="s">
        <v>5317</v>
      </c>
      <c r="G4133" s="47" t="s">
        <v>49</v>
      </c>
      <c r="H4133"/>
      <c r="I4133" s="47" t="b">
        <v>0</v>
      </c>
      <c r="J4133" s="47" t="b">
        <v>0</v>
      </c>
      <c r="K4133" s="47">
        <v>1994</v>
      </c>
      <c r="L4133" s="48">
        <v>15</v>
      </c>
      <c r="M4133" s="47">
        <v>0</v>
      </c>
      <c r="N4133" s="47">
        <v>0</v>
      </c>
      <c r="O4133" s="47">
        <v>0</v>
      </c>
      <c r="P4133" s="47">
        <v>0</v>
      </c>
      <c r="Q4133" s="47">
        <v>0</v>
      </c>
      <c r="R4133" s="47">
        <v>0</v>
      </c>
      <c r="S4133" s="48">
        <v>8</v>
      </c>
      <c r="T4133" s="47">
        <v>0</v>
      </c>
      <c r="U4133" s="47">
        <v>0</v>
      </c>
      <c r="V4133" s="47">
        <v>0</v>
      </c>
      <c r="W4133" s="47">
        <v>2500</v>
      </c>
      <c r="X4133" s="47">
        <v>551</v>
      </c>
      <c r="Y4133" s="47"/>
      <c r="Z4133" s="47" t="s">
        <v>2524</v>
      </c>
      <c r="AA4133" s="49"/>
      <c r="AB4133" s="49"/>
      <c r="AC4133" s="49"/>
      <c r="AD4133" s="50"/>
      <c r="AE4133" s="47" t="s">
        <v>1312</v>
      </c>
      <c r="AF4133" s="31">
        <v>85</v>
      </c>
      <c r="AG4133"/>
      <c r="AH4133"/>
      <c r="AI4133"/>
      <c r="AJ4133"/>
      <c r="AK4133"/>
      <c r="AL4133"/>
      <c r="AM4133"/>
      <c r="AN4133"/>
      <c r="AO4133"/>
      <c r="AP4133"/>
      <c r="AQ4133" t="s">
        <v>2526</v>
      </c>
      <c r="AU4133">
        <v>4132</v>
      </c>
    </row>
    <row r="4134" spans="1:47" x14ac:dyDescent="0.2">
      <c r="A4134" s="133">
        <v>6726</v>
      </c>
      <c r="B4134" s="39" t="s">
        <v>45</v>
      </c>
      <c r="C4134" s="39">
        <v>100</v>
      </c>
      <c r="D4134" s="29" t="b">
        <v>0</v>
      </c>
      <c r="E4134" s="39" t="s">
        <v>364</v>
      </c>
      <c r="F4134" s="47" t="s">
        <v>48</v>
      </c>
      <c r="G4134" s="47" t="s">
        <v>49</v>
      </c>
      <c r="H4134"/>
      <c r="I4134" s="47" t="b">
        <v>0</v>
      </c>
      <c r="J4134" s="47" t="b">
        <v>0</v>
      </c>
      <c r="K4134" s="47">
        <v>1302</v>
      </c>
      <c r="L4134" s="48">
        <v>15</v>
      </c>
      <c r="M4134" s="47">
        <v>0</v>
      </c>
      <c r="N4134" s="47">
        <v>0</v>
      </c>
      <c r="O4134" s="47">
        <v>0</v>
      </c>
      <c r="P4134" s="47">
        <v>0</v>
      </c>
      <c r="Q4134" s="47">
        <v>0</v>
      </c>
      <c r="R4134" s="47">
        <v>0</v>
      </c>
      <c r="S4134" s="48">
        <v>7</v>
      </c>
      <c r="T4134" s="47">
        <v>0</v>
      </c>
      <c r="U4134" s="47">
        <v>0</v>
      </c>
      <c r="V4134" s="47">
        <v>0</v>
      </c>
      <c r="W4134" s="47">
        <v>2500</v>
      </c>
      <c r="X4134" s="47">
        <v>552</v>
      </c>
      <c r="Y4134" s="47"/>
      <c r="Z4134" s="47" t="s">
        <v>2524</v>
      </c>
      <c r="AA4134" s="49"/>
      <c r="AB4134" s="49"/>
      <c r="AC4134" s="49"/>
      <c r="AD4134" s="50"/>
      <c r="AE4134" s="47" t="s">
        <v>1312</v>
      </c>
      <c r="AF4134" s="47">
        <v>60</v>
      </c>
      <c r="AG4134"/>
      <c r="AH4134"/>
      <c r="AI4134"/>
      <c r="AJ4134"/>
      <c r="AK4134"/>
      <c r="AL4134"/>
      <c r="AM4134"/>
      <c r="AN4134"/>
      <c r="AO4134"/>
      <c r="AP4134"/>
      <c r="AQ4134" t="s">
        <v>2526</v>
      </c>
      <c r="AU4134">
        <v>4133</v>
      </c>
    </row>
    <row r="4135" spans="1:47" x14ac:dyDescent="0.2">
      <c r="A4135" s="133">
        <v>6726</v>
      </c>
      <c r="B4135" s="39" t="s">
        <v>45</v>
      </c>
      <c r="C4135" s="39">
        <v>216</v>
      </c>
      <c r="D4135" s="29" t="b">
        <v>0</v>
      </c>
      <c r="E4135" s="39" t="s">
        <v>5318</v>
      </c>
      <c r="F4135" s="47" t="s">
        <v>5319</v>
      </c>
      <c r="G4135" s="47" t="s">
        <v>49</v>
      </c>
      <c r="H4135"/>
      <c r="I4135" s="47" t="b">
        <v>1</v>
      </c>
      <c r="J4135" s="47" t="b">
        <v>1</v>
      </c>
      <c r="K4135" s="47">
        <v>5600</v>
      </c>
      <c r="L4135" s="48">
        <v>4</v>
      </c>
      <c r="M4135" s="47">
        <v>0</v>
      </c>
      <c r="N4135" s="47">
        <v>0</v>
      </c>
      <c r="O4135" s="47">
        <v>0</v>
      </c>
      <c r="P4135" s="47">
        <v>0</v>
      </c>
      <c r="Q4135" s="47">
        <v>0</v>
      </c>
      <c r="R4135" s="47">
        <v>0</v>
      </c>
      <c r="S4135" s="48">
        <v>4</v>
      </c>
      <c r="T4135" s="47">
        <v>0</v>
      </c>
      <c r="U4135" s="47">
        <v>0</v>
      </c>
      <c r="V4135" s="47">
        <v>0</v>
      </c>
      <c r="W4135" s="47">
        <v>6813</v>
      </c>
      <c r="X4135" s="47">
        <v>553</v>
      </c>
      <c r="Y4135" s="47"/>
      <c r="Z4135" s="47" t="s">
        <v>2466</v>
      </c>
      <c r="AA4135" s="49"/>
      <c r="AB4135" s="49"/>
      <c r="AC4135" s="49"/>
      <c r="AD4135" s="50"/>
      <c r="AE4135" s="47" t="s">
        <v>1312</v>
      </c>
      <c r="AF4135" s="47">
        <v>130</v>
      </c>
      <c r="AG4135"/>
      <c r="AH4135"/>
      <c r="AI4135"/>
      <c r="AJ4135"/>
      <c r="AK4135"/>
      <c r="AL4135"/>
      <c r="AM4135"/>
      <c r="AN4135"/>
      <c r="AO4135"/>
      <c r="AP4135"/>
      <c r="AQ4135" t="s">
        <v>2526</v>
      </c>
      <c r="AU4135">
        <v>4134</v>
      </c>
    </row>
    <row r="4136" spans="1:47" x14ac:dyDescent="0.2">
      <c r="A4136" s="133">
        <v>6726</v>
      </c>
      <c r="B4136" s="39" t="s">
        <v>45</v>
      </c>
      <c r="C4136" s="39">
        <v>216</v>
      </c>
      <c r="D4136" s="29" t="b">
        <v>0</v>
      </c>
      <c r="E4136" s="39" t="s">
        <v>54</v>
      </c>
      <c r="F4136" s="47" t="s">
        <v>5320</v>
      </c>
      <c r="G4136" s="47" t="s">
        <v>49</v>
      </c>
      <c r="H4136"/>
      <c r="I4136" s="47" t="b">
        <v>0</v>
      </c>
      <c r="J4136" s="47" t="b">
        <v>0</v>
      </c>
      <c r="K4136" s="47">
        <v>1568</v>
      </c>
      <c r="L4136" s="48">
        <v>4</v>
      </c>
      <c r="M4136" s="47">
        <v>0</v>
      </c>
      <c r="N4136" s="47">
        <v>0</v>
      </c>
      <c r="O4136" s="47">
        <v>0</v>
      </c>
      <c r="P4136" s="47">
        <v>0</v>
      </c>
      <c r="Q4136" s="47">
        <v>0</v>
      </c>
      <c r="R4136" s="47">
        <v>0</v>
      </c>
      <c r="S4136" s="48">
        <v>1</v>
      </c>
      <c r="T4136" s="47">
        <v>0</v>
      </c>
      <c r="U4136" s="47">
        <v>0</v>
      </c>
      <c r="V4136" s="47">
        <v>0</v>
      </c>
      <c r="W4136" s="47">
        <v>4000</v>
      </c>
      <c r="X4136" s="47">
        <v>554</v>
      </c>
      <c r="Y4136" s="47"/>
      <c r="Z4136" s="47" t="s">
        <v>2466</v>
      </c>
      <c r="AA4136" s="49"/>
      <c r="AB4136" s="49"/>
      <c r="AC4136" s="49"/>
      <c r="AD4136" s="50"/>
      <c r="AE4136" s="47" t="s">
        <v>1312</v>
      </c>
      <c r="AF4136" s="47">
        <v>130</v>
      </c>
      <c r="AG4136"/>
      <c r="AH4136"/>
      <c r="AI4136"/>
      <c r="AJ4136"/>
      <c r="AK4136"/>
      <c r="AL4136"/>
      <c r="AM4136"/>
      <c r="AN4136"/>
      <c r="AO4136"/>
      <c r="AP4136"/>
      <c r="AQ4136" t="s">
        <v>2526</v>
      </c>
      <c r="AU4136">
        <v>4135</v>
      </c>
    </row>
    <row r="4137" spans="1:47" x14ac:dyDescent="0.2">
      <c r="A4137" s="133">
        <v>6726</v>
      </c>
      <c r="B4137" s="39" t="s">
        <v>45</v>
      </c>
      <c r="C4137" s="39">
        <v>216</v>
      </c>
      <c r="D4137" s="29" t="b">
        <v>0</v>
      </c>
      <c r="E4137" s="39" t="s">
        <v>1168</v>
      </c>
      <c r="F4137" s="47" t="s">
        <v>5176</v>
      </c>
      <c r="G4137" s="47" t="s">
        <v>49</v>
      </c>
      <c r="H4137"/>
      <c r="I4137" s="47" t="b">
        <v>0</v>
      </c>
      <c r="J4137" s="47" t="b">
        <v>0</v>
      </c>
      <c r="K4137" s="47">
        <v>4032</v>
      </c>
      <c r="L4137" s="48">
        <v>4</v>
      </c>
      <c r="M4137" s="47">
        <v>0</v>
      </c>
      <c r="N4137" s="47">
        <v>0</v>
      </c>
      <c r="O4137" s="47">
        <v>0</v>
      </c>
      <c r="P4137" s="47">
        <v>0</v>
      </c>
      <c r="Q4137" s="47">
        <v>0</v>
      </c>
      <c r="R4137" s="47">
        <v>0</v>
      </c>
      <c r="S4137" s="48">
        <v>3</v>
      </c>
      <c r="T4137" s="47">
        <v>0</v>
      </c>
      <c r="U4137" s="47">
        <v>0</v>
      </c>
      <c r="V4137" s="47">
        <v>0</v>
      </c>
      <c r="W4137" s="47">
        <v>7750</v>
      </c>
      <c r="X4137" s="47">
        <v>555</v>
      </c>
      <c r="Y4137" s="47"/>
      <c r="Z4137" s="47" t="s">
        <v>2466</v>
      </c>
      <c r="AA4137" s="49"/>
      <c r="AB4137" s="49"/>
      <c r="AC4137" s="49"/>
      <c r="AD4137" s="50"/>
      <c r="AE4137" s="47" t="s">
        <v>1312</v>
      </c>
      <c r="AF4137" s="47">
        <v>60</v>
      </c>
      <c r="AG4137"/>
      <c r="AH4137"/>
      <c r="AI4137"/>
      <c r="AJ4137"/>
      <c r="AK4137"/>
      <c r="AL4137"/>
      <c r="AM4137"/>
      <c r="AN4137"/>
      <c r="AO4137"/>
      <c r="AP4137"/>
      <c r="AQ4137" t="s">
        <v>2526</v>
      </c>
      <c r="AU4137">
        <v>4136</v>
      </c>
    </row>
    <row r="4138" spans="1:47" x14ac:dyDescent="0.2">
      <c r="A4138" s="133">
        <v>6726</v>
      </c>
      <c r="B4138" s="39" t="s">
        <v>45</v>
      </c>
      <c r="C4138" s="39" t="s">
        <v>142</v>
      </c>
      <c r="D4138" s="29"/>
      <c r="E4138" s="38" t="s">
        <v>5321</v>
      </c>
      <c r="F4138" s="32" t="s">
        <v>5322</v>
      </c>
      <c r="G4138" s="47" t="s">
        <v>69</v>
      </c>
      <c r="H4138"/>
      <c r="I4138" s="32" t="s">
        <v>5323</v>
      </c>
      <c r="J4138" s="47"/>
      <c r="K4138" s="47">
        <f>6790*2.2</f>
        <v>14938.000000000002</v>
      </c>
      <c r="L4138" s="48">
        <f>21+6</f>
        <v>27</v>
      </c>
      <c r="M4138" s="47"/>
      <c r="N4138" s="47">
        <v>4</v>
      </c>
      <c r="O4138" s="47"/>
      <c r="P4138" s="47"/>
      <c r="Q4138" s="47"/>
      <c r="R4138" s="47"/>
      <c r="S4138" s="48">
        <f>17+6</f>
        <v>23</v>
      </c>
      <c r="T4138" s="47">
        <v>0</v>
      </c>
      <c r="U4138" s="47">
        <v>0</v>
      </c>
      <c r="V4138" s="47">
        <v>0</v>
      </c>
      <c r="W4138" s="47"/>
      <c r="X4138" s="47"/>
      <c r="Y4138" s="47" t="s">
        <v>51</v>
      </c>
      <c r="Z4138" s="31" t="s">
        <v>3855</v>
      </c>
      <c r="AA4138" s="49"/>
      <c r="AB4138" s="49"/>
      <c r="AC4138" s="49"/>
      <c r="AD4138" s="50"/>
      <c r="AE4138" s="47" t="s">
        <v>4217</v>
      </c>
      <c r="AF4138" s="47"/>
      <c r="AG4138"/>
      <c r="AH4138"/>
      <c r="AI4138"/>
      <c r="AJ4138"/>
      <c r="AK4138">
        <f>34+103+33+8+9</f>
        <v>187</v>
      </c>
      <c r="AL4138"/>
      <c r="AM4138"/>
      <c r="AN4138"/>
      <c r="AO4138"/>
      <c r="AP4138"/>
      <c r="AQ4138" t="s">
        <v>5324</v>
      </c>
      <c r="AU4138">
        <v>4137</v>
      </c>
    </row>
    <row r="4139" spans="1:47" x14ac:dyDescent="0.2">
      <c r="A4139" s="133">
        <v>6726</v>
      </c>
      <c r="B4139" s="39" t="s">
        <v>45</v>
      </c>
      <c r="C4139" s="57" t="s">
        <v>4456</v>
      </c>
      <c r="D4139" s="29"/>
      <c r="E4139" s="38" t="s">
        <v>5312</v>
      </c>
      <c r="F4139" s="31" t="s">
        <v>220</v>
      </c>
      <c r="G4139" s="47" t="s">
        <v>49</v>
      </c>
      <c r="H4139"/>
      <c r="I4139" s="32" t="s">
        <v>5325</v>
      </c>
      <c r="J4139" s="47"/>
      <c r="K4139" s="118">
        <f>4*8*50*2.2</f>
        <v>3520.0000000000005</v>
      </c>
      <c r="L4139" s="48">
        <v>4</v>
      </c>
      <c r="M4139" s="47"/>
      <c r="N4139" s="47"/>
      <c r="O4139" s="47"/>
      <c r="P4139" s="47"/>
      <c r="Q4139" s="47"/>
      <c r="R4139" s="47"/>
      <c r="S4139" s="48">
        <v>4</v>
      </c>
      <c r="T4139" s="47">
        <v>0</v>
      </c>
      <c r="U4139" s="47">
        <v>1</v>
      </c>
      <c r="V4139" s="47">
        <v>0</v>
      </c>
      <c r="W4139" s="47">
        <f>((1500+1200+1200+1200)/4)*39.37/12</f>
        <v>4183.0625</v>
      </c>
      <c r="X4139" s="47"/>
      <c r="Y4139" s="31" t="s">
        <v>51</v>
      </c>
      <c r="Z4139" s="31" t="s">
        <v>1846</v>
      </c>
      <c r="AA4139" s="49">
        <v>0.91666666666666663</v>
      </c>
      <c r="AB4139" s="49">
        <v>6.9444444444444434E-2</v>
      </c>
      <c r="AC4139" s="49">
        <v>0.99305555555555547</v>
      </c>
      <c r="AD4139" s="50">
        <v>1.5</v>
      </c>
      <c r="AE4139" s="31" t="s">
        <v>4756</v>
      </c>
      <c r="AF4139" s="47">
        <v>50</v>
      </c>
      <c r="AG4139"/>
      <c r="AH4139"/>
      <c r="AI4139"/>
      <c r="AJ4139"/>
      <c r="AK4139" s="136">
        <f>4*8</f>
        <v>32</v>
      </c>
      <c r="AL4139"/>
      <c r="AM4139"/>
      <c r="AN4139"/>
      <c r="AO4139"/>
      <c r="AP4139"/>
      <c r="AQ4139" s="25" t="s">
        <v>5326</v>
      </c>
      <c r="AU4139">
        <v>4138</v>
      </c>
    </row>
    <row r="4140" spans="1:47" x14ac:dyDescent="0.2">
      <c r="A4140" s="133">
        <v>6726</v>
      </c>
      <c r="B4140" s="39" t="s">
        <v>45</v>
      </c>
      <c r="C4140" s="57" t="s">
        <v>4456</v>
      </c>
      <c r="D4140" s="29"/>
      <c r="E4140" s="188" t="s">
        <v>5327</v>
      </c>
      <c r="F4140" s="52" t="s">
        <v>4647</v>
      </c>
      <c r="G4140" s="47" t="s">
        <v>69</v>
      </c>
      <c r="H4140"/>
      <c r="I4140" s="32" t="s">
        <v>5328</v>
      </c>
      <c r="J4140" s="47"/>
      <c r="K4140" s="118">
        <f>3*8*50*2.2</f>
        <v>2640</v>
      </c>
      <c r="L4140" s="48">
        <v>3</v>
      </c>
      <c r="M4140" s="47"/>
      <c r="N4140" s="47"/>
      <c r="O4140" s="47"/>
      <c r="P4140" s="47"/>
      <c r="Q4140" s="47"/>
      <c r="R4140" s="47"/>
      <c r="S4140" s="48">
        <v>3</v>
      </c>
      <c r="T4140" s="47">
        <v>0</v>
      </c>
      <c r="U4140" s="47">
        <v>0</v>
      </c>
      <c r="V4140" s="47">
        <v>0</v>
      </c>
      <c r="W4140" s="47">
        <f>((1500+2200+1500)/3)*39.37/12</f>
        <v>5686.7777777777774</v>
      </c>
      <c r="X4140" s="47"/>
      <c r="Y4140" s="31" t="s">
        <v>51</v>
      </c>
      <c r="Z4140" s="31" t="s">
        <v>1846</v>
      </c>
      <c r="AA4140" s="49">
        <v>0.94097222222222221</v>
      </c>
      <c r="AB4140" s="49">
        <v>0.11458333333333333</v>
      </c>
      <c r="AC4140" s="49">
        <v>2.7777777777777776E-2</v>
      </c>
      <c r="AD4140" s="50">
        <f>4+1/6</f>
        <v>4.166666666666667</v>
      </c>
      <c r="AE4140" s="31" t="s">
        <v>4756</v>
      </c>
      <c r="AF4140" s="47"/>
      <c r="AG4140"/>
      <c r="AH4140"/>
      <c r="AI4140"/>
      <c r="AJ4140"/>
      <c r="AK4140" s="136">
        <f>3*8</f>
        <v>24</v>
      </c>
      <c r="AL4140"/>
      <c r="AM4140"/>
      <c r="AN4140"/>
      <c r="AO4140"/>
      <c r="AP4140"/>
      <c r="AQ4140" s="25" t="s">
        <v>5326</v>
      </c>
      <c r="AU4140">
        <v>4139</v>
      </c>
    </row>
    <row r="4141" spans="1:47" x14ac:dyDescent="0.2">
      <c r="A4141" s="133">
        <v>6726</v>
      </c>
      <c r="B4141" s="39" t="s">
        <v>45</v>
      </c>
      <c r="C4141" s="57" t="s">
        <v>4456</v>
      </c>
      <c r="D4141" s="29"/>
      <c r="E4141" s="38" t="s">
        <v>5329</v>
      </c>
      <c r="F4141" s="137" t="s">
        <v>5299</v>
      </c>
      <c r="G4141" s="47" t="s">
        <v>49</v>
      </c>
      <c r="H4141"/>
      <c r="I4141" s="32" t="s">
        <v>5330</v>
      </c>
      <c r="J4141" s="47"/>
      <c r="K4141" s="118">
        <f>2*8*50*2.2</f>
        <v>1760.0000000000002</v>
      </c>
      <c r="L4141" s="48">
        <v>2</v>
      </c>
      <c r="M4141" s="47"/>
      <c r="N4141" s="47"/>
      <c r="O4141" s="47"/>
      <c r="P4141" s="47"/>
      <c r="Q4141" s="47"/>
      <c r="R4141" s="47"/>
      <c r="S4141" s="48">
        <v>2</v>
      </c>
      <c r="T4141" s="47">
        <v>0</v>
      </c>
      <c r="U4141" s="47">
        <v>0</v>
      </c>
      <c r="V4141" s="47">
        <v>0</v>
      </c>
      <c r="W4141" s="47">
        <f>((1000+1500)/2)*39.37/12</f>
        <v>4101.041666666667</v>
      </c>
      <c r="X4141" s="47"/>
      <c r="Y4141" s="31" t="s">
        <v>51</v>
      </c>
      <c r="Z4141" s="31" t="s">
        <v>1846</v>
      </c>
      <c r="AA4141" s="49">
        <v>0.92361111111111116</v>
      </c>
      <c r="AB4141" s="49">
        <v>0.1076388888888889</v>
      </c>
      <c r="AC4141" s="49">
        <v>1.5277777777777777E-2</v>
      </c>
      <c r="AD4141" s="50">
        <v>1.5</v>
      </c>
      <c r="AE4141" s="31" t="s">
        <v>4756</v>
      </c>
      <c r="AF4141" s="47"/>
      <c r="AG4141"/>
      <c r="AH4141"/>
      <c r="AI4141"/>
      <c r="AJ4141"/>
      <c r="AK4141" s="136">
        <f>2*8</f>
        <v>16</v>
      </c>
      <c r="AL4141"/>
      <c r="AM4141"/>
      <c r="AN4141"/>
      <c r="AO4141"/>
      <c r="AP4141"/>
      <c r="AQ4141" s="25" t="s">
        <v>5326</v>
      </c>
      <c r="AU4141">
        <v>4140</v>
      </c>
    </row>
    <row r="4142" spans="1:47" x14ac:dyDescent="0.2">
      <c r="A4142" s="133">
        <v>6726</v>
      </c>
      <c r="B4142" s="39" t="s">
        <v>45</v>
      </c>
      <c r="C4142" s="57" t="s">
        <v>4456</v>
      </c>
      <c r="D4142" s="29"/>
      <c r="E4142" s="38" t="s">
        <v>1397</v>
      </c>
      <c r="F4142" s="189" t="s">
        <v>220</v>
      </c>
      <c r="G4142" s="47" t="s">
        <v>49</v>
      </c>
      <c r="H4142"/>
      <c r="I4142" s="32" t="s">
        <v>5331</v>
      </c>
      <c r="J4142" s="47"/>
      <c r="K4142" s="118">
        <f>8*50*2.2</f>
        <v>880.00000000000011</v>
      </c>
      <c r="L4142" s="48">
        <v>1</v>
      </c>
      <c r="M4142" s="47"/>
      <c r="N4142" s="47"/>
      <c r="O4142" s="47"/>
      <c r="P4142" s="47"/>
      <c r="Q4142" s="47"/>
      <c r="R4142" s="47"/>
      <c r="S4142" s="48">
        <v>1</v>
      </c>
      <c r="T4142" s="47">
        <v>0</v>
      </c>
      <c r="U4142" s="47">
        <v>0</v>
      </c>
      <c r="V4142" s="47">
        <v>0</v>
      </c>
      <c r="W4142" s="47">
        <f>2000*39.37/12</f>
        <v>6561.666666666667</v>
      </c>
      <c r="X4142" s="47"/>
      <c r="Y4142" s="31" t="s">
        <v>51</v>
      </c>
      <c r="Z4142" s="31" t="s">
        <v>1846</v>
      </c>
      <c r="AA4142" s="49">
        <v>0.91319444444444453</v>
      </c>
      <c r="AB4142" s="49">
        <v>1</v>
      </c>
      <c r="AC4142" s="49">
        <f>AVERAGE(AA4142:AB4142)</f>
        <v>0.95659722222222232</v>
      </c>
      <c r="AD4142" s="50">
        <f>2+5/60</f>
        <v>2.0833333333333335</v>
      </c>
      <c r="AE4142" s="31" t="s">
        <v>4756</v>
      </c>
      <c r="AF4142" s="47">
        <v>80</v>
      </c>
      <c r="AG4142"/>
      <c r="AH4142"/>
      <c r="AI4142"/>
      <c r="AJ4142"/>
      <c r="AK4142" s="136">
        <v>8</v>
      </c>
      <c r="AL4142"/>
      <c r="AM4142"/>
      <c r="AN4142"/>
      <c r="AO4142"/>
      <c r="AP4142"/>
      <c r="AQ4142" s="25" t="s">
        <v>5326</v>
      </c>
      <c r="AU4142">
        <v>4141</v>
      </c>
    </row>
    <row r="4143" spans="1:47" x14ac:dyDescent="0.2">
      <c r="A4143" s="133">
        <v>6726</v>
      </c>
      <c r="B4143" s="39" t="s">
        <v>45</v>
      </c>
      <c r="C4143" s="57" t="s">
        <v>4456</v>
      </c>
      <c r="D4143" s="29"/>
      <c r="E4143" s="38" t="s">
        <v>5332</v>
      </c>
      <c r="F4143" s="137" t="s">
        <v>1473</v>
      </c>
      <c r="G4143" s="47" t="s">
        <v>69</v>
      </c>
      <c r="H4143"/>
      <c r="I4143" s="32" t="s">
        <v>5333</v>
      </c>
      <c r="J4143" s="47"/>
      <c r="K4143" s="118">
        <f>8*50*2.2</f>
        <v>880.00000000000011</v>
      </c>
      <c r="L4143" s="48">
        <v>1</v>
      </c>
      <c r="M4143" s="47"/>
      <c r="N4143" s="47"/>
      <c r="O4143" s="47"/>
      <c r="P4143" s="47"/>
      <c r="Q4143" s="47"/>
      <c r="R4143" s="47"/>
      <c r="S4143" s="48">
        <v>1</v>
      </c>
      <c r="T4143" s="47">
        <v>0</v>
      </c>
      <c r="U4143" s="47">
        <v>0</v>
      </c>
      <c r="V4143" s="47">
        <v>0</v>
      </c>
      <c r="W4143" s="47">
        <f>1200*39.37/12</f>
        <v>3937</v>
      </c>
      <c r="X4143" s="47"/>
      <c r="Y4143" s="31" t="s">
        <v>51</v>
      </c>
      <c r="Z4143" s="31" t="s">
        <v>1846</v>
      </c>
      <c r="AA4143" s="49">
        <v>9.7222222222222224E-2</v>
      </c>
      <c r="AB4143" s="49">
        <v>0.15972222222222224</v>
      </c>
      <c r="AC4143" s="49">
        <f>AVERAGE(AA4143:AB4143)</f>
        <v>0.12847222222222224</v>
      </c>
      <c r="AD4143" s="50">
        <v>1.5</v>
      </c>
      <c r="AE4143" s="31" t="s">
        <v>4756</v>
      </c>
      <c r="AF4143" s="47">
        <v>55</v>
      </c>
      <c r="AG4143"/>
      <c r="AH4143"/>
      <c r="AI4143"/>
      <c r="AJ4143"/>
      <c r="AK4143" s="136">
        <v>8</v>
      </c>
      <c r="AL4143"/>
      <c r="AM4143"/>
      <c r="AN4143"/>
      <c r="AO4143"/>
      <c r="AP4143"/>
      <c r="AQ4143" s="25" t="s">
        <v>5326</v>
      </c>
      <c r="AU4143">
        <v>4142</v>
      </c>
    </row>
    <row r="4144" spans="1:47" x14ac:dyDescent="0.2">
      <c r="A4144" s="13">
        <v>6726</v>
      </c>
      <c r="B4144" s="57" t="s">
        <v>45</v>
      </c>
      <c r="C4144" s="57" t="s">
        <v>5032</v>
      </c>
      <c r="D4144" s="29"/>
      <c r="E4144" s="57" t="s">
        <v>5082</v>
      </c>
      <c r="F4144" s="31" t="s">
        <v>204</v>
      </c>
      <c r="G4144" s="31" t="s">
        <v>205</v>
      </c>
      <c r="K4144" s="31">
        <v>14234</v>
      </c>
      <c r="S4144" s="33">
        <v>7</v>
      </c>
      <c r="Z4144" s="31" t="s">
        <v>3814</v>
      </c>
      <c r="AE4144" s="31" t="s">
        <v>5248</v>
      </c>
      <c r="AK4144" s="32">
        <v>200</v>
      </c>
      <c r="AQ4144" s="32" t="s">
        <v>5029</v>
      </c>
      <c r="AU4144">
        <v>4143</v>
      </c>
    </row>
    <row r="4145" spans="1:47" x14ac:dyDescent="0.2">
      <c r="A4145" s="26">
        <v>6726</v>
      </c>
      <c r="B4145" s="27">
        <v>4.1666666666666664E-2</v>
      </c>
      <c r="C4145" s="28"/>
      <c r="D4145" s="29"/>
      <c r="E4145" s="30" t="s">
        <v>464</v>
      </c>
      <c r="H4145" s="32">
        <v>0</v>
      </c>
      <c r="I4145" s="32" t="s">
        <v>5334</v>
      </c>
      <c r="AG4145" s="32">
        <v>0</v>
      </c>
      <c r="AH4145" s="32">
        <v>0</v>
      </c>
      <c r="AL4145" s="32">
        <v>3.75</v>
      </c>
      <c r="AO4145" s="32" t="s">
        <v>4067</v>
      </c>
      <c r="AP4145" s="32">
        <v>3.75</v>
      </c>
      <c r="AQ4145" s="32" t="s">
        <v>1522</v>
      </c>
      <c r="AU4145">
        <v>4144</v>
      </c>
    </row>
    <row r="4146" spans="1:47" x14ac:dyDescent="0.2">
      <c r="A4146" s="26">
        <v>6726</v>
      </c>
      <c r="B4146" s="27">
        <v>9.7222222222222224E-2</v>
      </c>
      <c r="C4146" s="28"/>
      <c r="D4146" s="29"/>
      <c r="E4146" s="30" t="s">
        <v>4219</v>
      </c>
      <c r="H4146" s="32">
        <v>0</v>
      </c>
      <c r="I4146" s="32" t="s">
        <v>5335</v>
      </c>
      <c r="AG4146" s="32">
        <v>0</v>
      </c>
      <c r="AH4146" s="32">
        <v>0</v>
      </c>
      <c r="AI4146" s="32">
        <v>0</v>
      </c>
      <c r="AK4146" s="32">
        <v>0</v>
      </c>
      <c r="AL4146" s="32">
        <f>35/60</f>
        <v>0.58333333333333337</v>
      </c>
      <c r="AO4146" s="32" t="s">
        <v>858</v>
      </c>
      <c r="AP4146" s="32">
        <f>35/60</f>
        <v>0.58333333333333337</v>
      </c>
      <c r="AQ4146" s="32" t="s">
        <v>1101</v>
      </c>
      <c r="AU4146">
        <v>4145</v>
      </c>
    </row>
    <row r="4147" spans="1:47" x14ac:dyDescent="0.2">
      <c r="A4147" s="26">
        <v>6726</v>
      </c>
      <c r="B4147" s="27">
        <v>0.10416666666666667</v>
      </c>
      <c r="C4147" s="28"/>
      <c r="D4147" s="29"/>
      <c r="E4147" s="30" t="s">
        <v>2087</v>
      </c>
      <c r="H4147" s="32">
        <v>0</v>
      </c>
      <c r="I4147" s="32"/>
      <c r="AG4147" s="32">
        <v>0</v>
      </c>
      <c r="AH4147" s="32">
        <v>0</v>
      </c>
      <c r="AI4147" s="32">
        <v>0</v>
      </c>
      <c r="AK4147" s="32">
        <v>0</v>
      </c>
      <c r="AL4147" s="32">
        <v>0</v>
      </c>
      <c r="AP4147" s="32">
        <v>0.5</v>
      </c>
      <c r="AQ4147" s="32" t="s">
        <v>1101</v>
      </c>
      <c r="AU4147">
        <v>4146</v>
      </c>
    </row>
    <row r="4148" spans="1:47" x14ac:dyDescent="0.2">
      <c r="A4148" s="26">
        <v>6726</v>
      </c>
      <c r="B4148" s="27">
        <v>0.16319444444444445</v>
      </c>
      <c r="C4148" s="28"/>
      <c r="D4148" s="29"/>
      <c r="E4148" s="30" t="s">
        <v>1282</v>
      </c>
      <c r="H4148" s="32">
        <v>0</v>
      </c>
      <c r="I4148" s="32" t="s">
        <v>5336</v>
      </c>
      <c r="AG4148" s="32">
        <v>0</v>
      </c>
      <c r="AH4148" s="32">
        <v>0</v>
      </c>
      <c r="AI4148" s="32">
        <v>0</v>
      </c>
      <c r="AK4148" s="32">
        <v>0</v>
      </c>
      <c r="AL4148" s="32">
        <v>0.25</v>
      </c>
      <c r="AP4148" s="32">
        <v>0.25</v>
      </c>
      <c r="AQ4148" s="32" t="s">
        <v>1101</v>
      </c>
      <c r="AU4148">
        <v>4147</v>
      </c>
    </row>
    <row r="4149" spans="1:47" x14ac:dyDescent="0.2">
      <c r="A4149" s="26">
        <v>6726</v>
      </c>
      <c r="B4149" s="27">
        <v>0.2986111111111111</v>
      </c>
      <c r="C4149" s="28"/>
      <c r="D4149" s="29"/>
      <c r="E4149" s="30" t="s">
        <v>464</v>
      </c>
      <c r="H4149" s="32">
        <v>0</v>
      </c>
      <c r="I4149" s="32" t="s">
        <v>4231</v>
      </c>
      <c r="AG4149" s="32">
        <v>0</v>
      </c>
      <c r="AH4149" s="32">
        <v>0</v>
      </c>
      <c r="AL4149" s="32">
        <v>0.33300000000000002</v>
      </c>
      <c r="AO4149" s="32" t="s">
        <v>4067</v>
      </c>
      <c r="AP4149" s="32">
        <v>0.33300000000000002</v>
      </c>
      <c r="AQ4149" s="32" t="s">
        <v>1522</v>
      </c>
      <c r="AU4149">
        <v>4148</v>
      </c>
    </row>
    <row r="4150" spans="1:47" x14ac:dyDescent="0.2">
      <c r="A4150" s="26">
        <v>6726</v>
      </c>
      <c r="B4150" s="27">
        <v>0.9375</v>
      </c>
      <c r="C4150" s="28"/>
      <c r="D4150" s="29"/>
      <c r="E4150" s="30" t="s">
        <v>464</v>
      </c>
      <c r="H4150" s="32">
        <v>0</v>
      </c>
      <c r="I4150" s="32" t="s">
        <v>5337</v>
      </c>
      <c r="AG4150" s="32">
        <v>0</v>
      </c>
      <c r="AH4150" s="32">
        <v>0</v>
      </c>
      <c r="AL4150" s="32">
        <v>1</v>
      </c>
      <c r="AO4150" s="32" t="s">
        <v>4067</v>
      </c>
      <c r="AP4150" s="32">
        <v>1</v>
      </c>
      <c r="AQ4150" s="32" t="s">
        <v>1522</v>
      </c>
      <c r="AU4150">
        <v>4149</v>
      </c>
    </row>
    <row r="4151" spans="1:47" x14ac:dyDescent="0.2">
      <c r="A4151" s="26">
        <v>6726</v>
      </c>
      <c r="B4151" s="27">
        <v>0.95833333333333337</v>
      </c>
      <c r="C4151" s="28"/>
      <c r="D4151" s="29"/>
      <c r="E4151" s="30" t="s">
        <v>1282</v>
      </c>
      <c r="H4151" s="32">
        <v>0</v>
      </c>
      <c r="I4151" s="32" t="s">
        <v>5338</v>
      </c>
      <c r="AG4151" s="32">
        <v>0</v>
      </c>
      <c r="AH4151" s="32">
        <v>0</v>
      </c>
      <c r="AI4151" s="32">
        <v>0</v>
      </c>
      <c r="AK4151" s="32">
        <v>0</v>
      </c>
      <c r="AL4151" s="32">
        <f>2+20/60</f>
        <v>2.3333333333333335</v>
      </c>
      <c r="AP4151" s="32">
        <f>2+25/60</f>
        <v>2.4166666666666665</v>
      </c>
      <c r="AQ4151" s="32" t="s">
        <v>1101</v>
      </c>
      <c r="AU4151">
        <v>4150</v>
      </c>
    </row>
    <row r="4152" spans="1:47" x14ac:dyDescent="0.2">
      <c r="A4152" s="26">
        <v>6726</v>
      </c>
      <c r="B4152" s="27" t="s">
        <v>85</v>
      </c>
      <c r="C4152" s="28"/>
      <c r="D4152" s="29"/>
      <c r="E4152" s="30" t="s">
        <v>720</v>
      </c>
      <c r="H4152" s="32">
        <v>1</v>
      </c>
      <c r="I4152" s="32" t="s">
        <v>5339</v>
      </c>
      <c r="AG4152" s="32">
        <v>5</v>
      </c>
      <c r="AH4152" s="32">
        <v>100</v>
      </c>
      <c r="AQ4152" s="32">
        <v>460</v>
      </c>
      <c r="AU4152">
        <v>4151</v>
      </c>
    </row>
    <row r="4153" spans="1:47" x14ac:dyDescent="0.2">
      <c r="A4153" s="26">
        <v>6726</v>
      </c>
      <c r="B4153" s="27" t="s">
        <v>85</v>
      </c>
      <c r="C4153" s="28"/>
      <c r="D4153" s="29"/>
      <c r="E4153" s="30" t="s">
        <v>1168</v>
      </c>
      <c r="H4153" s="32">
        <v>1</v>
      </c>
      <c r="I4153" s="32" t="s">
        <v>5340</v>
      </c>
      <c r="AI4153" s="32">
        <v>0</v>
      </c>
      <c r="AQ4153" s="32" t="s">
        <v>5305</v>
      </c>
      <c r="AU4153">
        <v>4152</v>
      </c>
    </row>
    <row r="4154" spans="1:47" x14ac:dyDescent="0.2">
      <c r="A4154" s="26">
        <v>6726</v>
      </c>
      <c r="B4154" s="27" t="s">
        <v>45</v>
      </c>
      <c r="C4154" s="28"/>
      <c r="D4154" s="29"/>
      <c r="E4154" s="30" t="s">
        <v>1168</v>
      </c>
      <c r="H4154" s="32">
        <v>1</v>
      </c>
      <c r="I4154" s="32" t="s">
        <v>5341</v>
      </c>
      <c r="AQ4154" s="32" t="s">
        <v>5305</v>
      </c>
      <c r="AU4154">
        <v>4153</v>
      </c>
    </row>
    <row r="4155" spans="1:47" x14ac:dyDescent="0.2">
      <c r="A4155" s="26">
        <v>6726</v>
      </c>
      <c r="B4155" s="27" t="s">
        <v>45</v>
      </c>
      <c r="C4155" s="28"/>
      <c r="D4155" s="29"/>
      <c r="E4155" s="30" t="s">
        <v>1531</v>
      </c>
      <c r="H4155" s="32">
        <v>0</v>
      </c>
      <c r="I4155" s="32" t="s">
        <v>1532</v>
      </c>
      <c r="AG4155" s="32">
        <v>0</v>
      </c>
      <c r="AH4155" s="32">
        <v>0</v>
      </c>
      <c r="AI4155" s="32">
        <v>0</v>
      </c>
      <c r="AK4155" s="32">
        <v>0</v>
      </c>
      <c r="AM4155" s="32">
        <f>498*18</f>
        <v>8964</v>
      </c>
      <c r="AO4155" s="32" t="s">
        <v>1533</v>
      </c>
      <c r="AQ4155" s="32" t="s">
        <v>1101</v>
      </c>
      <c r="AU4155">
        <v>4154</v>
      </c>
    </row>
    <row r="4156" spans="1:47" x14ac:dyDescent="0.2">
      <c r="A4156" s="26">
        <v>6726</v>
      </c>
      <c r="B4156" s="27"/>
      <c r="C4156" s="28"/>
      <c r="D4156" s="29"/>
      <c r="E4156" s="30" t="s">
        <v>4666</v>
      </c>
      <c r="H4156" s="32">
        <v>1</v>
      </c>
      <c r="I4156" s="32" t="s">
        <v>5342</v>
      </c>
      <c r="AG4156" s="32">
        <v>0</v>
      </c>
      <c r="AH4156" s="32">
        <v>0</v>
      </c>
      <c r="AI4156" s="32">
        <v>0</v>
      </c>
      <c r="AL4156" s="32">
        <v>2.5</v>
      </c>
      <c r="AO4156" s="32" t="s">
        <v>4668</v>
      </c>
      <c r="AP4156" s="32">
        <v>2.5</v>
      </c>
      <c r="AQ4156" s="32">
        <v>408</v>
      </c>
      <c r="AU4156">
        <v>4155</v>
      </c>
    </row>
    <row r="4157" spans="1:47" x14ac:dyDescent="0.2">
      <c r="A4157" s="26">
        <v>6726</v>
      </c>
      <c r="B4157" s="27"/>
      <c r="C4157" s="28"/>
      <c r="D4157" s="29"/>
      <c r="E4157" s="30" t="s">
        <v>720</v>
      </c>
      <c r="H4157" s="32">
        <v>1</v>
      </c>
      <c r="I4157" s="32" t="s">
        <v>5343</v>
      </c>
      <c r="AG4157" s="32">
        <v>4</v>
      </c>
      <c r="AH4157" s="32">
        <v>74</v>
      </c>
      <c r="AI4157" s="32">
        <v>700000</v>
      </c>
      <c r="AL4157" s="32">
        <v>1</v>
      </c>
      <c r="AQ4157" s="32" t="s">
        <v>5344</v>
      </c>
      <c r="AU4157">
        <v>4156</v>
      </c>
    </row>
    <row r="4158" spans="1:47" x14ac:dyDescent="0.2">
      <c r="A4158" s="133">
        <v>6727</v>
      </c>
      <c r="B4158" s="39" t="s">
        <v>85</v>
      </c>
      <c r="C4158" s="39">
        <v>55</v>
      </c>
      <c r="D4158" s="29" t="b">
        <v>0</v>
      </c>
      <c r="E4158" s="39" t="s">
        <v>54</v>
      </c>
      <c r="F4158" s="47" t="s">
        <v>5345</v>
      </c>
      <c r="G4158" s="47" t="s">
        <v>49</v>
      </c>
      <c r="H4158"/>
      <c r="I4158" s="47" t="b">
        <v>0</v>
      </c>
      <c r="J4158" s="47" t="b">
        <v>1</v>
      </c>
      <c r="K4158" s="47">
        <v>2240</v>
      </c>
      <c r="L4158" s="48">
        <v>12</v>
      </c>
      <c r="M4158" s="47">
        <v>0</v>
      </c>
      <c r="N4158" s="47">
        <v>1</v>
      </c>
      <c r="O4158" s="47">
        <v>0</v>
      </c>
      <c r="P4158" s="47">
        <v>0</v>
      </c>
      <c r="Q4158" s="47">
        <v>0</v>
      </c>
      <c r="R4158" s="47">
        <v>0</v>
      </c>
      <c r="S4158" s="48">
        <v>11</v>
      </c>
      <c r="T4158" s="47">
        <v>1</v>
      </c>
      <c r="U4158" s="47">
        <v>0</v>
      </c>
      <c r="V4158" s="47">
        <v>0</v>
      </c>
      <c r="W4158" s="47">
        <v>14800</v>
      </c>
      <c r="X4158" s="47">
        <v>556</v>
      </c>
      <c r="Y4158" s="47"/>
      <c r="Z4158" s="47" t="s">
        <v>3618</v>
      </c>
      <c r="AA4158" s="49"/>
      <c r="AB4158" s="49"/>
      <c r="AC4158" s="49"/>
      <c r="AD4158" s="50"/>
      <c r="AE4158" s="47" t="s">
        <v>3798</v>
      </c>
      <c r="AF4158" s="47">
        <v>150</v>
      </c>
      <c r="AG4158"/>
      <c r="AH4158"/>
      <c r="AI4158"/>
      <c r="AJ4158"/>
      <c r="AK4158"/>
      <c r="AL4158"/>
      <c r="AM4158"/>
      <c r="AN4158"/>
      <c r="AO4158"/>
      <c r="AP4158"/>
      <c r="AQ4158" t="s">
        <v>2526</v>
      </c>
      <c r="AU4158">
        <v>4157</v>
      </c>
    </row>
    <row r="4159" spans="1:47" x14ac:dyDescent="0.2">
      <c r="A4159" s="133">
        <v>6727</v>
      </c>
      <c r="B4159" s="39" t="s">
        <v>85</v>
      </c>
      <c r="C4159" s="39">
        <v>99</v>
      </c>
      <c r="D4159" s="29" t="b">
        <v>0</v>
      </c>
      <c r="E4159" s="39" t="s">
        <v>1168</v>
      </c>
      <c r="F4159" s="47" t="s">
        <v>4328</v>
      </c>
      <c r="G4159" s="47" t="s">
        <v>49</v>
      </c>
      <c r="H4159"/>
      <c r="I4159" s="47" t="b">
        <v>0</v>
      </c>
      <c r="J4159" s="47" t="b">
        <v>1</v>
      </c>
      <c r="K4159" s="47">
        <v>1344</v>
      </c>
      <c r="L4159" s="48">
        <v>12</v>
      </c>
      <c r="M4159" s="47">
        <v>0</v>
      </c>
      <c r="N4159" s="47">
        <v>6</v>
      </c>
      <c r="O4159" s="47">
        <v>0</v>
      </c>
      <c r="P4159" s="47">
        <v>0</v>
      </c>
      <c r="Q4159" s="47">
        <v>0</v>
      </c>
      <c r="R4159" s="47">
        <v>0</v>
      </c>
      <c r="S4159" s="48">
        <v>6</v>
      </c>
      <c r="T4159" s="47">
        <v>0</v>
      </c>
      <c r="U4159" s="47">
        <v>0</v>
      </c>
      <c r="V4159" s="47">
        <v>0</v>
      </c>
      <c r="W4159" s="47">
        <v>13500</v>
      </c>
      <c r="X4159" s="47">
        <v>557</v>
      </c>
      <c r="Y4159" s="47" t="s">
        <v>120</v>
      </c>
      <c r="Z4159" s="47" t="s">
        <v>5139</v>
      </c>
      <c r="AA4159" s="49">
        <v>0.3125</v>
      </c>
      <c r="AB4159" s="49"/>
      <c r="AC4159" s="49"/>
      <c r="AD4159" s="50"/>
      <c r="AE4159" s="47" t="s">
        <v>3798</v>
      </c>
      <c r="AF4159" s="47">
        <v>70</v>
      </c>
      <c r="AG4159"/>
      <c r="AH4159"/>
      <c r="AI4159"/>
      <c r="AJ4159"/>
      <c r="AK4159"/>
      <c r="AL4159"/>
      <c r="AM4159"/>
      <c r="AN4159"/>
      <c r="AO4159"/>
      <c r="AP4159"/>
      <c r="AQ4159" t="s">
        <v>2526</v>
      </c>
      <c r="AU4159">
        <v>4158</v>
      </c>
    </row>
    <row r="4160" spans="1:47" x14ac:dyDescent="0.2">
      <c r="A4160" s="37">
        <v>6727</v>
      </c>
      <c r="B4160" s="38" t="s">
        <v>85</v>
      </c>
      <c r="C4160" s="39" t="s">
        <v>4769</v>
      </c>
      <c r="D4160" s="29"/>
      <c r="E4160" s="38" t="s">
        <v>5346</v>
      </c>
      <c r="F4160" s="32" t="s">
        <v>5313</v>
      </c>
      <c r="G4160" s="47" t="s">
        <v>69</v>
      </c>
      <c r="H4160"/>
      <c r="I4160" s="32" t="s">
        <v>5347</v>
      </c>
      <c r="J4160" s="47"/>
      <c r="K4160" s="47">
        <f>34315*2.2</f>
        <v>75493</v>
      </c>
      <c r="L4160" s="48"/>
      <c r="M4160" s="47"/>
      <c r="N4160" s="47"/>
      <c r="O4160" s="47"/>
      <c r="P4160" s="47"/>
      <c r="Q4160" s="47"/>
      <c r="R4160" s="47"/>
      <c r="S4160" s="48"/>
      <c r="T4160" s="47">
        <v>2</v>
      </c>
      <c r="U4160" s="47"/>
      <c r="V4160" s="47"/>
      <c r="W4160" s="47"/>
      <c r="X4160" s="47"/>
      <c r="Y4160" s="47"/>
      <c r="Z4160" s="47"/>
      <c r="AA4160" s="49"/>
      <c r="AB4160" s="49"/>
      <c r="AC4160" s="49"/>
      <c r="AD4160" s="50"/>
      <c r="AE4160" s="47"/>
      <c r="AF4160" s="47"/>
      <c r="AG4160"/>
      <c r="AH4160"/>
      <c r="AI4160"/>
      <c r="AJ4160"/>
      <c r="AK4160"/>
      <c r="AL4160"/>
      <c r="AM4160"/>
      <c r="AN4160"/>
      <c r="AO4160"/>
      <c r="AP4160"/>
      <c r="AQ4160" t="s">
        <v>5348</v>
      </c>
      <c r="AU4160">
        <v>4159</v>
      </c>
    </row>
    <row r="4161" spans="1:47" x14ac:dyDescent="0.2">
      <c r="A4161" s="37">
        <v>6727</v>
      </c>
      <c r="B4161" s="39" t="s">
        <v>45</v>
      </c>
      <c r="C4161" s="39" t="s">
        <v>142</v>
      </c>
      <c r="D4161" s="29"/>
      <c r="E4161" s="38" t="s">
        <v>5349</v>
      </c>
      <c r="F4161" s="32" t="s">
        <v>5350</v>
      </c>
      <c r="G4161" s="47" t="s">
        <v>69</v>
      </c>
      <c r="H4161"/>
      <c r="I4161" s="32" t="s">
        <v>5351</v>
      </c>
      <c r="J4161" s="47"/>
      <c r="K4161" s="47">
        <f>7460*2.2</f>
        <v>16412</v>
      </c>
      <c r="L4161" s="48">
        <f>28+4+2</f>
        <v>34</v>
      </c>
      <c r="M4161" s="47"/>
      <c r="N4161" s="47">
        <v>3</v>
      </c>
      <c r="O4161" s="47"/>
      <c r="P4161" s="47"/>
      <c r="Q4161" s="47"/>
      <c r="R4161" s="47"/>
      <c r="S4161" s="48">
        <f>25+4+2</f>
        <v>31</v>
      </c>
      <c r="T4161" s="47">
        <v>0</v>
      </c>
      <c r="U4161" s="47">
        <v>0</v>
      </c>
      <c r="V4161" s="47">
        <v>0</v>
      </c>
      <c r="W4161" s="47"/>
      <c r="X4161" s="47"/>
      <c r="Y4161" s="47" t="s">
        <v>51</v>
      </c>
      <c r="Z4161" s="31" t="s">
        <v>3855</v>
      </c>
      <c r="AA4161" s="49"/>
      <c r="AB4161" s="49"/>
      <c r="AC4161" s="49"/>
      <c r="AD4161" s="50"/>
      <c r="AE4161" s="47" t="s">
        <v>4217</v>
      </c>
      <c r="AF4161" s="47"/>
      <c r="AG4161"/>
      <c r="AH4161"/>
      <c r="AI4161"/>
      <c r="AJ4161"/>
      <c r="AK4161">
        <f>62+100+37+6</f>
        <v>205</v>
      </c>
      <c r="AL4161"/>
      <c r="AM4161"/>
      <c r="AN4161"/>
      <c r="AO4161"/>
      <c r="AP4161"/>
      <c r="AQ4161" t="s">
        <v>5352</v>
      </c>
      <c r="AU4161">
        <v>4160</v>
      </c>
    </row>
    <row r="4162" spans="1:47" x14ac:dyDescent="0.2">
      <c r="A4162" s="37">
        <v>6727</v>
      </c>
      <c r="B4162" s="39" t="s">
        <v>45</v>
      </c>
      <c r="C4162" s="57" t="s">
        <v>4456</v>
      </c>
      <c r="D4162" s="29"/>
      <c r="E4162" s="38" t="s">
        <v>5353</v>
      </c>
      <c r="F4162" s="31" t="s">
        <v>220</v>
      </c>
      <c r="G4162" s="47" t="s">
        <v>49</v>
      </c>
      <c r="H4162"/>
      <c r="I4162" s="32" t="s">
        <v>5354</v>
      </c>
      <c r="J4162" s="47"/>
      <c r="K4162" s="118">
        <f>5*8*50*2.2</f>
        <v>4400</v>
      </c>
      <c r="L4162" s="48">
        <v>5</v>
      </c>
      <c r="M4162" s="47"/>
      <c r="N4162" s="47"/>
      <c r="O4162" s="47"/>
      <c r="P4162" s="47"/>
      <c r="Q4162" s="47"/>
      <c r="R4162" s="47"/>
      <c r="S4162" s="48">
        <v>5</v>
      </c>
      <c r="T4162" s="47">
        <v>0</v>
      </c>
      <c r="U4162" s="47">
        <v>0</v>
      </c>
      <c r="V4162" s="47">
        <v>0</v>
      </c>
      <c r="W4162" s="47">
        <f>((1900+1600+1800+1400+1400)/5)*39.37/12</f>
        <v>5314.95</v>
      </c>
      <c r="X4162" s="47"/>
      <c r="Y4162" s="31" t="s">
        <v>51</v>
      </c>
      <c r="Z4162" s="31" t="s">
        <v>1846</v>
      </c>
      <c r="AA4162" s="49">
        <v>0.93055555555555547</v>
      </c>
      <c r="AB4162" s="49">
        <v>3.125E-2</v>
      </c>
      <c r="AC4162" s="49">
        <v>0.98055555555555562</v>
      </c>
      <c r="AD4162" s="50">
        <v>1.75</v>
      </c>
      <c r="AE4162" s="31" t="s">
        <v>4756</v>
      </c>
      <c r="AF4162" s="47">
        <v>60</v>
      </c>
      <c r="AG4162"/>
      <c r="AH4162"/>
      <c r="AI4162"/>
      <c r="AJ4162"/>
      <c r="AK4162" s="136">
        <f>5*8</f>
        <v>40</v>
      </c>
      <c r="AL4162"/>
      <c r="AM4162"/>
      <c r="AN4162"/>
      <c r="AO4162"/>
      <c r="AP4162"/>
      <c r="AQ4162" s="25" t="s">
        <v>5355</v>
      </c>
      <c r="AU4162">
        <v>4161</v>
      </c>
    </row>
    <row r="4163" spans="1:47" x14ac:dyDescent="0.2">
      <c r="A4163" s="37">
        <v>6727</v>
      </c>
      <c r="B4163" s="39" t="s">
        <v>45</v>
      </c>
      <c r="C4163" s="57" t="s">
        <v>4456</v>
      </c>
      <c r="D4163" s="29"/>
      <c r="E4163" s="38" t="s">
        <v>5312</v>
      </c>
      <c r="F4163" s="31" t="s">
        <v>220</v>
      </c>
      <c r="G4163" s="47" t="s">
        <v>49</v>
      </c>
      <c r="H4163"/>
      <c r="I4163" s="32" t="s">
        <v>5356</v>
      </c>
      <c r="J4163" s="47"/>
      <c r="K4163" s="118">
        <f>8*50*2.2</f>
        <v>880.00000000000011</v>
      </c>
      <c r="L4163" s="48">
        <v>1</v>
      </c>
      <c r="M4163" s="47"/>
      <c r="N4163" s="47"/>
      <c r="O4163" s="47"/>
      <c r="P4163" s="47"/>
      <c r="Q4163" s="47"/>
      <c r="R4163" s="47"/>
      <c r="S4163" s="48">
        <v>1</v>
      </c>
      <c r="T4163" s="47">
        <v>0</v>
      </c>
      <c r="U4163" s="47">
        <v>0</v>
      </c>
      <c r="V4163" s="47">
        <v>0</v>
      </c>
      <c r="W4163" s="47">
        <f>1400*39.37/12</f>
        <v>4593.166666666667</v>
      </c>
      <c r="X4163" s="47"/>
      <c r="Y4163" s="31" t="s">
        <v>51</v>
      </c>
      <c r="Z4163" s="31" t="s">
        <v>1846</v>
      </c>
      <c r="AA4163" s="49">
        <v>6.25E-2</v>
      </c>
      <c r="AB4163" s="49">
        <v>0.13194444444444445</v>
      </c>
      <c r="AC4163" s="49">
        <f>AVERAGE(AA4163:AB4163)</f>
        <v>9.7222222222222224E-2</v>
      </c>
      <c r="AD4163" s="50">
        <v>1.67</v>
      </c>
      <c r="AE4163" s="31" t="s">
        <v>4756</v>
      </c>
      <c r="AF4163" s="47">
        <v>50</v>
      </c>
      <c r="AG4163"/>
      <c r="AH4163"/>
      <c r="AI4163"/>
      <c r="AJ4163"/>
      <c r="AK4163" s="136">
        <v>8</v>
      </c>
      <c r="AL4163"/>
      <c r="AM4163"/>
      <c r="AN4163"/>
      <c r="AO4163"/>
      <c r="AP4163"/>
      <c r="AQ4163" s="25" t="s">
        <v>5355</v>
      </c>
      <c r="AU4163">
        <v>4162</v>
      </c>
    </row>
    <row r="4164" spans="1:47" x14ac:dyDescent="0.2">
      <c r="A4164" s="37">
        <v>6727</v>
      </c>
      <c r="B4164" s="39" t="s">
        <v>45</v>
      </c>
      <c r="C4164" s="57" t="s">
        <v>4456</v>
      </c>
      <c r="D4164" s="29"/>
      <c r="E4164" s="188" t="s">
        <v>5327</v>
      </c>
      <c r="F4164" s="52" t="s">
        <v>5327</v>
      </c>
      <c r="G4164" s="47" t="s">
        <v>73</v>
      </c>
      <c r="H4164"/>
      <c r="I4164" s="32" t="s">
        <v>5357</v>
      </c>
      <c r="J4164" s="47"/>
      <c r="K4164" s="118">
        <f>8*50*2.2</f>
        <v>880.00000000000011</v>
      </c>
      <c r="L4164" s="48">
        <v>2</v>
      </c>
      <c r="M4164" s="47"/>
      <c r="N4164" s="47">
        <v>1</v>
      </c>
      <c r="O4164" s="47"/>
      <c r="P4164" s="47"/>
      <c r="Q4164" s="47"/>
      <c r="R4164" s="47"/>
      <c r="S4164" s="48">
        <v>1</v>
      </c>
      <c r="T4164" s="47">
        <v>0</v>
      </c>
      <c r="U4164" s="47">
        <v>0</v>
      </c>
      <c r="V4164" s="47">
        <v>0</v>
      </c>
      <c r="W4164" s="47">
        <f>1400*39.37/12</f>
        <v>4593.166666666667</v>
      </c>
      <c r="X4164" s="47"/>
      <c r="Y4164" s="31" t="s">
        <v>51</v>
      </c>
      <c r="Z4164" s="31" t="s">
        <v>1846</v>
      </c>
      <c r="AA4164" s="49">
        <v>4.1666666666666664E-2</v>
      </c>
      <c r="AB4164" s="49">
        <v>0.10416666666666667</v>
      </c>
      <c r="AC4164" s="49">
        <f>AVERAGE(AA4164:AB4164)</f>
        <v>7.2916666666666671E-2</v>
      </c>
      <c r="AD4164" s="50">
        <v>1.5</v>
      </c>
      <c r="AE4164" s="31" t="s">
        <v>4756</v>
      </c>
      <c r="AF4164" s="47"/>
      <c r="AG4164"/>
      <c r="AH4164"/>
      <c r="AI4164"/>
      <c r="AJ4164"/>
      <c r="AK4164" s="136">
        <v>8</v>
      </c>
      <c r="AL4164"/>
      <c r="AM4164"/>
      <c r="AN4164"/>
      <c r="AO4164"/>
      <c r="AP4164"/>
      <c r="AQ4164" s="25" t="s">
        <v>5355</v>
      </c>
      <c r="AU4164">
        <v>4163</v>
      </c>
    </row>
    <row r="4165" spans="1:47" x14ac:dyDescent="0.2">
      <c r="A4165" s="26">
        <v>6727</v>
      </c>
      <c r="B4165" s="27">
        <v>3.4722222222222224E-2</v>
      </c>
      <c r="C4165" s="28"/>
      <c r="D4165" s="29"/>
      <c r="E4165" s="30" t="s">
        <v>4219</v>
      </c>
      <c r="H4165" s="32">
        <v>1</v>
      </c>
      <c r="I4165" s="32" t="s">
        <v>5358</v>
      </c>
      <c r="AL4165" s="32">
        <v>0.66700000000000004</v>
      </c>
      <c r="AO4165" s="32" t="s">
        <v>858</v>
      </c>
      <c r="AP4165" s="32">
        <v>0.66700000000000004</v>
      </c>
      <c r="AQ4165" s="32" t="s">
        <v>1101</v>
      </c>
      <c r="AU4165">
        <v>4164</v>
      </c>
    </row>
    <row r="4166" spans="1:47" x14ac:dyDescent="0.2">
      <c r="A4166" s="26">
        <v>6727</v>
      </c>
      <c r="B4166" s="27">
        <v>3.4722222222222224E-2</v>
      </c>
      <c r="C4166" s="28"/>
      <c r="D4166" s="29"/>
      <c r="E4166" s="102" t="s">
        <v>1102</v>
      </c>
      <c r="H4166" s="32">
        <v>0</v>
      </c>
      <c r="I4166" s="32" t="s">
        <v>1103</v>
      </c>
      <c r="AG4166" s="32">
        <v>0</v>
      </c>
      <c r="AH4166" s="32">
        <v>0</v>
      </c>
      <c r="AI4166" s="32">
        <v>0</v>
      </c>
      <c r="AK4166" s="32">
        <v>0</v>
      </c>
      <c r="AL4166" s="32">
        <v>1</v>
      </c>
      <c r="AO4166" s="73" t="s">
        <v>1006</v>
      </c>
      <c r="AP4166" s="32">
        <v>1</v>
      </c>
      <c r="AQ4166" s="32" t="s">
        <v>589</v>
      </c>
      <c r="AU4166">
        <v>4165</v>
      </c>
    </row>
    <row r="4167" spans="1:47" x14ac:dyDescent="0.2">
      <c r="A4167" s="26">
        <v>6727</v>
      </c>
      <c r="B4167" s="27">
        <v>6.805555555555555E-2</v>
      </c>
      <c r="C4167" s="28"/>
      <c r="D4167" s="29"/>
      <c r="E4167" s="30" t="s">
        <v>5224</v>
      </c>
      <c r="H4167" s="32">
        <v>0</v>
      </c>
      <c r="I4167" s="32" t="s">
        <v>5225</v>
      </c>
      <c r="AG4167" s="32">
        <v>0</v>
      </c>
      <c r="AH4167" s="32">
        <v>0</v>
      </c>
      <c r="AI4167" s="32">
        <v>0</v>
      </c>
      <c r="AK4167" s="32">
        <v>0</v>
      </c>
      <c r="AL4167" s="32">
        <f>14/60</f>
        <v>0.23333333333333334</v>
      </c>
      <c r="AP4167" s="32">
        <f>14/60</f>
        <v>0.23333333333333334</v>
      </c>
      <c r="AQ4167" s="32" t="s">
        <v>1101</v>
      </c>
      <c r="AU4167">
        <v>4166</v>
      </c>
    </row>
    <row r="4168" spans="1:47" x14ac:dyDescent="0.2">
      <c r="A4168" s="26">
        <v>6727</v>
      </c>
      <c r="B4168" s="27">
        <v>0.3125</v>
      </c>
      <c r="C4168" s="28"/>
      <c r="D4168" s="29"/>
      <c r="E4168" s="30" t="s">
        <v>4219</v>
      </c>
      <c r="H4168" s="32">
        <v>0</v>
      </c>
      <c r="I4168" s="32" t="s">
        <v>4249</v>
      </c>
      <c r="AG4168" s="32">
        <v>0</v>
      </c>
      <c r="AH4168" s="32">
        <v>0</v>
      </c>
      <c r="AI4168" s="32">
        <v>0</v>
      </c>
      <c r="AK4168" s="32">
        <v>0</v>
      </c>
      <c r="AL4168" s="32">
        <f>25/60</f>
        <v>0.41666666666666669</v>
      </c>
      <c r="AO4168" s="32" t="s">
        <v>858</v>
      </c>
      <c r="AP4168" s="32">
        <f>25/60</f>
        <v>0.41666666666666669</v>
      </c>
      <c r="AQ4168" s="32" t="s">
        <v>1101</v>
      </c>
      <c r="AU4168">
        <v>4167</v>
      </c>
    </row>
    <row r="4169" spans="1:47" x14ac:dyDescent="0.2">
      <c r="A4169" s="26">
        <v>6727</v>
      </c>
      <c r="B4169" s="27">
        <v>0.31597222222222221</v>
      </c>
      <c r="C4169" s="28"/>
      <c r="D4169" s="29"/>
      <c r="E4169" s="102" t="s">
        <v>1102</v>
      </c>
      <c r="H4169" s="32">
        <v>0</v>
      </c>
      <c r="I4169" s="74" t="s">
        <v>5359</v>
      </c>
      <c r="AG4169" s="32">
        <v>0</v>
      </c>
      <c r="AH4169" s="32">
        <v>0</v>
      </c>
      <c r="AI4169" s="32">
        <v>0</v>
      </c>
      <c r="AK4169" s="32">
        <v>0</v>
      </c>
      <c r="AL4169" s="32">
        <f>70/60</f>
        <v>1.1666666666666667</v>
      </c>
      <c r="AO4169" s="73" t="s">
        <v>1006</v>
      </c>
      <c r="AP4169" s="32">
        <f>70/60</f>
        <v>1.1666666666666667</v>
      </c>
      <c r="AQ4169" s="32" t="s">
        <v>589</v>
      </c>
      <c r="AU4169">
        <v>4168</v>
      </c>
    </row>
    <row r="4170" spans="1:47" x14ac:dyDescent="0.2">
      <c r="A4170" s="26">
        <v>6727</v>
      </c>
      <c r="B4170" s="27">
        <v>0.33333333333333331</v>
      </c>
      <c r="C4170" s="28"/>
      <c r="D4170" s="29"/>
      <c r="E4170" s="30" t="s">
        <v>54</v>
      </c>
      <c r="H4170" s="32">
        <v>1</v>
      </c>
      <c r="I4170" s="32" t="s">
        <v>5360</v>
      </c>
      <c r="AG4170" s="32">
        <v>1</v>
      </c>
      <c r="AH4170" s="32">
        <v>0</v>
      </c>
      <c r="AI4170" s="32">
        <v>1240</v>
      </c>
      <c r="AK4170" s="32">
        <v>16</v>
      </c>
      <c r="AQ4170" s="32">
        <v>435</v>
      </c>
      <c r="AU4170">
        <v>4169</v>
      </c>
    </row>
    <row r="4171" spans="1:47" x14ac:dyDescent="0.2">
      <c r="A4171" s="26">
        <v>6727</v>
      </c>
      <c r="B4171" s="27">
        <v>0.4694444444444445</v>
      </c>
      <c r="C4171" s="28"/>
      <c r="D4171" s="29"/>
      <c r="E4171" s="30" t="s">
        <v>869</v>
      </c>
      <c r="H4171" s="32">
        <v>0</v>
      </c>
      <c r="I4171" s="32" t="s">
        <v>2344</v>
      </c>
      <c r="AG4171" s="32">
        <v>0</v>
      </c>
      <c r="AH4171" s="32">
        <v>0</v>
      </c>
      <c r="AI4171" s="32">
        <v>0</v>
      </c>
      <c r="AK4171" s="32">
        <v>0</v>
      </c>
      <c r="AL4171" s="32">
        <f>16/60</f>
        <v>0.26666666666666666</v>
      </c>
      <c r="AP4171" s="32">
        <f>16/60</f>
        <v>0.26666666666666666</v>
      </c>
      <c r="AQ4171" s="32" t="s">
        <v>589</v>
      </c>
      <c r="AU4171">
        <v>4170</v>
      </c>
    </row>
    <row r="4172" spans="1:47" x14ac:dyDescent="0.2">
      <c r="A4172" s="26">
        <v>6727</v>
      </c>
      <c r="B4172" s="27">
        <v>0.48958333333333331</v>
      </c>
      <c r="C4172" s="28"/>
      <c r="D4172" s="29"/>
      <c r="E4172" s="30" t="s">
        <v>3737</v>
      </c>
      <c r="H4172" s="32">
        <v>0</v>
      </c>
      <c r="I4172" s="32" t="s">
        <v>4926</v>
      </c>
      <c r="AG4172" s="32">
        <v>0</v>
      </c>
      <c r="AH4172" s="32">
        <v>0</v>
      </c>
      <c r="AI4172" s="32">
        <v>0</v>
      </c>
      <c r="AK4172" s="32">
        <v>0</v>
      </c>
      <c r="AM4172" s="74"/>
      <c r="AQ4172" s="32" t="s">
        <v>1101</v>
      </c>
      <c r="AU4172">
        <v>4171</v>
      </c>
    </row>
    <row r="4173" spans="1:47" x14ac:dyDescent="0.2">
      <c r="A4173" s="26">
        <v>6727</v>
      </c>
      <c r="B4173" s="27">
        <v>0.96527777777777779</v>
      </c>
      <c r="C4173" s="28"/>
      <c r="D4173" s="29"/>
      <c r="E4173" s="30" t="s">
        <v>464</v>
      </c>
      <c r="H4173" s="32">
        <v>0</v>
      </c>
      <c r="I4173" s="32" t="s">
        <v>5361</v>
      </c>
      <c r="AG4173" s="32">
        <v>0</v>
      </c>
      <c r="AH4173" s="32">
        <v>0</v>
      </c>
      <c r="AL4173" s="32">
        <v>0.5</v>
      </c>
      <c r="AO4173" s="32" t="s">
        <v>4067</v>
      </c>
      <c r="AP4173" s="32">
        <v>0.5</v>
      </c>
      <c r="AQ4173" s="32" t="s">
        <v>1522</v>
      </c>
      <c r="AU4173">
        <v>4172</v>
      </c>
    </row>
    <row r="4174" spans="1:47" x14ac:dyDescent="0.2">
      <c r="A4174" s="26">
        <v>6727</v>
      </c>
      <c r="B4174" s="27">
        <v>0.97569444444444453</v>
      </c>
      <c r="C4174" s="28"/>
      <c r="D4174" s="29"/>
      <c r="E4174" s="30" t="s">
        <v>1282</v>
      </c>
      <c r="H4174" s="32">
        <v>0</v>
      </c>
      <c r="I4174" s="32" t="s">
        <v>5362</v>
      </c>
      <c r="AG4174" s="32">
        <v>0</v>
      </c>
      <c r="AH4174" s="32">
        <v>0</v>
      </c>
      <c r="AI4174" s="32">
        <v>0</v>
      </c>
      <c r="AK4174" s="32">
        <v>0</v>
      </c>
      <c r="AL4174" s="32">
        <f>57/60</f>
        <v>0.95</v>
      </c>
      <c r="AP4174" s="32">
        <f>57/60</f>
        <v>0.95</v>
      </c>
      <c r="AQ4174" s="32" t="s">
        <v>1101</v>
      </c>
      <c r="AU4174">
        <v>4173</v>
      </c>
    </row>
    <row r="4175" spans="1:47" x14ac:dyDescent="0.2">
      <c r="A4175" s="26">
        <v>6727</v>
      </c>
      <c r="B4175" s="27" t="s">
        <v>85</v>
      </c>
      <c r="C4175" s="28"/>
      <c r="D4175" s="29"/>
      <c r="E4175" s="30" t="s">
        <v>364</v>
      </c>
      <c r="H4175" s="32">
        <v>1</v>
      </c>
      <c r="I4175" s="32" t="s">
        <v>5363</v>
      </c>
      <c r="AQ4175" s="32" t="s">
        <v>5305</v>
      </c>
      <c r="AU4175">
        <v>4174</v>
      </c>
    </row>
    <row r="4176" spans="1:47" x14ac:dyDescent="0.2">
      <c r="A4176" s="26">
        <v>6727</v>
      </c>
      <c r="B4176" s="27"/>
      <c r="C4176" s="28"/>
      <c r="D4176" s="29"/>
      <c r="E4176" s="30" t="s">
        <v>4666</v>
      </c>
      <c r="H4176" s="32">
        <v>1</v>
      </c>
      <c r="I4176" s="32" t="s">
        <v>5364</v>
      </c>
      <c r="AG4176" s="32">
        <v>0</v>
      </c>
      <c r="AH4176" s="32">
        <v>0</v>
      </c>
      <c r="AI4176" s="32">
        <v>0</v>
      </c>
      <c r="AL4176" s="32">
        <f>1+1/6</f>
        <v>1.1666666666666667</v>
      </c>
      <c r="AO4176" s="32" t="s">
        <v>4668</v>
      </c>
      <c r="AP4176" s="32">
        <f>1+1/6</f>
        <v>1.1666666666666667</v>
      </c>
      <c r="AQ4176" s="32">
        <v>408</v>
      </c>
      <c r="AU4176">
        <v>4175</v>
      </c>
    </row>
    <row r="4177" spans="1:47" x14ac:dyDescent="0.2">
      <c r="A4177" s="26">
        <v>6727</v>
      </c>
      <c r="B4177" s="27"/>
      <c r="C4177" s="28"/>
      <c r="D4177" s="29"/>
      <c r="E4177" s="30" t="s">
        <v>5365</v>
      </c>
      <c r="H4177" s="32">
        <v>1</v>
      </c>
      <c r="I4177" s="32" t="s">
        <v>5366</v>
      </c>
      <c r="AG4177" s="32">
        <v>0</v>
      </c>
      <c r="AH4177" s="32">
        <v>0</v>
      </c>
      <c r="AI4177" s="32">
        <v>1206</v>
      </c>
      <c r="AK4177" s="32">
        <v>1</v>
      </c>
      <c r="AM4177" s="32">
        <v>547</v>
      </c>
      <c r="AO4177" s="32" t="s">
        <v>5367</v>
      </c>
      <c r="AQ4177" s="91">
        <v>423432</v>
      </c>
      <c r="AU4177">
        <v>4176</v>
      </c>
    </row>
    <row r="4178" spans="1:47" x14ac:dyDescent="0.2">
      <c r="A4178" s="133">
        <v>6728</v>
      </c>
      <c r="B4178" s="39" t="s">
        <v>85</v>
      </c>
      <c r="C4178" s="39">
        <v>99</v>
      </c>
      <c r="D4178" s="29" t="b">
        <v>0</v>
      </c>
      <c r="E4178" s="39" t="s">
        <v>1168</v>
      </c>
      <c r="F4178" s="47" t="s">
        <v>4328</v>
      </c>
      <c r="G4178" s="47" t="s">
        <v>49</v>
      </c>
      <c r="H4178"/>
      <c r="I4178" s="47" t="b">
        <v>0</v>
      </c>
      <c r="J4178" s="47" t="b">
        <v>1</v>
      </c>
      <c r="K4178" s="47">
        <v>2240</v>
      </c>
      <c r="L4178" s="48">
        <v>12</v>
      </c>
      <c r="M4178" s="47">
        <v>0</v>
      </c>
      <c r="N4178" s="47">
        <v>2</v>
      </c>
      <c r="O4178" s="47">
        <v>0</v>
      </c>
      <c r="P4178" s="47">
        <v>10</v>
      </c>
      <c r="Q4178" s="47">
        <v>0</v>
      </c>
      <c r="R4178" s="47">
        <v>0</v>
      </c>
      <c r="S4178" s="48">
        <v>10</v>
      </c>
      <c r="T4178" s="47">
        <v>0</v>
      </c>
      <c r="U4178" s="47">
        <v>0</v>
      </c>
      <c r="V4178" s="47">
        <v>0</v>
      </c>
      <c r="W4178" s="47">
        <v>13500</v>
      </c>
      <c r="X4178" s="47">
        <v>558</v>
      </c>
      <c r="Y4178" s="47" t="s">
        <v>51</v>
      </c>
      <c r="Z4178" s="47" t="s">
        <v>5139</v>
      </c>
      <c r="AA4178" s="49">
        <v>0.53125</v>
      </c>
      <c r="AB4178" s="49"/>
      <c r="AC4178" s="49"/>
      <c r="AD4178" s="50"/>
      <c r="AE4178" s="47" t="s">
        <v>3798</v>
      </c>
      <c r="AF4178" s="47">
        <v>70</v>
      </c>
      <c r="AG4178"/>
      <c r="AH4178"/>
      <c r="AI4178"/>
      <c r="AJ4178"/>
      <c r="AK4178"/>
      <c r="AL4178"/>
      <c r="AM4178"/>
      <c r="AN4178"/>
      <c r="AO4178"/>
      <c r="AP4178"/>
      <c r="AQ4178" t="s">
        <v>2526</v>
      </c>
      <c r="AU4178">
        <v>4177</v>
      </c>
    </row>
    <row r="4179" spans="1:47" x14ac:dyDescent="0.2">
      <c r="A4179" s="37">
        <v>6728</v>
      </c>
      <c r="B4179" s="38" t="s">
        <v>85</v>
      </c>
      <c r="C4179" s="39" t="s">
        <v>4769</v>
      </c>
      <c r="D4179" s="29"/>
      <c r="E4179" s="38" t="s">
        <v>5368</v>
      </c>
      <c r="F4179" s="32" t="s">
        <v>5313</v>
      </c>
      <c r="G4179" s="47" t="s">
        <v>69</v>
      </c>
      <c r="H4179"/>
      <c r="I4179" s="32" t="s">
        <v>5369</v>
      </c>
      <c r="J4179" s="47"/>
      <c r="K4179" s="47">
        <f>32000*2.2</f>
        <v>70400</v>
      </c>
      <c r="L4179" s="48">
        <v>174</v>
      </c>
      <c r="M4179" s="47"/>
      <c r="N4179" s="47"/>
      <c r="O4179" s="47"/>
      <c r="P4179" s="47"/>
      <c r="Q4179" s="47"/>
      <c r="R4179" s="47"/>
      <c r="S4179" s="48"/>
      <c r="T4179" s="47">
        <v>4</v>
      </c>
      <c r="U4179" s="47"/>
      <c r="V4179" s="47"/>
      <c r="W4179" s="47"/>
      <c r="X4179" s="47"/>
      <c r="Y4179" s="47"/>
      <c r="Z4179" s="47"/>
      <c r="AA4179" s="49"/>
      <c r="AB4179" s="49"/>
      <c r="AC4179" s="49"/>
      <c r="AD4179" s="50"/>
      <c r="AE4179" s="47"/>
      <c r="AF4179" s="47"/>
      <c r="AG4179"/>
      <c r="AH4179"/>
      <c r="AI4179"/>
      <c r="AJ4179"/>
      <c r="AK4179"/>
      <c r="AL4179"/>
      <c r="AM4179"/>
      <c r="AN4179"/>
      <c r="AO4179"/>
      <c r="AP4179"/>
      <c r="AQ4179" t="s">
        <v>5348</v>
      </c>
      <c r="AU4179">
        <v>4178</v>
      </c>
    </row>
    <row r="4180" spans="1:47" x14ac:dyDescent="0.2">
      <c r="A4180" s="37">
        <v>6728</v>
      </c>
      <c r="B4180" s="39" t="s">
        <v>45</v>
      </c>
      <c r="C4180" s="39" t="s">
        <v>142</v>
      </c>
      <c r="D4180" s="29"/>
      <c r="E4180" s="38" t="s">
        <v>5370</v>
      </c>
      <c r="F4180" s="32" t="s">
        <v>5371</v>
      </c>
      <c r="G4180" s="47" t="s">
        <v>69</v>
      </c>
      <c r="H4180"/>
      <c r="I4180" s="32" t="s">
        <v>5372</v>
      </c>
      <c r="J4180" s="47"/>
      <c r="K4180" s="47">
        <f>8875*2.2</f>
        <v>19525</v>
      </c>
      <c r="L4180" s="48">
        <f>34+10</f>
        <v>44</v>
      </c>
      <c r="M4180" s="47"/>
      <c r="N4180" s="47">
        <v>1</v>
      </c>
      <c r="O4180" s="47">
        <v>1</v>
      </c>
      <c r="P4180" s="47"/>
      <c r="Q4180" s="47"/>
      <c r="R4180" s="47"/>
      <c r="S4180" s="48">
        <f>32+10</f>
        <v>42</v>
      </c>
      <c r="T4180" s="47">
        <v>0</v>
      </c>
      <c r="U4180" s="47">
        <v>0</v>
      </c>
      <c r="V4180" s="47">
        <v>1</v>
      </c>
      <c r="W4180" s="47"/>
      <c r="X4180" s="47"/>
      <c r="Y4180" s="47" t="s">
        <v>51</v>
      </c>
      <c r="Z4180" s="31" t="s">
        <v>3855</v>
      </c>
      <c r="AA4180" s="49"/>
      <c r="AB4180" s="49"/>
      <c r="AC4180" s="49"/>
      <c r="AD4180" s="50"/>
      <c r="AE4180" s="47" t="s">
        <v>4217</v>
      </c>
      <c r="AF4180" s="47"/>
      <c r="AG4180"/>
      <c r="AH4180"/>
      <c r="AI4180"/>
      <c r="AJ4180"/>
      <c r="AK4180">
        <f>99+78+63+13</f>
        <v>253</v>
      </c>
      <c r="AL4180"/>
      <c r="AM4180"/>
      <c r="AN4180"/>
      <c r="AO4180"/>
      <c r="AP4180"/>
      <c r="AQ4180" t="s">
        <v>5373</v>
      </c>
      <c r="AU4180">
        <v>4179</v>
      </c>
    </row>
    <row r="4181" spans="1:47" x14ac:dyDescent="0.2">
      <c r="A4181" s="37">
        <v>6728</v>
      </c>
      <c r="B4181" s="39" t="s">
        <v>45</v>
      </c>
      <c r="C4181" s="57" t="s">
        <v>4456</v>
      </c>
      <c r="D4181" s="29"/>
      <c r="E4181" s="38" t="s">
        <v>5374</v>
      </c>
      <c r="F4181" s="31" t="s">
        <v>340</v>
      </c>
      <c r="G4181" s="47" t="s">
        <v>49</v>
      </c>
      <c r="H4181"/>
      <c r="I4181" s="32" t="s">
        <v>5375</v>
      </c>
      <c r="J4181" s="47"/>
      <c r="K4181" s="118">
        <f>5*8*50*2.2</f>
        <v>4400</v>
      </c>
      <c r="L4181" s="48">
        <v>5</v>
      </c>
      <c r="M4181" s="47"/>
      <c r="N4181" s="47"/>
      <c r="O4181" s="47"/>
      <c r="P4181" s="47"/>
      <c r="Q4181" s="47"/>
      <c r="R4181" s="47"/>
      <c r="S4181" s="48">
        <v>5</v>
      </c>
      <c r="T4181" s="47">
        <v>0</v>
      </c>
      <c r="U4181" s="47">
        <v>0</v>
      </c>
      <c r="V4181" s="47">
        <v>0</v>
      </c>
      <c r="W4181" s="47">
        <f>((2000+1750+1800+1700+1800)/5)*39.37/12</f>
        <v>5938.3083333333334</v>
      </c>
      <c r="X4181" s="47"/>
      <c r="Y4181" s="31" t="s">
        <v>51</v>
      </c>
      <c r="Z4181" s="31" t="s">
        <v>1846</v>
      </c>
      <c r="AA4181" s="49">
        <v>0.92708333333333337</v>
      </c>
      <c r="AB4181" s="49">
        <v>1.3888888888888888E-2</v>
      </c>
      <c r="AC4181" s="49">
        <v>0.97013888888888899</v>
      </c>
      <c r="AD4181" s="50">
        <v>2</v>
      </c>
      <c r="AE4181" s="31" t="s">
        <v>4756</v>
      </c>
      <c r="AF4181" s="47">
        <v>80</v>
      </c>
      <c r="AG4181"/>
      <c r="AH4181"/>
      <c r="AI4181"/>
      <c r="AJ4181"/>
      <c r="AK4181" s="136">
        <f>5*8</f>
        <v>40</v>
      </c>
      <c r="AL4181"/>
      <c r="AM4181"/>
      <c r="AN4181"/>
      <c r="AO4181"/>
      <c r="AP4181"/>
      <c r="AQ4181" s="25" t="s">
        <v>5376</v>
      </c>
      <c r="AU4181">
        <v>4180</v>
      </c>
    </row>
    <row r="4182" spans="1:47" x14ac:dyDescent="0.2">
      <c r="A4182" s="37">
        <v>6728</v>
      </c>
      <c r="B4182" s="39" t="s">
        <v>45</v>
      </c>
      <c r="C4182" s="57" t="s">
        <v>4456</v>
      </c>
      <c r="D4182" s="29"/>
      <c r="E4182" s="38" t="s">
        <v>5312</v>
      </c>
      <c r="F4182" s="31" t="s">
        <v>220</v>
      </c>
      <c r="G4182" s="47" t="s">
        <v>49</v>
      </c>
      <c r="H4182"/>
      <c r="I4182" s="32" t="s">
        <v>5377</v>
      </c>
      <c r="J4182" s="47"/>
      <c r="K4182" s="118">
        <f>2*8*50*2.2</f>
        <v>1760.0000000000002</v>
      </c>
      <c r="L4182" s="48">
        <v>2</v>
      </c>
      <c r="M4182" s="47"/>
      <c r="N4182" s="47"/>
      <c r="O4182" s="47"/>
      <c r="P4182" s="47"/>
      <c r="Q4182" s="47"/>
      <c r="R4182" s="47"/>
      <c r="S4182" s="48">
        <v>2</v>
      </c>
      <c r="T4182" s="47">
        <v>0</v>
      </c>
      <c r="U4182" s="47">
        <v>0</v>
      </c>
      <c r="V4182" s="47">
        <v>0</v>
      </c>
      <c r="W4182" s="47">
        <f>((1500+1500)/2)*39.37/12</f>
        <v>4921.2499999999991</v>
      </c>
      <c r="X4182" s="47"/>
      <c r="Y4182" s="31" t="s">
        <v>51</v>
      </c>
      <c r="Z4182" s="31" t="s">
        <v>1846</v>
      </c>
      <c r="AA4182" s="49">
        <v>1.7361111111111112E-2</v>
      </c>
      <c r="AB4182" s="49">
        <v>0.1423611111111111</v>
      </c>
      <c r="AC4182" s="49">
        <f>AVERAGE(AA4182:AB4182)</f>
        <v>7.9861111111111105E-2</v>
      </c>
      <c r="AD4182" s="50">
        <v>1.33</v>
      </c>
      <c r="AE4182" s="31" t="s">
        <v>4756</v>
      </c>
      <c r="AF4182" s="47">
        <v>50</v>
      </c>
      <c r="AG4182"/>
      <c r="AH4182"/>
      <c r="AI4182"/>
      <c r="AJ4182"/>
      <c r="AK4182" s="136">
        <f>2*8</f>
        <v>16</v>
      </c>
      <c r="AL4182"/>
      <c r="AM4182"/>
      <c r="AN4182"/>
      <c r="AO4182"/>
      <c r="AP4182"/>
      <c r="AQ4182" s="25" t="s">
        <v>5376</v>
      </c>
      <c r="AU4182">
        <v>4181</v>
      </c>
    </row>
    <row r="4183" spans="1:47" x14ac:dyDescent="0.2">
      <c r="A4183" s="37">
        <v>6728</v>
      </c>
      <c r="B4183" s="39" t="s">
        <v>45</v>
      </c>
      <c r="C4183" s="57" t="s">
        <v>4456</v>
      </c>
      <c r="D4183" s="29"/>
      <c r="E4183" s="38" t="s">
        <v>5312</v>
      </c>
      <c r="F4183" s="31" t="s">
        <v>3715</v>
      </c>
      <c r="G4183" s="47" t="s">
        <v>69</v>
      </c>
      <c r="H4183"/>
      <c r="I4183" s="32" t="s">
        <v>5378</v>
      </c>
      <c r="J4183" s="47"/>
      <c r="K4183" s="118">
        <f>2*8*50*2.2</f>
        <v>1760.0000000000002</v>
      </c>
      <c r="L4183" s="48">
        <v>2</v>
      </c>
      <c r="M4183" s="47"/>
      <c r="N4183" s="47"/>
      <c r="O4183" s="47"/>
      <c r="P4183" s="47"/>
      <c r="Q4183" s="47"/>
      <c r="R4183" s="47"/>
      <c r="S4183" s="48">
        <v>2</v>
      </c>
      <c r="T4183" s="47">
        <v>0</v>
      </c>
      <c r="U4183" s="47">
        <v>0</v>
      </c>
      <c r="V4183" s="47">
        <v>0</v>
      </c>
      <c r="W4183" s="47">
        <f>((1000+1500)/2)*39.37/12</f>
        <v>4101.041666666667</v>
      </c>
      <c r="X4183" s="47"/>
      <c r="Y4183" s="31" t="s">
        <v>51</v>
      </c>
      <c r="Z4183" s="31" t="s">
        <v>1846</v>
      </c>
      <c r="AA4183" s="49">
        <v>4.5138888888888888E-2</v>
      </c>
      <c r="AB4183" s="49">
        <v>0.1111111111111111</v>
      </c>
      <c r="AC4183" s="49">
        <f>AVERAGE(AA4183:AB4183)</f>
        <v>7.8125E-2</v>
      </c>
      <c r="AD4183" s="50">
        <v>1.5</v>
      </c>
      <c r="AE4183" s="31" t="s">
        <v>4756</v>
      </c>
      <c r="AF4183" s="47">
        <v>50</v>
      </c>
      <c r="AG4183"/>
      <c r="AH4183"/>
      <c r="AI4183"/>
      <c r="AJ4183"/>
      <c r="AK4183" s="136">
        <f>2*8</f>
        <v>16</v>
      </c>
      <c r="AL4183"/>
      <c r="AM4183"/>
      <c r="AN4183"/>
      <c r="AO4183"/>
      <c r="AP4183"/>
      <c r="AQ4183" s="25" t="s">
        <v>5376</v>
      </c>
      <c r="AU4183">
        <v>4182</v>
      </c>
    </row>
    <row r="4184" spans="1:47" x14ac:dyDescent="0.2">
      <c r="A4184" s="37">
        <v>6728</v>
      </c>
      <c r="B4184" s="39" t="s">
        <v>45</v>
      </c>
      <c r="C4184" s="57" t="s">
        <v>4456</v>
      </c>
      <c r="D4184" s="29"/>
      <c r="E4184" s="38" t="s">
        <v>1078</v>
      </c>
      <c r="F4184" s="31" t="s">
        <v>220</v>
      </c>
      <c r="G4184" s="47" t="s">
        <v>49</v>
      </c>
      <c r="H4184"/>
      <c r="I4184" s="32" t="s">
        <v>5268</v>
      </c>
      <c r="J4184" s="47"/>
      <c r="K4184" s="118">
        <f>8*50*2.2</f>
        <v>880.00000000000011</v>
      </c>
      <c r="L4184" s="48">
        <v>1</v>
      </c>
      <c r="M4184" s="47"/>
      <c r="N4184" s="47"/>
      <c r="O4184" s="47"/>
      <c r="P4184" s="47"/>
      <c r="Q4184" s="47"/>
      <c r="R4184" s="47"/>
      <c r="S4184" s="48">
        <v>1</v>
      </c>
      <c r="T4184" s="47">
        <v>0</v>
      </c>
      <c r="U4184" s="47">
        <v>0</v>
      </c>
      <c r="V4184" s="47">
        <v>0</v>
      </c>
      <c r="W4184" s="47">
        <f>1500*39.37/12</f>
        <v>4921.2499999999991</v>
      </c>
      <c r="X4184" s="47"/>
      <c r="Y4184" s="31" t="s">
        <v>51</v>
      </c>
      <c r="Z4184" s="31" t="s">
        <v>1846</v>
      </c>
      <c r="AA4184" s="49">
        <v>4.4444444444444446E-2</v>
      </c>
      <c r="AB4184" s="49">
        <v>0.10069444444444443</v>
      </c>
      <c r="AC4184" s="49">
        <f>AVERAGE(AA4184:AB4184)</f>
        <v>7.2569444444444436E-2</v>
      </c>
      <c r="AD4184" s="50">
        <f>1+21/60</f>
        <v>1.35</v>
      </c>
      <c r="AE4184" s="31" t="s">
        <v>4756</v>
      </c>
      <c r="AF4184" s="47">
        <v>60</v>
      </c>
      <c r="AG4184"/>
      <c r="AH4184"/>
      <c r="AI4184"/>
      <c r="AJ4184"/>
      <c r="AK4184" s="136">
        <v>8</v>
      </c>
      <c r="AL4184"/>
      <c r="AM4184"/>
      <c r="AN4184"/>
      <c r="AO4184"/>
      <c r="AP4184"/>
      <c r="AQ4184" s="25" t="s">
        <v>5376</v>
      </c>
      <c r="AU4184">
        <v>4183</v>
      </c>
    </row>
    <row r="4185" spans="1:47" x14ac:dyDescent="0.2">
      <c r="A4185" s="37">
        <v>6728</v>
      </c>
      <c r="B4185" s="39" t="s">
        <v>45</v>
      </c>
      <c r="C4185" s="57" t="s">
        <v>4456</v>
      </c>
      <c r="D4185" s="29"/>
      <c r="E4185" s="38" t="s">
        <v>5379</v>
      </c>
      <c r="F4185" s="31" t="s">
        <v>220</v>
      </c>
      <c r="G4185" s="47" t="s">
        <v>49</v>
      </c>
      <c r="H4185"/>
      <c r="I4185" s="32" t="s">
        <v>5331</v>
      </c>
      <c r="J4185" s="47"/>
      <c r="K4185" s="118">
        <f>8*50*2.2</f>
        <v>880.00000000000011</v>
      </c>
      <c r="L4185" s="48">
        <v>1</v>
      </c>
      <c r="M4185" s="47"/>
      <c r="N4185" s="47"/>
      <c r="O4185" s="47"/>
      <c r="P4185" s="47"/>
      <c r="Q4185" s="47"/>
      <c r="R4185" s="47"/>
      <c r="S4185" s="48">
        <v>1</v>
      </c>
      <c r="T4185" s="47">
        <v>0</v>
      </c>
      <c r="U4185" s="47">
        <v>0</v>
      </c>
      <c r="V4185" s="47">
        <v>0</v>
      </c>
      <c r="W4185" s="47">
        <f>2000*39.37/12</f>
        <v>6561.666666666667</v>
      </c>
      <c r="X4185" s="47"/>
      <c r="Y4185" s="31" t="s">
        <v>51</v>
      </c>
      <c r="Z4185" s="31" t="s">
        <v>1846</v>
      </c>
      <c r="AA4185" s="49">
        <v>6.9444444444444434E-2</v>
      </c>
      <c r="AB4185" s="49">
        <v>0.12847222222222224</v>
      </c>
      <c r="AC4185" s="49">
        <f>AVERAGE(AA4185:AB4185)</f>
        <v>9.8958333333333343E-2</v>
      </c>
      <c r="AD4185" s="50">
        <f>1+25/60</f>
        <v>1.4166666666666667</v>
      </c>
      <c r="AE4185" s="31" t="s">
        <v>4756</v>
      </c>
      <c r="AF4185" s="47">
        <v>65</v>
      </c>
      <c r="AG4185"/>
      <c r="AH4185"/>
      <c r="AI4185"/>
      <c r="AJ4185"/>
      <c r="AK4185" s="136">
        <v>8</v>
      </c>
      <c r="AL4185"/>
      <c r="AM4185"/>
      <c r="AN4185"/>
      <c r="AO4185"/>
      <c r="AP4185"/>
      <c r="AQ4185" s="25" t="s">
        <v>5376</v>
      </c>
      <c r="AU4185">
        <v>4184</v>
      </c>
    </row>
    <row r="4186" spans="1:47" x14ac:dyDescent="0.2">
      <c r="A4186" s="37">
        <v>6728</v>
      </c>
      <c r="B4186" s="39" t="s">
        <v>45</v>
      </c>
      <c r="C4186" s="57" t="s">
        <v>4456</v>
      </c>
      <c r="D4186" s="29"/>
      <c r="E4186" s="38" t="s">
        <v>5380</v>
      </c>
      <c r="F4186" s="31" t="s">
        <v>204</v>
      </c>
      <c r="G4186" s="47" t="s">
        <v>205</v>
      </c>
      <c r="H4186"/>
      <c r="I4186" s="32" t="s">
        <v>5039</v>
      </c>
      <c r="J4186" s="47"/>
      <c r="K4186" s="118">
        <f>8*50*2.2</f>
        <v>880.00000000000011</v>
      </c>
      <c r="L4186" s="48">
        <v>1</v>
      </c>
      <c r="M4186" s="47"/>
      <c r="N4186" s="47"/>
      <c r="O4186" s="47"/>
      <c r="P4186" s="47"/>
      <c r="Q4186" s="47"/>
      <c r="R4186" s="47"/>
      <c r="S4186" s="48">
        <v>1</v>
      </c>
      <c r="T4186" s="47">
        <v>0</v>
      </c>
      <c r="U4186" s="47">
        <v>0</v>
      </c>
      <c r="V4186" s="47">
        <v>0</v>
      </c>
      <c r="W4186" s="47">
        <f>2000*39.37/12</f>
        <v>6561.666666666667</v>
      </c>
      <c r="X4186" s="47"/>
      <c r="Y4186" s="31" t="s">
        <v>51</v>
      </c>
      <c r="Z4186" s="31" t="s">
        <v>1846</v>
      </c>
      <c r="AA4186" s="49">
        <v>0.94791666666666663</v>
      </c>
      <c r="AB4186" s="49">
        <v>3.4722222222222224E-2</v>
      </c>
      <c r="AC4186" s="49">
        <v>0.99097222222222225</v>
      </c>
      <c r="AD4186" s="50">
        <f>2+5/60</f>
        <v>2.0833333333333335</v>
      </c>
      <c r="AE4186" s="31" t="s">
        <v>4756</v>
      </c>
      <c r="AF4186" s="47">
        <v>75</v>
      </c>
      <c r="AG4186"/>
      <c r="AH4186"/>
      <c r="AI4186"/>
      <c r="AJ4186"/>
      <c r="AK4186" s="136">
        <v>8</v>
      </c>
      <c r="AL4186"/>
      <c r="AM4186"/>
      <c r="AN4186"/>
      <c r="AO4186"/>
      <c r="AP4186"/>
      <c r="AQ4186" s="25" t="s">
        <v>5376</v>
      </c>
      <c r="AU4186">
        <v>4185</v>
      </c>
    </row>
    <row r="4187" spans="1:47" x14ac:dyDescent="0.2">
      <c r="A4187" s="13">
        <v>6728</v>
      </c>
      <c r="B4187" s="57" t="s">
        <v>45</v>
      </c>
      <c r="C4187" s="57" t="s">
        <v>1992</v>
      </c>
      <c r="D4187" s="29"/>
      <c r="E4187" s="57" t="s">
        <v>1048</v>
      </c>
      <c r="F4187" s="31" t="s">
        <v>76</v>
      </c>
      <c r="G4187" s="31" t="s">
        <v>49</v>
      </c>
      <c r="K4187" s="31">
        <v>770</v>
      </c>
      <c r="Z4187" s="31" t="s">
        <v>3814</v>
      </c>
      <c r="AE4187" s="31" t="s">
        <v>4756</v>
      </c>
      <c r="AF4187" s="31">
        <v>160</v>
      </c>
      <c r="AK4187" s="32">
        <v>5</v>
      </c>
      <c r="AQ4187" s="32" t="s">
        <v>5381</v>
      </c>
      <c r="AU4187">
        <v>4186</v>
      </c>
    </row>
    <row r="4188" spans="1:47" x14ac:dyDescent="0.2">
      <c r="A4188" s="26">
        <v>6728</v>
      </c>
      <c r="B4188" s="27">
        <v>0.98263888888888884</v>
      </c>
      <c r="C4188" s="28"/>
      <c r="D4188" s="29"/>
      <c r="E4188" s="30" t="s">
        <v>1282</v>
      </c>
      <c r="H4188" s="32">
        <v>0</v>
      </c>
      <c r="I4188" s="32" t="s">
        <v>5382</v>
      </c>
      <c r="AG4188" s="32">
        <v>0</v>
      </c>
      <c r="AH4188" s="32">
        <v>0</v>
      </c>
      <c r="AI4188" s="32">
        <v>0</v>
      </c>
      <c r="AK4188" s="32">
        <v>0</v>
      </c>
      <c r="AL4188" s="32">
        <f>25/60</f>
        <v>0.41666666666666669</v>
      </c>
      <c r="AP4188" s="32">
        <f>25/60</f>
        <v>0.41666666666666669</v>
      </c>
      <c r="AQ4188" s="32" t="s">
        <v>1101</v>
      </c>
      <c r="AU4188">
        <v>4187</v>
      </c>
    </row>
    <row r="4189" spans="1:47" x14ac:dyDescent="0.2">
      <c r="A4189" s="26">
        <v>6728</v>
      </c>
      <c r="B4189" s="27">
        <v>0.98611111111111116</v>
      </c>
      <c r="C4189" s="28"/>
      <c r="D4189" s="29"/>
      <c r="E4189" s="30" t="s">
        <v>464</v>
      </c>
      <c r="H4189" s="32">
        <v>0</v>
      </c>
      <c r="I4189" s="32" t="s">
        <v>5383</v>
      </c>
      <c r="AG4189" s="32">
        <v>0</v>
      </c>
      <c r="AH4189" s="32">
        <v>0</v>
      </c>
      <c r="AL4189" s="32">
        <f>1/6</f>
        <v>0.16666666666666666</v>
      </c>
      <c r="AO4189" s="32" t="s">
        <v>4067</v>
      </c>
      <c r="AP4189" s="32">
        <f>1/6</f>
        <v>0.16666666666666666</v>
      </c>
      <c r="AQ4189" s="32" t="s">
        <v>1522</v>
      </c>
      <c r="AU4189">
        <v>4188</v>
      </c>
    </row>
    <row r="4190" spans="1:47" x14ac:dyDescent="0.2">
      <c r="A4190" s="26">
        <v>6728</v>
      </c>
      <c r="B4190" s="27" t="s">
        <v>85</v>
      </c>
      <c r="C4190" s="28"/>
      <c r="D4190" s="29"/>
      <c r="E4190" s="30" t="s">
        <v>364</v>
      </c>
      <c r="F4190" s="32"/>
      <c r="G4190" s="47"/>
      <c r="H4190">
        <v>1</v>
      </c>
      <c r="I4190" s="32" t="s">
        <v>5384</v>
      </c>
      <c r="J4190" s="47"/>
      <c r="K4190" s="47"/>
      <c r="L4190" s="48"/>
      <c r="M4190" s="47"/>
      <c r="N4190" s="47"/>
      <c r="O4190" s="47"/>
      <c r="P4190" s="47"/>
      <c r="Q4190" s="47"/>
      <c r="R4190" s="47"/>
      <c r="S4190" s="48"/>
      <c r="T4190" s="47"/>
      <c r="U4190" s="47"/>
      <c r="V4190" s="47"/>
      <c r="W4190" s="47"/>
      <c r="X4190" s="47"/>
      <c r="Y4190" s="47"/>
      <c r="Z4190" s="47"/>
      <c r="AA4190" s="49"/>
      <c r="AB4190" s="49"/>
      <c r="AC4190" s="49"/>
      <c r="AD4190" s="50"/>
      <c r="AE4190" s="47"/>
      <c r="AF4190" s="47"/>
      <c r="AG4190"/>
      <c r="AH4190"/>
      <c r="AI4190"/>
      <c r="AJ4190"/>
      <c r="AK4190"/>
      <c r="AL4190"/>
      <c r="AM4190"/>
      <c r="AN4190"/>
      <c r="AO4190"/>
      <c r="AP4190"/>
      <c r="AQ4190" s="32" t="s">
        <v>5305</v>
      </c>
      <c r="AU4190">
        <v>4189</v>
      </c>
    </row>
    <row r="4191" spans="1:47" x14ac:dyDescent="0.2">
      <c r="A4191" s="133">
        <v>6729</v>
      </c>
      <c r="B4191" s="39" t="s">
        <v>85</v>
      </c>
      <c r="C4191" s="39">
        <v>55</v>
      </c>
      <c r="D4191" s="29" t="b">
        <v>0</v>
      </c>
      <c r="E4191" s="39" t="s">
        <v>75</v>
      </c>
      <c r="F4191" s="47" t="s">
        <v>2398</v>
      </c>
      <c r="G4191" s="47" t="s">
        <v>49</v>
      </c>
      <c r="H4191"/>
      <c r="I4191" s="47" t="b">
        <v>0</v>
      </c>
      <c r="J4191" s="47" t="b">
        <v>1</v>
      </c>
      <c r="K4191" s="47">
        <v>1568</v>
      </c>
      <c r="L4191" s="48">
        <v>12</v>
      </c>
      <c r="M4191" s="47">
        <v>0</v>
      </c>
      <c r="N4191" s="47">
        <v>5</v>
      </c>
      <c r="O4191" s="47">
        <v>0</v>
      </c>
      <c r="P4191" s="47">
        <v>7</v>
      </c>
      <c r="Q4191" s="47">
        <v>0</v>
      </c>
      <c r="R4191" s="47">
        <v>0</v>
      </c>
      <c r="S4191" s="48">
        <v>7</v>
      </c>
      <c r="T4191" s="47">
        <v>0</v>
      </c>
      <c r="U4191" s="47">
        <v>0</v>
      </c>
      <c r="V4191" s="47">
        <v>0</v>
      </c>
      <c r="W4191" s="47">
        <v>15000</v>
      </c>
      <c r="X4191" s="47">
        <v>559</v>
      </c>
      <c r="Y4191" s="47"/>
      <c r="Z4191" s="47" t="s">
        <v>3618</v>
      </c>
      <c r="AA4191" s="49"/>
      <c r="AB4191" s="49"/>
      <c r="AC4191" s="49"/>
      <c r="AD4191" s="50"/>
      <c r="AE4191" s="47" t="s">
        <v>3798</v>
      </c>
      <c r="AF4191" s="47">
        <v>155</v>
      </c>
      <c r="AG4191"/>
      <c r="AH4191"/>
      <c r="AI4191"/>
      <c r="AJ4191"/>
      <c r="AK4191"/>
      <c r="AL4191"/>
      <c r="AM4191"/>
      <c r="AN4191"/>
      <c r="AO4191"/>
      <c r="AP4191"/>
      <c r="AQ4191" t="s">
        <v>2526</v>
      </c>
      <c r="AU4191">
        <v>4190</v>
      </c>
    </row>
    <row r="4192" spans="1:47" x14ac:dyDescent="0.2">
      <c r="A4192" s="133">
        <v>6729</v>
      </c>
      <c r="B4192" s="39" t="s">
        <v>85</v>
      </c>
      <c r="C4192" s="39" t="s">
        <v>4849</v>
      </c>
      <c r="D4192" s="29"/>
      <c r="E4192" s="38" t="s">
        <v>5368</v>
      </c>
      <c r="F4192" s="47" t="s">
        <v>5313</v>
      </c>
      <c r="G4192" s="47" t="s">
        <v>69</v>
      </c>
      <c r="H4192"/>
      <c r="I4192" s="47" t="s">
        <v>5385</v>
      </c>
      <c r="J4192" s="47"/>
      <c r="K4192" s="47">
        <f>19000*2.2</f>
        <v>41800</v>
      </c>
      <c r="L4192" s="48">
        <v>100</v>
      </c>
      <c r="M4192" s="47"/>
      <c r="N4192" s="47"/>
      <c r="O4192" s="47"/>
      <c r="P4192" s="47"/>
      <c r="Q4192" s="47"/>
      <c r="R4192" s="47"/>
      <c r="S4192" s="48"/>
      <c r="T4192" s="47">
        <v>2</v>
      </c>
      <c r="U4192" s="47"/>
      <c r="V4192" s="47"/>
      <c r="W4192" s="47"/>
      <c r="X4192" s="47"/>
      <c r="Y4192" s="47" t="s">
        <v>120</v>
      </c>
      <c r="Z4192" s="31" t="s">
        <v>3724</v>
      </c>
      <c r="AA4192" s="49"/>
      <c r="AB4192" s="49"/>
      <c r="AC4192" s="49"/>
      <c r="AD4192" s="50"/>
      <c r="AE4192" s="47"/>
      <c r="AF4192" s="47"/>
      <c r="AG4192"/>
      <c r="AH4192"/>
      <c r="AI4192"/>
      <c r="AJ4192"/>
      <c r="AK4192"/>
      <c r="AL4192"/>
      <c r="AM4192"/>
      <c r="AN4192"/>
      <c r="AO4192"/>
      <c r="AP4192"/>
      <c r="AQ4192" t="s">
        <v>5315</v>
      </c>
      <c r="AU4192">
        <v>4191</v>
      </c>
    </row>
    <row r="4193" spans="1:47" x14ac:dyDescent="0.2">
      <c r="A4193" s="133">
        <v>6729</v>
      </c>
      <c r="B4193" s="39" t="s">
        <v>45</v>
      </c>
      <c r="C4193" s="39">
        <v>100</v>
      </c>
      <c r="D4193" s="29" t="b">
        <v>0</v>
      </c>
      <c r="E4193" s="39" t="s">
        <v>364</v>
      </c>
      <c r="F4193" s="47" t="s">
        <v>2398</v>
      </c>
      <c r="G4193" s="47" t="s">
        <v>49</v>
      </c>
      <c r="H4193"/>
      <c r="I4193" s="47" t="b">
        <v>0</v>
      </c>
      <c r="J4193" s="47" t="b">
        <v>1</v>
      </c>
      <c r="K4193" s="47">
        <v>454</v>
      </c>
      <c r="L4193" s="48">
        <v>6</v>
      </c>
      <c r="M4193" s="47">
        <v>4</v>
      </c>
      <c r="N4193" s="47">
        <v>0</v>
      </c>
      <c r="O4193" s="47">
        <v>0</v>
      </c>
      <c r="P4193" s="47">
        <v>0</v>
      </c>
      <c r="Q4193" s="47">
        <v>0</v>
      </c>
      <c r="R4193" s="47">
        <v>0</v>
      </c>
      <c r="S4193" s="48">
        <v>2</v>
      </c>
      <c r="T4193" s="47">
        <v>0</v>
      </c>
      <c r="U4193" s="47">
        <v>0</v>
      </c>
      <c r="V4193" s="47">
        <v>0</v>
      </c>
      <c r="W4193" s="47"/>
      <c r="X4193" s="47">
        <v>560</v>
      </c>
      <c r="Y4193" s="47"/>
      <c r="Z4193" s="47" t="s">
        <v>2524</v>
      </c>
      <c r="AA4193" s="49"/>
      <c r="AB4193" s="49"/>
      <c r="AC4193" s="49"/>
      <c r="AD4193" s="50"/>
      <c r="AE4193" s="47" t="s">
        <v>1312</v>
      </c>
      <c r="AF4193" s="47">
        <v>60</v>
      </c>
      <c r="AG4193"/>
      <c r="AH4193"/>
      <c r="AI4193"/>
      <c r="AJ4193"/>
      <c r="AK4193"/>
      <c r="AL4193"/>
      <c r="AM4193"/>
      <c r="AN4193"/>
      <c r="AO4193"/>
      <c r="AP4193"/>
      <c r="AQ4193" t="s">
        <v>2526</v>
      </c>
      <c r="AU4193">
        <v>4192</v>
      </c>
    </row>
    <row r="4194" spans="1:47" x14ac:dyDescent="0.2">
      <c r="A4194" s="133">
        <v>6729</v>
      </c>
      <c r="B4194" s="39" t="s">
        <v>45</v>
      </c>
      <c r="C4194" s="39" t="s">
        <v>142</v>
      </c>
      <c r="D4194" s="29"/>
      <c r="E4194" s="39" t="s">
        <v>5386</v>
      </c>
      <c r="F4194" s="47" t="s">
        <v>5387</v>
      </c>
      <c r="G4194" s="47" t="s">
        <v>69</v>
      </c>
      <c r="H4194"/>
      <c r="I4194" s="47" t="s">
        <v>5388</v>
      </c>
      <c r="J4194" s="47"/>
      <c r="K4194" s="47">
        <f>9440*2.2</f>
        <v>20768</v>
      </c>
      <c r="L4194" s="48">
        <f>36+9</f>
        <v>45</v>
      </c>
      <c r="M4194" s="47"/>
      <c r="N4194" s="47">
        <v>2</v>
      </c>
      <c r="O4194" s="47"/>
      <c r="P4194" s="47"/>
      <c r="Q4194" s="47"/>
      <c r="R4194" s="47"/>
      <c r="S4194" s="48">
        <f>34+9</f>
        <v>43</v>
      </c>
      <c r="T4194" s="47">
        <v>0</v>
      </c>
      <c r="U4194" s="47">
        <v>0</v>
      </c>
      <c r="V4194" s="47">
        <v>2</v>
      </c>
      <c r="W4194" s="47"/>
      <c r="X4194" s="47"/>
      <c r="Y4194" s="47" t="s">
        <v>51</v>
      </c>
      <c r="Z4194" s="31" t="s">
        <v>3855</v>
      </c>
      <c r="AA4194" s="49"/>
      <c r="AB4194" s="49"/>
      <c r="AC4194" s="49"/>
      <c r="AD4194" s="50"/>
      <c r="AE4194" s="47" t="s">
        <v>4217</v>
      </c>
      <c r="AF4194" s="47"/>
      <c r="AG4194"/>
      <c r="AH4194"/>
      <c r="AI4194"/>
      <c r="AJ4194"/>
      <c r="AK4194">
        <f>106+127+32+11</f>
        <v>276</v>
      </c>
      <c r="AL4194"/>
      <c r="AM4194"/>
      <c r="AN4194"/>
      <c r="AO4194"/>
      <c r="AP4194"/>
      <c r="AQ4194" t="s">
        <v>5389</v>
      </c>
      <c r="AU4194">
        <v>4193</v>
      </c>
    </row>
    <row r="4195" spans="1:47" x14ac:dyDescent="0.2">
      <c r="A4195" s="133">
        <v>6729</v>
      </c>
      <c r="B4195" s="39" t="s">
        <v>45</v>
      </c>
      <c r="C4195" s="57" t="s">
        <v>4456</v>
      </c>
      <c r="D4195" s="29"/>
      <c r="E4195" s="39" t="s">
        <v>5390</v>
      </c>
      <c r="F4195" s="47" t="s">
        <v>5391</v>
      </c>
      <c r="G4195" s="47" t="s">
        <v>69</v>
      </c>
      <c r="H4195"/>
      <c r="I4195" s="47" t="s">
        <v>5392</v>
      </c>
      <c r="J4195" s="47"/>
      <c r="K4195" s="118">
        <f>2*8*50*2.2</f>
        <v>1760.0000000000002</v>
      </c>
      <c r="L4195" s="48">
        <v>12</v>
      </c>
      <c r="M4195" s="47"/>
      <c r="N4195" s="47"/>
      <c r="O4195" s="47"/>
      <c r="P4195" s="47"/>
      <c r="Q4195" s="47"/>
      <c r="R4195" s="47"/>
      <c r="S4195" s="48">
        <v>12</v>
      </c>
      <c r="T4195" s="47">
        <v>0</v>
      </c>
      <c r="U4195" s="47">
        <v>0</v>
      </c>
      <c r="V4195" s="47">
        <v>0</v>
      </c>
      <c r="W4195" s="47">
        <f>((1100+1500+1800+1500+1800+1500+1200+1400+1500+1400+1800+1800)/12)*39.37/12</f>
        <v>5003.270833333333</v>
      </c>
      <c r="X4195" s="47"/>
      <c r="Y4195" s="31" t="s">
        <v>51</v>
      </c>
      <c r="Z4195" s="31" t="s">
        <v>1846</v>
      </c>
      <c r="AA4195" s="49">
        <v>0.91666666666666663</v>
      </c>
      <c r="AB4195" s="49">
        <v>0.125</v>
      </c>
      <c r="AC4195" s="49">
        <v>2.0833333333333332E-2</v>
      </c>
      <c r="AD4195" s="50">
        <v>1.67</v>
      </c>
      <c r="AE4195" s="31" t="s">
        <v>4756</v>
      </c>
      <c r="AF4195" s="47">
        <v>55</v>
      </c>
      <c r="AG4195"/>
      <c r="AH4195"/>
      <c r="AI4195"/>
      <c r="AJ4195"/>
      <c r="AK4195" s="136">
        <f>12*8</f>
        <v>96</v>
      </c>
      <c r="AL4195"/>
      <c r="AM4195"/>
      <c r="AN4195"/>
      <c r="AO4195"/>
      <c r="AP4195"/>
      <c r="AQ4195" s="25" t="s">
        <v>5393</v>
      </c>
      <c r="AU4195">
        <v>4194</v>
      </c>
    </row>
    <row r="4196" spans="1:47" x14ac:dyDescent="0.2">
      <c r="A4196" s="133">
        <v>6729</v>
      </c>
      <c r="B4196" s="39" t="s">
        <v>45</v>
      </c>
      <c r="C4196" s="57" t="s">
        <v>4456</v>
      </c>
      <c r="D4196" s="29"/>
      <c r="E4196" s="39" t="s">
        <v>4202</v>
      </c>
      <c r="F4196" s="47" t="s">
        <v>5394</v>
      </c>
      <c r="G4196" s="47" t="s">
        <v>49</v>
      </c>
      <c r="H4196"/>
      <c r="I4196" s="47" t="s">
        <v>5395</v>
      </c>
      <c r="J4196" s="47"/>
      <c r="K4196" s="118">
        <f>8*50*2.2</f>
        <v>880.00000000000011</v>
      </c>
      <c r="L4196" s="48">
        <v>1</v>
      </c>
      <c r="M4196" s="47"/>
      <c r="N4196" s="47"/>
      <c r="O4196" s="47"/>
      <c r="P4196" s="47"/>
      <c r="Q4196" s="47"/>
      <c r="R4196" s="47"/>
      <c r="S4196" s="48">
        <v>1</v>
      </c>
      <c r="T4196" s="47">
        <v>0</v>
      </c>
      <c r="U4196" s="47">
        <v>0</v>
      </c>
      <c r="V4196" s="47">
        <v>0</v>
      </c>
      <c r="W4196" s="47">
        <f>1400*39.37/12</f>
        <v>4593.166666666667</v>
      </c>
      <c r="X4196" s="47"/>
      <c r="Y4196" s="31" t="s">
        <v>51</v>
      </c>
      <c r="Z4196" s="31" t="s">
        <v>1846</v>
      </c>
      <c r="AA4196" s="49">
        <v>0.95486111111111116</v>
      </c>
      <c r="AB4196" s="49">
        <v>3.4722222222222224E-2</v>
      </c>
      <c r="AC4196" s="49">
        <v>0.99444444444444446</v>
      </c>
      <c r="AD4196" s="50">
        <f>1+55/60</f>
        <v>1.9166666666666665</v>
      </c>
      <c r="AE4196" s="31" t="s">
        <v>4756</v>
      </c>
      <c r="AF4196" s="47">
        <v>60</v>
      </c>
      <c r="AG4196"/>
      <c r="AH4196"/>
      <c r="AI4196"/>
      <c r="AJ4196"/>
      <c r="AK4196" s="136">
        <v>8</v>
      </c>
      <c r="AL4196"/>
      <c r="AM4196"/>
      <c r="AN4196"/>
      <c r="AO4196"/>
      <c r="AP4196"/>
      <c r="AQ4196" s="25" t="s">
        <v>5393</v>
      </c>
      <c r="AU4196">
        <v>4195</v>
      </c>
    </row>
    <row r="4197" spans="1:47" x14ac:dyDescent="0.2">
      <c r="A4197" s="26">
        <v>6729</v>
      </c>
      <c r="B4197" s="27">
        <v>0.32291666666666669</v>
      </c>
      <c r="C4197" s="28"/>
      <c r="D4197" s="29"/>
      <c r="E4197" s="30" t="s">
        <v>78</v>
      </c>
      <c r="H4197" s="32">
        <v>1</v>
      </c>
      <c r="I4197" s="32"/>
      <c r="AG4197" s="32">
        <v>0</v>
      </c>
      <c r="AH4197" s="32">
        <v>0</v>
      </c>
      <c r="AJ4197" s="32">
        <v>4728</v>
      </c>
      <c r="AK4197" s="32">
        <v>8</v>
      </c>
      <c r="AO4197" s="32" t="s">
        <v>80</v>
      </c>
      <c r="AP4197" s="32">
        <v>0.5</v>
      </c>
      <c r="AQ4197" s="32" t="s">
        <v>1101</v>
      </c>
      <c r="AU4197">
        <v>4196</v>
      </c>
    </row>
    <row r="4198" spans="1:47" x14ac:dyDescent="0.2">
      <c r="A4198" s="26">
        <v>6729</v>
      </c>
      <c r="B4198" s="27">
        <v>0.3263888888888889</v>
      </c>
      <c r="C4198" s="28"/>
      <c r="D4198" s="29"/>
      <c r="E4198" s="102" t="s">
        <v>1102</v>
      </c>
      <c r="H4198" s="32">
        <v>0</v>
      </c>
      <c r="I4198" s="32" t="s">
        <v>1103</v>
      </c>
      <c r="AG4198" s="32">
        <v>0</v>
      </c>
      <c r="AH4198" s="32">
        <v>0</v>
      </c>
      <c r="AI4198" s="32">
        <v>0</v>
      </c>
      <c r="AK4198" s="32">
        <v>0</v>
      </c>
      <c r="AL4198" s="32">
        <f>35/60</f>
        <v>0.58333333333333337</v>
      </c>
      <c r="AO4198" s="73" t="s">
        <v>1006</v>
      </c>
      <c r="AP4198" s="32">
        <f>35/60</f>
        <v>0.58333333333333337</v>
      </c>
      <c r="AQ4198" s="32" t="s">
        <v>589</v>
      </c>
      <c r="AU4198">
        <v>4197</v>
      </c>
    </row>
    <row r="4199" spans="1:47" x14ac:dyDescent="0.2">
      <c r="A4199" s="26">
        <v>6729</v>
      </c>
      <c r="B4199" s="27" t="s">
        <v>85</v>
      </c>
      <c r="C4199" s="28"/>
      <c r="D4199" s="29"/>
      <c r="E4199" s="30" t="s">
        <v>1531</v>
      </c>
      <c r="H4199" s="32">
        <v>0</v>
      </c>
      <c r="I4199" s="32" t="s">
        <v>1532</v>
      </c>
      <c r="AG4199" s="32">
        <v>0</v>
      </c>
      <c r="AH4199" s="32">
        <v>0</v>
      </c>
      <c r="AI4199" s="32">
        <v>0</v>
      </c>
      <c r="AK4199" s="32">
        <v>0</v>
      </c>
      <c r="AM4199" s="32">
        <f>498*36</f>
        <v>17928</v>
      </c>
      <c r="AO4199" s="32" t="s">
        <v>1533</v>
      </c>
      <c r="AQ4199" s="32" t="s">
        <v>1101</v>
      </c>
      <c r="AU4199">
        <v>4198</v>
      </c>
    </row>
    <row r="4200" spans="1:47" x14ac:dyDescent="0.2">
      <c r="A4200" s="133">
        <v>6730</v>
      </c>
      <c r="B4200" s="39" t="s">
        <v>85</v>
      </c>
      <c r="C4200" s="39">
        <v>55</v>
      </c>
      <c r="D4200" s="29" t="b">
        <v>0</v>
      </c>
      <c r="E4200" s="39" t="s">
        <v>5396</v>
      </c>
      <c r="F4200" s="47" t="s">
        <v>4570</v>
      </c>
      <c r="G4200" s="47" t="s">
        <v>49</v>
      </c>
      <c r="H4200"/>
      <c r="I4200" s="47" t="b">
        <v>1</v>
      </c>
      <c r="J4200" s="47" t="b">
        <v>1</v>
      </c>
      <c r="K4200" s="47">
        <v>2694</v>
      </c>
      <c r="L4200" s="48">
        <v>12</v>
      </c>
      <c r="M4200" s="47">
        <v>0</v>
      </c>
      <c r="N4200" s="47">
        <v>0</v>
      </c>
      <c r="O4200" s="47">
        <v>0</v>
      </c>
      <c r="P4200" s="47">
        <v>12</v>
      </c>
      <c r="Q4200" s="47">
        <v>0</v>
      </c>
      <c r="R4200" s="47">
        <v>0</v>
      </c>
      <c r="S4200" s="48">
        <v>12</v>
      </c>
      <c r="T4200" s="47">
        <v>0</v>
      </c>
      <c r="U4200" s="47">
        <v>0</v>
      </c>
      <c r="V4200" s="47">
        <v>0</v>
      </c>
      <c r="W4200" s="47">
        <v>15000</v>
      </c>
      <c r="X4200" s="47">
        <v>561</v>
      </c>
      <c r="Y4200" s="47"/>
      <c r="Z4200" s="47" t="s">
        <v>3618</v>
      </c>
      <c r="AA4200" s="49"/>
      <c r="AB4200" s="49"/>
      <c r="AC4200" s="49"/>
      <c r="AD4200" s="50"/>
      <c r="AE4200" s="47" t="s">
        <v>3798</v>
      </c>
      <c r="AF4200" s="47">
        <v>155</v>
      </c>
      <c r="AG4200"/>
      <c r="AH4200"/>
      <c r="AI4200"/>
      <c r="AJ4200"/>
      <c r="AK4200"/>
      <c r="AL4200"/>
      <c r="AM4200"/>
      <c r="AN4200"/>
      <c r="AO4200"/>
      <c r="AP4200"/>
      <c r="AQ4200" t="s">
        <v>2526</v>
      </c>
      <c r="AU4200">
        <v>4199</v>
      </c>
    </row>
    <row r="4201" spans="1:47" x14ac:dyDescent="0.2">
      <c r="A4201" s="133">
        <v>6730</v>
      </c>
      <c r="B4201" s="39" t="s">
        <v>85</v>
      </c>
      <c r="C4201" s="39">
        <v>55</v>
      </c>
      <c r="D4201" s="29" t="b">
        <v>0</v>
      </c>
      <c r="E4201" s="39" t="s">
        <v>1006</v>
      </c>
      <c r="F4201" s="47" t="s">
        <v>4570</v>
      </c>
      <c r="G4201" s="47" t="s">
        <v>49</v>
      </c>
      <c r="H4201"/>
      <c r="I4201" s="47" t="b">
        <v>0</v>
      </c>
      <c r="J4201" s="47" t="b">
        <v>0</v>
      </c>
      <c r="K4201" s="47">
        <v>1568</v>
      </c>
      <c r="L4201" s="48">
        <v>7</v>
      </c>
      <c r="M4201" s="47">
        <v>0</v>
      </c>
      <c r="N4201" s="47">
        <v>0</v>
      </c>
      <c r="O4201" s="47">
        <v>0</v>
      </c>
      <c r="P4201" s="47">
        <v>7</v>
      </c>
      <c r="Q4201" s="47">
        <v>0</v>
      </c>
      <c r="R4201" s="47">
        <v>0</v>
      </c>
      <c r="S4201" s="48">
        <v>7</v>
      </c>
      <c r="T4201" s="47">
        <v>0</v>
      </c>
      <c r="U4201" s="47">
        <v>0</v>
      </c>
      <c r="V4201" s="47">
        <v>0</v>
      </c>
      <c r="W4201" s="47">
        <v>15000</v>
      </c>
      <c r="X4201" s="47">
        <v>562</v>
      </c>
      <c r="Y4201" s="47"/>
      <c r="Z4201" s="47" t="s">
        <v>3618</v>
      </c>
      <c r="AA4201" s="49"/>
      <c r="AB4201" s="49"/>
      <c r="AC4201" s="49"/>
      <c r="AD4201" s="50"/>
      <c r="AE4201" s="47" t="s">
        <v>3798</v>
      </c>
      <c r="AF4201" s="47">
        <v>155</v>
      </c>
      <c r="AG4201"/>
      <c r="AH4201"/>
      <c r="AI4201"/>
      <c r="AJ4201"/>
      <c r="AK4201"/>
      <c r="AL4201"/>
      <c r="AM4201"/>
      <c r="AN4201"/>
      <c r="AO4201"/>
      <c r="AP4201"/>
      <c r="AQ4201" t="s">
        <v>2526</v>
      </c>
      <c r="AU4201">
        <v>4200</v>
      </c>
    </row>
    <row r="4202" spans="1:47" x14ac:dyDescent="0.2">
      <c r="A4202" s="133">
        <v>6730</v>
      </c>
      <c r="B4202" s="39" t="s">
        <v>85</v>
      </c>
      <c r="C4202" s="39">
        <v>55</v>
      </c>
      <c r="D4202" s="29" t="b">
        <v>0</v>
      </c>
      <c r="E4202" s="39" t="s">
        <v>5397</v>
      </c>
      <c r="F4202" s="47" t="s">
        <v>2398</v>
      </c>
      <c r="G4202" s="47" t="s">
        <v>49</v>
      </c>
      <c r="H4202"/>
      <c r="I4202" s="47" t="b">
        <v>0</v>
      </c>
      <c r="J4202" s="47" t="b">
        <v>0</v>
      </c>
      <c r="K4202" s="47">
        <v>1126</v>
      </c>
      <c r="L4202" s="48">
        <v>5</v>
      </c>
      <c r="M4202" s="47">
        <v>0</v>
      </c>
      <c r="N4202" s="47">
        <v>0</v>
      </c>
      <c r="O4202" s="47">
        <v>0</v>
      </c>
      <c r="P4202" s="47">
        <v>5</v>
      </c>
      <c r="Q4202" s="47">
        <v>0</v>
      </c>
      <c r="R4202" s="47">
        <v>0</v>
      </c>
      <c r="S4202" s="48">
        <v>5</v>
      </c>
      <c r="T4202" s="47">
        <v>0</v>
      </c>
      <c r="U4202" s="47">
        <v>0</v>
      </c>
      <c r="V4202" s="47">
        <v>0</v>
      </c>
      <c r="W4202" s="47">
        <v>15000</v>
      </c>
      <c r="X4202" s="47">
        <v>563</v>
      </c>
      <c r="Y4202" s="47"/>
      <c r="Z4202" s="47" t="s">
        <v>3618</v>
      </c>
      <c r="AA4202" s="49"/>
      <c r="AB4202" s="49"/>
      <c r="AC4202" s="49"/>
      <c r="AD4202" s="50"/>
      <c r="AE4202" s="47" t="s">
        <v>3798</v>
      </c>
      <c r="AF4202" s="47">
        <v>150</v>
      </c>
      <c r="AG4202"/>
      <c r="AH4202"/>
      <c r="AI4202"/>
      <c r="AJ4202"/>
      <c r="AK4202"/>
      <c r="AL4202"/>
      <c r="AM4202"/>
      <c r="AN4202"/>
      <c r="AO4202"/>
      <c r="AP4202"/>
      <c r="AQ4202" t="s">
        <v>2526</v>
      </c>
      <c r="AU4202">
        <v>4201</v>
      </c>
    </row>
    <row r="4203" spans="1:47" x14ac:dyDescent="0.2">
      <c r="A4203" s="133">
        <v>6730</v>
      </c>
      <c r="B4203" s="39" t="s">
        <v>85</v>
      </c>
      <c r="C4203" s="39">
        <v>99</v>
      </c>
      <c r="D4203" s="29" t="b">
        <v>0</v>
      </c>
      <c r="E4203" s="39" t="s">
        <v>1168</v>
      </c>
      <c r="F4203" s="47" t="s">
        <v>5398</v>
      </c>
      <c r="G4203" s="47" t="s">
        <v>49</v>
      </c>
      <c r="H4203"/>
      <c r="I4203" s="47" t="b">
        <v>0</v>
      </c>
      <c r="J4203" s="47" t="b">
        <v>1</v>
      </c>
      <c r="K4203" s="47">
        <v>2240</v>
      </c>
      <c r="L4203" s="48">
        <v>12</v>
      </c>
      <c r="M4203" s="47">
        <v>0</v>
      </c>
      <c r="N4203" s="47">
        <v>2</v>
      </c>
      <c r="O4203" s="47">
        <v>0</v>
      </c>
      <c r="P4203" s="47">
        <v>10</v>
      </c>
      <c r="Q4203" s="47">
        <v>0</v>
      </c>
      <c r="R4203" s="47">
        <v>0</v>
      </c>
      <c r="S4203" s="48">
        <v>10</v>
      </c>
      <c r="T4203" s="47">
        <v>0</v>
      </c>
      <c r="U4203" s="47">
        <v>0</v>
      </c>
      <c r="V4203" s="47">
        <v>0</v>
      </c>
      <c r="W4203" s="47">
        <v>14000</v>
      </c>
      <c r="X4203" s="47">
        <v>564</v>
      </c>
      <c r="Y4203" s="47" t="s">
        <v>51</v>
      </c>
      <c r="Z4203" s="47" t="s">
        <v>5139</v>
      </c>
      <c r="AA4203" s="49"/>
      <c r="AB4203" s="49"/>
      <c r="AC4203" s="49"/>
      <c r="AD4203" s="50"/>
      <c r="AE4203" s="47" t="s">
        <v>3798</v>
      </c>
      <c r="AF4203" s="47">
        <v>70</v>
      </c>
      <c r="AM4203"/>
      <c r="AN4203"/>
      <c r="AO4203"/>
      <c r="AP4203"/>
      <c r="AQ4203" t="s">
        <v>2526</v>
      </c>
      <c r="AU4203">
        <v>4202</v>
      </c>
    </row>
    <row r="4204" spans="1:47" x14ac:dyDescent="0.2">
      <c r="A4204" s="37">
        <v>6730</v>
      </c>
      <c r="B4204" s="38" t="s">
        <v>85</v>
      </c>
      <c r="C4204" s="39" t="s">
        <v>4769</v>
      </c>
      <c r="D4204" s="29"/>
      <c r="E4204" s="38" t="s">
        <v>5399</v>
      </c>
      <c r="F4204" s="32" t="s">
        <v>170</v>
      </c>
      <c r="G4204" s="47" t="s">
        <v>69</v>
      </c>
      <c r="H4204"/>
      <c r="I4204" s="32"/>
      <c r="J4204" s="47"/>
      <c r="K4204" s="47"/>
      <c r="L4204" s="48"/>
      <c r="M4204" s="47"/>
      <c r="N4204" s="47"/>
      <c r="O4204" s="47"/>
      <c r="P4204" s="47"/>
      <c r="Q4204" s="47"/>
      <c r="R4204" s="47"/>
      <c r="S4204" s="48"/>
      <c r="T4204" s="47"/>
      <c r="U4204" s="47"/>
      <c r="V4204" s="47"/>
      <c r="W4204" s="47"/>
      <c r="X4204" s="47"/>
      <c r="Y4204" s="47"/>
      <c r="Z4204" s="47"/>
      <c r="AA4204" s="49"/>
      <c r="AB4204" s="49"/>
      <c r="AC4204" s="49"/>
      <c r="AD4204" s="50"/>
      <c r="AE4204" s="47"/>
      <c r="AF4204" s="47"/>
      <c r="AG4204"/>
      <c r="AH4204"/>
      <c r="AI4204"/>
      <c r="AJ4204"/>
      <c r="AK4204"/>
      <c r="AL4204"/>
      <c r="AM4204"/>
      <c r="AN4204"/>
      <c r="AO4204"/>
      <c r="AP4204"/>
      <c r="AQ4204"/>
      <c r="AU4204">
        <v>4203</v>
      </c>
    </row>
    <row r="4205" spans="1:47" x14ac:dyDescent="0.2">
      <c r="A4205" s="37">
        <v>6730</v>
      </c>
      <c r="B4205" s="38" t="s">
        <v>85</v>
      </c>
      <c r="C4205" s="39" t="s">
        <v>4769</v>
      </c>
      <c r="D4205" s="29"/>
      <c r="E4205" s="38" t="s">
        <v>5400</v>
      </c>
      <c r="F4205" s="32" t="s">
        <v>5313</v>
      </c>
      <c r="G4205" s="47" t="s">
        <v>69</v>
      </c>
      <c r="H4205"/>
      <c r="I4205" s="32" t="s">
        <v>5401</v>
      </c>
      <c r="J4205" s="47"/>
      <c r="K4205" s="47">
        <f>17000*2.2</f>
        <v>37400</v>
      </c>
      <c r="L4205" s="48"/>
      <c r="M4205" s="47"/>
      <c r="N4205" s="47"/>
      <c r="O4205" s="47"/>
      <c r="P4205" s="47"/>
      <c r="Q4205" s="47"/>
      <c r="R4205" s="47"/>
      <c r="S4205" s="48"/>
      <c r="T4205" s="47">
        <v>1</v>
      </c>
      <c r="U4205" s="47"/>
      <c r="V4205" s="47"/>
      <c r="W4205" s="47"/>
      <c r="X4205" s="47"/>
      <c r="Y4205" s="47"/>
      <c r="Z4205" s="47"/>
      <c r="AA4205" s="49"/>
      <c r="AB4205" s="49"/>
      <c r="AC4205" s="49"/>
      <c r="AD4205" s="50"/>
      <c r="AE4205" s="47"/>
      <c r="AF4205" s="47"/>
      <c r="AG4205"/>
      <c r="AH4205"/>
      <c r="AI4205"/>
      <c r="AJ4205"/>
      <c r="AK4205"/>
      <c r="AL4205"/>
      <c r="AM4205"/>
      <c r="AN4205"/>
      <c r="AO4205"/>
      <c r="AP4205"/>
      <c r="AQ4205" t="s">
        <v>5402</v>
      </c>
      <c r="AU4205">
        <v>4204</v>
      </c>
    </row>
    <row r="4206" spans="1:47" x14ac:dyDescent="0.2">
      <c r="A4206" s="37">
        <v>6730</v>
      </c>
      <c r="B4206" s="38" t="s">
        <v>45</v>
      </c>
      <c r="C4206" s="39" t="s">
        <v>142</v>
      </c>
      <c r="D4206" s="29"/>
      <c r="E4206" s="39" t="s">
        <v>5403</v>
      </c>
      <c r="F4206" s="31" t="s">
        <v>5404</v>
      </c>
      <c r="G4206" s="47" t="s">
        <v>69</v>
      </c>
      <c r="H4206"/>
      <c r="I4206" s="32" t="s">
        <v>5405</v>
      </c>
      <c r="J4206" s="47"/>
      <c r="K4206" s="47">
        <f>3875*2.2</f>
        <v>8525</v>
      </c>
      <c r="L4206" s="48">
        <f>22+2</f>
        <v>24</v>
      </c>
      <c r="M4206" s="47"/>
      <c r="N4206" s="47">
        <v>7</v>
      </c>
      <c r="O4206" s="47"/>
      <c r="P4206" s="47"/>
      <c r="Q4206" s="47"/>
      <c r="R4206" s="47"/>
      <c r="S4206" s="48">
        <f>16+1</f>
        <v>17</v>
      </c>
      <c r="T4206" s="47">
        <v>0</v>
      </c>
      <c r="U4206" s="47">
        <v>0</v>
      </c>
      <c r="V4206" s="47">
        <v>1</v>
      </c>
      <c r="W4206" s="47"/>
      <c r="X4206" s="47"/>
      <c r="Y4206" s="47" t="s">
        <v>51</v>
      </c>
      <c r="Z4206" s="31" t="s">
        <v>5406</v>
      </c>
      <c r="AA4206" s="49"/>
      <c r="AB4206" s="49"/>
      <c r="AC4206" s="49"/>
      <c r="AD4206" s="50"/>
      <c r="AE4206" s="47" t="s">
        <v>4217</v>
      </c>
      <c r="AF4206" s="47"/>
      <c r="AG4206"/>
      <c r="AH4206"/>
      <c r="AI4206"/>
      <c r="AJ4206"/>
      <c r="AK4206">
        <f>53+44+14+16+2</f>
        <v>129</v>
      </c>
      <c r="AL4206"/>
      <c r="AM4206"/>
      <c r="AN4206"/>
      <c r="AO4206"/>
      <c r="AP4206"/>
      <c r="AQ4206" t="s">
        <v>5407</v>
      </c>
      <c r="AU4206">
        <v>4205</v>
      </c>
    </row>
    <row r="4207" spans="1:47" x14ac:dyDescent="0.2">
      <c r="A4207" s="26">
        <v>6730</v>
      </c>
      <c r="B4207" s="27">
        <v>0.34375</v>
      </c>
      <c r="C4207" s="28"/>
      <c r="D4207" s="29"/>
      <c r="E4207" s="30" t="s">
        <v>464</v>
      </c>
      <c r="H4207" s="32">
        <v>0</v>
      </c>
      <c r="I4207" s="32" t="s">
        <v>4231</v>
      </c>
      <c r="AG4207" s="32">
        <v>0</v>
      </c>
      <c r="AH4207" s="32">
        <v>0</v>
      </c>
      <c r="AL4207" s="32">
        <v>0.33300000000000002</v>
      </c>
      <c r="AO4207" s="32" t="s">
        <v>4067</v>
      </c>
      <c r="AP4207" s="32">
        <v>0.33300000000000002</v>
      </c>
      <c r="AQ4207" s="32" t="s">
        <v>1522</v>
      </c>
      <c r="AU4207">
        <v>4206</v>
      </c>
    </row>
    <row r="4208" spans="1:47" x14ac:dyDescent="0.2">
      <c r="A4208" s="26">
        <v>6730</v>
      </c>
      <c r="B4208" s="27">
        <v>0.36458333333333331</v>
      </c>
      <c r="C4208" s="28"/>
      <c r="D4208" s="29"/>
      <c r="E4208" s="30" t="s">
        <v>4219</v>
      </c>
      <c r="H4208" s="32">
        <v>0</v>
      </c>
      <c r="I4208" s="32" t="s">
        <v>4249</v>
      </c>
      <c r="AG4208" s="32">
        <v>0</v>
      </c>
      <c r="AH4208" s="32">
        <v>0</v>
      </c>
      <c r="AI4208" s="32">
        <v>0</v>
      </c>
      <c r="AK4208" s="32">
        <v>0</v>
      </c>
      <c r="AL4208" s="32">
        <f>1/6</f>
        <v>0.16666666666666666</v>
      </c>
      <c r="AO4208" s="32" t="s">
        <v>858</v>
      </c>
      <c r="AP4208" s="32">
        <f>1/6</f>
        <v>0.16666666666666666</v>
      </c>
      <c r="AQ4208" s="32" t="s">
        <v>1101</v>
      </c>
      <c r="AU4208">
        <v>4207</v>
      </c>
    </row>
    <row r="4209" spans="1:47" x14ac:dyDescent="0.2">
      <c r="A4209" s="26">
        <v>6730</v>
      </c>
      <c r="B4209" s="27">
        <v>0.37708333333333338</v>
      </c>
      <c r="C4209" s="28"/>
      <c r="D4209" s="29"/>
      <c r="E4209" s="30" t="s">
        <v>4355</v>
      </c>
      <c r="H4209" s="32">
        <v>1</v>
      </c>
      <c r="I4209" s="32" t="s">
        <v>5408</v>
      </c>
      <c r="AG4209" s="32">
        <v>0</v>
      </c>
      <c r="AH4209" s="32">
        <v>2</v>
      </c>
      <c r="AI4209" s="32">
        <f>35702+7692</f>
        <v>43394</v>
      </c>
      <c r="AK4209" s="32">
        <f>11+3</f>
        <v>14</v>
      </c>
      <c r="AL4209" s="32">
        <f>0.75+2</f>
        <v>2.75</v>
      </c>
      <c r="AO4209" s="32" t="s">
        <v>1006</v>
      </c>
      <c r="AP4209" s="32">
        <v>0.75</v>
      </c>
      <c r="AQ4209" s="91">
        <v>423426</v>
      </c>
      <c r="AU4209">
        <v>4208</v>
      </c>
    </row>
    <row r="4210" spans="1:47" x14ac:dyDescent="0.2">
      <c r="A4210" s="26">
        <v>6730</v>
      </c>
      <c r="B4210" s="27">
        <v>0.39930555555555558</v>
      </c>
      <c r="C4210" s="28"/>
      <c r="D4210" s="29"/>
      <c r="E4210" s="30" t="s">
        <v>2964</v>
      </c>
      <c r="H4210" s="32">
        <v>0</v>
      </c>
      <c r="I4210" s="32" t="s">
        <v>4158</v>
      </c>
      <c r="AG4210" s="32">
        <v>0</v>
      </c>
      <c r="AH4210" s="32">
        <v>0</v>
      </c>
      <c r="AI4210" s="32">
        <v>0</v>
      </c>
      <c r="AK4210" s="32">
        <v>0</v>
      </c>
      <c r="AL4210" s="32">
        <f>10/60</f>
        <v>0.16666666666666666</v>
      </c>
      <c r="AP4210" s="32">
        <f>10/60</f>
        <v>0.16666666666666666</v>
      </c>
      <c r="AQ4210" s="32" t="s">
        <v>1101</v>
      </c>
      <c r="AU4210">
        <v>4209</v>
      </c>
    </row>
    <row r="4211" spans="1:47" x14ac:dyDescent="0.2">
      <c r="A4211" s="26">
        <v>6730</v>
      </c>
      <c r="B4211" s="27">
        <v>0.86597222222222225</v>
      </c>
      <c r="C4211" s="28"/>
      <c r="D4211" s="29"/>
      <c r="E4211" s="30" t="s">
        <v>1282</v>
      </c>
      <c r="H4211" s="32">
        <v>0</v>
      </c>
      <c r="I4211" s="32" t="s">
        <v>5409</v>
      </c>
      <c r="AG4211" s="32">
        <v>0</v>
      </c>
      <c r="AH4211" s="32">
        <v>0</v>
      </c>
      <c r="AI4211" s="32">
        <v>0</v>
      </c>
      <c r="AK4211" s="32">
        <v>0</v>
      </c>
      <c r="AL4211" s="32">
        <f>36/60</f>
        <v>0.6</v>
      </c>
      <c r="AP4211" s="32">
        <v>0.6</v>
      </c>
      <c r="AQ4211" s="32" t="s">
        <v>1101</v>
      </c>
      <c r="AU4211">
        <v>4210</v>
      </c>
    </row>
    <row r="4212" spans="1:47" x14ac:dyDescent="0.2">
      <c r="A4212" s="26">
        <v>6730</v>
      </c>
      <c r="B4212" s="27"/>
      <c r="C4212" s="28"/>
      <c r="D4212" s="29"/>
      <c r="E4212" s="30" t="s">
        <v>5410</v>
      </c>
      <c r="H4212" s="32">
        <v>1</v>
      </c>
      <c r="I4212" s="32" t="s">
        <v>5411</v>
      </c>
      <c r="AG4212" s="32">
        <v>0</v>
      </c>
      <c r="AH4212" s="32">
        <v>0</v>
      </c>
      <c r="AI4212" s="32">
        <v>1761</v>
      </c>
      <c r="AO4212" s="32" t="s">
        <v>5004</v>
      </c>
      <c r="AQ4212" s="32">
        <v>435</v>
      </c>
      <c r="AU4212">
        <v>4211</v>
      </c>
    </row>
    <row r="4213" spans="1:47" x14ac:dyDescent="0.2">
      <c r="A4213" s="26">
        <v>6730</v>
      </c>
      <c r="B4213" s="27"/>
      <c r="C4213" s="28"/>
      <c r="D4213" s="29"/>
      <c r="E4213" s="30" t="s">
        <v>4666</v>
      </c>
      <c r="H4213" s="32">
        <v>0</v>
      </c>
      <c r="I4213" s="32" t="s">
        <v>5412</v>
      </c>
      <c r="AG4213" s="32">
        <v>0</v>
      </c>
      <c r="AH4213" s="32">
        <v>0</v>
      </c>
      <c r="AI4213" s="32">
        <v>0</v>
      </c>
      <c r="AK4213" s="32">
        <v>0</v>
      </c>
      <c r="AL4213" s="32">
        <v>1</v>
      </c>
      <c r="AO4213" s="32" t="s">
        <v>4668</v>
      </c>
      <c r="AP4213" s="32">
        <v>1</v>
      </c>
      <c r="AQ4213" s="32">
        <v>408</v>
      </c>
      <c r="AU4213">
        <v>4212</v>
      </c>
    </row>
    <row r="4214" spans="1:47" x14ac:dyDescent="0.2">
      <c r="A4214" s="133">
        <v>6731</v>
      </c>
      <c r="B4214" s="39" t="s">
        <v>45</v>
      </c>
      <c r="C4214" s="39">
        <v>100</v>
      </c>
      <c r="D4214" s="29" t="b">
        <v>0</v>
      </c>
      <c r="E4214" s="39" t="s">
        <v>1168</v>
      </c>
      <c r="F4214" s="47" t="s">
        <v>2398</v>
      </c>
      <c r="G4214" s="47" t="s">
        <v>49</v>
      </c>
      <c r="H4214"/>
      <c r="I4214" s="47" t="b">
        <v>0</v>
      </c>
      <c r="J4214" s="47" t="b">
        <v>1</v>
      </c>
      <c r="K4214" s="47">
        <v>1649</v>
      </c>
      <c r="L4214" s="48">
        <v>7</v>
      </c>
      <c r="M4214" s="47">
        <v>0</v>
      </c>
      <c r="N4214" s="47">
        <v>0</v>
      </c>
      <c r="O4214" s="47">
        <v>0</v>
      </c>
      <c r="P4214" s="47">
        <v>0</v>
      </c>
      <c r="Q4214" s="47">
        <v>0</v>
      </c>
      <c r="R4214" s="47">
        <v>0</v>
      </c>
      <c r="S4214" s="48">
        <v>7</v>
      </c>
      <c r="T4214" s="47">
        <v>0</v>
      </c>
      <c r="U4214" s="47">
        <v>0</v>
      </c>
      <c r="V4214" s="47">
        <v>0</v>
      </c>
      <c r="W4214" s="47">
        <v>2500</v>
      </c>
      <c r="X4214" s="47">
        <v>565</v>
      </c>
      <c r="Y4214" s="47"/>
      <c r="Z4214" s="47" t="s">
        <v>2524</v>
      </c>
      <c r="AA4214" s="49"/>
      <c r="AB4214" s="49"/>
      <c r="AC4214" s="49"/>
      <c r="AD4214" s="50"/>
      <c r="AE4214" s="47" t="s">
        <v>1312</v>
      </c>
      <c r="AF4214" s="47">
        <v>60</v>
      </c>
      <c r="AG4214"/>
      <c r="AH4214"/>
      <c r="AI4214"/>
      <c r="AJ4214"/>
      <c r="AK4214"/>
      <c r="AL4214"/>
      <c r="AM4214"/>
      <c r="AN4214"/>
      <c r="AO4214"/>
      <c r="AP4214"/>
      <c r="AQ4214" t="s">
        <v>2526</v>
      </c>
      <c r="AU4214">
        <v>4213</v>
      </c>
    </row>
    <row r="4215" spans="1:47" x14ac:dyDescent="0.2">
      <c r="A4215" s="133">
        <v>6731</v>
      </c>
      <c r="B4215" s="39" t="s">
        <v>45</v>
      </c>
      <c r="C4215" s="39">
        <v>216</v>
      </c>
      <c r="D4215" s="29" t="b">
        <v>0</v>
      </c>
      <c r="E4215" s="39" t="s">
        <v>4673</v>
      </c>
      <c r="F4215" s="47" t="s">
        <v>5238</v>
      </c>
      <c r="G4215" s="47" t="s">
        <v>49</v>
      </c>
      <c r="H4215"/>
      <c r="I4215" s="47" t="b">
        <v>1</v>
      </c>
      <c r="J4215" s="47" t="b">
        <v>1</v>
      </c>
      <c r="K4215" s="47">
        <v>9184</v>
      </c>
      <c r="L4215" s="48">
        <v>7</v>
      </c>
      <c r="M4215" s="47">
        <v>0</v>
      </c>
      <c r="N4215" s="47">
        <v>0</v>
      </c>
      <c r="O4215" s="47">
        <v>0</v>
      </c>
      <c r="P4215" s="47">
        <v>0</v>
      </c>
      <c r="Q4215" s="47">
        <v>0</v>
      </c>
      <c r="R4215" s="47">
        <v>0</v>
      </c>
      <c r="S4215" s="48">
        <v>7</v>
      </c>
      <c r="T4215" s="47">
        <v>0</v>
      </c>
      <c r="U4215" s="47">
        <v>0</v>
      </c>
      <c r="V4215" s="47">
        <v>0</v>
      </c>
      <c r="W4215" s="47">
        <v>7357</v>
      </c>
      <c r="X4215" s="47">
        <v>566</v>
      </c>
      <c r="Y4215" s="47"/>
      <c r="Z4215" s="47" t="s">
        <v>2466</v>
      </c>
      <c r="AA4215" s="49"/>
      <c r="AB4215" s="49"/>
      <c r="AC4215" s="49"/>
      <c r="AD4215" s="50"/>
      <c r="AE4215" s="47" t="s">
        <v>1312</v>
      </c>
      <c r="AF4215" s="47">
        <v>85</v>
      </c>
      <c r="AG4215"/>
      <c r="AH4215"/>
      <c r="AI4215"/>
      <c r="AJ4215"/>
      <c r="AK4215"/>
      <c r="AL4215"/>
      <c r="AM4215"/>
      <c r="AN4215"/>
      <c r="AO4215"/>
      <c r="AP4215"/>
      <c r="AQ4215" t="s">
        <v>2526</v>
      </c>
      <c r="AU4215">
        <v>4214</v>
      </c>
    </row>
    <row r="4216" spans="1:47" x14ac:dyDescent="0.2">
      <c r="A4216" s="133">
        <v>6731</v>
      </c>
      <c r="B4216" s="39" t="s">
        <v>45</v>
      </c>
      <c r="C4216" s="39">
        <v>216</v>
      </c>
      <c r="D4216" s="29" t="b">
        <v>0</v>
      </c>
      <c r="E4216" s="39" t="s">
        <v>364</v>
      </c>
      <c r="F4216" s="47" t="s">
        <v>5238</v>
      </c>
      <c r="G4216" s="47" t="s">
        <v>49</v>
      </c>
      <c r="H4216"/>
      <c r="I4216" s="47" t="b">
        <v>0</v>
      </c>
      <c r="J4216" s="47" t="b">
        <v>0</v>
      </c>
      <c r="K4216" s="47">
        <v>7840</v>
      </c>
      <c r="L4216" s="48">
        <v>6</v>
      </c>
      <c r="M4216" s="47">
        <v>0</v>
      </c>
      <c r="N4216" s="47">
        <v>0</v>
      </c>
      <c r="O4216" s="47">
        <v>0</v>
      </c>
      <c r="P4216" s="47">
        <v>0</v>
      </c>
      <c r="Q4216" s="47">
        <v>0</v>
      </c>
      <c r="R4216" s="47">
        <v>0</v>
      </c>
      <c r="S4216" s="48">
        <v>6</v>
      </c>
      <c r="T4216" s="47">
        <v>0</v>
      </c>
      <c r="U4216" s="47">
        <v>0</v>
      </c>
      <c r="V4216" s="47">
        <v>0</v>
      </c>
      <c r="W4216" s="47">
        <v>7250</v>
      </c>
      <c r="X4216" s="47">
        <v>567</v>
      </c>
      <c r="Y4216" s="47"/>
      <c r="Z4216" s="47" t="s">
        <v>2466</v>
      </c>
      <c r="AA4216" s="49"/>
      <c r="AB4216" s="49"/>
      <c r="AC4216" s="49"/>
      <c r="AD4216" s="50"/>
      <c r="AE4216" s="47" t="s">
        <v>1312</v>
      </c>
      <c r="AF4216" s="47">
        <v>60</v>
      </c>
      <c r="AG4216"/>
      <c r="AH4216"/>
      <c r="AI4216"/>
      <c r="AJ4216"/>
      <c r="AK4216"/>
      <c r="AL4216"/>
      <c r="AM4216"/>
      <c r="AN4216"/>
      <c r="AO4216"/>
      <c r="AP4216"/>
      <c r="AQ4216" t="s">
        <v>2526</v>
      </c>
      <c r="AU4216">
        <v>4215</v>
      </c>
    </row>
    <row r="4217" spans="1:47" x14ac:dyDescent="0.2">
      <c r="A4217" s="133">
        <v>6731</v>
      </c>
      <c r="B4217" s="39" t="s">
        <v>45</v>
      </c>
      <c r="C4217" s="39">
        <v>216</v>
      </c>
      <c r="D4217" s="29" t="b">
        <v>0</v>
      </c>
      <c r="E4217" s="39" t="s">
        <v>1764</v>
      </c>
      <c r="F4217" s="47" t="s">
        <v>5238</v>
      </c>
      <c r="G4217" s="47" t="s">
        <v>49</v>
      </c>
      <c r="H4217"/>
      <c r="I4217" s="47" t="b">
        <v>0</v>
      </c>
      <c r="J4217" s="47" t="b">
        <v>0</v>
      </c>
      <c r="K4217" s="47">
        <v>1344</v>
      </c>
      <c r="L4217" s="48">
        <v>1</v>
      </c>
      <c r="M4217" s="47">
        <v>0</v>
      </c>
      <c r="N4217" s="47">
        <v>0</v>
      </c>
      <c r="O4217" s="47">
        <v>0</v>
      </c>
      <c r="P4217" s="47">
        <v>0</v>
      </c>
      <c r="Q4217" s="47">
        <v>0</v>
      </c>
      <c r="R4217" s="47">
        <v>0</v>
      </c>
      <c r="S4217" s="48">
        <v>1</v>
      </c>
      <c r="T4217" s="47">
        <v>0</v>
      </c>
      <c r="U4217" s="47">
        <v>0</v>
      </c>
      <c r="V4217" s="47">
        <v>0</v>
      </c>
      <c r="W4217" s="47">
        <v>8000</v>
      </c>
      <c r="X4217" s="47">
        <v>568</v>
      </c>
      <c r="Y4217" s="47"/>
      <c r="Z4217" s="47" t="s">
        <v>2466</v>
      </c>
      <c r="AA4217" s="49"/>
      <c r="AB4217" s="49"/>
      <c r="AC4217" s="49"/>
      <c r="AD4217" s="50"/>
      <c r="AE4217" s="47" t="s">
        <v>1312</v>
      </c>
      <c r="AF4217" s="31">
        <v>85</v>
      </c>
      <c r="AG4217"/>
      <c r="AH4217"/>
      <c r="AI4217"/>
      <c r="AJ4217"/>
      <c r="AK4217"/>
      <c r="AL4217"/>
      <c r="AM4217"/>
      <c r="AN4217"/>
      <c r="AO4217"/>
      <c r="AP4217"/>
      <c r="AQ4217" t="s">
        <v>2526</v>
      </c>
      <c r="AU4217">
        <v>4216</v>
      </c>
    </row>
    <row r="4218" spans="1:47" x14ac:dyDescent="0.2">
      <c r="A4218" s="133">
        <v>6731</v>
      </c>
      <c r="B4218" s="39" t="s">
        <v>45</v>
      </c>
      <c r="C4218" s="39" t="s">
        <v>142</v>
      </c>
      <c r="D4218" s="29"/>
      <c r="E4218" s="39" t="s">
        <v>5327</v>
      </c>
      <c r="F4218" s="47" t="s">
        <v>5327</v>
      </c>
      <c r="G4218" s="47"/>
      <c r="H4218"/>
      <c r="I4218" s="190" t="s">
        <v>5413</v>
      </c>
      <c r="J4218" s="97"/>
      <c r="K4218" s="99">
        <f>9438/2</f>
        <v>4719</v>
      </c>
      <c r="L4218" s="48">
        <v>7</v>
      </c>
      <c r="M4218" s="47"/>
      <c r="N4218" s="47"/>
      <c r="O4218" s="47"/>
      <c r="P4218" s="47"/>
      <c r="Q4218" s="47"/>
      <c r="R4218" s="47"/>
      <c r="S4218" s="48">
        <v>7</v>
      </c>
      <c r="T4218" s="47"/>
      <c r="U4218" s="47"/>
      <c r="V4218" s="47"/>
      <c r="W4218" s="47"/>
      <c r="X4218" s="47"/>
      <c r="Y4218" s="47"/>
      <c r="Z4218" s="31" t="s">
        <v>3855</v>
      </c>
      <c r="AA4218" s="49"/>
      <c r="AB4218" s="49"/>
      <c r="AC4218" s="49"/>
      <c r="AD4218" s="50"/>
      <c r="AE4218" s="47" t="s">
        <v>4217</v>
      </c>
      <c r="AF4218" s="47"/>
      <c r="AG4218"/>
      <c r="AH4218"/>
      <c r="AI4218"/>
      <c r="AJ4218"/>
      <c r="AK4218" s="136">
        <v>56</v>
      </c>
      <c r="AL4218"/>
      <c r="AM4218"/>
      <c r="AN4218"/>
      <c r="AO4218"/>
      <c r="AP4218"/>
      <c r="AQ4218" t="s">
        <v>5414</v>
      </c>
      <c r="AU4218">
        <v>4217</v>
      </c>
    </row>
    <row r="4219" spans="1:47" x14ac:dyDescent="0.2">
      <c r="A4219" s="133">
        <v>6731</v>
      </c>
      <c r="B4219" s="39" t="s">
        <v>45</v>
      </c>
      <c r="C4219" s="57" t="s">
        <v>4456</v>
      </c>
      <c r="D4219" s="29"/>
      <c r="E4219" s="39" t="s">
        <v>5415</v>
      </c>
      <c r="F4219" s="47" t="s">
        <v>5416</v>
      </c>
      <c r="G4219" s="47" t="s">
        <v>49</v>
      </c>
      <c r="H4219"/>
      <c r="I4219" s="47" t="b">
        <v>1</v>
      </c>
      <c r="J4219" s="47" t="b">
        <v>1</v>
      </c>
      <c r="K4219" s="118">
        <f>8*8*50*2.2</f>
        <v>7040.0000000000009</v>
      </c>
      <c r="L4219" s="48">
        <v>8</v>
      </c>
      <c r="M4219" s="47"/>
      <c r="N4219" s="47"/>
      <c r="O4219" s="47"/>
      <c r="P4219" s="47"/>
      <c r="Q4219" s="47"/>
      <c r="R4219" s="47"/>
      <c r="S4219" s="48">
        <v>8</v>
      </c>
      <c r="T4219" s="47">
        <v>0</v>
      </c>
      <c r="U4219" s="47">
        <v>0</v>
      </c>
      <c r="V4219" s="47">
        <v>0</v>
      </c>
      <c r="W4219" s="47">
        <f>((1800+1300+1500+1500+1500+2800+1300+1300)/8)*39.37/12</f>
        <v>5331.3541666666661</v>
      </c>
      <c r="X4219" s="47"/>
      <c r="Y4219" s="31" t="s">
        <v>51</v>
      </c>
      <c r="Z4219" s="31" t="s">
        <v>1846</v>
      </c>
      <c r="AA4219" s="49">
        <v>0.91666666666666663</v>
      </c>
      <c r="AB4219" s="49">
        <v>0.15972222222222224</v>
      </c>
      <c r="AC4219" s="49">
        <v>3.8194444444444441E-2</v>
      </c>
      <c r="AD4219" s="50">
        <f>2+55/60</f>
        <v>2.9166666666666665</v>
      </c>
      <c r="AE4219" s="31" t="s">
        <v>4756</v>
      </c>
      <c r="AF4219" s="47"/>
      <c r="AG4219"/>
      <c r="AH4219"/>
      <c r="AI4219"/>
      <c r="AJ4219"/>
      <c r="AK4219" s="136">
        <f>8*8</f>
        <v>64</v>
      </c>
      <c r="AL4219"/>
      <c r="AM4219"/>
      <c r="AN4219"/>
      <c r="AO4219"/>
      <c r="AP4219"/>
      <c r="AQ4219" s="25" t="s">
        <v>5417</v>
      </c>
      <c r="AR4219" s="32" t="s">
        <v>5418</v>
      </c>
      <c r="AU4219">
        <v>4218</v>
      </c>
    </row>
    <row r="4220" spans="1:47" x14ac:dyDescent="0.2">
      <c r="A4220" s="133">
        <v>6731</v>
      </c>
      <c r="B4220" s="39" t="s">
        <v>45</v>
      </c>
      <c r="C4220" s="57" t="s">
        <v>4456</v>
      </c>
      <c r="D4220" s="29"/>
      <c r="E4220" s="39" t="s">
        <v>5419</v>
      </c>
      <c r="F4220" s="47" t="s">
        <v>5299</v>
      </c>
      <c r="G4220" s="47" t="s">
        <v>49</v>
      </c>
      <c r="H4220"/>
      <c r="I4220" s="47" t="b">
        <v>0</v>
      </c>
      <c r="J4220" s="47" t="b">
        <v>0</v>
      </c>
      <c r="K4220" s="118">
        <f>4.5*8*50*2.2</f>
        <v>3960.0000000000005</v>
      </c>
      <c r="L4220" s="48"/>
      <c r="M4220" s="47"/>
      <c r="N4220" s="47"/>
      <c r="O4220" s="47"/>
      <c r="P4220" s="47"/>
      <c r="Q4220" s="47"/>
      <c r="R4220" s="47"/>
      <c r="S4220" s="48">
        <v>5</v>
      </c>
      <c r="T4220" s="47">
        <v>0</v>
      </c>
      <c r="U4220" s="47">
        <v>0</v>
      </c>
      <c r="V4220" s="47">
        <v>0</v>
      </c>
      <c r="W4220" s="47">
        <f>((1800+1300+1500+2800+1300)/5)*39.37/12</f>
        <v>5708.6499999999987</v>
      </c>
      <c r="X4220" s="47"/>
      <c r="Y4220" s="31" t="s">
        <v>51</v>
      </c>
      <c r="Z4220" s="31" t="s">
        <v>1846</v>
      </c>
      <c r="AA4220" s="49">
        <v>0.91666666666666663</v>
      </c>
      <c r="AB4220" s="49">
        <v>0.12847222222222224</v>
      </c>
      <c r="AC4220" s="49">
        <v>2.2222222222222223E-2</v>
      </c>
      <c r="AD4220" s="50">
        <v>2.33</v>
      </c>
      <c r="AE4220" s="31" t="s">
        <v>4756</v>
      </c>
      <c r="AF4220" s="47">
        <v>70</v>
      </c>
      <c r="AG4220"/>
      <c r="AH4220"/>
      <c r="AI4220"/>
      <c r="AJ4220"/>
      <c r="AK4220" s="136">
        <f>4.5*8</f>
        <v>36</v>
      </c>
      <c r="AL4220"/>
      <c r="AM4220"/>
      <c r="AN4220"/>
      <c r="AO4220"/>
      <c r="AP4220"/>
      <c r="AQ4220" s="25" t="s">
        <v>5417</v>
      </c>
      <c r="AR4220" s="32" t="s">
        <v>5420</v>
      </c>
      <c r="AU4220">
        <v>4219</v>
      </c>
    </row>
    <row r="4221" spans="1:47" x14ac:dyDescent="0.2">
      <c r="A4221" s="133">
        <v>6731</v>
      </c>
      <c r="B4221" s="39" t="s">
        <v>45</v>
      </c>
      <c r="C4221" s="57" t="s">
        <v>4456</v>
      </c>
      <c r="D4221" s="29"/>
      <c r="E4221" s="39" t="s">
        <v>5312</v>
      </c>
      <c r="F4221" s="47" t="s">
        <v>5299</v>
      </c>
      <c r="G4221" s="47" t="s">
        <v>49</v>
      </c>
      <c r="H4221"/>
      <c r="I4221" s="47" t="b">
        <v>0</v>
      </c>
      <c r="J4221" s="47" t="b">
        <v>0</v>
      </c>
      <c r="K4221" s="118">
        <f>1.5*8*50*2.2</f>
        <v>1320</v>
      </c>
      <c r="L4221" s="48"/>
      <c r="M4221" s="47"/>
      <c r="N4221" s="47"/>
      <c r="O4221" s="47"/>
      <c r="P4221" s="47"/>
      <c r="Q4221" s="47"/>
      <c r="R4221" s="47"/>
      <c r="S4221" s="48">
        <v>2</v>
      </c>
      <c r="T4221" s="47">
        <v>0</v>
      </c>
      <c r="U4221" s="47">
        <v>0</v>
      </c>
      <c r="V4221" s="47">
        <v>0</v>
      </c>
      <c r="W4221" s="47">
        <f>((1500+2800)/2)*39.37/12</f>
        <v>7053.791666666667</v>
      </c>
      <c r="X4221" s="47"/>
      <c r="Y4221" s="31" t="s">
        <v>51</v>
      </c>
      <c r="Z4221" s="31" t="s">
        <v>1846</v>
      </c>
      <c r="AA4221" s="49">
        <v>0.91666666666666663</v>
      </c>
      <c r="AB4221" s="49">
        <v>1</v>
      </c>
      <c r="AC4221" s="49">
        <f>AVERAGE(AA4221:AB4221)</f>
        <v>0.95833333333333326</v>
      </c>
      <c r="AD4221" s="50">
        <v>2</v>
      </c>
      <c r="AE4221" s="31" t="s">
        <v>4756</v>
      </c>
      <c r="AF4221" s="47">
        <v>50</v>
      </c>
      <c r="AG4221"/>
      <c r="AH4221"/>
      <c r="AI4221"/>
      <c r="AJ4221"/>
      <c r="AK4221" s="136">
        <f>1.5*8</f>
        <v>12</v>
      </c>
      <c r="AL4221"/>
      <c r="AM4221"/>
      <c r="AN4221"/>
      <c r="AO4221"/>
      <c r="AP4221"/>
      <c r="AQ4221" s="25" t="s">
        <v>5417</v>
      </c>
      <c r="AR4221" s="32" t="s">
        <v>5421</v>
      </c>
      <c r="AU4221">
        <v>4220</v>
      </c>
    </row>
    <row r="4222" spans="1:47" x14ac:dyDescent="0.2">
      <c r="A4222" s="133">
        <v>6731</v>
      </c>
      <c r="B4222" s="39" t="s">
        <v>45</v>
      </c>
      <c r="C4222" s="57" t="s">
        <v>4456</v>
      </c>
      <c r="D4222" s="29"/>
      <c r="E4222" s="39" t="s">
        <v>5422</v>
      </c>
      <c r="F4222" s="47" t="s">
        <v>5299</v>
      </c>
      <c r="G4222" s="47" t="s">
        <v>49</v>
      </c>
      <c r="H4222"/>
      <c r="I4222" s="47" t="b">
        <v>0</v>
      </c>
      <c r="J4222" s="47" t="b">
        <v>0</v>
      </c>
      <c r="K4222" s="118">
        <f>8*50*2.2</f>
        <v>880.00000000000011</v>
      </c>
      <c r="L4222" s="48"/>
      <c r="M4222" s="47"/>
      <c r="N4222" s="47"/>
      <c r="O4222" s="47"/>
      <c r="P4222" s="47"/>
      <c r="Q4222" s="47"/>
      <c r="R4222" s="47"/>
      <c r="S4222" s="48">
        <v>1</v>
      </c>
      <c r="T4222" s="47">
        <v>0</v>
      </c>
      <c r="U4222" s="47">
        <v>0</v>
      </c>
      <c r="V4222" s="47">
        <v>0</v>
      </c>
      <c r="W4222" s="47">
        <f>1500*39.37/12</f>
        <v>4921.2499999999991</v>
      </c>
      <c r="X4222" s="47"/>
      <c r="Y4222" s="31" t="s">
        <v>51</v>
      </c>
      <c r="Z4222" s="31" t="s">
        <v>1846</v>
      </c>
      <c r="AA4222" s="49">
        <v>0.93055555555555547</v>
      </c>
      <c r="AB4222" s="49">
        <v>0.98263888888888884</v>
      </c>
      <c r="AC4222" s="49">
        <f>AVERAGE(AA4222:AB4222)</f>
        <v>0.9565972222222221</v>
      </c>
      <c r="AD4222" s="50">
        <v>1.1499999999999999</v>
      </c>
      <c r="AE4222" s="31" t="s">
        <v>4756</v>
      </c>
      <c r="AF4222" s="47"/>
      <c r="AG4222"/>
      <c r="AH4222"/>
      <c r="AI4222"/>
      <c r="AJ4222"/>
      <c r="AK4222" s="136">
        <v>8</v>
      </c>
      <c r="AL4222"/>
      <c r="AM4222"/>
      <c r="AN4222"/>
      <c r="AO4222"/>
      <c r="AP4222"/>
      <c r="AQ4222" s="25" t="s">
        <v>5417</v>
      </c>
      <c r="AR4222" s="32" t="s">
        <v>5423</v>
      </c>
      <c r="AU4222">
        <v>4221</v>
      </c>
    </row>
    <row r="4223" spans="1:47" x14ac:dyDescent="0.2">
      <c r="A4223" s="133">
        <v>6731</v>
      </c>
      <c r="B4223" s="39" t="s">
        <v>45</v>
      </c>
      <c r="C4223" s="57" t="s">
        <v>4456</v>
      </c>
      <c r="D4223" s="29"/>
      <c r="E4223" s="39" t="s">
        <v>1397</v>
      </c>
      <c r="F4223" s="47" t="s">
        <v>220</v>
      </c>
      <c r="G4223" s="47" t="s">
        <v>49</v>
      </c>
      <c r="H4223"/>
      <c r="I4223" s="47" t="b">
        <v>0</v>
      </c>
      <c r="J4223" s="47" t="b">
        <v>0</v>
      </c>
      <c r="K4223" s="118">
        <f>8*50*2.2</f>
        <v>880.00000000000011</v>
      </c>
      <c r="L4223" s="48"/>
      <c r="M4223" s="47"/>
      <c r="N4223" s="47"/>
      <c r="O4223" s="47"/>
      <c r="P4223" s="47"/>
      <c r="Q4223" s="47"/>
      <c r="R4223" s="47"/>
      <c r="S4223" s="48">
        <v>1</v>
      </c>
      <c r="T4223" s="47">
        <v>0</v>
      </c>
      <c r="U4223" s="47">
        <v>0</v>
      </c>
      <c r="V4223" s="47">
        <v>0</v>
      </c>
      <c r="W4223" s="47">
        <f>1300*39.37/12</f>
        <v>4265.083333333333</v>
      </c>
      <c r="X4223" s="47"/>
      <c r="Y4223" s="31" t="s">
        <v>51</v>
      </c>
      <c r="Z4223" s="31" t="s">
        <v>1846</v>
      </c>
      <c r="AA4223" s="49">
        <v>3.8194444444444441E-2</v>
      </c>
      <c r="AB4223" s="49">
        <v>0.15972222222222224</v>
      </c>
      <c r="AC4223" s="49">
        <f>AVERAGE(AA4223:AB4223)</f>
        <v>9.8958333333333343E-2</v>
      </c>
      <c r="AD4223" s="50">
        <f>2+55/60</f>
        <v>2.9166666666666665</v>
      </c>
      <c r="AE4223" s="31" t="s">
        <v>4756</v>
      </c>
      <c r="AF4223" s="47">
        <v>80</v>
      </c>
      <c r="AG4223"/>
      <c r="AH4223"/>
      <c r="AI4223"/>
      <c r="AJ4223"/>
      <c r="AK4223" s="136">
        <v>8</v>
      </c>
      <c r="AL4223"/>
      <c r="AM4223"/>
      <c r="AN4223"/>
      <c r="AO4223"/>
      <c r="AP4223"/>
      <c r="AQ4223" s="25" t="s">
        <v>5417</v>
      </c>
      <c r="AR4223" s="32" t="s">
        <v>5424</v>
      </c>
      <c r="AU4223">
        <v>4222</v>
      </c>
    </row>
    <row r="4224" spans="1:47" x14ac:dyDescent="0.2">
      <c r="A4224" s="133">
        <v>6731</v>
      </c>
      <c r="B4224" s="39" t="s">
        <v>45</v>
      </c>
      <c r="C4224" s="39" t="s">
        <v>4179</v>
      </c>
      <c r="D4224" s="29"/>
      <c r="E4224" s="39" t="s">
        <v>5425</v>
      </c>
      <c r="F4224" s="47" t="s">
        <v>5426</v>
      </c>
      <c r="G4224" s="47"/>
      <c r="H4224"/>
      <c r="I4224" s="47" t="s">
        <v>5427</v>
      </c>
      <c r="J4224" s="47"/>
      <c r="K4224" s="47"/>
      <c r="L4224" s="48"/>
      <c r="M4224" s="47"/>
      <c r="N4224" s="47"/>
      <c r="O4224" s="47"/>
      <c r="P4224" s="47"/>
      <c r="Q4224" s="47"/>
      <c r="R4224" s="47"/>
      <c r="S4224" s="48"/>
      <c r="T4224" s="47">
        <v>1</v>
      </c>
      <c r="U4224" s="47"/>
      <c r="V4224" s="47"/>
      <c r="W4224" s="47"/>
      <c r="X4224" s="47"/>
      <c r="Y4224" s="47"/>
      <c r="Z4224" s="31" t="s">
        <v>3814</v>
      </c>
      <c r="AA4224" s="49"/>
      <c r="AB4224" s="49"/>
      <c r="AC4224" s="49"/>
      <c r="AD4224" s="50"/>
      <c r="AE4224" s="31" t="s">
        <v>5248</v>
      </c>
      <c r="AF4224" s="47"/>
      <c r="AG4224"/>
      <c r="AH4224"/>
      <c r="AI4224"/>
      <c r="AJ4224"/>
      <c r="AK4224"/>
      <c r="AL4224"/>
      <c r="AM4224"/>
      <c r="AN4224"/>
      <c r="AO4224"/>
      <c r="AP4224"/>
      <c r="AQ4224" t="s">
        <v>5428</v>
      </c>
      <c r="AU4224">
        <v>4223</v>
      </c>
    </row>
    <row r="4225" spans="1:47" x14ac:dyDescent="0.2">
      <c r="A4225" s="13">
        <v>6731</v>
      </c>
      <c r="B4225" s="57" t="s">
        <v>45</v>
      </c>
      <c r="C4225" s="57" t="s">
        <v>1992</v>
      </c>
      <c r="D4225" s="29"/>
      <c r="E4225" s="57" t="s">
        <v>1048</v>
      </c>
      <c r="F4225" s="31" t="s">
        <v>76</v>
      </c>
      <c r="G4225" s="31" t="s">
        <v>49</v>
      </c>
      <c r="K4225" s="31">
        <v>880</v>
      </c>
      <c r="Z4225" s="31" t="s">
        <v>3814</v>
      </c>
      <c r="AE4225" s="31" t="s">
        <v>4756</v>
      </c>
      <c r="AF4225" s="31">
        <v>160</v>
      </c>
      <c r="AK4225" s="32">
        <v>8</v>
      </c>
      <c r="AQ4225" s="32" t="s">
        <v>5381</v>
      </c>
      <c r="AU4225">
        <v>4224</v>
      </c>
    </row>
    <row r="4226" spans="1:47" x14ac:dyDescent="0.2">
      <c r="A4226" s="13">
        <v>6731</v>
      </c>
      <c r="B4226" s="57" t="s">
        <v>45</v>
      </c>
      <c r="C4226" s="57" t="s">
        <v>1992</v>
      </c>
      <c r="D4226" s="29"/>
      <c r="E4226" s="57" t="s">
        <v>175</v>
      </c>
      <c r="F4226" s="31" t="s">
        <v>76</v>
      </c>
      <c r="G4226" s="31" t="s">
        <v>49</v>
      </c>
      <c r="K4226" s="31">
        <v>880</v>
      </c>
      <c r="Z4226" s="31" t="s">
        <v>3814</v>
      </c>
      <c r="AE4226" s="31" t="s">
        <v>4756</v>
      </c>
      <c r="AF4226" s="31">
        <v>140</v>
      </c>
      <c r="AK4226" s="32">
        <v>8</v>
      </c>
      <c r="AQ4226" s="32" t="s">
        <v>5381</v>
      </c>
      <c r="AU4226">
        <v>4225</v>
      </c>
    </row>
    <row r="4227" spans="1:47" x14ac:dyDescent="0.2">
      <c r="A4227" s="26">
        <v>6731</v>
      </c>
      <c r="B4227" s="27">
        <v>0.97569444444444453</v>
      </c>
      <c r="C4227" s="28"/>
      <c r="D4227" s="29"/>
      <c r="E4227" s="30" t="s">
        <v>464</v>
      </c>
      <c r="H4227" s="32">
        <v>0</v>
      </c>
      <c r="I4227" s="32" t="s">
        <v>5429</v>
      </c>
      <c r="AG4227" s="32">
        <v>0</v>
      </c>
      <c r="AH4227" s="32">
        <v>0</v>
      </c>
      <c r="AL4227" s="32">
        <v>2</v>
      </c>
      <c r="AO4227" s="32" t="s">
        <v>4067</v>
      </c>
      <c r="AP4227" s="32">
        <v>2</v>
      </c>
      <c r="AQ4227" s="32" t="s">
        <v>1522</v>
      </c>
      <c r="AU4227">
        <v>4226</v>
      </c>
    </row>
    <row r="4228" spans="1:47" x14ac:dyDescent="0.2">
      <c r="A4228" s="26">
        <v>6731</v>
      </c>
      <c r="B4228" s="27" t="s">
        <v>45</v>
      </c>
      <c r="C4228" s="28"/>
      <c r="D4228" s="29"/>
      <c r="E4228" s="102" t="s">
        <v>364</v>
      </c>
      <c r="H4228" s="32">
        <v>1</v>
      </c>
      <c r="I4228" s="32" t="s">
        <v>5430</v>
      </c>
      <c r="AO4228" s="73"/>
      <c r="AQ4228" s="32" t="s">
        <v>5431</v>
      </c>
      <c r="AU4228">
        <v>4227</v>
      </c>
    </row>
    <row r="4229" spans="1:47" x14ac:dyDescent="0.2">
      <c r="A4229" s="26">
        <v>6731</v>
      </c>
      <c r="B4229" s="27" t="s">
        <v>45</v>
      </c>
      <c r="C4229" s="28"/>
      <c r="D4229" s="29"/>
      <c r="E4229" s="30" t="s">
        <v>1531</v>
      </c>
      <c r="H4229" s="32">
        <v>0</v>
      </c>
      <c r="I4229" s="32" t="s">
        <v>1532</v>
      </c>
      <c r="AG4229" s="32">
        <v>0</v>
      </c>
      <c r="AH4229" s="32">
        <v>0</v>
      </c>
      <c r="AI4229" s="32">
        <v>0</v>
      </c>
      <c r="AK4229" s="32">
        <v>0</v>
      </c>
      <c r="AM4229" s="32">
        <f>498*37</f>
        <v>18426</v>
      </c>
      <c r="AO4229" s="32" t="s">
        <v>1533</v>
      </c>
      <c r="AQ4229" s="32" t="s">
        <v>1101</v>
      </c>
      <c r="AU4229">
        <v>4228</v>
      </c>
    </row>
    <row r="4230" spans="1:47" x14ac:dyDescent="0.2">
      <c r="A4230" s="26">
        <v>6731</v>
      </c>
      <c r="B4230" s="27" t="s">
        <v>45</v>
      </c>
      <c r="C4230" s="28"/>
      <c r="D4230" s="29"/>
      <c r="E4230" s="150" t="s">
        <v>2286</v>
      </c>
      <c r="H4230" s="32">
        <v>0</v>
      </c>
      <c r="I4230" s="32" t="s">
        <v>1824</v>
      </c>
      <c r="AG4230" s="32">
        <v>0</v>
      </c>
      <c r="AH4230" s="32">
        <v>0</v>
      </c>
      <c r="AI4230" s="32">
        <v>0</v>
      </c>
      <c r="AK4230" s="32">
        <v>0</v>
      </c>
      <c r="AM4230" s="32">
        <v>4500</v>
      </c>
      <c r="AO4230" s="73" t="s">
        <v>75</v>
      </c>
      <c r="AQ4230" s="32" t="s">
        <v>589</v>
      </c>
      <c r="AU4230">
        <v>4229</v>
      </c>
    </row>
    <row r="4231" spans="1:47" x14ac:dyDescent="0.2">
      <c r="A4231" s="133">
        <v>6732</v>
      </c>
      <c r="B4231" s="39" t="s">
        <v>85</v>
      </c>
      <c r="C4231" s="39">
        <v>55</v>
      </c>
      <c r="D4231" s="29" t="b">
        <v>0</v>
      </c>
      <c r="E4231" s="39" t="s">
        <v>2964</v>
      </c>
      <c r="F4231" s="47" t="s">
        <v>5432</v>
      </c>
      <c r="G4231" s="47" t="s">
        <v>459</v>
      </c>
      <c r="H4231"/>
      <c r="I4231" s="47" t="b">
        <v>0</v>
      </c>
      <c r="J4231" s="47" t="b">
        <v>1</v>
      </c>
      <c r="K4231" s="47">
        <v>2246</v>
      </c>
      <c r="L4231" s="48">
        <v>12</v>
      </c>
      <c r="M4231" s="47">
        <v>0</v>
      </c>
      <c r="N4231" s="47">
        <v>2</v>
      </c>
      <c r="O4231" s="47">
        <v>0</v>
      </c>
      <c r="P4231" s="47">
        <v>0</v>
      </c>
      <c r="Q4231" s="47">
        <v>0</v>
      </c>
      <c r="R4231" s="47">
        <v>0</v>
      </c>
      <c r="S4231" s="48">
        <v>10</v>
      </c>
      <c r="T4231" s="47">
        <v>0</v>
      </c>
      <c r="U4231" s="47">
        <v>0</v>
      </c>
      <c r="V4231" s="47">
        <v>0</v>
      </c>
      <c r="W4231" s="47">
        <v>15000</v>
      </c>
      <c r="X4231" s="47">
        <v>569</v>
      </c>
      <c r="Y4231" s="47" t="s">
        <v>51</v>
      </c>
      <c r="Z4231" s="47" t="s">
        <v>3618</v>
      </c>
      <c r="AA4231" s="49">
        <v>0.1875</v>
      </c>
      <c r="AB4231" s="49">
        <v>0.40833333333333338</v>
      </c>
      <c r="AC4231" s="49">
        <f>AVERAGE(AA4231:AB4231)</f>
        <v>0.29791666666666672</v>
      </c>
      <c r="AD4231" s="50">
        <f>(AB4231-AA4231)*24</f>
        <v>5.3000000000000007</v>
      </c>
      <c r="AE4231" s="47" t="s">
        <v>5433</v>
      </c>
      <c r="AF4231" s="47">
        <v>226</v>
      </c>
      <c r="AG4231"/>
      <c r="AH4231"/>
      <c r="AI4231"/>
      <c r="AJ4231"/>
      <c r="AK4231">
        <v>19</v>
      </c>
      <c r="AL4231"/>
      <c r="AM4231"/>
      <c r="AN4231"/>
      <c r="AO4231"/>
      <c r="AP4231"/>
      <c r="AQ4231" t="s">
        <v>5434</v>
      </c>
      <c r="AU4231">
        <v>4230</v>
      </c>
    </row>
    <row r="4232" spans="1:47" x14ac:dyDescent="0.2">
      <c r="A4232" s="133">
        <v>6732</v>
      </c>
      <c r="B4232" s="39" t="s">
        <v>85</v>
      </c>
      <c r="C4232" s="39">
        <v>99</v>
      </c>
      <c r="D4232" s="29" t="b">
        <v>0</v>
      </c>
      <c r="E4232" s="39" t="s">
        <v>1764</v>
      </c>
      <c r="F4232" s="47" t="s">
        <v>5238</v>
      </c>
      <c r="G4232" s="47" t="s">
        <v>49</v>
      </c>
      <c r="H4232"/>
      <c r="I4232" s="47" t="b">
        <v>0</v>
      </c>
      <c r="J4232" s="47" t="b">
        <v>1</v>
      </c>
      <c r="K4232" s="47">
        <v>1120</v>
      </c>
      <c r="L4232" s="48">
        <v>11</v>
      </c>
      <c r="M4232" s="47">
        <v>0</v>
      </c>
      <c r="N4232" s="47">
        <v>6</v>
      </c>
      <c r="O4232" s="47">
        <v>0</v>
      </c>
      <c r="P4232" s="47">
        <v>0</v>
      </c>
      <c r="Q4232" s="47">
        <v>0</v>
      </c>
      <c r="R4232" s="47">
        <v>0</v>
      </c>
      <c r="S4232" s="48">
        <v>5</v>
      </c>
      <c r="T4232" s="47">
        <v>0</v>
      </c>
      <c r="U4232" s="47">
        <v>0</v>
      </c>
      <c r="V4232" s="47">
        <v>0</v>
      </c>
      <c r="W4232" s="47">
        <v>14000</v>
      </c>
      <c r="X4232" s="47">
        <v>570</v>
      </c>
      <c r="Y4232" s="47" t="s">
        <v>51</v>
      </c>
      <c r="Z4232" s="47" t="s">
        <v>5139</v>
      </c>
      <c r="AA4232" s="49">
        <v>0.54166666666666663</v>
      </c>
      <c r="AB4232" s="49">
        <v>0.65277777777777779</v>
      </c>
      <c r="AC4232" s="49">
        <f>AVERAGE(AA4232:AB4232)</f>
        <v>0.59722222222222221</v>
      </c>
      <c r="AD4232" s="50">
        <f>(AB4232-AA4232)*24</f>
        <v>2.6666666666666679</v>
      </c>
      <c r="AE4232" s="47" t="s">
        <v>5433</v>
      </c>
      <c r="AF4232" s="47">
        <v>85</v>
      </c>
      <c r="AG4232"/>
      <c r="AH4232"/>
      <c r="AI4232"/>
      <c r="AJ4232"/>
      <c r="AK4232">
        <v>10</v>
      </c>
      <c r="AL4232"/>
      <c r="AM4232"/>
      <c r="AN4232"/>
      <c r="AO4232"/>
      <c r="AP4232"/>
      <c r="AQ4232" t="s">
        <v>2526</v>
      </c>
      <c r="AU4232">
        <v>4231</v>
      </c>
    </row>
    <row r="4233" spans="1:47" x14ac:dyDescent="0.2">
      <c r="A4233" s="133">
        <v>6732</v>
      </c>
      <c r="B4233" s="39" t="s">
        <v>45</v>
      </c>
      <c r="C4233" s="39">
        <v>100</v>
      </c>
      <c r="D4233" s="29" t="b">
        <v>0</v>
      </c>
      <c r="E4233" s="39" t="s">
        <v>5435</v>
      </c>
      <c r="F4233" s="47" t="s">
        <v>5436</v>
      </c>
      <c r="G4233" s="47" t="s">
        <v>49</v>
      </c>
      <c r="H4233"/>
      <c r="I4233" s="47" t="b">
        <v>1</v>
      </c>
      <c r="J4233" s="47" t="b">
        <v>1</v>
      </c>
      <c r="K4233" s="47">
        <v>2395</v>
      </c>
      <c r="L4233" s="48">
        <v>10</v>
      </c>
      <c r="M4233" s="47">
        <v>0</v>
      </c>
      <c r="N4233" s="47">
        <v>0</v>
      </c>
      <c r="O4233" s="47">
        <v>0</v>
      </c>
      <c r="P4233" s="47">
        <v>0</v>
      </c>
      <c r="Q4233" s="47">
        <v>0</v>
      </c>
      <c r="R4233" s="47">
        <v>0</v>
      </c>
      <c r="S4233" s="48">
        <v>10</v>
      </c>
      <c r="T4233" s="47">
        <v>0</v>
      </c>
      <c r="U4233" s="47">
        <v>0</v>
      </c>
      <c r="V4233" s="47">
        <v>0</v>
      </c>
      <c r="W4233" s="47"/>
      <c r="X4233" s="47">
        <v>571</v>
      </c>
      <c r="Y4233" s="47"/>
      <c r="Z4233" s="47" t="s">
        <v>2524</v>
      </c>
      <c r="AA4233" s="49"/>
      <c r="AB4233" s="49"/>
      <c r="AC4233" s="49"/>
      <c r="AD4233" s="50"/>
      <c r="AE4233" s="47" t="s">
        <v>1312</v>
      </c>
      <c r="AF4233" s="47">
        <v>85</v>
      </c>
      <c r="AG4233"/>
      <c r="AH4233"/>
      <c r="AI4233"/>
      <c r="AJ4233"/>
      <c r="AK4233"/>
      <c r="AL4233"/>
      <c r="AM4233"/>
      <c r="AN4233"/>
      <c r="AO4233"/>
      <c r="AP4233"/>
      <c r="AQ4233" t="s">
        <v>2526</v>
      </c>
      <c r="AU4233">
        <v>4232</v>
      </c>
    </row>
    <row r="4234" spans="1:47" x14ac:dyDescent="0.2">
      <c r="A4234" s="133">
        <v>6732</v>
      </c>
      <c r="B4234" s="39" t="s">
        <v>45</v>
      </c>
      <c r="C4234" s="39">
        <v>100</v>
      </c>
      <c r="D4234" s="29" t="b">
        <v>0</v>
      </c>
      <c r="E4234" s="39" t="s">
        <v>1764</v>
      </c>
      <c r="F4234" s="47" t="s">
        <v>5437</v>
      </c>
      <c r="G4234" s="47" t="s">
        <v>49</v>
      </c>
      <c r="H4234"/>
      <c r="I4234" s="47" t="b">
        <v>0</v>
      </c>
      <c r="J4234" s="47" t="b">
        <v>0</v>
      </c>
      <c r="K4234" s="47">
        <v>1717</v>
      </c>
      <c r="L4234" s="48">
        <v>10</v>
      </c>
      <c r="M4234" s="47">
        <v>0</v>
      </c>
      <c r="N4234" s="47">
        <v>0</v>
      </c>
      <c r="O4234" s="47">
        <v>0</v>
      </c>
      <c r="P4234" s="47">
        <v>0</v>
      </c>
      <c r="Q4234" s="47">
        <v>0</v>
      </c>
      <c r="R4234" s="47">
        <v>0</v>
      </c>
      <c r="S4234" s="48">
        <v>7</v>
      </c>
      <c r="T4234" s="47">
        <v>0</v>
      </c>
      <c r="U4234" s="47">
        <v>0</v>
      </c>
      <c r="V4234" s="47">
        <v>0</v>
      </c>
      <c r="W4234" s="47"/>
      <c r="X4234" s="47">
        <v>572</v>
      </c>
      <c r="Y4234" s="47"/>
      <c r="Z4234" s="47" t="s">
        <v>2524</v>
      </c>
      <c r="AA4234" s="49"/>
      <c r="AB4234" s="49"/>
      <c r="AC4234" s="49"/>
      <c r="AD4234" s="50"/>
      <c r="AE4234" s="47" t="s">
        <v>1312</v>
      </c>
      <c r="AF4234" s="31">
        <v>85</v>
      </c>
      <c r="AG4234"/>
      <c r="AH4234"/>
      <c r="AI4234"/>
      <c r="AJ4234"/>
      <c r="AK4234"/>
      <c r="AL4234"/>
      <c r="AM4234"/>
      <c r="AN4234"/>
      <c r="AO4234"/>
      <c r="AP4234"/>
      <c r="AQ4234" t="s">
        <v>2526</v>
      </c>
      <c r="AU4234">
        <v>4233</v>
      </c>
    </row>
    <row r="4235" spans="1:47" x14ac:dyDescent="0.2">
      <c r="A4235" s="133">
        <v>6732</v>
      </c>
      <c r="B4235" s="39" t="s">
        <v>45</v>
      </c>
      <c r="C4235" s="39">
        <v>100</v>
      </c>
      <c r="D4235" s="29" t="b">
        <v>0</v>
      </c>
      <c r="E4235" s="39" t="s">
        <v>1168</v>
      </c>
      <c r="F4235" s="47" t="s">
        <v>2398</v>
      </c>
      <c r="G4235" s="47" t="s">
        <v>49</v>
      </c>
      <c r="H4235"/>
      <c r="I4235" s="47" t="b">
        <v>0</v>
      </c>
      <c r="J4235" s="47" t="b">
        <v>0</v>
      </c>
      <c r="K4235" s="47">
        <v>224</v>
      </c>
      <c r="L4235" s="48">
        <v>10</v>
      </c>
      <c r="M4235" s="47">
        <v>0</v>
      </c>
      <c r="N4235" s="47">
        <v>0</v>
      </c>
      <c r="O4235" s="47">
        <v>0</v>
      </c>
      <c r="P4235" s="47">
        <v>0</v>
      </c>
      <c r="Q4235" s="47">
        <v>0</v>
      </c>
      <c r="R4235" s="47">
        <v>0</v>
      </c>
      <c r="S4235" s="48">
        <v>1</v>
      </c>
      <c r="T4235" s="47">
        <v>0</v>
      </c>
      <c r="U4235" s="47">
        <v>0</v>
      </c>
      <c r="V4235" s="47">
        <v>0</v>
      </c>
      <c r="W4235" s="47"/>
      <c r="X4235" s="47">
        <v>573</v>
      </c>
      <c r="Y4235" s="47"/>
      <c r="Z4235" s="47" t="s">
        <v>2524</v>
      </c>
      <c r="AA4235" s="49"/>
      <c r="AB4235" s="49"/>
      <c r="AC4235" s="49"/>
      <c r="AD4235" s="50"/>
      <c r="AE4235" s="47" t="s">
        <v>1312</v>
      </c>
      <c r="AF4235" s="47">
        <v>60</v>
      </c>
      <c r="AG4235"/>
      <c r="AH4235"/>
      <c r="AI4235"/>
      <c r="AJ4235"/>
      <c r="AK4235"/>
      <c r="AL4235"/>
      <c r="AM4235"/>
      <c r="AN4235"/>
      <c r="AO4235"/>
      <c r="AP4235"/>
      <c r="AQ4235" t="s">
        <v>2526</v>
      </c>
      <c r="AU4235">
        <v>4234</v>
      </c>
    </row>
    <row r="4236" spans="1:47" x14ac:dyDescent="0.2">
      <c r="A4236" s="133">
        <v>6732</v>
      </c>
      <c r="B4236" s="39" t="s">
        <v>45</v>
      </c>
      <c r="C4236" s="39">
        <v>100</v>
      </c>
      <c r="D4236" s="29" t="b">
        <v>0</v>
      </c>
      <c r="E4236" s="39" t="s">
        <v>466</v>
      </c>
      <c r="F4236" s="47" t="s">
        <v>480</v>
      </c>
      <c r="G4236" s="47" t="s">
        <v>481</v>
      </c>
      <c r="H4236"/>
      <c r="I4236" s="47" t="b">
        <v>0</v>
      </c>
      <c r="J4236" s="47" t="b">
        <v>0</v>
      </c>
      <c r="K4236" s="47">
        <v>454</v>
      </c>
      <c r="L4236" s="48">
        <v>10</v>
      </c>
      <c r="M4236" s="47">
        <v>0</v>
      </c>
      <c r="N4236" s="47">
        <v>0</v>
      </c>
      <c r="O4236" s="47">
        <v>0</v>
      </c>
      <c r="P4236" s="47">
        <v>0</v>
      </c>
      <c r="Q4236" s="47">
        <v>0</v>
      </c>
      <c r="R4236" s="47">
        <v>0</v>
      </c>
      <c r="S4236" s="48">
        <v>2</v>
      </c>
      <c r="T4236" s="47">
        <v>0</v>
      </c>
      <c r="U4236" s="47">
        <v>0</v>
      </c>
      <c r="V4236" s="47">
        <v>0</v>
      </c>
      <c r="W4236" s="47"/>
      <c r="X4236" s="47">
        <v>574</v>
      </c>
      <c r="Y4236" s="47"/>
      <c r="Z4236" s="47" t="s">
        <v>2524</v>
      </c>
      <c r="AA4236" s="49"/>
      <c r="AB4236" s="49"/>
      <c r="AC4236" s="49"/>
      <c r="AD4236" s="50"/>
      <c r="AE4236" s="47" t="s">
        <v>1312</v>
      </c>
      <c r="AF4236" s="47">
        <v>70</v>
      </c>
      <c r="AG4236"/>
      <c r="AH4236"/>
      <c r="AI4236"/>
      <c r="AJ4236"/>
      <c r="AK4236"/>
      <c r="AL4236"/>
      <c r="AM4236"/>
      <c r="AN4236"/>
      <c r="AO4236"/>
      <c r="AP4236"/>
      <c r="AQ4236" t="s">
        <v>2526</v>
      </c>
      <c r="AU4236">
        <v>4235</v>
      </c>
    </row>
    <row r="4237" spans="1:47" x14ac:dyDescent="0.2">
      <c r="A4237" s="133">
        <v>6732</v>
      </c>
      <c r="B4237" s="39" t="s">
        <v>45</v>
      </c>
      <c r="C4237" s="39">
        <v>216</v>
      </c>
      <c r="D4237" s="29" t="b">
        <v>0</v>
      </c>
      <c r="E4237" s="39" t="s">
        <v>5438</v>
      </c>
      <c r="F4237" s="47" t="s">
        <v>4328</v>
      </c>
      <c r="G4237" s="47" t="s">
        <v>49</v>
      </c>
      <c r="H4237"/>
      <c r="I4237" s="47" t="b">
        <v>1</v>
      </c>
      <c r="J4237" s="47" t="b">
        <v>1</v>
      </c>
      <c r="K4237" s="47">
        <v>8064</v>
      </c>
      <c r="L4237" s="48">
        <v>7</v>
      </c>
      <c r="M4237" s="47">
        <v>0</v>
      </c>
      <c r="N4237" s="47">
        <v>1</v>
      </c>
      <c r="O4237" s="47">
        <v>0</v>
      </c>
      <c r="P4237" s="47">
        <v>0</v>
      </c>
      <c r="Q4237" s="47">
        <v>0</v>
      </c>
      <c r="R4237" s="47">
        <v>0</v>
      </c>
      <c r="S4237" s="48">
        <v>6</v>
      </c>
      <c r="T4237" s="47">
        <v>0</v>
      </c>
      <c r="U4237" s="47">
        <v>0</v>
      </c>
      <c r="V4237" s="47">
        <v>0</v>
      </c>
      <c r="W4237" s="47">
        <v>7792</v>
      </c>
      <c r="X4237" s="47">
        <v>575</v>
      </c>
      <c r="Y4237" s="47"/>
      <c r="Z4237" s="47" t="s">
        <v>2466</v>
      </c>
      <c r="AA4237" s="49"/>
      <c r="AB4237" s="49"/>
      <c r="AC4237" s="49"/>
      <c r="AD4237" s="50"/>
      <c r="AE4237" s="47" t="s">
        <v>1312</v>
      </c>
      <c r="AF4237" s="47">
        <v>85</v>
      </c>
      <c r="AG4237"/>
      <c r="AH4237"/>
      <c r="AI4237"/>
      <c r="AJ4237"/>
      <c r="AK4237"/>
      <c r="AL4237"/>
      <c r="AM4237"/>
      <c r="AN4237"/>
      <c r="AO4237"/>
      <c r="AP4237"/>
      <c r="AQ4237" t="s">
        <v>2526</v>
      </c>
      <c r="AU4237">
        <v>4236</v>
      </c>
    </row>
    <row r="4238" spans="1:47" x14ac:dyDescent="0.2">
      <c r="A4238" s="133">
        <v>6732</v>
      </c>
      <c r="B4238" s="39" t="s">
        <v>45</v>
      </c>
      <c r="C4238" s="39">
        <v>216</v>
      </c>
      <c r="D4238" s="29" t="b">
        <v>0</v>
      </c>
      <c r="E4238" s="39" t="s">
        <v>1764</v>
      </c>
      <c r="F4238" s="47" t="s">
        <v>5238</v>
      </c>
      <c r="G4238" s="47" t="s">
        <v>49</v>
      </c>
      <c r="H4238"/>
      <c r="I4238" s="47" t="b">
        <v>0</v>
      </c>
      <c r="J4238" s="47" t="b">
        <v>0</v>
      </c>
      <c r="K4238" s="47">
        <v>6720</v>
      </c>
      <c r="L4238" s="48">
        <v>7</v>
      </c>
      <c r="M4238" s="47">
        <v>0</v>
      </c>
      <c r="N4238" s="47">
        <v>1</v>
      </c>
      <c r="O4238" s="47">
        <v>0</v>
      </c>
      <c r="P4238" s="47">
        <v>0</v>
      </c>
      <c r="Q4238" s="47">
        <v>0</v>
      </c>
      <c r="R4238" s="47">
        <v>0</v>
      </c>
      <c r="S4238" s="48">
        <v>5</v>
      </c>
      <c r="T4238" s="47">
        <v>0</v>
      </c>
      <c r="U4238" s="47">
        <v>0</v>
      </c>
      <c r="V4238" s="47">
        <v>0</v>
      </c>
      <c r="W4238" s="47">
        <v>7750</v>
      </c>
      <c r="X4238" s="47">
        <v>576</v>
      </c>
      <c r="Y4238" s="47"/>
      <c r="Z4238" s="47" t="s">
        <v>2466</v>
      </c>
      <c r="AA4238" s="49"/>
      <c r="AB4238" s="49"/>
      <c r="AC4238" s="49"/>
      <c r="AD4238" s="50"/>
      <c r="AE4238" s="47" t="s">
        <v>1312</v>
      </c>
      <c r="AF4238" s="31">
        <v>85</v>
      </c>
      <c r="AG4238"/>
      <c r="AH4238"/>
      <c r="AI4238"/>
      <c r="AJ4238"/>
      <c r="AK4238"/>
      <c r="AL4238"/>
      <c r="AM4238"/>
      <c r="AN4238"/>
      <c r="AO4238"/>
      <c r="AP4238"/>
      <c r="AQ4238" t="s">
        <v>2526</v>
      </c>
      <c r="AU4238">
        <v>4237</v>
      </c>
    </row>
    <row r="4239" spans="1:47" x14ac:dyDescent="0.2">
      <c r="A4239" s="133">
        <v>6732</v>
      </c>
      <c r="B4239" s="39" t="s">
        <v>45</v>
      </c>
      <c r="C4239" s="39">
        <v>216</v>
      </c>
      <c r="D4239" s="29" t="b">
        <v>0</v>
      </c>
      <c r="E4239" s="39" t="s">
        <v>2480</v>
      </c>
      <c r="F4239" s="47" t="s">
        <v>5439</v>
      </c>
      <c r="G4239" s="47" t="s">
        <v>49</v>
      </c>
      <c r="H4239"/>
      <c r="I4239" s="47" t="b">
        <v>0</v>
      </c>
      <c r="J4239" s="47" t="b">
        <v>0</v>
      </c>
      <c r="K4239" s="47">
        <v>1344</v>
      </c>
      <c r="L4239" s="48">
        <v>7</v>
      </c>
      <c r="M4239" s="47">
        <v>0</v>
      </c>
      <c r="N4239" s="47">
        <v>1</v>
      </c>
      <c r="O4239" s="47">
        <v>0</v>
      </c>
      <c r="P4239" s="47">
        <v>0</v>
      </c>
      <c r="Q4239" s="47">
        <v>0</v>
      </c>
      <c r="R4239" s="47">
        <v>0</v>
      </c>
      <c r="S4239" s="48">
        <v>1</v>
      </c>
      <c r="T4239" s="47">
        <v>0</v>
      </c>
      <c r="U4239" s="47">
        <v>0</v>
      </c>
      <c r="V4239" s="47">
        <v>0</v>
      </c>
      <c r="W4239" s="47">
        <v>8000</v>
      </c>
      <c r="X4239" s="47">
        <v>577</v>
      </c>
      <c r="Y4239" s="47"/>
      <c r="Z4239" s="47" t="s">
        <v>2466</v>
      </c>
      <c r="AA4239" s="49"/>
      <c r="AB4239" s="49"/>
      <c r="AC4239" s="49"/>
      <c r="AD4239" s="50"/>
      <c r="AE4239" s="47" t="s">
        <v>1312</v>
      </c>
      <c r="AF4239" s="47">
        <v>60</v>
      </c>
      <c r="AG4239"/>
      <c r="AH4239"/>
      <c r="AI4239"/>
      <c r="AJ4239"/>
      <c r="AK4239"/>
      <c r="AL4239"/>
      <c r="AM4239"/>
      <c r="AN4239"/>
      <c r="AO4239"/>
      <c r="AP4239"/>
      <c r="AQ4239" t="s">
        <v>2526</v>
      </c>
      <c r="AU4239">
        <v>4238</v>
      </c>
    </row>
    <row r="4240" spans="1:47" x14ac:dyDescent="0.2">
      <c r="A4240" s="133">
        <v>6732</v>
      </c>
      <c r="B4240" s="39" t="s">
        <v>45</v>
      </c>
      <c r="C4240" s="39" t="s">
        <v>142</v>
      </c>
      <c r="D4240" s="29"/>
      <c r="E4240" s="39" t="s">
        <v>5440</v>
      </c>
      <c r="F4240" s="47" t="s">
        <v>5441</v>
      </c>
      <c r="G4240" s="47" t="s">
        <v>69</v>
      </c>
      <c r="H4240"/>
      <c r="I4240" s="47" t="s">
        <v>5442</v>
      </c>
      <c r="J4240" s="47"/>
      <c r="K4240" s="47">
        <f>4365*2.2</f>
        <v>9603</v>
      </c>
      <c r="L4240" s="48">
        <f>16+2</f>
        <v>18</v>
      </c>
      <c r="M4240" s="47"/>
      <c r="N4240" s="47">
        <v>1</v>
      </c>
      <c r="O4240" s="47"/>
      <c r="P4240" s="47"/>
      <c r="Q4240" s="47"/>
      <c r="R4240" s="47"/>
      <c r="S4240" s="48">
        <f>15+2</f>
        <v>17</v>
      </c>
      <c r="T4240" s="47">
        <v>0</v>
      </c>
      <c r="U4240" s="47">
        <v>0</v>
      </c>
      <c r="V4240" s="47">
        <v>0</v>
      </c>
      <c r="W4240" s="47"/>
      <c r="X4240" s="47"/>
      <c r="Y4240" s="47" t="s">
        <v>51</v>
      </c>
      <c r="Z4240" s="31" t="s">
        <v>3855</v>
      </c>
      <c r="AA4240" s="49"/>
      <c r="AB4240" s="49"/>
      <c r="AC4240" s="49"/>
      <c r="AD4240" s="50"/>
      <c r="AE4240" s="47" t="s">
        <v>4217</v>
      </c>
      <c r="AF4240" s="47"/>
      <c r="AG4240"/>
      <c r="AH4240"/>
      <c r="AI4240"/>
      <c r="AJ4240"/>
      <c r="AK4240">
        <f>54+43+24+7+5</f>
        <v>133</v>
      </c>
      <c r="AL4240"/>
      <c r="AM4240"/>
      <c r="AN4240"/>
      <c r="AO4240"/>
      <c r="AP4240"/>
      <c r="AQ4240" t="s">
        <v>5414</v>
      </c>
      <c r="AU4240">
        <v>4239</v>
      </c>
    </row>
    <row r="4241" spans="1:47" x14ac:dyDescent="0.2">
      <c r="A4241" s="133">
        <v>6732</v>
      </c>
      <c r="B4241" s="39" t="s">
        <v>45</v>
      </c>
      <c r="C4241" s="57" t="s">
        <v>4456</v>
      </c>
      <c r="D4241" s="29"/>
      <c r="E4241" s="39" t="s">
        <v>5443</v>
      </c>
      <c r="F4241" s="47" t="s">
        <v>5416</v>
      </c>
      <c r="G4241" s="47" t="s">
        <v>49</v>
      </c>
      <c r="H4241"/>
      <c r="I4241" s="47" t="s">
        <v>5444</v>
      </c>
      <c r="J4241" s="47"/>
      <c r="K4241" s="118">
        <f>7*8*50*2.2</f>
        <v>6160.0000000000009</v>
      </c>
      <c r="L4241" s="48">
        <v>7</v>
      </c>
      <c r="M4241" s="47"/>
      <c r="N4241" s="47"/>
      <c r="O4241" s="47"/>
      <c r="P4241" s="47"/>
      <c r="Q4241" s="47"/>
      <c r="R4241" s="47"/>
      <c r="S4241" s="48">
        <v>7</v>
      </c>
      <c r="T4241" s="47">
        <v>0</v>
      </c>
      <c r="U4241" s="47">
        <v>0</v>
      </c>
      <c r="V4241" s="47">
        <v>0</v>
      </c>
      <c r="W4241" s="47">
        <f>((1200+2100+1600+1200+2300+1700+2500)/7)*39.37/12</f>
        <v>5905.5</v>
      </c>
      <c r="X4241" s="47"/>
      <c r="Y4241" s="31" t="s">
        <v>51</v>
      </c>
      <c r="Z4241" s="31" t="s">
        <v>1846</v>
      </c>
      <c r="AA4241" s="49">
        <v>0.92708333333333337</v>
      </c>
      <c r="AB4241" s="49">
        <v>4.1666666666666664E-2</v>
      </c>
      <c r="AC4241" s="49">
        <v>0.98402777777777783</v>
      </c>
      <c r="AD4241" s="50">
        <f>3+5/60</f>
        <v>3.0833333333333335</v>
      </c>
      <c r="AE4241" s="31" t="s">
        <v>4756</v>
      </c>
      <c r="AF4241" s="47">
        <v>120</v>
      </c>
      <c r="AG4241"/>
      <c r="AH4241"/>
      <c r="AI4241"/>
      <c r="AJ4241"/>
      <c r="AK4241" s="136">
        <f>7*8</f>
        <v>56</v>
      </c>
      <c r="AL4241"/>
      <c r="AM4241"/>
      <c r="AN4241"/>
      <c r="AO4241"/>
      <c r="AP4241"/>
      <c r="AQ4241" s="25" t="s">
        <v>5445</v>
      </c>
      <c r="AU4241">
        <v>4240</v>
      </c>
    </row>
    <row r="4242" spans="1:47" x14ac:dyDescent="0.2">
      <c r="A4242" s="13">
        <v>6732</v>
      </c>
      <c r="B4242" s="57" t="s">
        <v>45</v>
      </c>
      <c r="C4242" s="57" t="s">
        <v>1992</v>
      </c>
      <c r="D4242" s="29"/>
      <c r="E4242" s="57" t="s">
        <v>788</v>
      </c>
      <c r="F4242" s="31" t="s">
        <v>76</v>
      </c>
      <c r="G4242" s="31" t="s">
        <v>49</v>
      </c>
      <c r="K4242" s="31">
        <v>880</v>
      </c>
      <c r="Z4242" s="31" t="s">
        <v>3814</v>
      </c>
      <c r="AE4242" s="31" t="s">
        <v>4756</v>
      </c>
      <c r="AF4242" s="31">
        <v>135</v>
      </c>
      <c r="AK4242" s="32">
        <v>8</v>
      </c>
      <c r="AQ4242" s="32" t="s">
        <v>5381</v>
      </c>
      <c r="AU4242">
        <v>4241</v>
      </c>
    </row>
    <row r="4243" spans="1:47" x14ac:dyDescent="0.2">
      <c r="A4243" s="26">
        <v>6732</v>
      </c>
      <c r="B4243" s="27">
        <v>2.7777777777777776E-2</v>
      </c>
      <c r="C4243" s="28"/>
      <c r="D4243" s="29"/>
      <c r="E4243" s="30" t="s">
        <v>1282</v>
      </c>
      <c r="H4243" s="32">
        <v>0</v>
      </c>
      <c r="I4243" s="32" t="s">
        <v>5446</v>
      </c>
      <c r="AG4243" s="32">
        <v>0</v>
      </c>
      <c r="AH4243" s="32">
        <v>0</v>
      </c>
      <c r="AI4243" s="32">
        <v>0</v>
      </c>
      <c r="AK4243" s="32">
        <v>0</v>
      </c>
      <c r="AL4243" s="32">
        <f>1+20/60</f>
        <v>1.3333333333333333</v>
      </c>
      <c r="AP4243" s="32">
        <f>1+20/60</f>
        <v>1.3333333333333333</v>
      </c>
      <c r="AQ4243" s="32" t="s">
        <v>1101</v>
      </c>
      <c r="AU4243">
        <v>4242</v>
      </c>
    </row>
    <row r="4244" spans="1:47" x14ac:dyDescent="0.2">
      <c r="A4244" s="26">
        <v>6732</v>
      </c>
      <c r="B4244" s="27">
        <v>0.30555555555555552</v>
      </c>
      <c r="C4244" s="28"/>
      <c r="D4244" s="29"/>
      <c r="E4244" s="30" t="s">
        <v>4219</v>
      </c>
      <c r="H4244" s="32">
        <v>1</v>
      </c>
      <c r="I4244" s="32"/>
      <c r="AL4244" s="32">
        <v>0.33300000000000002</v>
      </c>
      <c r="AO4244" s="32" t="s">
        <v>858</v>
      </c>
      <c r="AP4244" s="32">
        <v>0.33300000000000002</v>
      </c>
      <c r="AQ4244" s="32" t="s">
        <v>1101</v>
      </c>
      <c r="AU4244">
        <v>4243</v>
      </c>
    </row>
    <row r="4245" spans="1:47" x14ac:dyDescent="0.2">
      <c r="A4245" s="26">
        <v>6732</v>
      </c>
      <c r="B4245" s="27">
        <v>0.3125</v>
      </c>
      <c r="C4245" s="28"/>
      <c r="D4245" s="29"/>
      <c r="E4245" s="102" t="s">
        <v>1102</v>
      </c>
      <c r="H4245" s="32">
        <v>0</v>
      </c>
      <c r="I4245" s="32" t="s">
        <v>5447</v>
      </c>
      <c r="AG4245" s="32">
        <v>0</v>
      </c>
      <c r="AH4245" s="32">
        <v>0</v>
      </c>
      <c r="AI4245" s="32">
        <v>0</v>
      </c>
      <c r="AK4245" s="32">
        <v>0</v>
      </c>
      <c r="AL4245" s="32">
        <f>5/6</f>
        <v>0.83333333333333337</v>
      </c>
      <c r="AO4245" s="73" t="s">
        <v>1006</v>
      </c>
      <c r="AP4245" s="32">
        <f>5/6</f>
        <v>0.83333333333333337</v>
      </c>
      <c r="AQ4245" s="32" t="s">
        <v>589</v>
      </c>
      <c r="AU4245">
        <v>4244</v>
      </c>
    </row>
    <row r="4246" spans="1:47" x14ac:dyDescent="0.2">
      <c r="A4246" s="26">
        <v>6732</v>
      </c>
      <c r="B4246" s="27">
        <v>0.31597222222222221</v>
      </c>
      <c r="C4246" s="28"/>
      <c r="D4246" s="29"/>
      <c r="E4246" s="30" t="s">
        <v>1282</v>
      </c>
      <c r="H4246" s="32">
        <v>0</v>
      </c>
      <c r="I4246" s="32" t="s">
        <v>5448</v>
      </c>
      <c r="AG4246" s="32">
        <v>0</v>
      </c>
      <c r="AH4246" s="32">
        <v>0</v>
      </c>
      <c r="AI4246" s="32">
        <v>0</v>
      </c>
      <c r="AK4246" s="32">
        <v>0</v>
      </c>
      <c r="AL4246" s="32">
        <v>0.33300000000000002</v>
      </c>
      <c r="AP4246" s="32">
        <v>0.33300000000000002</v>
      </c>
      <c r="AQ4246" s="32" t="s">
        <v>1101</v>
      </c>
      <c r="AU4246">
        <v>4245</v>
      </c>
    </row>
    <row r="4247" spans="1:47" x14ac:dyDescent="0.2">
      <c r="A4247" s="26">
        <v>6732</v>
      </c>
      <c r="B4247" s="27">
        <v>0.3215277777777778</v>
      </c>
      <c r="C4247" s="28"/>
      <c r="D4247" s="29"/>
      <c r="E4247" s="30" t="s">
        <v>869</v>
      </c>
      <c r="H4247" s="32">
        <v>0</v>
      </c>
      <c r="I4247" s="32" t="s">
        <v>2344</v>
      </c>
      <c r="AG4247" s="32">
        <v>0</v>
      </c>
      <c r="AH4247" s="32">
        <v>0</v>
      </c>
      <c r="AI4247" s="32">
        <v>0</v>
      </c>
      <c r="AK4247" s="32">
        <v>0</v>
      </c>
      <c r="AL4247" s="32">
        <f>27/60</f>
        <v>0.45</v>
      </c>
      <c r="AP4247" s="32">
        <f>27/60</f>
        <v>0.45</v>
      </c>
      <c r="AQ4247" s="32" t="s">
        <v>589</v>
      </c>
      <c r="AU4247">
        <v>4246</v>
      </c>
    </row>
    <row r="4248" spans="1:47" x14ac:dyDescent="0.2">
      <c r="A4248" s="26">
        <v>6732</v>
      </c>
      <c r="B4248" s="27">
        <v>0.32847222222222222</v>
      </c>
      <c r="C4248" s="28"/>
      <c r="D4248" s="29"/>
      <c r="E4248" s="30" t="s">
        <v>2964</v>
      </c>
      <c r="H4248" s="32">
        <v>1</v>
      </c>
      <c r="I4248" s="32" t="s">
        <v>5449</v>
      </c>
      <c r="AG4248" s="32">
        <v>0</v>
      </c>
      <c r="AH4248" s="32">
        <v>0</v>
      </c>
      <c r="AI4248" s="32">
        <f>12452+2755+5740</f>
        <v>20947</v>
      </c>
      <c r="AK4248" s="32">
        <v>17</v>
      </c>
      <c r="AL4248" s="32">
        <f>57/60</f>
        <v>0.95</v>
      </c>
      <c r="AP4248" s="32">
        <f>57/60</f>
        <v>0.95</v>
      </c>
      <c r="AQ4248" s="32" t="s">
        <v>5450</v>
      </c>
      <c r="AU4248">
        <v>4247</v>
      </c>
    </row>
    <row r="4249" spans="1:47" x14ac:dyDescent="0.2">
      <c r="A4249" s="26">
        <v>6732</v>
      </c>
      <c r="B4249" s="27">
        <v>0.33680555555555558</v>
      </c>
      <c r="C4249" s="28"/>
      <c r="D4249" s="29"/>
      <c r="E4249" s="30" t="s">
        <v>3737</v>
      </c>
      <c r="H4249" s="32">
        <v>0</v>
      </c>
      <c r="I4249" s="32" t="s">
        <v>4926</v>
      </c>
      <c r="AG4249" s="32">
        <v>0</v>
      </c>
      <c r="AH4249" s="32">
        <v>0</v>
      </c>
      <c r="AI4249" s="32">
        <v>0</v>
      </c>
      <c r="AK4249" s="32">
        <v>0</v>
      </c>
      <c r="AM4249" s="74"/>
      <c r="AQ4249" s="32" t="s">
        <v>1101</v>
      </c>
      <c r="AU4249">
        <v>4248</v>
      </c>
    </row>
    <row r="4250" spans="1:47" x14ac:dyDescent="0.2">
      <c r="A4250" s="26">
        <v>6732</v>
      </c>
      <c r="B4250" s="27">
        <v>0.35416666666666669</v>
      </c>
      <c r="C4250" s="28"/>
      <c r="D4250" s="29"/>
      <c r="E4250" s="30" t="s">
        <v>110</v>
      </c>
      <c r="H4250" s="32">
        <v>0</v>
      </c>
      <c r="I4250" s="32" t="s">
        <v>3587</v>
      </c>
      <c r="AG4250" s="32">
        <v>0</v>
      </c>
      <c r="AH4250" s="32">
        <v>0</v>
      </c>
      <c r="AI4250" s="32">
        <v>0</v>
      </c>
      <c r="AK4250" s="32">
        <v>0</v>
      </c>
      <c r="AL4250" s="32">
        <f>28/60</f>
        <v>0.46666666666666667</v>
      </c>
      <c r="AP4250" s="32">
        <f>28/60</f>
        <v>0.46666666666666667</v>
      </c>
      <c r="AQ4250" s="32" t="s">
        <v>1101</v>
      </c>
      <c r="AU4250">
        <v>4249</v>
      </c>
    </row>
    <row r="4251" spans="1:47" x14ac:dyDescent="0.2">
      <c r="A4251" s="26">
        <v>6732</v>
      </c>
      <c r="B4251" s="27">
        <v>0.35416666666666669</v>
      </c>
      <c r="C4251" s="28"/>
      <c r="D4251" s="29"/>
      <c r="E4251" s="102" t="s">
        <v>5200</v>
      </c>
      <c r="H4251" s="32">
        <v>0</v>
      </c>
      <c r="I4251" s="32" t="s">
        <v>5451</v>
      </c>
      <c r="AG4251" s="32">
        <v>0</v>
      </c>
      <c r="AH4251" s="32">
        <v>0</v>
      </c>
      <c r="AI4251" s="32">
        <v>0</v>
      </c>
      <c r="AK4251" s="32">
        <v>0</v>
      </c>
      <c r="AL4251" s="32">
        <v>0.5</v>
      </c>
      <c r="AO4251" s="73"/>
      <c r="AP4251" s="32">
        <v>0.5</v>
      </c>
      <c r="AQ4251" s="32" t="s">
        <v>589</v>
      </c>
      <c r="AU4251">
        <v>4250</v>
      </c>
    </row>
    <row r="4252" spans="1:47" x14ac:dyDescent="0.2">
      <c r="A4252" s="26">
        <v>6732</v>
      </c>
      <c r="B4252" s="27">
        <v>0.3576388888888889</v>
      </c>
      <c r="C4252" s="28"/>
      <c r="D4252" s="29"/>
      <c r="E4252" s="30" t="s">
        <v>4709</v>
      </c>
      <c r="H4252" s="32">
        <v>0</v>
      </c>
      <c r="I4252" s="32" t="s">
        <v>4710</v>
      </c>
      <c r="AG4252" s="32">
        <v>0</v>
      </c>
      <c r="AH4252" s="32">
        <v>0</v>
      </c>
      <c r="AI4252" s="32">
        <v>0</v>
      </c>
      <c r="AK4252" s="32">
        <v>0</v>
      </c>
      <c r="AL4252" s="32">
        <f>27/60</f>
        <v>0.45</v>
      </c>
      <c r="AM4252" s="32">
        <f>AL4252*(261300+974800)/18.75</f>
        <v>29666.400000000001</v>
      </c>
      <c r="AP4252" s="32">
        <f>27/60</f>
        <v>0.45</v>
      </c>
      <c r="AQ4252" s="32" t="s">
        <v>589</v>
      </c>
      <c r="AU4252">
        <v>4251</v>
      </c>
    </row>
    <row r="4253" spans="1:47" x14ac:dyDescent="0.2">
      <c r="A4253" s="26">
        <v>6732</v>
      </c>
      <c r="B4253" s="27">
        <v>0.3611111111111111</v>
      </c>
      <c r="C4253" s="28"/>
      <c r="D4253" s="29"/>
      <c r="E4253" s="30" t="s">
        <v>4713</v>
      </c>
      <c r="H4253" s="32">
        <v>0</v>
      </c>
      <c r="I4253" s="32" t="s">
        <v>4714</v>
      </c>
      <c r="AG4253" s="32">
        <v>0</v>
      </c>
      <c r="AH4253" s="32">
        <v>0</v>
      </c>
      <c r="AI4253" s="32">
        <v>0</v>
      </c>
      <c r="AK4253" s="32">
        <v>0</v>
      </c>
      <c r="AL4253" s="32">
        <v>0.5</v>
      </c>
      <c r="AP4253" s="32">
        <v>0.5</v>
      </c>
      <c r="AQ4253" s="32" t="s">
        <v>1101</v>
      </c>
      <c r="AU4253">
        <v>4252</v>
      </c>
    </row>
    <row r="4254" spans="1:47" x14ac:dyDescent="0.2">
      <c r="A4254" s="26">
        <v>6732</v>
      </c>
      <c r="B4254" s="27">
        <v>0.3666666666666667</v>
      </c>
      <c r="C4254" s="28"/>
      <c r="D4254" s="29"/>
      <c r="E4254" s="30" t="s">
        <v>3155</v>
      </c>
      <c r="H4254" s="32">
        <v>0</v>
      </c>
      <c r="I4254" s="32" t="s">
        <v>3156</v>
      </c>
      <c r="AG4254" s="32">
        <v>0</v>
      </c>
      <c r="AH4254" s="32">
        <v>0</v>
      </c>
      <c r="AI4254" s="32">
        <v>0</v>
      </c>
      <c r="AK4254" s="32">
        <v>0</v>
      </c>
      <c r="AP4254" s="32">
        <f>27/60</f>
        <v>0.45</v>
      </c>
      <c r="AQ4254" s="32" t="s">
        <v>1101</v>
      </c>
      <c r="AU4254">
        <v>4253</v>
      </c>
    </row>
    <row r="4255" spans="1:47" x14ac:dyDescent="0.2">
      <c r="A4255" s="26">
        <v>6732</v>
      </c>
      <c r="B4255" s="27">
        <v>0.39583333333333331</v>
      </c>
      <c r="C4255" s="28"/>
      <c r="D4255" s="29"/>
      <c r="E4255" s="30" t="s">
        <v>2087</v>
      </c>
      <c r="H4255" s="32">
        <v>0</v>
      </c>
      <c r="I4255" s="32"/>
      <c r="AG4255" s="32">
        <v>0</v>
      </c>
      <c r="AH4255" s="32">
        <v>0</v>
      </c>
      <c r="AI4255" s="32">
        <v>0</v>
      </c>
      <c r="AK4255" s="32">
        <v>0</v>
      </c>
      <c r="AL4255" s="32">
        <v>0</v>
      </c>
      <c r="AP4255" s="32">
        <v>0.5</v>
      </c>
      <c r="AQ4255" s="32" t="s">
        <v>1101</v>
      </c>
      <c r="AU4255">
        <v>4254</v>
      </c>
    </row>
    <row r="4256" spans="1:47" x14ac:dyDescent="0.2">
      <c r="A4256" s="26">
        <v>6732</v>
      </c>
      <c r="B4256" s="27">
        <v>0.4861111111111111</v>
      </c>
      <c r="C4256" s="28"/>
      <c r="D4256" s="29"/>
      <c r="E4256" s="30" t="s">
        <v>3737</v>
      </c>
      <c r="H4256" s="32">
        <v>0</v>
      </c>
      <c r="I4256" s="32" t="s">
        <v>4926</v>
      </c>
      <c r="AG4256" s="32">
        <v>0</v>
      </c>
      <c r="AH4256" s="32">
        <v>0</v>
      </c>
      <c r="AI4256" s="32">
        <v>0</v>
      </c>
      <c r="AK4256" s="32">
        <v>0</v>
      </c>
      <c r="AL4256" s="32">
        <f>24/60</f>
        <v>0.4</v>
      </c>
      <c r="AM4256" s="33">
        <f>(3125+3691)*AL4256</f>
        <v>2726.4</v>
      </c>
      <c r="AP4256" s="32">
        <f>24/60</f>
        <v>0.4</v>
      </c>
      <c r="AQ4256" s="32" t="s">
        <v>1101</v>
      </c>
      <c r="AU4256">
        <v>4255</v>
      </c>
    </row>
    <row r="4257" spans="1:47" x14ac:dyDescent="0.2">
      <c r="A4257" s="26">
        <v>6732</v>
      </c>
      <c r="B4257" s="27">
        <v>0.66666666666666663</v>
      </c>
      <c r="C4257" s="28"/>
      <c r="D4257" s="29"/>
      <c r="E4257" s="30" t="s">
        <v>4666</v>
      </c>
      <c r="H4257" s="32">
        <v>1</v>
      </c>
      <c r="I4257" s="32" t="s">
        <v>5452</v>
      </c>
      <c r="AO4257" s="32" t="s">
        <v>4668</v>
      </c>
      <c r="AQ4257" s="32">
        <v>408</v>
      </c>
      <c r="AU4257">
        <v>4256</v>
      </c>
    </row>
    <row r="4258" spans="1:47" x14ac:dyDescent="0.2">
      <c r="A4258" s="26">
        <v>6732</v>
      </c>
      <c r="B4258" s="27">
        <v>0.66666666666666663</v>
      </c>
      <c r="C4258" s="28"/>
      <c r="D4258" s="29"/>
      <c r="E4258" s="30" t="s">
        <v>1282</v>
      </c>
      <c r="H4258" s="32">
        <v>0</v>
      </c>
      <c r="I4258" s="32" t="s">
        <v>5453</v>
      </c>
      <c r="AG4258" s="32">
        <v>0</v>
      </c>
      <c r="AH4258" s="32">
        <v>0</v>
      </c>
      <c r="AI4258" s="32">
        <v>0</v>
      </c>
      <c r="AK4258" s="32">
        <v>0</v>
      </c>
      <c r="AL4258" s="32">
        <v>0.25</v>
      </c>
      <c r="AP4258" s="32">
        <v>0.25</v>
      </c>
      <c r="AQ4258" s="32" t="s">
        <v>1101</v>
      </c>
      <c r="AU4258">
        <v>4257</v>
      </c>
    </row>
    <row r="4259" spans="1:47" x14ac:dyDescent="0.2">
      <c r="A4259" s="26">
        <v>6732</v>
      </c>
      <c r="B4259" s="27">
        <v>0.96805555555555556</v>
      </c>
      <c r="C4259" s="28"/>
      <c r="D4259" s="29"/>
      <c r="E4259" s="30" t="s">
        <v>464</v>
      </c>
      <c r="H4259" s="32">
        <v>0</v>
      </c>
      <c r="I4259" s="32" t="s">
        <v>5454</v>
      </c>
      <c r="AG4259" s="32">
        <v>0</v>
      </c>
      <c r="AH4259" s="32">
        <v>0</v>
      </c>
      <c r="AL4259" s="32">
        <f>86/60</f>
        <v>1.4333333333333333</v>
      </c>
      <c r="AO4259" s="32" t="s">
        <v>4067</v>
      </c>
      <c r="AP4259" s="32">
        <f>86/60</f>
        <v>1.4333333333333333</v>
      </c>
      <c r="AQ4259" s="32" t="s">
        <v>1522</v>
      </c>
      <c r="AU4259">
        <v>4258</v>
      </c>
    </row>
    <row r="4260" spans="1:47" x14ac:dyDescent="0.2">
      <c r="A4260" s="26">
        <v>6732</v>
      </c>
      <c r="B4260" s="27">
        <v>0.97569444444444453</v>
      </c>
      <c r="C4260" s="28"/>
      <c r="D4260" s="29"/>
      <c r="E4260" s="30" t="s">
        <v>1282</v>
      </c>
      <c r="H4260" s="32">
        <v>0</v>
      </c>
      <c r="I4260" s="32" t="s">
        <v>5455</v>
      </c>
      <c r="AG4260" s="32">
        <v>0</v>
      </c>
      <c r="AH4260" s="32">
        <v>1</v>
      </c>
      <c r="AI4260" s="32">
        <v>0</v>
      </c>
      <c r="AK4260" s="32">
        <v>0</v>
      </c>
      <c r="AL4260" s="32">
        <f>1+35/60</f>
        <v>1.5833333333333335</v>
      </c>
      <c r="AP4260" s="32">
        <f>1+35/60</f>
        <v>1.5833333333333335</v>
      </c>
      <c r="AQ4260" s="32" t="s">
        <v>1101</v>
      </c>
      <c r="AU4260">
        <v>4259</v>
      </c>
    </row>
    <row r="4261" spans="1:47" x14ac:dyDescent="0.2">
      <c r="A4261" s="26">
        <v>6732</v>
      </c>
      <c r="B4261" s="27" t="s">
        <v>85</v>
      </c>
      <c r="C4261" s="28"/>
      <c r="D4261" s="29"/>
      <c r="E4261" s="30" t="s">
        <v>1461</v>
      </c>
      <c r="H4261" s="32">
        <v>1</v>
      </c>
      <c r="I4261" s="32" t="s">
        <v>5456</v>
      </c>
      <c r="AG4261" s="32">
        <v>2</v>
      </c>
      <c r="AH4261" s="32">
        <v>2</v>
      </c>
      <c r="AI4261" s="32">
        <f>10296.5+2134.5</f>
        <v>12431</v>
      </c>
      <c r="AK4261" s="32">
        <v>10</v>
      </c>
      <c r="AL4261" s="32">
        <v>48</v>
      </c>
      <c r="AO4261" s="32" t="s">
        <v>1463</v>
      </c>
      <c r="AQ4261" s="32">
        <v>404</v>
      </c>
      <c r="AU4261">
        <v>4260</v>
      </c>
    </row>
    <row r="4262" spans="1:47" x14ac:dyDescent="0.2">
      <c r="A4262" s="26">
        <v>6732</v>
      </c>
      <c r="B4262" s="27" t="s">
        <v>85</v>
      </c>
      <c r="C4262" s="28"/>
      <c r="D4262" s="29"/>
      <c r="E4262" s="30" t="s">
        <v>1531</v>
      </c>
      <c r="H4262" s="32">
        <v>0</v>
      </c>
      <c r="I4262" s="32" t="s">
        <v>5457</v>
      </c>
      <c r="AG4262" s="32">
        <v>0</v>
      </c>
      <c r="AH4262" s="32">
        <v>0</v>
      </c>
      <c r="AI4262" s="32">
        <v>0</v>
      </c>
      <c r="AK4262" s="32">
        <v>0</v>
      </c>
      <c r="AM4262" s="32">
        <f>498*12</f>
        <v>5976</v>
      </c>
      <c r="AO4262" s="32" t="s">
        <v>1533</v>
      </c>
      <c r="AQ4262" s="32" t="s">
        <v>1101</v>
      </c>
      <c r="AU4262">
        <v>4261</v>
      </c>
    </row>
    <row r="4263" spans="1:47" x14ac:dyDescent="0.2">
      <c r="A4263" s="26">
        <v>6732</v>
      </c>
      <c r="B4263" s="27" t="s">
        <v>45</v>
      </c>
      <c r="C4263" s="28"/>
      <c r="D4263" s="29"/>
      <c r="E4263" s="30" t="s">
        <v>1461</v>
      </c>
      <c r="H4263" s="32">
        <v>1</v>
      </c>
      <c r="I4263" s="32" t="s">
        <v>5458</v>
      </c>
      <c r="AG4263" s="32">
        <v>0</v>
      </c>
      <c r="AH4263" s="32">
        <v>0</v>
      </c>
      <c r="AI4263" s="32">
        <v>17483</v>
      </c>
      <c r="AK4263" s="32">
        <v>1</v>
      </c>
      <c r="AO4263" s="32" t="s">
        <v>1463</v>
      </c>
      <c r="AQ4263" s="32">
        <v>404</v>
      </c>
      <c r="AU4263">
        <v>4262</v>
      </c>
    </row>
    <row r="4264" spans="1:47" x14ac:dyDescent="0.2">
      <c r="A4264" s="26">
        <v>6732</v>
      </c>
      <c r="B4264" s="27" t="s">
        <v>45</v>
      </c>
      <c r="C4264" s="28"/>
      <c r="D4264" s="29"/>
      <c r="E4264" s="30" t="s">
        <v>1531</v>
      </c>
      <c r="H4264" s="32">
        <v>1</v>
      </c>
      <c r="I4264" s="32" t="s">
        <v>5459</v>
      </c>
      <c r="AM4264" s="32">
        <f>498*47</f>
        <v>23406</v>
      </c>
      <c r="AO4264" s="32" t="s">
        <v>1533</v>
      </c>
      <c r="AQ4264" s="32" t="s">
        <v>1101</v>
      </c>
      <c r="AU4264">
        <v>4263</v>
      </c>
    </row>
    <row r="4265" spans="1:47" x14ac:dyDescent="0.2">
      <c r="A4265" s="26">
        <v>6732</v>
      </c>
      <c r="B4265" s="27" t="s">
        <v>45</v>
      </c>
      <c r="C4265" s="28"/>
      <c r="D4265" s="29"/>
      <c r="E4265" s="30" t="s">
        <v>364</v>
      </c>
      <c r="H4265" s="32">
        <v>1</v>
      </c>
      <c r="I4265" s="32" t="s">
        <v>5460</v>
      </c>
      <c r="AO4265" s="46"/>
      <c r="AQ4265" s="32" t="s">
        <v>5431</v>
      </c>
      <c r="AU4265">
        <v>4264</v>
      </c>
    </row>
    <row r="4266" spans="1:47" x14ac:dyDescent="0.2">
      <c r="A4266" s="26">
        <v>6732</v>
      </c>
      <c r="B4266" s="27" t="s">
        <v>45</v>
      </c>
      <c r="C4266" s="28"/>
      <c r="D4266" s="29"/>
      <c r="E4266" s="150" t="s">
        <v>2286</v>
      </c>
      <c r="H4266" s="32">
        <v>0</v>
      </c>
      <c r="I4266" s="32" t="s">
        <v>1824</v>
      </c>
      <c r="AG4266" s="32">
        <v>0</v>
      </c>
      <c r="AH4266" s="32">
        <v>0</v>
      </c>
      <c r="AI4266" s="32">
        <v>0</v>
      </c>
      <c r="AK4266" s="32">
        <v>0</v>
      </c>
      <c r="AM4266" s="32">
        <v>4500</v>
      </c>
      <c r="AO4266" s="73" t="s">
        <v>75</v>
      </c>
      <c r="AQ4266" s="32" t="s">
        <v>589</v>
      </c>
      <c r="AU4266">
        <v>4265</v>
      </c>
    </row>
    <row r="4267" spans="1:47" x14ac:dyDescent="0.2">
      <c r="A4267" s="26">
        <v>6732</v>
      </c>
      <c r="B4267" s="27"/>
      <c r="C4267" s="28"/>
      <c r="D4267" s="29"/>
      <c r="E4267" s="30" t="s">
        <v>586</v>
      </c>
      <c r="H4267" s="32">
        <v>1</v>
      </c>
      <c r="I4267" s="32" t="s">
        <v>5461</v>
      </c>
      <c r="AI4267" s="32">
        <v>9783</v>
      </c>
      <c r="AK4267" s="32">
        <v>3</v>
      </c>
      <c r="AO4267" s="46" t="s">
        <v>588</v>
      </c>
      <c r="AQ4267" s="32" t="s">
        <v>5462</v>
      </c>
      <c r="AU4267">
        <v>4266</v>
      </c>
    </row>
    <row r="4268" spans="1:47" x14ac:dyDescent="0.2">
      <c r="A4268" s="26">
        <v>6732</v>
      </c>
      <c r="B4268" s="27"/>
      <c r="C4268" s="28"/>
      <c r="D4268" s="29"/>
      <c r="E4268" s="102" t="s">
        <v>1421</v>
      </c>
      <c r="H4268" s="32">
        <v>1</v>
      </c>
      <c r="I4268" s="32" t="s">
        <v>1422</v>
      </c>
      <c r="AK4268" s="32">
        <v>10</v>
      </c>
      <c r="AO4268" s="73"/>
      <c r="AQ4268" s="32" t="s">
        <v>589</v>
      </c>
      <c r="AU4268">
        <v>4267</v>
      </c>
    </row>
    <row r="4269" spans="1:47" x14ac:dyDescent="0.2">
      <c r="A4269" s="26">
        <v>6732</v>
      </c>
      <c r="B4269" s="27"/>
      <c r="C4269" s="28"/>
      <c r="D4269" s="29"/>
      <c r="E4269" s="30" t="s">
        <v>4469</v>
      </c>
      <c r="H4269" s="32">
        <v>0</v>
      </c>
      <c r="I4269" s="32" t="s">
        <v>5463</v>
      </c>
      <c r="AG4269" s="32">
        <v>0</v>
      </c>
      <c r="AH4269" s="32">
        <v>0</v>
      </c>
      <c r="AI4269" s="32">
        <v>0</v>
      </c>
      <c r="AK4269" s="32">
        <v>0</v>
      </c>
      <c r="AL4269" s="32">
        <v>0.25</v>
      </c>
      <c r="AO4269" s="32" t="s">
        <v>5210</v>
      </c>
      <c r="AP4269" s="32">
        <v>0.25</v>
      </c>
      <c r="AQ4269" s="32" t="s">
        <v>5211</v>
      </c>
      <c r="AU4269">
        <v>4268</v>
      </c>
    </row>
    <row r="4270" spans="1:47" x14ac:dyDescent="0.2">
      <c r="A4270" s="26">
        <v>6732</v>
      </c>
      <c r="B4270" s="27"/>
      <c r="C4270" s="28"/>
      <c r="D4270" s="29"/>
      <c r="E4270" s="30" t="s">
        <v>5102</v>
      </c>
      <c r="H4270" s="32">
        <v>0</v>
      </c>
      <c r="I4270" s="32" t="s">
        <v>5103</v>
      </c>
      <c r="AG4270" s="32">
        <v>0</v>
      </c>
      <c r="AH4270" s="32">
        <v>0</v>
      </c>
      <c r="AI4270" s="32">
        <v>0</v>
      </c>
      <c r="AK4270" s="32">
        <v>0</v>
      </c>
      <c r="AL4270" s="18">
        <v>1.5</v>
      </c>
      <c r="AM4270" s="18">
        <f>300000/11</f>
        <v>27272.727272727272</v>
      </c>
      <c r="AN4270" s="18"/>
      <c r="AO4270" s="18"/>
      <c r="AP4270" s="18">
        <v>1.5</v>
      </c>
      <c r="AQ4270" s="32" t="s">
        <v>589</v>
      </c>
      <c r="AU4270">
        <v>4269</v>
      </c>
    </row>
    <row r="4271" spans="1:47" x14ac:dyDescent="0.2">
      <c r="A4271" s="133">
        <v>6733</v>
      </c>
      <c r="B4271" s="39" t="s">
        <v>85</v>
      </c>
      <c r="C4271" s="39">
        <v>55</v>
      </c>
      <c r="D4271" s="29" t="b">
        <v>0</v>
      </c>
      <c r="E4271" s="39" t="s">
        <v>4650</v>
      </c>
      <c r="F4271" s="47" t="s">
        <v>2398</v>
      </c>
      <c r="G4271" s="47" t="s">
        <v>49</v>
      </c>
      <c r="H4271"/>
      <c r="I4271" s="47" t="b">
        <v>0</v>
      </c>
      <c r="J4271" s="47" t="b">
        <v>1</v>
      </c>
      <c r="K4271" s="47">
        <v>1926</v>
      </c>
      <c r="L4271" s="48">
        <v>12</v>
      </c>
      <c r="M4271" s="47">
        <v>0</v>
      </c>
      <c r="N4271" s="47">
        <v>3</v>
      </c>
      <c r="O4271" s="47">
        <v>0</v>
      </c>
      <c r="P4271" s="47">
        <v>9</v>
      </c>
      <c r="Q4271" s="47">
        <v>0</v>
      </c>
      <c r="R4271" s="47">
        <v>0</v>
      </c>
      <c r="S4271" s="48">
        <v>9</v>
      </c>
      <c r="T4271" s="47">
        <v>0</v>
      </c>
      <c r="U4271" s="47">
        <v>0</v>
      </c>
      <c r="V4271" s="47">
        <v>0</v>
      </c>
      <c r="W4271" s="47">
        <v>15000</v>
      </c>
      <c r="X4271" s="47">
        <v>578</v>
      </c>
      <c r="Y4271" s="47" t="s">
        <v>51</v>
      </c>
      <c r="Z4271" s="47" t="s">
        <v>3618</v>
      </c>
      <c r="AA4271" s="49">
        <v>0.25</v>
      </c>
      <c r="AB4271" s="49">
        <v>0.36805555555555558</v>
      </c>
      <c r="AC4271" s="49">
        <f>AVERAGE(AA4271:AB4271)</f>
        <v>0.30902777777777779</v>
      </c>
      <c r="AD4271" s="50">
        <f>(AB4271-AA4271)*24</f>
        <v>2.8333333333333339</v>
      </c>
      <c r="AE4271" s="47" t="s">
        <v>5433</v>
      </c>
      <c r="AF4271" s="47">
        <v>125</v>
      </c>
      <c r="AG4271"/>
      <c r="AH4271"/>
      <c r="AI4271"/>
      <c r="AJ4271"/>
      <c r="AK4271">
        <v>26</v>
      </c>
      <c r="AL4271"/>
      <c r="AM4271"/>
      <c r="AN4271"/>
      <c r="AO4271"/>
      <c r="AP4271"/>
      <c r="AQ4271" t="s">
        <v>5434</v>
      </c>
      <c r="AU4271">
        <v>4270</v>
      </c>
    </row>
    <row r="4272" spans="1:47" x14ac:dyDescent="0.2">
      <c r="A4272" s="133">
        <v>6733</v>
      </c>
      <c r="B4272" s="39" t="s">
        <v>85</v>
      </c>
      <c r="C4272" s="39">
        <v>99</v>
      </c>
      <c r="D4272" s="29" t="b">
        <v>0</v>
      </c>
      <c r="E4272" s="39" t="s">
        <v>1764</v>
      </c>
      <c r="F4272" s="47" t="s">
        <v>5238</v>
      </c>
      <c r="G4272" s="47" t="s">
        <v>49</v>
      </c>
      <c r="H4272"/>
      <c r="I4272" s="47" t="b">
        <v>0</v>
      </c>
      <c r="J4272" s="47" t="b">
        <v>1</v>
      </c>
      <c r="K4272" s="47">
        <v>908</v>
      </c>
      <c r="L4272" s="48">
        <v>6</v>
      </c>
      <c r="M4272" s="47">
        <v>0</v>
      </c>
      <c r="N4272" s="47">
        <v>2</v>
      </c>
      <c r="O4272" s="47">
        <v>0</v>
      </c>
      <c r="P4272" s="47">
        <v>0</v>
      </c>
      <c r="Q4272" s="47">
        <v>0</v>
      </c>
      <c r="R4272" s="47">
        <v>0</v>
      </c>
      <c r="S4272" s="48">
        <v>4</v>
      </c>
      <c r="T4272" s="47">
        <v>0</v>
      </c>
      <c r="U4272" s="47">
        <v>0</v>
      </c>
      <c r="V4272" s="47">
        <v>0</v>
      </c>
      <c r="W4272" s="47">
        <v>14000</v>
      </c>
      <c r="X4272" s="47">
        <v>579</v>
      </c>
      <c r="Y4272" s="47" t="s">
        <v>51</v>
      </c>
      <c r="Z4272" s="47" t="s">
        <v>5139</v>
      </c>
      <c r="AA4272" s="49">
        <v>0.34722222222222227</v>
      </c>
      <c r="AB4272" s="49">
        <v>0.44791666666666669</v>
      </c>
      <c r="AC4272" s="49">
        <f>AVERAGE(AA4272:AB4272)</f>
        <v>0.39756944444444448</v>
      </c>
      <c r="AD4272" s="50">
        <f>(AB4272-AA4272)*24</f>
        <v>2.4166666666666661</v>
      </c>
      <c r="AE4272" s="47" t="s">
        <v>5433</v>
      </c>
      <c r="AF4272" s="47">
        <v>85</v>
      </c>
      <c r="AG4272"/>
      <c r="AH4272"/>
      <c r="AI4272"/>
      <c r="AJ4272"/>
      <c r="AK4272">
        <v>6</v>
      </c>
      <c r="AL4272"/>
      <c r="AM4272"/>
      <c r="AN4272"/>
      <c r="AO4272"/>
      <c r="AP4272"/>
      <c r="AQ4272" t="s">
        <v>2526</v>
      </c>
      <c r="AU4272">
        <v>4271</v>
      </c>
    </row>
    <row r="4273" spans="1:47" x14ac:dyDescent="0.2">
      <c r="A4273" s="133">
        <v>6733</v>
      </c>
      <c r="B4273" s="39" t="s">
        <v>45</v>
      </c>
      <c r="C4273" s="39" t="s">
        <v>142</v>
      </c>
      <c r="D4273" s="29"/>
      <c r="E4273" s="15" t="s">
        <v>5464</v>
      </c>
      <c r="F4273" s="17" t="s">
        <v>5465</v>
      </c>
      <c r="G4273" s="47" t="s">
        <v>69</v>
      </c>
      <c r="H4273"/>
      <c r="I4273" s="47" t="s">
        <v>5466</v>
      </c>
      <c r="J4273" s="47"/>
      <c r="K4273" s="47">
        <f>4290*2.2</f>
        <v>9438</v>
      </c>
      <c r="L4273" s="48">
        <v>14</v>
      </c>
      <c r="M4273" s="47"/>
      <c r="N4273" s="47"/>
      <c r="O4273" s="47"/>
      <c r="P4273" s="47"/>
      <c r="Q4273" s="47"/>
      <c r="R4273" s="47"/>
      <c r="S4273" s="48">
        <v>14</v>
      </c>
      <c r="T4273" s="47">
        <v>0</v>
      </c>
      <c r="U4273" s="47">
        <v>0</v>
      </c>
      <c r="V4273" s="47">
        <v>1</v>
      </c>
      <c r="W4273" s="47"/>
      <c r="X4273" s="47"/>
      <c r="Y4273" s="47" t="s">
        <v>51</v>
      </c>
      <c r="Z4273" s="31" t="s">
        <v>3855</v>
      </c>
      <c r="AA4273" s="49"/>
      <c r="AB4273" s="49"/>
      <c r="AC4273" s="49"/>
      <c r="AD4273" s="50"/>
      <c r="AE4273" s="47" t="s">
        <v>4217</v>
      </c>
      <c r="AF4273" s="47"/>
      <c r="AG4273"/>
      <c r="AH4273"/>
      <c r="AI4273"/>
      <c r="AJ4273"/>
      <c r="AK4273">
        <f>23+65+21+5+3</f>
        <v>117</v>
      </c>
      <c r="AL4273"/>
      <c r="AM4273"/>
      <c r="AN4273"/>
      <c r="AO4273"/>
      <c r="AP4273"/>
      <c r="AQ4273" t="s">
        <v>5467</v>
      </c>
      <c r="AU4273">
        <v>4272</v>
      </c>
    </row>
    <row r="4274" spans="1:47" x14ac:dyDescent="0.2">
      <c r="A4274" s="133">
        <v>6733</v>
      </c>
      <c r="B4274" s="39" t="s">
        <v>45</v>
      </c>
      <c r="C4274" s="57" t="s">
        <v>4456</v>
      </c>
      <c r="D4274" s="29"/>
      <c r="E4274" s="39" t="s">
        <v>5194</v>
      </c>
      <c r="F4274" s="47" t="s">
        <v>5299</v>
      </c>
      <c r="G4274" s="47" t="s">
        <v>49</v>
      </c>
      <c r="H4274"/>
      <c r="I4274" s="47" t="s">
        <v>5468</v>
      </c>
      <c r="J4274" s="47"/>
      <c r="K4274" s="118">
        <f>8*50*2.2</f>
        <v>880.00000000000011</v>
      </c>
      <c r="L4274" s="48">
        <v>2</v>
      </c>
      <c r="M4274" s="47"/>
      <c r="N4274" s="47">
        <v>1</v>
      </c>
      <c r="O4274" s="47"/>
      <c r="P4274" s="47"/>
      <c r="Q4274" s="47"/>
      <c r="R4274" s="47"/>
      <c r="S4274" s="48">
        <v>1</v>
      </c>
      <c r="T4274" s="47">
        <v>0</v>
      </c>
      <c r="U4274" s="47">
        <v>0</v>
      </c>
      <c r="V4274" s="47">
        <v>0</v>
      </c>
      <c r="W4274" s="47">
        <f>2300*39.37/12</f>
        <v>7545.916666666667</v>
      </c>
      <c r="X4274" s="47"/>
      <c r="Y4274" s="31" t="s">
        <v>51</v>
      </c>
      <c r="Z4274" s="31" t="s">
        <v>1846</v>
      </c>
      <c r="AA4274" s="49">
        <v>0.99722222222222223</v>
      </c>
      <c r="AB4274" s="49">
        <v>9.375E-2</v>
      </c>
      <c r="AC4274" s="49">
        <v>4.5138888888888888E-2</v>
      </c>
      <c r="AD4274" s="50">
        <f>2+19/60</f>
        <v>2.3166666666666664</v>
      </c>
      <c r="AE4274" s="31" t="s">
        <v>4756</v>
      </c>
      <c r="AF4274" s="47">
        <v>75</v>
      </c>
      <c r="AG4274"/>
      <c r="AH4274"/>
      <c r="AI4274"/>
      <c r="AJ4274"/>
      <c r="AK4274" s="136">
        <v>8</v>
      </c>
      <c r="AL4274"/>
      <c r="AM4274"/>
      <c r="AN4274"/>
      <c r="AO4274"/>
      <c r="AP4274"/>
      <c r="AQ4274" s="25" t="s">
        <v>5469</v>
      </c>
      <c r="AU4274">
        <v>4273</v>
      </c>
    </row>
    <row r="4275" spans="1:47" x14ac:dyDescent="0.2">
      <c r="A4275" s="133">
        <v>6733</v>
      </c>
      <c r="B4275" s="39" t="s">
        <v>45</v>
      </c>
      <c r="C4275" s="39" t="s">
        <v>4179</v>
      </c>
      <c r="D4275" s="29"/>
      <c r="E4275" s="39"/>
      <c r="F4275" s="47"/>
      <c r="G4275" s="47"/>
      <c r="H4275"/>
      <c r="I4275" s="47" t="s">
        <v>5470</v>
      </c>
      <c r="J4275" s="47"/>
      <c r="K4275" s="47"/>
      <c r="L4275" s="48"/>
      <c r="M4275" s="47"/>
      <c r="N4275" s="47"/>
      <c r="O4275" s="47"/>
      <c r="P4275" s="47"/>
      <c r="Q4275" s="47"/>
      <c r="R4275" s="47"/>
      <c r="S4275" s="48"/>
      <c r="T4275" s="47"/>
      <c r="U4275" s="47"/>
      <c r="V4275" s="47"/>
      <c r="W4275" s="47"/>
      <c r="X4275" s="47"/>
      <c r="Y4275" s="47"/>
      <c r="Z4275" s="31" t="s">
        <v>3814</v>
      </c>
      <c r="AA4275" s="49"/>
      <c r="AB4275" s="49"/>
      <c r="AC4275" s="49"/>
      <c r="AD4275" s="50"/>
      <c r="AE4275" s="31" t="s">
        <v>5248</v>
      </c>
      <c r="AF4275" s="47"/>
      <c r="AG4275"/>
      <c r="AH4275"/>
      <c r="AI4275"/>
      <c r="AJ4275"/>
      <c r="AK4275"/>
      <c r="AL4275"/>
      <c r="AM4275"/>
      <c r="AN4275"/>
      <c r="AO4275"/>
      <c r="AP4275"/>
      <c r="AQ4275"/>
      <c r="AU4275">
        <v>4274</v>
      </c>
    </row>
    <row r="4276" spans="1:47" x14ac:dyDescent="0.2">
      <c r="A4276" s="26">
        <v>6733</v>
      </c>
      <c r="B4276" s="27">
        <v>1.7361111111111112E-2</v>
      </c>
      <c r="C4276" s="28"/>
      <c r="D4276" s="29"/>
      <c r="E4276" s="30" t="s">
        <v>4219</v>
      </c>
      <c r="H4276" s="32">
        <v>1</v>
      </c>
      <c r="I4276" s="32"/>
      <c r="AL4276" s="32">
        <v>0.5</v>
      </c>
      <c r="AO4276" s="32" t="s">
        <v>858</v>
      </c>
      <c r="AP4276" s="32">
        <v>0.5</v>
      </c>
      <c r="AQ4276" s="32" t="s">
        <v>1101</v>
      </c>
      <c r="AU4276">
        <v>4275</v>
      </c>
    </row>
    <row r="4277" spans="1:47" x14ac:dyDescent="0.2">
      <c r="A4277" s="26">
        <v>6733</v>
      </c>
      <c r="B4277" s="27">
        <v>1.9444444444444445E-2</v>
      </c>
      <c r="C4277" s="28"/>
      <c r="D4277" s="29"/>
      <c r="E4277" s="102" t="s">
        <v>1102</v>
      </c>
      <c r="H4277" s="32">
        <v>0</v>
      </c>
      <c r="I4277" s="32" t="s">
        <v>1103</v>
      </c>
      <c r="AG4277" s="32">
        <v>0</v>
      </c>
      <c r="AH4277" s="32">
        <v>0</v>
      </c>
      <c r="AI4277" s="32">
        <v>0</v>
      </c>
      <c r="AK4277" s="32">
        <v>0</v>
      </c>
      <c r="AL4277" s="32">
        <f>34/60</f>
        <v>0.56666666666666665</v>
      </c>
      <c r="AO4277" s="73" t="s">
        <v>1006</v>
      </c>
      <c r="AP4277" s="32">
        <f>34/60</f>
        <v>0.56666666666666665</v>
      </c>
      <c r="AQ4277" s="32" t="s">
        <v>589</v>
      </c>
      <c r="AU4277">
        <v>4276</v>
      </c>
    </row>
    <row r="4278" spans="1:47" x14ac:dyDescent="0.2">
      <c r="A4278" s="26">
        <v>6733</v>
      </c>
      <c r="B4278" s="27">
        <v>2.0833333333333332E-2</v>
      </c>
      <c r="C4278" s="28"/>
      <c r="D4278" s="29"/>
      <c r="E4278" s="30" t="s">
        <v>2087</v>
      </c>
      <c r="H4278" s="32">
        <v>0</v>
      </c>
      <c r="I4278" s="32"/>
      <c r="AG4278" s="32">
        <v>0</v>
      </c>
      <c r="AH4278" s="32">
        <v>0</v>
      </c>
      <c r="AI4278" s="32">
        <v>0</v>
      </c>
      <c r="AK4278" s="32">
        <v>0</v>
      </c>
      <c r="AL4278" s="32">
        <v>0</v>
      </c>
      <c r="AP4278" s="32">
        <v>0.5</v>
      </c>
      <c r="AQ4278" s="32" t="s">
        <v>1101</v>
      </c>
      <c r="AU4278">
        <v>4277</v>
      </c>
    </row>
    <row r="4279" spans="1:47" x14ac:dyDescent="0.2">
      <c r="A4279" s="26">
        <v>6733</v>
      </c>
      <c r="B4279" s="27">
        <v>3.6805555555555557E-2</v>
      </c>
      <c r="C4279" s="28"/>
      <c r="D4279" s="29"/>
      <c r="E4279" s="30" t="s">
        <v>464</v>
      </c>
      <c r="H4279" s="32">
        <v>1</v>
      </c>
      <c r="I4279" s="32" t="s">
        <v>5471</v>
      </c>
      <c r="AG4279" s="32">
        <v>0</v>
      </c>
      <c r="AH4279" s="32">
        <v>0</v>
      </c>
      <c r="AL4279" s="32">
        <f>12/60</f>
        <v>0.2</v>
      </c>
      <c r="AO4279" s="32" t="s">
        <v>4067</v>
      </c>
      <c r="AP4279" s="32">
        <f>12/60</f>
        <v>0.2</v>
      </c>
      <c r="AQ4279" s="32" t="s">
        <v>1522</v>
      </c>
      <c r="AU4279">
        <v>4278</v>
      </c>
    </row>
    <row r="4280" spans="1:47" x14ac:dyDescent="0.2">
      <c r="A4280" s="26">
        <v>6733</v>
      </c>
      <c r="B4280" s="27">
        <v>0.3263888888888889</v>
      </c>
      <c r="C4280" s="28"/>
      <c r="D4280" s="29"/>
      <c r="E4280" s="30" t="s">
        <v>4219</v>
      </c>
      <c r="H4280" s="32">
        <v>0</v>
      </c>
      <c r="I4280" s="32" t="s">
        <v>4249</v>
      </c>
      <c r="AG4280" s="32">
        <v>0</v>
      </c>
      <c r="AH4280" s="32">
        <v>0</v>
      </c>
      <c r="AI4280" s="32">
        <v>0</v>
      </c>
      <c r="AK4280" s="32">
        <v>0</v>
      </c>
      <c r="AL4280" s="32">
        <v>0.25</v>
      </c>
      <c r="AO4280" s="32" t="s">
        <v>858</v>
      </c>
      <c r="AP4280" s="32">
        <v>0.25</v>
      </c>
      <c r="AQ4280" s="32" t="s">
        <v>1101</v>
      </c>
      <c r="AU4280">
        <v>4279</v>
      </c>
    </row>
    <row r="4281" spans="1:47" x14ac:dyDescent="0.2">
      <c r="A4281" s="26">
        <v>6733</v>
      </c>
      <c r="B4281" s="27">
        <v>0.3298611111111111</v>
      </c>
      <c r="C4281" s="28"/>
      <c r="D4281" s="29"/>
      <c r="E4281" s="102" t="s">
        <v>1102</v>
      </c>
      <c r="H4281" s="32">
        <v>0</v>
      </c>
      <c r="I4281" s="32" t="s">
        <v>5472</v>
      </c>
      <c r="AG4281" s="32">
        <v>0</v>
      </c>
      <c r="AH4281" s="32">
        <v>0</v>
      </c>
      <c r="AI4281" s="32">
        <v>0</v>
      </c>
      <c r="AK4281" s="32">
        <v>0</v>
      </c>
      <c r="AL4281" s="32">
        <f>5/6</f>
        <v>0.83333333333333337</v>
      </c>
      <c r="AO4281" s="73" t="s">
        <v>1006</v>
      </c>
      <c r="AP4281" s="32">
        <f>5/6</f>
        <v>0.83333333333333337</v>
      </c>
      <c r="AQ4281" s="32" t="s">
        <v>589</v>
      </c>
      <c r="AU4281">
        <v>4280</v>
      </c>
    </row>
    <row r="4282" spans="1:47" x14ac:dyDescent="0.2">
      <c r="A4282" s="26">
        <v>6733</v>
      </c>
      <c r="B4282" s="27">
        <v>0.33333333333333331</v>
      </c>
      <c r="C4282" s="28"/>
      <c r="D4282" s="29"/>
      <c r="E4282" s="30" t="s">
        <v>5473</v>
      </c>
      <c r="H4282" s="32">
        <v>1</v>
      </c>
      <c r="I4282" s="32" t="s">
        <v>5474</v>
      </c>
      <c r="AG4282" s="32">
        <f>5+1</f>
        <v>6</v>
      </c>
      <c r="AH4282" s="32">
        <v>0</v>
      </c>
      <c r="AI4282" s="32">
        <f>14949+2043+20000</f>
        <v>36992</v>
      </c>
      <c r="AK4282" s="32">
        <v>10</v>
      </c>
      <c r="AL4282" s="32">
        <v>48</v>
      </c>
      <c r="AO4282" s="32" t="s">
        <v>5475</v>
      </c>
      <c r="AP4282" s="191"/>
      <c r="AQ4282" s="32" t="s">
        <v>5476</v>
      </c>
      <c r="AU4282">
        <v>4281</v>
      </c>
    </row>
    <row r="4283" spans="1:47" x14ac:dyDescent="0.2">
      <c r="A4283" s="26">
        <v>6733</v>
      </c>
      <c r="B4283" s="27">
        <v>0.44791666666666669</v>
      </c>
      <c r="C4283" s="28"/>
      <c r="D4283" s="29"/>
      <c r="E4283" s="30" t="s">
        <v>464</v>
      </c>
      <c r="H4283" s="32">
        <v>0</v>
      </c>
      <c r="I4283" s="32" t="s">
        <v>4231</v>
      </c>
      <c r="AG4283" s="32">
        <v>0</v>
      </c>
      <c r="AH4283" s="32">
        <v>0</v>
      </c>
      <c r="AL4283" s="32">
        <v>0.33300000000000002</v>
      </c>
      <c r="AO4283" s="32" t="s">
        <v>4067</v>
      </c>
      <c r="AP4283" s="32">
        <v>0.33300000000000002</v>
      </c>
      <c r="AQ4283" s="32" t="s">
        <v>1522</v>
      </c>
      <c r="AU4283">
        <v>4282</v>
      </c>
    </row>
    <row r="4284" spans="1:47" x14ac:dyDescent="0.2">
      <c r="A4284" s="26">
        <v>6733</v>
      </c>
      <c r="B4284" s="27">
        <v>0.49305555555555558</v>
      </c>
      <c r="C4284" s="28"/>
      <c r="D4284" s="29"/>
      <c r="E4284" s="30" t="s">
        <v>2964</v>
      </c>
      <c r="H4284" s="32">
        <v>0</v>
      </c>
      <c r="I4284" s="32" t="s">
        <v>4158</v>
      </c>
      <c r="AG4284" s="32">
        <v>0</v>
      </c>
      <c r="AH4284" s="32">
        <v>0</v>
      </c>
      <c r="AI4284" s="32">
        <v>0</v>
      </c>
      <c r="AK4284" s="32">
        <v>0</v>
      </c>
      <c r="AL4284" s="32">
        <v>0.1</v>
      </c>
      <c r="AP4284" s="32">
        <v>0.1</v>
      </c>
      <c r="AQ4284" s="32" t="s">
        <v>1101</v>
      </c>
      <c r="AU4284">
        <v>4283</v>
      </c>
    </row>
    <row r="4285" spans="1:47" x14ac:dyDescent="0.2">
      <c r="A4285" s="26">
        <v>6733</v>
      </c>
      <c r="B4285" s="27">
        <v>0.82986111111111116</v>
      </c>
      <c r="C4285" s="28"/>
      <c r="D4285" s="29"/>
      <c r="E4285" s="30" t="s">
        <v>1282</v>
      </c>
      <c r="H4285" s="32">
        <v>0</v>
      </c>
      <c r="I4285" s="32" t="s">
        <v>5477</v>
      </c>
      <c r="AG4285" s="32">
        <v>0</v>
      </c>
      <c r="AH4285" s="32">
        <v>0</v>
      </c>
      <c r="AI4285" s="32">
        <v>0</v>
      </c>
      <c r="AK4285" s="32">
        <v>0</v>
      </c>
      <c r="AL4285" s="32">
        <f>55/60</f>
        <v>0.91666666666666663</v>
      </c>
      <c r="AP4285" s="32">
        <f>55/60</f>
        <v>0.91666666666666663</v>
      </c>
      <c r="AQ4285" s="32" t="s">
        <v>1101</v>
      </c>
      <c r="AU4285">
        <v>4284</v>
      </c>
    </row>
    <row r="4286" spans="1:47" x14ac:dyDescent="0.2">
      <c r="A4286" s="26">
        <v>6733</v>
      </c>
      <c r="B4286" s="27" t="s">
        <v>85</v>
      </c>
      <c r="C4286" s="28"/>
      <c r="D4286" s="29"/>
      <c r="E4286" s="30" t="s">
        <v>911</v>
      </c>
      <c r="F4286" s="47"/>
      <c r="G4286" s="47"/>
      <c r="H4286">
        <v>1</v>
      </c>
      <c r="I4286" s="47" t="s">
        <v>5478</v>
      </c>
      <c r="J4286" s="47"/>
      <c r="K4286" s="47"/>
      <c r="L4286" s="48"/>
      <c r="M4286" s="47"/>
      <c r="N4286" s="47"/>
      <c r="O4286" s="47"/>
      <c r="P4286" s="47"/>
      <c r="Q4286" s="47"/>
      <c r="R4286" s="47"/>
      <c r="S4286" s="48"/>
      <c r="T4286" s="47"/>
      <c r="U4286" s="47"/>
      <c r="V4286" s="47"/>
      <c r="W4286" s="47"/>
      <c r="X4286" s="47"/>
      <c r="Y4286" s="47"/>
      <c r="Z4286" s="47"/>
      <c r="AA4286" s="49"/>
      <c r="AB4286" s="49"/>
      <c r="AC4286" s="49"/>
      <c r="AD4286" s="50"/>
      <c r="AE4286" s="47"/>
      <c r="AF4286" s="47"/>
      <c r="AG4286"/>
      <c r="AH4286"/>
      <c r="AI4286"/>
      <c r="AJ4286"/>
      <c r="AK4286">
        <v>1</v>
      </c>
      <c r="AL4286"/>
      <c r="AM4286"/>
      <c r="AN4286"/>
      <c r="AO4286"/>
      <c r="AP4286"/>
      <c r="AQ4286" t="s">
        <v>5479</v>
      </c>
      <c r="AU4286">
        <v>4285</v>
      </c>
    </row>
    <row r="4287" spans="1:47" x14ac:dyDescent="0.2">
      <c r="A4287" s="26">
        <v>6733</v>
      </c>
      <c r="B4287" s="27" t="s">
        <v>85</v>
      </c>
      <c r="C4287" s="28"/>
      <c r="D4287" s="29"/>
      <c r="E4287" s="30" t="s">
        <v>1531</v>
      </c>
      <c r="H4287" s="32">
        <v>0</v>
      </c>
      <c r="I4287" s="32" t="s">
        <v>5480</v>
      </c>
      <c r="AG4287" s="32">
        <v>0</v>
      </c>
      <c r="AH4287" s="32">
        <v>0</v>
      </c>
      <c r="AI4287" s="32">
        <v>0</v>
      </c>
      <c r="AK4287" s="32">
        <v>0</v>
      </c>
      <c r="AM4287" s="32">
        <f>498*27</f>
        <v>13446</v>
      </c>
      <c r="AO4287" s="32" t="s">
        <v>1533</v>
      </c>
      <c r="AQ4287" s="32" t="s">
        <v>1101</v>
      </c>
      <c r="AU4287">
        <v>4286</v>
      </c>
    </row>
    <row r="4288" spans="1:47" x14ac:dyDescent="0.2">
      <c r="A4288" s="26">
        <v>6733</v>
      </c>
      <c r="B4288" s="27"/>
      <c r="C4288" s="28"/>
      <c r="D4288" s="29"/>
      <c r="E4288" s="30" t="s">
        <v>4666</v>
      </c>
      <c r="H4288" s="32">
        <v>1</v>
      </c>
      <c r="I4288" s="32" t="s">
        <v>5481</v>
      </c>
      <c r="AG4288" s="32">
        <v>0</v>
      </c>
      <c r="AO4288" s="32" t="s">
        <v>4668</v>
      </c>
      <c r="AQ4288" s="32">
        <v>409</v>
      </c>
      <c r="AU4288">
        <v>4287</v>
      </c>
    </row>
    <row r="4289" spans="1:47" x14ac:dyDescent="0.2">
      <c r="A4289" s="26">
        <v>6733</v>
      </c>
      <c r="B4289" s="27"/>
      <c r="C4289" s="28"/>
      <c r="D4289" s="29"/>
      <c r="E4289" s="30" t="s">
        <v>5482</v>
      </c>
      <c r="H4289" s="32">
        <v>1</v>
      </c>
      <c r="I4289" s="32" t="s">
        <v>5483</v>
      </c>
      <c r="AG4289" s="32">
        <v>0</v>
      </c>
      <c r="AH4289" s="32">
        <v>0</v>
      </c>
      <c r="AI4289" s="32">
        <v>100</v>
      </c>
      <c r="AK4289" s="32">
        <v>1</v>
      </c>
      <c r="AL4289" s="32">
        <v>0</v>
      </c>
      <c r="AO4289" s="32" t="s">
        <v>1006</v>
      </c>
      <c r="AQ4289" s="91">
        <v>426</v>
      </c>
      <c r="AU4289">
        <v>4288</v>
      </c>
    </row>
    <row r="4290" spans="1:47" x14ac:dyDescent="0.2">
      <c r="A4290" s="26">
        <v>6733</v>
      </c>
      <c r="B4290" s="27"/>
      <c r="C4290" s="28"/>
      <c r="D4290" s="29"/>
      <c r="E4290" s="102" t="s">
        <v>1421</v>
      </c>
      <c r="H4290" s="32">
        <v>1</v>
      </c>
      <c r="I4290" s="32" t="s">
        <v>1422</v>
      </c>
      <c r="AK4290" s="32">
        <v>1</v>
      </c>
      <c r="AO4290" s="73"/>
      <c r="AQ4290" s="32" t="s">
        <v>589</v>
      </c>
      <c r="AU4290">
        <v>4289</v>
      </c>
    </row>
    <row r="4291" spans="1:47" x14ac:dyDescent="0.2">
      <c r="A4291" s="133">
        <v>6734</v>
      </c>
      <c r="B4291" s="39" t="s">
        <v>85</v>
      </c>
      <c r="C4291" s="39">
        <v>55</v>
      </c>
      <c r="D4291" s="29" t="b">
        <v>0</v>
      </c>
      <c r="E4291" s="39" t="s">
        <v>1764</v>
      </c>
      <c r="F4291" s="47" t="s">
        <v>3283</v>
      </c>
      <c r="G4291" s="47" t="s">
        <v>49</v>
      </c>
      <c r="H4291"/>
      <c r="I4291" s="47" t="b">
        <v>0</v>
      </c>
      <c r="J4291" s="47" t="b">
        <v>1</v>
      </c>
      <c r="K4291" s="47">
        <v>2478</v>
      </c>
      <c r="L4291" s="48">
        <v>12</v>
      </c>
      <c r="M4291" s="47">
        <v>0</v>
      </c>
      <c r="N4291" s="47">
        <v>1</v>
      </c>
      <c r="O4291" s="47">
        <v>0</v>
      </c>
      <c r="P4291" s="47">
        <v>0</v>
      </c>
      <c r="Q4291" s="47">
        <v>0</v>
      </c>
      <c r="R4291" s="47">
        <v>0</v>
      </c>
      <c r="S4291" s="48">
        <v>11</v>
      </c>
      <c r="T4291" s="47">
        <v>0</v>
      </c>
      <c r="U4291" s="47">
        <v>0</v>
      </c>
      <c r="V4291" s="47">
        <v>0</v>
      </c>
      <c r="W4291" s="47">
        <v>15000</v>
      </c>
      <c r="X4291" s="47">
        <v>580</v>
      </c>
      <c r="Y4291" s="47" t="s">
        <v>51</v>
      </c>
      <c r="Z4291" s="47" t="s">
        <v>3618</v>
      </c>
      <c r="AA4291" s="49">
        <v>0.19097222222222221</v>
      </c>
      <c r="AB4291" s="49">
        <v>0.32430555555555557</v>
      </c>
      <c r="AC4291" s="49">
        <f>AVERAGE(AA4291:AB4291)</f>
        <v>0.25763888888888886</v>
      </c>
      <c r="AD4291" s="50">
        <f>(AB4291-AA4291)*24</f>
        <v>3.2000000000000006</v>
      </c>
      <c r="AE4291" s="47" t="s">
        <v>5433</v>
      </c>
      <c r="AF4291" s="47">
        <v>85</v>
      </c>
      <c r="AG4291"/>
      <c r="AH4291"/>
      <c r="AI4291"/>
      <c r="AJ4291"/>
      <c r="AK4291">
        <v>49</v>
      </c>
      <c r="AL4291"/>
      <c r="AM4291"/>
      <c r="AN4291"/>
      <c r="AO4291"/>
      <c r="AP4291"/>
      <c r="AQ4291" t="s">
        <v>5434</v>
      </c>
      <c r="AU4291">
        <v>4290</v>
      </c>
    </row>
    <row r="4292" spans="1:47" x14ac:dyDescent="0.2">
      <c r="A4292" s="133">
        <v>6734</v>
      </c>
      <c r="B4292" s="39" t="s">
        <v>85</v>
      </c>
      <c r="C4292" s="39">
        <v>99</v>
      </c>
      <c r="D4292" s="29" t="b">
        <v>0</v>
      </c>
      <c r="E4292" s="39" t="s">
        <v>464</v>
      </c>
      <c r="F4292" s="47" t="s">
        <v>5484</v>
      </c>
      <c r="G4292" s="47" t="s">
        <v>49</v>
      </c>
      <c r="H4292"/>
      <c r="I4292" s="47" t="b">
        <v>0</v>
      </c>
      <c r="J4292" s="47" t="b">
        <v>1</v>
      </c>
      <c r="K4292" s="47">
        <v>2046</v>
      </c>
      <c r="L4292" s="48">
        <v>12</v>
      </c>
      <c r="M4292" s="47">
        <v>1</v>
      </c>
      <c r="N4292" s="47">
        <v>2</v>
      </c>
      <c r="O4292" s="47">
        <v>0</v>
      </c>
      <c r="P4292" s="47">
        <v>0</v>
      </c>
      <c r="Q4292" s="47">
        <v>0</v>
      </c>
      <c r="R4292" s="47">
        <v>0</v>
      </c>
      <c r="S4292" s="48">
        <v>9</v>
      </c>
      <c r="T4292" s="47">
        <v>0</v>
      </c>
      <c r="U4292" s="47">
        <v>0</v>
      </c>
      <c r="V4292" s="47">
        <v>0</v>
      </c>
      <c r="W4292" s="47">
        <v>13000</v>
      </c>
      <c r="X4292" s="47">
        <v>581</v>
      </c>
      <c r="Y4292" s="47" t="s">
        <v>51</v>
      </c>
      <c r="Z4292" s="47" t="s">
        <v>5139</v>
      </c>
      <c r="AA4292" s="49">
        <v>0.27083333333333331</v>
      </c>
      <c r="AB4292" s="49">
        <v>0.40972222222222227</v>
      </c>
      <c r="AC4292" s="49">
        <f>AVERAGE(AA4292:AB4292)</f>
        <v>0.34027777777777779</v>
      </c>
      <c r="AD4292" s="50">
        <f>(AB4292-AA4292)*24</f>
        <v>3.3333333333333348</v>
      </c>
      <c r="AE4292" s="47" t="s">
        <v>5433</v>
      </c>
      <c r="AF4292" s="47">
        <v>75</v>
      </c>
      <c r="AG4292"/>
      <c r="AH4292"/>
      <c r="AI4292"/>
      <c r="AJ4292"/>
      <c r="AK4292">
        <v>13</v>
      </c>
      <c r="AL4292"/>
      <c r="AM4292"/>
      <c r="AN4292"/>
      <c r="AO4292"/>
      <c r="AP4292"/>
      <c r="AQ4292" t="s">
        <v>2526</v>
      </c>
      <c r="AU4292">
        <v>4291</v>
      </c>
    </row>
    <row r="4293" spans="1:47" x14ac:dyDescent="0.2">
      <c r="A4293" s="133">
        <v>6734</v>
      </c>
      <c r="B4293" s="39" t="s">
        <v>85</v>
      </c>
      <c r="C4293" s="39">
        <v>104</v>
      </c>
      <c r="D4293" s="29" t="b">
        <v>0</v>
      </c>
      <c r="E4293" s="39" t="s">
        <v>1168</v>
      </c>
      <c r="F4293" s="47" t="s">
        <v>76</v>
      </c>
      <c r="G4293" s="47" t="s">
        <v>49</v>
      </c>
      <c r="H4293"/>
      <c r="I4293" s="47" t="b">
        <v>0</v>
      </c>
      <c r="J4293" s="47" t="b">
        <v>1</v>
      </c>
      <c r="K4293" s="47">
        <v>2040</v>
      </c>
      <c r="L4293" s="48">
        <v>12</v>
      </c>
      <c r="M4293" s="47">
        <v>0</v>
      </c>
      <c r="N4293" s="47">
        <v>2</v>
      </c>
      <c r="O4293" s="47">
        <v>1</v>
      </c>
      <c r="P4293" s="47">
        <v>0</v>
      </c>
      <c r="Q4293" s="47">
        <v>0</v>
      </c>
      <c r="R4293" s="47">
        <v>0</v>
      </c>
      <c r="S4293" s="48">
        <v>9</v>
      </c>
      <c r="T4293" s="47">
        <v>0</v>
      </c>
      <c r="U4293" s="47">
        <v>0</v>
      </c>
      <c r="V4293" s="47">
        <v>0</v>
      </c>
      <c r="W4293" s="47">
        <v>13000</v>
      </c>
      <c r="X4293" s="47">
        <v>582</v>
      </c>
      <c r="Y4293" s="47" t="s">
        <v>120</v>
      </c>
      <c r="Z4293" s="47" t="s">
        <v>5139</v>
      </c>
      <c r="AA4293" s="49">
        <v>0.19097222222222221</v>
      </c>
      <c r="AB4293" s="49">
        <v>0.3298611111111111</v>
      </c>
      <c r="AC4293" s="49">
        <f>AVERAGE(AA4293:AB4293)</f>
        <v>0.26041666666666663</v>
      </c>
      <c r="AD4293" s="50">
        <f>(AB4293-AA4293)*24</f>
        <v>3.3333333333333335</v>
      </c>
      <c r="AE4293" s="47" t="s">
        <v>5433</v>
      </c>
      <c r="AF4293" s="47">
        <v>55</v>
      </c>
      <c r="AG4293"/>
      <c r="AH4293"/>
      <c r="AI4293"/>
      <c r="AJ4293"/>
      <c r="AK4293">
        <v>14</v>
      </c>
      <c r="AL4293"/>
      <c r="AM4293"/>
      <c r="AN4293"/>
      <c r="AO4293"/>
      <c r="AP4293"/>
      <c r="AQ4293" t="s">
        <v>5485</v>
      </c>
      <c r="AU4293">
        <v>4292</v>
      </c>
    </row>
    <row r="4294" spans="1:47" x14ac:dyDescent="0.2">
      <c r="A4294" s="133">
        <v>6734</v>
      </c>
      <c r="B4294" s="39" t="s">
        <v>45</v>
      </c>
      <c r="C4294" s="39" t="s">
        <v>142</v>
      </c>
      <c r="D4294" s="29"/>
      <c r="E4294" s="39" t="s">
        <v>5486</v>
      </c>
      <c r="F4294" s="47" t="s">
        <v>5487</v>
      </c>
      <c r="G4294" s="47" t="s">
        <v>69</v>
      </c>
      <c r="H4294"/>
      <c r="I4294" s="47" t="s">
        <v>5488</v>
      </c>
      <c r="J4294" s="47"/>
      <c r="K4294" s="47">
        <f>2225*2.2</f>
        <v>4895</v>
      </c>
      <c r="L4294" s="48">
        <v>11</v>
      </c>
      <c r="M4294" s="47">
        <v>1</v>
      </c>
      <c r="N4294" s="47">
        <v>1</v>
      </c>
      <c r="O4294" s="47"/>
      <c r="P4294" s="47">
        <v>9</v>
      </c>
      <c r="Q4294" s="47"/>
      <c r="R4294" s="47"/>
      <c r="S4294" s="48">
        <v>9</v>
      </c>
      <c r="T4294" s="47">
        <v>0</v>
      </c>
      <c r="U4294" s="47">
        <v>1</v>
      </c>
      <c r="V4294" s="47">
        <v>0</v>
      </c>
      <c r="W4294" s="47"/>
      <c r="X4294" s="47"/>
      <c r="Y4294" s="47" t="s">
        <v>51</v>
      </c>
      <c r="Z4294" s="31" t="s">
        <v>3855</v>
      </c>
      <c r="AA4294" s="49"/>
      <c r="AB4294" s="49"/>
      <c r="AC4294" s="49"/>
      <c r="AD4294" s="50"/>
      <c r="AE4294" s="47" t="s">
        <v>4217</v>
      </c>
      <c r="AF4294" s="47"/>
      <c r="AG4294"/>
      <c r="AH4294"/>
      <c r="AI4294"/>
      <c r="AJ4294"/>
      <c r="AK4294">
        <f>31+21+11+6</f>
        <v>69</v>
      </c>
      <c r="AL4294"/>
      <c r="AM4294"/>
      <c r="AN4294"/>
      <c r="AO4294"/>
      <c r="AP4294"/>
      <c r="AQ4294" t="s">
        <v>5467</v>
      </c>
      <c r="AU4294">
        <v>4293</v>
      </c>
    </row>
    <row r="4295" spans="1:47" x14ac:dyDescent="0.2">
      <c r="A4295" s="133">
        <v>6734</v>
      </c>
      <c r="B4295" s="39" t="s">
        <v>45</v>
      </c>
      <c r="C4295" s="57" t="s">
        <v>4456</v>
      </c>
      <c r="D4295" s="29"/>
      <c r="E4295" s="39" t="s">
        <v>4956</v>
      </c>
      <c r="F4295" s="47" t="s">
        <v>5299</v>
      </c>
      <c r="G4295" s="47" t="s">
        <v>49</v>
      </c>
      <c r="H4295"/>
      <c r="I4295" s="47" t="s">
        <v>5489</v>
      </c>
      <c r="J4295" s="47"/>
      <c r="K4295" s="118">
        <f>8*50*2.2</f>
        <v>880.00000000000011</v>
      </c>
      <c r="L4295" s="48">
        <v>2</v>
      </c>
      <c r="M4295" s="47"/>
      <c r="N4295" s="47">
        <v>1</v>
      </c>
      <c r="O4295" s="47"/>
      <c r="P4295" s="47"/>
      <c r="Q4295" s="47"/>
      <c r="R4295" s="47"/>
      <c r="S4295" s="48">
        <v>1</v>
      </c>
      <c r="T4295" s="47">
        <v>0</v>
      </c>
      <c r="U4295" s="47">
        <v>0</v>
      </c>
      <c r="V4295" s="47">
        <v>0</v>
      </c>
      <c r="W4295" s="47">
        <f>2600*39.37/12</f>
        <v>8530.1666666666661</v>
      </c>
      <c r="X4295" s="47"/>
      <c r="Y4295" s="31" t="s">
        <v>51</v>
      </c>
      <c r="Z4295" s="31" t="s">
        <v>1846</v>
      </c>
      <c r="AA4295" s="49">
        <v>0.92222222222222217</v>
      </c>
      <c r="AB4295" s="49">
        <v>0.97569444444444453</v>
      </c>
      <c r="AC4295" s="49">
        <f>AVERAGE(AA4295:AB4295)</f>
        <v>0.94895833333333335</v>
      </c>
      <c r="AD4295" s="50">
        <f>1+17/60</f>
        <v>1.2833333333333332</v>
      </c>
      <c r="AE4295" s="31" t="s">
        <v>4756</v>
      </c>
      <c r="AF4295" s="47">
        <v>55</v>
      </c>
      <c r="AG4295"/>
      <c r="AH4295"/>
      <c r="AI4295"/>
      <c r="AJ4295"/>
      <c r="AK4295" s="136">
        <v>8</v>
      </c>
      <c r="AL4295"/>
      <c r="AM4295"/>
      <c r="AN4295"/>
      <c r="AO4295"/>
      <c r="AP4295"/>
      <c r="AQ4295" s="25" t="s">
        <v>5469</v>
      </c>
      <c r="AU4295">
        <v>4294</v>
      </c>
    </row>
    <row r="4296" spans="1:47" x14ac:dyDescent="0.2">
      <c r="A4296" s="26">
        <v>6734</v>
      </c>
      <c r="B4296" s="27">
        <v>0.30902777777777779</v>
      </c>
      <c r="C4296" s="28"/>
      <c r="D4296" s="29"/>
      <c r="E4296" s="30" t="s">
        <v>464</v>
      </c>
      <c r="H4296" s="32">
        <v>1</v>
      </c>
      <c r="I4296" s="32" t="s">
        <v>5490</v>
      </c>
      <c r="AG4296" s="32">
        <v>0</v>
      </c>
      <c r="AH4296" s="32">
        <v>6</v>
      </c>
      <c r="AK4296" s="32">
        <v>6</v>
      </c>
      <c r="AL4296" s="32">
        <f>170/60</f>
        <v>2.8333333333333335</v>
      </c>
      <c r="AO4296" s="32" t="s">
        <v>3708</v>
      </c>
      <c r="AP4296" s="32">
        <f>170/60</f>
        <v>2.8333333333333335</v>
      </c>
      <c r="AQ4296" s="32" t="s">
        <v>5491</v>
      </c>
      <c r="AU4296">
        <v>4295</v>
      </c>
    </row>
    <row r="4297" spans="1:47" x14ac:dyDescent="0.2">
      <c r="A4297" s="26">
        <v>6734</v>
      </c>
      <c r="B4297" s="27">
        <v>0.3263888888888889</v>
      </c>
      <c r="C4297" s="28"/>
      <c r="D4297" s="29"/>
      <c r="E4297" s="30" t="s">
        <v>1282</v>
      </c>
      <c r="H4297" s="32">
        <v>0</v>
      </c>
      <c r="I4297" s="32" t="s">
        <v>5492</v>
      </c>
      <c r="AG4297" s="32">
        <v>0</v>
      </c>
      <c r="AH4297" s="32">
        <v>0</v>
      </c>
      <c r="AI4297" s="32">
        <v>0</v>
      </c>
      <c r="AK4297" s="32">
        <v>0</v>
      </c>
      <c r="AL4297" s="32">
        <f>5/6</f>
        <v>0.83333333333333337</v>
      </c>
      <c r="AP4297" s="32">
        <f>5/6</f>
        <v>0.83333333333333337</v>
      </c>
      <c r="AQ4297" s="32" t="s">
        <v>1101</v>
      </c>
      <c r="AU4297">
        <v>4296</v>
      </c>
    </row>
    <row r="4298" spans="1:47" x14ac:dyDescent="0.2">
      <c r="A4298" s="26">
        <v>6734</v>
      </c>
      <c r="B4298" s="27">
        <v>0.35</v>
      </c>
      <c r="C4298" s="28"/>
      <c r="D4298" s="29"/>
      <c r="E4298" s="102" t="s">
        <v>1102</v>
      </c>
      <c r="H4298" s="32">
        <v>0</v>
      </c>
      <c r="I4298" s="32" t="s">
        <v>1103</v>
      </c>
      <c r="AG4298" s="32">
        <v>0</v>
      </c>
      <c r="AH4298" s="32">
        <v>0</v>
      </c>
      <c r="AI4298" s="32">
        <v>0</v>
      </c>
      <c r="AK4298" s="32">
        <v>0</v>
      </c>
      <c r="AL4298" s="32">
        <f>91/60</f>
        <v>1.5166666666666666</v>
      </c>
      <c r="AO4298" s="73" t="s">
        <v>1006</v>
      </c>
      <c r="AP4298" s="32">
        <f>91/60</f>
        <v>1.5166666666666666</v>
      </c>
      <c r="AQ4298" s="32" t="s">
        <v>589</v>
      </c>
      <c r="AU4298">
        <v>4297</v>
      </c>
    </row>
    <row r="4299" spans="1:47" x14ac:dyDescent="0.2">
      <c r="A4299" s="26">
        <v>6734</v>
      </c>
      <c r="B4299" s="27" t="s">
        <v>85</v>
      </c>
      <c r="C4299" s="28"/>
      <c r="D4299" s="29"/>
      <c r="E4299" s="102" t="s">
        <v>364</v>
      </c>
      <c r="H4299" s="32">
        <v>1</v>
      </c>
      <c r="I4299" s="32" t="s">
        <v>5493</v>
      </c>
      <c r="AK4299" s="32">
        <v>11</v>
      </c>
      <c r="AO4299" s="73"/>
      <c r="AU4299">
        <v>4298</v>
      </c>
    </row>
    <row r="4300" spans="1:47" x14ac:dyDescent="0.2">
      <c r="A4300" s="26">
        <v>6734</v>
      </c>
      <c r="B4300" s="27" t="s">
        <v>45</v>
      </c>
      <c r="C4300" s="28"/>
      <c r="D4300" s="29"/>
      <c r="E4300" s="30" t="s">
        <v>586</v>
      </c>
      <c r="H4300" s="32">
        <v>1</v>
      </c>
      <c r="I4300" s="32" t="s">
        <v>5494</v>
      </c>
      <c r="AI4300" s="32">
        <v>2075</v>
      </c>
      <c r="AO4300" s="46" t="s">
        <v>588</v>
      </c>
      <c r="AQ4300" s="32" t="s">
        <v>589</v>
      </c>
      <c r="AU4300">
        <v>4299</v>
      </c>
    </row>
    <row r="4301" spans="1:47" x14ac:dyDescent="0.2">
      <c r="A4301" s="133">
        <v>6735</v>
      </c>
      <c r="B4301" s="39" t="s">
        <v>85</v>
      </c>
      <c r="C4301" s="39">
        <v>99</v>
      </c>
      <c r="D4301" s="29" t="b">
        <v>0</v>
      </c>
      <c r="E4301" s="39" t="s">
        <v>911</v>
      </c>
      <c r="F4301" s="47" t="s">
        <v>5495</v>
      </c>
      <c r="G4301" s="47" t="s">
        <v>481</v>
      </c>
      <c r="H4301"/>
      <c r="I4301" s="47" t="b">
        <v>0</v>
      </c>
      <c r="J4301" s="47" t="b">
        <v>1</v>
      </c>
      <c r="K4301" s="47">
        <v>2736</v>
      </c>
      <c r="L4301" s="48">
        <v>12</v>
      </c>
      <c r="M4301" s="47">
        <v>0</v>
      </c>
      <c r="N4301" s="47">
        <v>0</v>
      </c>
      <c r="O4301" s="47">
        <v>0</v>
      </c>
      <c r="P4301" s="47">
        <v>0</v>
      </c>
      <c r="Q4301" s="47">
        <v>0</v>
      </c>
      <c r="R4301" s="47">
        <v>0</v>
      </c>
      <c r="S4301" s="48">
        <v>12</v>
      </c>
      <c r="T4301" s="47">
        <v>0</v>
      </c>
      <c r="U4301" s="47">
        <v>0</v>
      </c>
      <c r="V4301" s="47">
        <v>0</v>
      </c>
      <c r="W4301" s="47">
        <v>14000</v>
      </c>
      <c r="X4301" s="47">
        <v>583</v>
      </c>
      <c r="Y4301" s="47" t="s">
        <v>51</v>
      </c>
      <c r="Z4301" s="47" t="s">
        <v>5139</v>
      </c>
      <c r="AA4301" s="49">
        <v>0.36805555555555558</v>
      </c>
      <c r="AB4301" s="49">
        <v>0.4861111111111111</v>
      </c>
      <c r="AC4301" s="49">
        <f>AVERAGE(AA4301:AB4301)</f>
        <v>0.42708333333333337</v>
      </c>
      <c r="AD4301" s="50">
        <f>(AB4301-AA4301)*24</f>
        <v>2.8333333333333326</v>
      </c>
      <c r="AE4301" s="47" t="s">
        <v>5433</v>
      </c>
      <c r="AF4301" s="47">
        <v>90</v>
      </c>
      <c r="AG4301"/>
      <c r="AH4301"/>
      <c r="AI4301"/>
      <c r="AJ4301"/>
      <c r="AK4301"/>
      <c r="AL4301"/>
      <c r="AM4301"/>
      <c r="AN4301"/>
      <c r="AO4301"/>
      <c r="AP4301"/>
      <c r="AQ4301" t="s">
        <v>2526</v>
      </c>
      <c r="AU4301">
        <v>4300</v>
      </c>
    </row>
    <row r="4302" spans="1:47" x14ac:dyDescent="0.2">
      <c r="A4302" s="133">
        <v>6735</v>
      </c>
      <c r="B4302" s="39" t="s">
        <v>85</v>
      </c>
      <c r="C4302" s="39">
        <v>104</v>
      </c>
      <c r="D4302" s="29" t="b">
        <v>0</v>
      </c>
      <c r="E4302" s="39" t="s">
        <v>464</v>
      </c>
      <c r="F4302" s="47" t="s">
        <v>5496</v>
      </c>
      <c r="G4302" s="47" t="s">
        <v>481</v>
      </c>
      <c r="H4302"/>
      <c r="I4302" s="47" t="b">
        <v>0</v>
      </c>
      <c r="J4302" s="47" t="b">
        <v>1</v>
      </c>
      <c r="K4302" s="47">
        <v>1362</v>
      </c>
      <c r="L4302" s="48">
        <v>12</v>
      </c>
      <c r="M4302" s="47">
        <v>1</v>
      </c>
      <c r="N4302" s="47">
        <v>5</v>
      </c>
      <c r="O4302" s="47">
        <v>0</v>
      </c>
      <c r="P4302" s="47">
        <v>0</v>
      </c>
      <c r="Q4302" s="47">
        <v>0</v>
      </c>
      <c r="R4302" s="47">
        <v>0</v>
      </c>
      <c r="S4302" s="48">
        <v>6</v>
      </c>
      <c r="T4302" s="47">
        <v>0</v>
      </c>
      <c r="U4302" s="47">
        <v>0</v>
      </c>
      <c r="V4302" s="47">
        <v>0</v>
      </c>
      <c r="W4302" s="47">
        <v>14000</v>
      </c>
      <c r="X4302" s="47">
        <v>584</v>
      </c>
      <c r="Y4302" s="47" t="s">
        <v>51</v>
      </c>
      <c r="Z4302" s="47" t="s">
        <v>5139</v>
      </c>
      <c r="AA4302" s="49">
        <v>0.21180555555555555</v>
      </c>
      <c r="AB4302" s="49">
        <v>0.3298611111111111</v>
      </c>
      <c r="AC4302" s="49">
        <f>AVERAGE(AA4302:AB4302)</f>
        <v>0.27083333333333331</v>
      </c>
      <c r="AD4302" s="50">
        <f>(AB4302-AA4302)*24</f>
        <v>2.833333333333333</v>
      </c>
      <c r="AE4302" s="47" t="s">
        <v>5433</v>
      </c>
      <c r="AF4302" s="47">
        <v>75</v>
      </c>
      <c r="AG4302"/>
      <c r="AH4302"/>
      <c r="AI4302"/>
      <c r="AJ4302"/>
      <c r="AK4302">
        <v>9</v>
      </c>
      <c r="AL4302"/>
      <c r="AM4302"/>
      <c r="AN4302"/>
      <c r="AO4302"/>
      <c r="AP4302"/>
      <c r="AQ4302" t="s">
        <v>5485</v>
      </c>
      <c r="AU4302">
        <v>4301</v>
      </c>
    </row>
    <row r="4303" spans="1:47" x14ac:dyDescent="0.2">
      <c r="A4303" s="133">
        <v>6735</v>
      </c>
      <c r="B4303" s="39" t="s">
        <v>85</v>
      </c>
      <c r="C4303" s="39" t="s">
        <v>4849</v>
      </c>
      <c r="D4303" s="29"/>
      <c r="E4303" s="39" t="s">
        <v>5497</v>
      </c>
      <c r="F4303" s="47" t="s">
        <v>5498</v>
      </c>
      <c r="G4303" s="47" t="s">
        <v>69</v>
      </c>
      <c r="H4303"/>
      <c r="I4303" s="47" t="s">
        <v>5499</v>
      </c>
      <c r="J4303" s="47"/>
      <c r="K4303" s="47">
        <f>15000*2.2</f>
        <v>33000</v>
      </c>
      <c r="L4303" s="48">
        <v>71</v>
      </c>
      <c r="M4303" s="47"/>
      <c r="N4303" s="47"/>
      <c r="O4303" s="47"/>
      <c r="P4303" s="47"/>
      <c r="Q4303" s="47"/>
      <c r="R4303" s="47"/>
      <c r="S4303" s="48"/>
      <c r="T4303" s="47">
        <v>4</v>
      </c>
      <c r="U4303" s="47"/>
      <c r="V4303" s="47"/>
      <c r="W4303" s="47"/>
      <c r="X4303" s="47"/>
      <c r="Y4303" s="47"/>
      <c r="Z4303" s="31" t="s">
        <v>3724</v>
      </c>
      <c r="AA4303" s="49"/>
      <c r="AB4303" s="49"/>
      <c r="AC4303" s="49"/>
      <c r="AD4303" s="50"/>
      <c r="AE4303" s="47"/>
      <c r="AF4303" s="47"/>
      <c r="AG4303"/>
      <c r="AH4303"/>
      <c r="AI4303"/>
      <c r="AJ4303"/>
      <c r="AK4303"/>
      <c r="AL4303"/>
      <c r="AM4303"/>
      <c r="AN4303"/>
      <c r="AO4303"/>
      <c r="AP4303"/>
      <c r="AQ4303" t="s">
        <v>5500</v>
      </c>
      <c r="AU4303">
        <v>4302</v>
      </c>
    </row>
    <row r="4304" spans="1:47" x14ac:dyDescent="0.2">
      <c r="A4304" s="26">
        <v>6735</v>
      </c>
      <c r="B4304" s="27">
        <v>0.34375</v>
      </c>
      <c r="C4304" s="28"/>
      <c r="D4304" s="29"/>
      <c r="E4304" s="30" t="s">
        <v>464</v>
      </c>
      <c r="H4304" s="32">
        <v>1</v>
      </c>
      <c r="I4304" s="32" t="s">
        <v>5501</v>
      </c>
      <c r="AG4304" s="32">
        <v>0</v>
      </c>
      <c r="AH4304" s="32">
        <v>0</v>
      </c>
      <c r="AK4304" s="32">
        <v>8</v>
      </c>
      <c r="AO4304" s="32" t="s">
        <v>5502</v>
      </c>
      <c r="AP4304" s="32">
        <f>5/60</f>
        <v>8.3333333333333329E-2</v>
      </c>
      <c r="AQ4304" s="32" t="s">
        <v>5503</v>
      </c>
      <c r="AU4304">
        <v>4303</v>
      </c>
    </row>
    <row r="4305" spans="1:47" x14ac:dyDescent="0.2">
      <c r="A4305" s="26">
        <v>6735</v>
      </c>
      <c r="B4305" s="27">
        <v>0.34722222222222227</v>
      </c>
      <c r="C4305" s="28"/>
      <c r="D4305" s="29"/>
      <c r="E4305" s="30" t="s">
        <v>1282</v>
      </c>
      <c r="H4305" s="32">
        <v>0</v>
      </c>
      <c r="I4305" s="32" t="s">
        <v>5504</v>
      </c>
      <c r="AG4305" s="32">
        <v>0</v>
      </c>
      <c r="AH4305" s="32">
        <v>0</v>
      </c>
      <c r="AI4305" s="32">
        <v>0</v>
      </c>
      <c r="AK4305" s="32">
        <v>0</v>
      </c>
      <c r="AL4305" s="32">
        <v>0.25</v>
      </c>
      <c r="AP4305" s="32">
        <v>0.25</v>
      </c>
      <c r="AQ4305" s="32" t="s">
        <v>1101</v>
      </c>
      <c r="AU4305">
        <v>4304</v>
      </c>
    </row>
    <row r="4306" spans="1:47" x14ac:dyDescent="0.2">
      <c r="A4306" s="26">
        <v>6735</v>
      </c>
      <c r="B4306" s="27">
        <v>0.41666666666666669</v>
      </c>
      <c r="C4306" s="28"/>
      <c r="D4306" s="29"/>
      <c r="E4306" s="102" t="s">
        <v>1102</v>
      </c>
      <c r="H4306" s="32">
        <v>0</v>
      </c>
      <c r="I4306" s="32" t="s">
        <v>5505</v>
      </c>
      <c r="AG4306" s="32">
        <v>0</v>
      </c>
      <c r="AH4306" s="32">
        <v>0</v>
      </c>
      <c r="AI4306" s="32">
        <v>0</v>
      </c>
      <c r="AK4306" s="32">
        <v>0</v>
      </c>
      <c r="AL4306" s="32">
        <f>51/60</f>
        <v>0.85</v>
      </c>
      <c r="AO4306" s="73" t="s">
        <v>1006</v>
      </c>
      <c r="AP4306" s="32">
        <f>51/60</f>
        <v>0.85</v>
      </c>
      <c r="AQ4306" s="32" t="s">
        <v>589</v>
      </c>
      <c r="AU4306">
        <v>4305</v>
      </c>
    </row>
    <row r="4307" spans="1:47" x14ac:dyDescent="0.2">
      <c r="A4307" s="26">
        <v>6735</v>
      </c>
      <c r="B4307" s="27">
        <v>0.41666666666666669</v>
      </c>
      <c r="C4307" s="28"/>
      <c r="D4307" s="29"/>
      <c r="E4307" s="30" t="s">
        <v>1282</v>
      </c>
      <c r="H4307" s="32">
        <v>0</v>
      </c>
      <c r="I4307" s="32" t="s">
        <v>5506</v>
      </c>
      <c r="AL4307" s="32">
        <f>35/60</f>
        <v>0.58333333333333337</v>
      </c>
      <c r="AO4307" s="73"/>
      <c r="AP4307" s="32">
        <f>35/60</f>
        <v>0.58333333333333337</v>
      </c>
      <c r="AQ4307" s="32" t="s">
        <v>1101</v>
      </c>
      <c r="AU4307">
        <v>4306</v>
      </c>
    </row>
    <row r="4308" spans="1:47" x14ac:dyDescent="0.2">
      <c r="A4308" s="26">
        <v>6735</v>
      </c>
      <c r="B4308" s="27">
        <v>0.49652777777777773</v>
      </c>
      <c r="C4308" s="28"/>
      <c r="D4308" s="29"/>
      <c r="E4308" s="30" t="s">
        <v>4219</v>
      </c>
      <c r="H4308" s="32">
        <v>1</v>
      </c>
      <c r="I4308" s="32" t="s">
        <v>5507</v>
      </c>
      <c r="AI4308" s="32">
        <v>107043</v>
      </c>
      <c r="AK4308" s="32">
        <v>16</v>
      </c>
      <c r="AL4308" s="32">
        <f>25/60</f>
        <v>0.41666666666666669</v>
      </c>
      <c r="AO4308" s="32" t="s">
        <v>858</v>
      </c>
      <c r="AP4308" s="32">
        <f>25/60</f>
        <v>0.41666666666666669</v>
      </c>
      <c r="AQ4308" s="32" t="s">
        <v>5508</v>
      </c>
      <c r="AU4308">
        <v>4307</v>
      </c>
    </row>
    <row r="4309" spans="1:47" x14ac:dyDescent="0.2">
      <c r="A4309" s="26">
        <v>6735</v>
      </c>
      <c r="B4309" s="27">
        <v>0.57638888888888895</v>
      </c>
      <c r="C4309" s="28"/>
      <c r="D4309" s="29"/>
      <c r="E4309" s="30" t="s">
        <v>2964</v>
      </c>
      <c r="H4309" s="32">
        <v>0</v>
      </c>
      <c r="I4309" s="32" t="s">
        <v>4158</v>
      </c>
      <c r="AG4309" s="32">
        <v>0</v>
      </c>
      <c r="AH4309" s="32">
        <v>0</v>
      </c>
      <c r="AI4309" s="32">
        <v>0</v>
      </c>
      <c r="AK4309" s="32">
        <v>0</v>
      </c>
      <c r="AL4309" s="32">
        <f>35/60</f>
        <v>0.58333333333333337</v>
      </c>
      <c r="AP4309" s="32">
        <f>35/60</f>
        <v>0.58333333333333337</v>
      </c>
      <c r="AQ4309" s="32" t="s">
        <v>1101</v>
      </c>
      <c r="AU4309">
        <v>4308</v>
      </c>
    </row>
    <row r="4310" spans="1:47" x14ac:dyDescent="0.2">
      <c r="A4310" s="133">
        <v>6736</v>
      </c>
      <c r="B4310" s="39" t="s">
        <v>85</v>
      </c>
      <c r="C4310" s="39" t="s">
        <v>4769</v>
      </c>
      <c r="D4310" s="29"/>
      <c r="E4310" s="39" t="s">
        <v>5509</v>
      </c>
      <c r="F4310" s="31" t="s">
        <v>5510</v>
      </c>
      <c r="G4310" s="31" t="s">
        <v>69</v>
      </c>
      <c r="H4310" s="32"/>
      <c r="I4310" s="32" t="s">
        <v>5511</v>
      </c>
      <c r="K4310" s="31">
        <f>11000*2.2</f>
        <v>24200.000000000004</v>
      </c>
      <c r="T4310" s="31">
        <v>1</v>
      </c>
      <c r="AQ4310" s="32" t="s">
        <v>5500</v>
      </c>
      <c r="AU4310">
        <v>4309</v>
      </c>
    </row>
    <row r="4311" spans="1:47" x14ac:dyDescent="0.2">
      <c r="A4311" s="133">
        <v>6736</v>
      </c>
      <c r="B4311" s="39" t="s">
        <v>45</v>
      </c>
      <c r="C4311" s="39" t="s">
        <v>142</v>
      </c>
      <c r="D4311" s="29"/>
      <c r="E4311" s="39" t="s">
        <v>5512</v>
      </c>
      <c r="F4311" s="31" t="s">
        <v>5513</v>
      </c>
      <c r="G4311" s="31" t="s">
        <v>69</v>
      </c>
      <c r="H4311" s="32"/>
      <c r="I4311" s="32" t="s">
        <v>5514</v>
      </c>
      <c r="K4311" s="31">
        <f>6675*2.2</f>
        <v>14685.000000000002</v>
      </c>
      <c r="L4311" s="33">
        <v>24</v>
      </c>
      <c r="N4311" s="31">
        <v>3</v>
      </c>
      <c r="S4311" s="33">
        <v>21</v>
      </c>
      <c r="T4311" s="31">
        <v>0</v>
      </c>
      <c r="U4311" s="31">
        <v>0</v>
      </c>
      <c r="V4311" s="31">
        <v>0</v>
      </c>
      <c r="Y4311" s="31" t="s">
        <v>51</v>
      </c>
      <c r="Z4311" s="31" t="s">
        <v>3855</v>
      </c>
      <c r="AE4311" s="47" t="s">
        <v>4217</v>
      </c>
      <c r="AK4311" s="32">
        <f>57+75+43+6+2</f>
        <v>183</v>
      </c>
      <c r="AQ4311" t="s">
        <v>5515</v>
      </c>
      <c r="AU4311">
        <v>4310</v>
      </c>
    </row>
    <row r="4312" spans="1:47" x14ac:dyDescent="0.2">
      <c r="A4312" s="133">
        <v>6736</v>
      </c>
      <c r="B4312" s="39" t="s">
        <v>45</v>
      </c>
      <c r="C4312" s="39" t="s">
        <v>5516</v>
      </c>
      <c r="D4312" s="29"/>
      <c r="E4312" s="39" t="s">
        <v>5517</v>
      </c>
      <c r="F4312" s="31" t="s">
        <v>3715</v>
      </c>
      <c r="G4312" s="31" t="s">
        <v>69</v>
      </c>
      <c r="H4312" s="32"/>
      <c r="I4312" s="32" t="s">
        <v>5518</v>
      </c>
      <c r="Z4312" s="31" t="s">
        <v>3814</v>
      </c>
      <c r="AQ4312" s="32" t="s">
        <v>5519</v>
      </c>
      <c r="AU4312">
        <v>4311</v>
      </c>
    </row>
    <row r="4313" spans="1:47" x14ac:dyDescent="0.2">
      <c r="A4313" s="133">
        <v>6736</v>
      </c>
      <c r="B4313" s="39" t="s">
        <v>45</v>
      </c>
      <c r="C4313" s="57" t="s">
        <v>4456</v>
      </c>
      <c r="D4313" s="29"/>
      <c r="E4313" s="57" t="s">
        <v>3936</v>
      </c>
      <c r="F4313" s="31" t="s">
        <v>76</v>
      </c>
      <c r="G4313" s="31" t="s">
        <v>49</v>
      </c>
      <c r="H4313" s="32"/>
      <c r="I4313" s="137" t="s">
        <v>5520</v>
      </c>
      <c r="K4313" s="118">
        <f>8*50*2.2</f>
        <v>880.00000000000011</v>
      </c>
      <c r="L4313" s="33">
        <v>1</v>
      </c>
      <c r="S4313" s="33">
        <v>1</v>
      </c>
      <c r="T4313" s="47">
        <v>0</v>
      </c>
      <c r="U4313" s="47">
        <v>0</v>
      </c>
      <c r="V4313" s="47">
        <v>0</v>
      </c>
      <c r="W4313" s="47"/>
      <c r="X4313" s="47"/>
      <c r="Y4313" s="31" t="s">
        <v>51</v>
      </c>
      <c r="Z4313" s="31" t="s">
        <v>1846</v>
      </c>
      <c r="AA4313" s="49"/>
      <c r="AB4313" s="49"/>
      <c r="AC4313" s="49"/>
      <c r="AD4313" s="50"/>
      <c r="AE4313" s="31" t="s">
        <v>4756</v>
      </c>
      <c r="AF4313" s="47">
        <v>55</v>
      </c>
      <c r="AG4313"/>
      <c r="AH4313"/>
      <c r="AI4313"/>
      <c r="AJ4313"/>
      <c r="AK4313" s="136">
        <v>8</v>
      </c>
      <c r="AL4313"/>
      <c r="AM4313"/>
      <c r="AN4313"/>
      <c r="AO4313"/>
      <c r="AP4313"/>
      <c r="AQ4313" s="25" t="s">
        <v>5469</v>
      </c>
      <c r="AU4313">
        <v>4312</v>
      </c>
    </row>
    <row r="4314" spans="1:47" x14ac:dyDescent="0.2">
      <c r="A4314" s="13">
        <v>6736</v>
      </c>
      <c r="B4314" s="57" t="s">
        <v>45</v>
      </c>
      <c r="C4314" s="57" t="s">
        <v>4407</v>
      </c>
      <c r="D4314" s="29"/>
      <c r="E4314" s="57" t="s">
        <v>3936</v>
      </c>
      <c r="F4314" s="31" t="s">
        <v>76</v>
      </c>
      <c r="G4314" s="31" t="s">
        <v>49</v>
      </c>
      <c r="I4314" s="31" t="s">
        <v>5521</v>
      </c>
      <c r="K4314" s="31">
        <f>1320-880</f>
        <v>440</v>
      </c>
      <c r="AQ4314" s="32" t="s">
        <v>5522</v>
      </c>
      <c r="AU4314">
        <v>4313</v>
      </c>
    </row>
    <row r="4315" spans="1:47" x14ac:dyDescent="0.2">
      <c r="A4315" s="13">
        <v>6736</v>
      </c>
      <c r="B4315" s="57" t="s">
        <v>45</v>
      </c>
      <c r="C4315" s="57" t="s">
        <v>4407</v>
      </c>
      <c r="D4315" s="29"/>
      <c r="E4315" s="57" t="s">
        <v>5523</v>
      </c>
      <c r="F4315" s="31" t="s">
        <v>3637</v>
      </c>
      <c r="G4315" s="31" t="s">
        <v>69</v>
      </c>
      <c r="I4315" s="31" t="s">
        <v>5524</v>
      </c>
      <c r="K4315" s="31">
        <v>1606</v>
      </c>
      <c r="AQ4315" s="32" t="s">
        <v>5522</v>
      </c>
      <c r="AU4315">
        <v>4314</v>
      </c>
    </row>
    <row r="4316" spans="1:47" x14ac:dyDescent="0.2">
      <c r="A4316" s="13">
        <v>6736</v>
      </c>
      <c r="B4316" s="57" t="s">
        <v>45</v>
      </c>
      <c r="C4316" s="57" t="s">
        <v>4407</v>
      </c>
      <c r="D4316" s="29"/>
      <c r="E4316" s="57" t="s">
        <v>3876</v>
      </c>
      <c r="F4316" s="31" t="s">
        <v>76</v>
      </c>
      <c r="G4316" s="31" t="s">
        <v>49</v>
      </c>
      <c r="I4316" s="31" t="s">
        <v>5524</v>
      </c>
      <c r="K4316" s="31">
        <v>2288</v>
      </c>
      <c r="AQ4316" s="32" t="s">
        <v>5522</v>
      </c>
      <c r="AU4316">
        <v>4315</v>
      </c>
    </row>
    <row r="4317" spans="1:47" x14ac:dyDescent="0.2">
      <c r="A4317" s="13">
        <v>6736</v>
      </c>
      <c r="B4317" s="57" t="s">
        <v>45</v>
      </c>
      <c r="C4317" s="57" t="s">
        <v>4407</v>
      </c>
      <c r="D4317" s="29"/>
      <c r="E4317" s="57" t="s">
        <v>2747</v>
      </c>
      <c r="F4317" s="31" t="s">
        <v>76</v>
      </c>
      <c r="G4317" s="31" t="s">
        <v>49</v>
      </c>
      <c r="I4317" s="31" t="s">
        <v>5524</v>
      </c>
      <c r="K4317" s="31">
        <v>2486</v>
      </c>
      <c r="AQ4317" s="32" t="s">
        <v>5522</v>
      </c>
      <c r="AU4317">
        <v>4316</v>
      </c>
    </row>
    <row r="4318" spans="1:47" x14ac:dyDescent="0.2">
      <c r="A4318" s="13">
        <v>6736</v>
      </c>
      <c r="B4318" s="57" t="s">
        <v>45</v>
      </c>
      <c r="C4318" s="57" t="s">
        <v>4407</v>
      </c>
      <c r="D4318" s="29"/>
      <c r="E4318" s="57" t="s">
        <v>5253</v>
      </c>
      <c r="F4318" s="31" t="s">
        <v>3637</v>
      </c>
      <c r="G4318" s="31" t="s">
        <v>69</v>
      </c>
      <c r="I4318" s="31" t="s">
        <v>5524</v>
      </c>
      <c r="K4318" s="31">
        <v>2684</v>
      </c>
      <c r="AQ4318" s="32" t="s">
        <v>5522</v>
      </c>
      <c r="AU4318">
        <v>4317</v>
      </c>
    </row>
    <row r="4319" spans="1:47" x14ac:dyDescent="0.2">
      <c r="A4319" s="13">
        <v>6736</v>
      </c>
      <c r="B4319" s="57" t="s">
        <v>45</v>
      </c>
      <c r="C4319" s="57" t="s">
        <v>4407</v>
      </c>
      <c r="D4319" s="29"/>
      <c r="E4319" s="57" t="s">
        <v>5419</v>
      </c>
      <c r="F4319" s="31" t="s">
        <v>76</v>
      </c>
      <c r="G4319" s="31" t="s">
        <v>49</v>
      </c>
      <c r="I4319" s="31" t="s">
        <v>5524</v>
      </c>
      <c r="K4319" s="31">
        <v>3311</v>
      </c>
      <c r="AQ4319" s="32" t="s">
        <v>5522</v>
      </c>
      <c r="AU4319">
        <v>4318</v>
      </c>
    </row>
    <row r="4320" spans="1:47" x14ac:dyDescent="0.2">
      <c r="A4320" s="13">
        <v>6736</v>
      </c>
      <c r="B4320" s="57" t="s">
        <v>45</v>
      </c>
      <c r="C4320" s="57" t="s">
        <v>4407</v>
      </c>
      <c r="D4320" s="29"/>
      <c r="E4320" s="57" t="s">
        <v>5253</v>
      </c>
      <c r="F4320" s="31" t="s">
        <v>76</v>
      </c>
      <c r="G4320" s="31" t="s">
        <v>49</v>
      </c>
      <c r="I4320" s="31" t="s">
        <v>5524</v>
      </c>
      <c r="K4320" s="31">
        <v>10516</v>
      </c>
      <c r="AQ4320" s="32" t="s">
        <v>5522</v>
      </c>
      <c r="AU4320">
        <v>4319</v>
      </c>
    </row>
    <row r="4321" spans="1:47" x14ac:dyDescent="0.2">
      <c r="A4321" s="133">
        <v>6737</v>
      </c>
      <c r="B4321" s="57" t="s">
        <v>85</v>
      </c>
      <c r="C4321" s="57" t="s">
        <v>1234</v>
      </c>
      <c r="D4321" s="29"/>
      <c r="E4321" s="57" t="s">
        <v>5525</v>
      </c>
      <c r="F4321" s="31" t="s">
        <v>5526</v>
      </c>
      <c r="G4321" s="31" t="s">
        <v>69</v>
      </c>
      <c r="I4321" s="31" t="s">
        <v>5527</v>
      </c>
      <c r="K4321" s="31">
        <f>4120*2.2</f>
        <v>9064</v>
      </c>
      <c r="L4321" s="33">
        <v>19</v>
      </c>
      <c r="S4321" s="33">
        <v>19</v>
      </c>
      <c r="T4321" s="31">
        <v>0</v>
      </c>
      <c r="U4321" s="31">
        <v>0</v>
      </c>
      <c r="V4321" s="31">
        <v>1</v>
      </c>
      <c r="Y4321" s="31" t="s">
        <v>51</v>
      </c>
      <c r="Z4321" s="31" t="s">
        <v>3724</v>
      </c>
      <c r="AC4321" s="34">
        <v>0.4513888888888889</v>
      </c>
      <c r="AE4321" s="31" t="s">
        <v>4887</v>
      </c>
      <c r="AK4321" s="32">
        <v>476</v>
      </c>
      <c r="AQ4321" s="32" t="s">
        <v>5528</v>
      </c>
      <c r="AU4321">
        <v>4320</v>
      </c>
    </row>
    <row r="4322" spans="1:47" x14ac:dyDescent="0.2">
      <c r="A4322" s="133">
        <v>6737</v>
      </c>
      <c r="B4322" s="57" t="s">
        <v>85</v>
      </c>
      <c r="C4322" s="57" t="s">
        <v>1234</v>
      </c>
      <c r="D4322" s="29"/>
      <c r="E4322" s="57" t="s">
        <v>5529</v>
      </c>
      <c r="F4322" s="31" t="s">
        <v>5530</v>
      </c>
      <c r="G4322" s="31" t="s">
        <v>69</v>
      </c>
      <c r="I4322" s="31" t="s">
        <v>5531</v>
      </c>
      <c r="K4322" s="31">
        <f>4040*2.2</f>
        <v>8888</v>
      </c>
      <c r="L4322" s="33">
        <v>17</v>
      </c>
      <c r="S4322" s="33">
        <v>17</v>
      </c>
      <c r="T4322" s="31">
        <v>0</v>
      </c>
      <c r="U4322" s="31">
        <v>0</v>
      </c>
      <c r="V4322" s="31">
        <v>1</v>
      </c>
      <c r="Y4322" s="31" t="s">
        <v>51</v>
      </c>
      <c r="Z4322" s="31" t="s">
        <v>3724</v>
      </c>
      <c r="AC4322" s="34">
        <v>0.73958333333333337</v>
      </c>
      <c r="AE4322" s="31" t="s">
        <v>4887</v>
      </c>
      <c r="AK4322" s="32">
        <v>448</v>
      </c>
      <c r="AQ4322" s="32" t="s">
        <v>5532</v>
      </c>
      <c r="AU4322">
        <v>4321</v>
      </c>
    </row>
    <row r="4323" spans="1:47" x14ac:dyDescent="0.2">
      <c r="A4323" s="133">
        <v>6738</v>
      </c>
      <c r="B4323" s="39" t="s">
        <v>85</v>
      </c>
      <c r="C4323" s="39">
        <v>99</v>
      </c>
      <c r="D4323" s="29" t="b">
        <v>0</v>
      </c>
      <c r="E4323" s="39" t="s">
        <v>1168</v>
      </c>
      <c r="F4323" s="47" t="s">
        <v>5176</v>
      </c>
      <c r="G4323" s="47" t="s">
        <v>49</v>
      </c>
      <c r="H4323"/>
      <c r="I4323" s="47" t="b">
        <v>0</v>
      </c>
      <c r="J4323" s="47" t="b">
        <v>1</v>
      </c>
      <c r="K4323" s="47">
        <v>2736</v>
      </c>
      <c r="L4323" s="48">
        <v>12</v>
      </c>
      <c r="M4323" s="47">
        <v>0</v>
      </c>
      <c r="N4323" s="47">
        <v>0</v>
      </c>
      <c r="O4323" s="47">
        <v>0</v>
      </c>
      <c r="P4323" s="47">
        <v>12</v>
      </c>
      <c r="Q4323" s="47">
        <v>0</v>
      </c>
      <c r="R4323" s="47">
        <v>0</v>
      </c>
      <c r="S4323" s="48">
        <v>6</v>
      </c>
      <c r="T4323" s="47">
        <v>0</v>
      </c>
      <c r="U4323" s="47">
        <v>0</v>
      </c>
      <c r="V4323" s="47">
        <v>0</v>
      </c>
      <c r="W4323" s="47">
        <v>13000</v>
      </c>
      <c r="X4323" s="47">
        <v>585</v>
      </c>
      <c r="Y4323" s="47" t="s">
        <v>51</v>
      </c>
      <c r="Z4323" s="47" t="s">
        <v>5139</v>
      </c>
      <c r="AA4323" s="49">
        <v>0.20486111111111113</v>
      </c>
      <c r="AB4323" s="49">
        <v>0.3125</v>
      </c>
      <c r="AC4323" s="49">
        <f>AVERAGE(AA4323:AB4323)</f>
        <v>0.25868055555555558</v>
      </c>
      <c r="AD4323" s="50">
        <f>(AB4323-AA4323)*24</f>
        <v>2.583333333333333</v>
      </c>
      <c r="AE4323" s="47" t="s">
        <v>5433</v>
      </c>
      <c r="AF4323" s="47">
        <v>55</v>
      </c>
      <c r="AG4323"/>
      <c r="AH4323"/>
      <c r="AI4323"/>
      <c r="AJ4323"/>
      <c r="AK4323">
        <v>16</v>
      </c>
      <c r="AL4323"/>
      <c r="AM4323"/>
      <c r="AN4323"/>
      <c r="AO4323"/>
      <c r="AP4323"/>
      <c r="AQ4323" t="s">
        <v>2526</v>
      </c>
      <c r="AU4323">
        <v>4322</v>
      </c>
    </row>
    <row r="4324" spans="1:47" x14ac:dyDescent="0.2">
      <c r="A4324" s="133">
        <v>6738</v>
      </c>
      <c r="B4324" s="39" t="s">
        <v>85</v>
      </c>
      <c r="C4324" s="39">
        <v>104</v>
      </c>
      <c r="D4324" s="29" t="b">
        <v>0</v>
      </c>
      <c r="E4324" s="39" t="s">
        <v>1168</v>
      </c>
      <c r="F4324" s="47" t="s">
        <v>5345</v>
      </c>
      <c r="G4324" s="47" t="s">
        <v>49</v>
      </c>
      <c r="H4324"/>
      <c r="I4324" s="47" t="b">
        <v>0</v>
      </c>
      <c r="J4324" s="47" t="b">
        <v>1</v>
      </c>
      <c r="K4324" s="47">
        <v>2394</v>
      </c>
      <c r="L4324" s="48">
        <v>12</v>
      </c>
      <c r="M4324" s="47">
        <v>0</v>
      </c>
      <c r="N4324" s="47">
        <v>1</v>
      </c>
      <c r="O4324" s="47">
        <v>0</v>
      </c>
      <c r="P4324" s="47">
        <v>11</v>
      </c>
      <c r="Q4324" s="47">
        <v>0</v>
      </c>
      <c r="R4324" s="47">
        <v>0</v>
      </c>
      <c r="S4324" s="48">
        <v>11</v>
      </c>
      <c r="T4324" s="47">
        <v>0</v>
      </c>
      <c r="U4324" s="47">
        <v>0</v>
      </c>
      <c r="V4324" s="47">
        <v>0</v>
      </c>
      <c r="W4324" s="47">
        <v>13000</v>
      </c>
      <c r="X4324" s="47">
        <v>586</v>
      </c>
      <c r="Y4324" s="47" t="s">
        <v>51</v>
      </c>
      <c r="Z4324" s="47" t="s">
        <v>5139</v>
      </c>
      <c r="AA4324" s="49">
        <v>0.70138888888888884</v>
      </c>
      <c r="AB4324" s="49">
        <v>0.80208333333333337</v>
      </c>
      <c r="AC4324" s="49">
        <f>AVERAGE(AA4324:AB4324)</f>
        <v>0.75173611111111116</v>
      </c>
      <c r="AD4324" s="50">
        <f>(AB4324-AA4324)*24</f>
        <v>2.4166666666666687</v>
      </c>
      <c r="AE4324" s="47" t="s">
        <v>5433</v>
      </c>
      <c r="AF4324" s="47">
        <v>55</v>
      </c>
      <c r="AG4324"/>
      <c r="AH4324"/>
      <c r="AI4324"/>
      <c r="AJ4324"/>
      <c r="AK4324">
        <v>14</v>
      </c>
      <c r="AL4324"/>
      <c r="AM4324"/>
      <c r="AN4324"/>
      <c r="AO4324"/>
      <c r="AP4324"/>
      <c r="AQ4324" t="s">
        <v>5485</v>
      </c>
      <c r="AU4324">
        <v>4323</v>
      </c>
    </row>
    <row r="4325" spans="1:47" x14ac:dyDescent="0.2">
      <c r="A4325" s="133">
        <v>6738</v>
      </c>
      <c r="B4325" s="39" t="s">
        <v>85</v>
      </c>
      <c r="C4325" s="39" t="s">
        <v>5533</v>
      </c>
      <c r="D4325" s="29"/>
      <c r="E4325" s="39" t="s">
        <v>5534</v>
      </c>
      <c r="F4325" s="47" t="s">
        <v>1743</v>
      </c>
      <c r="G4325" s="47" t="s">
        <v>49</v>
      </c>
      <c r="H4325"/>
      <c r="I4325" s="47" t="s">
        <v>5535</v>
      </c>
      <c r="J4325" s="47"/>
      <c r="K4325" s="47">
        <f>640*2.2</f>
        <v>1408</v>
      </c>
      <c r="L4325" s="48">
        <v>8</v>
      </c>
      <c r="M4325" s="47"/>
      <c r="N4325" s="47">
        <v>2</v>
      </c>
      <c r="O4325" s="47"/>
      <c r="P4325" s="47"/>
      <c r="Q4325" s="47"/>
      <c r="R4325" s="47"/>
      <c r="S4325" s="48">
        <v>6</v>
      </c>
      <c r="T4325" s="47">
        <v>0</v>
      </c>
      <c r="U4325" s="47">
        <v>3</v>
      </c>
      <c r="V4325" s="47">
        <v>0</v>
      </c>
      <c r="W4325" s="47">
        <f>4000*39.37/12</f>
        <v>13123.333333333334</v>
      </c>
      <c r="X4325" s="47"/>
      <c r="Y4325" s="47" t="s">
        <v>120</v>
      </c>
      <c r="Z4325" s="31" t="s">
        <v>3724</v>
      </c>
      <c r="AA4325" s="49">
        <v>0.68055555555555547</v>
      </c>
      <c r="AB4325" s="49">
        <v>0.83333333333333337</v>
      </c>
      <c r="AC4325" s="49">
        <f>AVERAGE(AA4325:AB4325)</f>
        <v>0.75694444444444442</v>
      </c>
      <c r="AD4325" s="50">
        <f>(AB4325-AA4325)*24</f>
        <v>3.6666666666666696</v>
      </c>
      <c r="AE4325" s="47" t="s">
        <v>5536</v>
      </c>
      <c r="AF4325" s="47"/>
      <c r="AG4325"/>
      <c r="AH4325"/>
      <c r="AI4325"/>
      <c r="AJ4325"/>
      <c r="AK4325">
        <v>80</v>
      </c>
      <c r="AL4325"/>
      <c r="AM4325"/>
      <c r="AN4325"/>
      <c r="AO4325"/>
      <c r="AP4325"/>
      <c r="AQ4325" t="s">
        <v>5537</v>
      </c>
      <c r="AU4325">
        <v>4324</v>
      </c>
    </row>
    <row r="4326" spans="1:47" x14ac:dyDescent="0.2">
      <c r="A4326" s="133">
        <v>6738</v>
      </c>
      <c r="B4326" s="39" t="s">
        <v>85</v>
      </c>
      <c r="C4326" s="39" t="s">
        <v>1234</v>
      </c>
      <c r="D4326" s="29"/>
      <c r="E4326" s="39" t="s">
        <v>5538</v>
      </c>
      <c r="F4326" s="47" t="s">
        <v>5539</v>
      </c>
      <c r="G4326" s="47" t="s">
        <v>69</v>
      </c>
      <c r="H4326"/>
      <c r="I4326" s="47" t="s">
        <v>5540</v>
      </c>
      <c r="J4326" s="47"/>
      <c r="K4326" s="47">
        <f>3710*2.2</f>
        <v>8162.0000000000009</v>
      </c>
      <c r="L4326" s="48">
        <v>17</v>
      </c>
      <c r="M4326" s="47"/>
      <c r="N4326" s="47"/>
      <c r="O4326" s="47"/>
      <c r="P4326" s="47"/>
      <c r="Q4326" s="47"/>
      <c r="R4326" s="47"/>
      <c r="S4326" s="48">
        <v>17</v>
      </c>
      <c r="T4326" s="47">
        <v>0</v>
      </c>
      <c r="U4326" s="47">
        <v>0</v>
      </c>
      <c r="V4326" s="47">
        <v>0</v>
      </c>
      <c r="W4326" s="47"/>
      <c r="X4326" s="47"/>
      <c r="Y4326" s="47" t="s">
        <v>120</v>
      </c>
      <c r="Z4326" s="31" t="s">
        <v>3724</v>
      </c>
      <c r="AA4326" s="49"/>
      <c r="AB4326" s="49"/>
      <c r="AC4326" s="49">
        <v>0.70833333333333337</v>
      </c>
      <c r="AD4326" s="50"/>
      <c r="AE4326" s="31" t="s">
        <v>4887</v>
      </c>
      <c r="AF4326" s="47"/>
      <c r="AG4326"/>
      <c r="AH4326"/>
      <c r="AI4326"/>
      <c r="AJ4326"/>
      <c r="AK4326">
        <v>380</v>
      </c>
      <c r="AL4326"/>
      <c r="AM4326"/>
      <c r="AN4326"/>
      <c r="AO4326"/>
      <c r="AP4326"/>
      <c r="AQ4326" s="32" t="s">
        <v>1729</v>
      </c>
      <c r="AU4326">
        <v>4325</v>
      </c>
    </row>
    <row r="4327" spans="1:47" x14ac:dyDescent="0.2">
      <c r="A4327" s="133">
        <v>6738</v>
      </c>
      <c r="B4327" s="39" t="s">
        <v>85</v>
      </c>
      <c r="C4327" s="39" t="s">
        <v>4702</v>
      </c>
      <c r="D4327" s="29"/>
      <c r="E4327" s="39" t="s">
        <v>5541</v>
      </c>
      <c r="F4327" s="47"/>
      <c r="G4327" s="47"/>
      <c r="H4327"/>
      <c r="I4327" s="47" t="s">
        <v>5542</v>
      </c>
      <c r="J4327" s="47"/>
      <c r="K4327" s="47"/>
      <c r="L4327" s="48">
        <v>32</v>
      </c>
      <c r="M4327" s="47"/>
      <c r="N4327" s="47"/>
      <c r="O4327" s="47"/>
      <c r="P4327" s="47"/>
      <c r="Q4327" s="47"/>
      <c r="R4327" s="47"/>
      <c r="S4327" s="48"/>
      <c r="T4327" s="47"/>
      <c r="U4327" s="47"/>
      <c r="V4327" s="47"/>
      <c r="W4327" s="47"/>
      <c r="X4327" s="47"/>
      <c r="Y4327" s="47"/>
      <c r="Z4327" s="31" t="s">
        <v>3724</v>
      </c>
      <c r="AA4327" s="49"/>
      <c r="AB4327" s="49"/>
      <c r="AC4327" s="49"/>
      <c r="AD4327" s="50"/>
      <c r="AE4327" s="47"/>
      <c r="AF4327" s="47"/>
      <c r="AG4327"/>
      <c r="AH4327"/>
      <c r="AI4327"/>
      <c r="AJ4327"/>
      <c r="AK4327"/>
      <c r="AL4327"/>
      <c r="AM4327"/>
      <c r="AN4327"/>
      <c r="AO4327"/>
      <c r="AP4327"/>
      <c r="AQ4327" t="s">
        <v>5519</v>
      </c>
      <c r="AU4327">
        <v>4326</v>
      </c>
    </row>
    <row r="4328" spans="1:47" x14ac:dyDescent="0.2">
      <c r="A4328" s="133">
        <v>6738</v>
      </c>
      <c r="B4328" s="39" t="s">
        <v>85</v>
      </c>
      <c r="C4328" s="39" t="s">
        <v>4769</v>
      </c>
      <c r="D4328" s="29"/>
      <c r="E4328" s="39" t="s">
        <v>5543</v>
      </c>
      <c r="F4328" s="47" t="s">
        <v>5544</v>
      </c>
      <c r="G4328" s="47" t="s">
        <v>69</v>
      </c>
      <c r="H4328"/>
      <c r="I4328" s="47" t="s">
        <v>5545</v>
      </c>
      <c r="J4328" s="47"/>
      <c r="K4328" s="47"/>
      <c r="L4328" s="48"/>
      <c r="M4328" s="47"/>
      <c r="N4328" s="47"/>
      <c r="O4328" s="47"/>
      <c r="P4328" s="47"/>
      <c r="Q4328" s="47"/>
      <c r="R4328" s="47"/>
      <c r="S4328" s="48"/>
      <c r="T4328" s="47">
        <v>1</v>
      </c>
      <c r="U4328" s="47"/>
      <c r="V4328" s="47"/>
      <c r="W4328" s="47"/>
      <c r="X4328" s="47"/>
      <c r="Y4328" s="47"/>
      <c r="Z4328" s="47"/>
      <c r="AA4328" s="49"/>
      <c r="AB4328" s="49"/>
      <c r="AC4328" s="49"/>
      <c r="AD4328" s="50"/>
      <c r="AE4328" s="47"/>
      <c r="AF4328" s="47"/>
      <c r="AG4328"/>
      <c r="AH4328"/>
      <c r="AI4328"/>
      <c r="AJ4328"/>
      <c r="AK4328"/>
      <c r="AL4328"/>
      <c r="AM4328"/>
      <c r="AN4328"/>
      <c r="AO4328"/>
      <c r="AP4328"/>
      <c r="AQ4328" t="s">
        <v>5519</v>
      </c>
      <c r="AU4328">
        <v>4327</v>
      </c>
    </row>
    <row r="4329" spans="1:47" x14ac:dyDescent="0.2">
      <c r="A4329" s="133">
        <v>6738</v>
      </c>
      <c r="B4329" s="39" t="s">
        <v>45</v>
      </c>
      <c r="C4329" s="39" t="s">
        <v>142</v>
      </c>
      <c r="D4329" s="29"/>
      <c r="E4329" s="39" t="s">
        <v>5546</v>
      </c>
      <c r="F4329" s="31" t="s">
        <v>5547</v>
      </c>
      <c r="G4329" s="31" t="s">
        <v>69</v>
      </c>
      <c r="H4329" s="32"/>
      <c r="I4329" s="31" t="s">
        <v>5548</v>
      </c>
      <c r="K4329" s="31">
        <f>8135*2.2</f>
        <v>17897</v>
      </c>
      <c r="L4329" s="33">
        <f>26+2</f>
        <v>28</v>
      </c>
      <c r="S4329" s="33">
        <f>26+2</f>
        <v>28</v>
      </c>
      <c r="T4329" s="31">
        <v>0</v>
      </c>
      <c r="U4329" s="31">
        <v>0</v>
      </c>
      <c r="V4329" s="31">
        <v>0</v>
      </c>
      <c r="Y4329" s="31" t="s">
        <v>51</v>
      </c>
      <c r="Z4329" s="31" t="s">
        <v>3855</v>
      </c>
      <c r="AA4329" s="34">
        <v>0.92708333333333337</v>
      </c>
      <c r="AB4329" s="34">
        <v>0.1388888888888889</v>
      </c>
      <c r="AC4329" s="34">
        <v>3.125E-2</v>
      </c>
      <c r="AD4329" s="35">
        <f>4+55/60</f>
        <v>4.916666666666667</v>
      </c>
      <c r="AE4329" s="47" t="s">
        <v>4217</v>
      </c>
      <c r="AK4329" s="32">
        <f>66+113+35+2+5+11</f>
        <v>232</v>
      </c>
      <c r="AQ4329" s="32" t="s">
        <v>5549</v>
      </c>
      <c r="AU4329">
        <v>4328</v>
      </c>
    </row>
    <row r="4330" spans="1:47" x14ac:dyDescent="0.2">
      <c r="A4330" s="133">
        <v>6738</v>
      </c>
      <c r="B4330" s="39" t="s">
        <v>45</v>
      </c>
      <c r="C4330" s="57" t="s">
        <v>4456</v>
      </c>
      <c r="D4330" s="29"/>
      <c r="E4330" s="57" t="s">
        <v>5419</v>
      </c>
      <c r="F4330" s="31" t="s">
        <v>76</v>
      </c>
      <c r="G4330" s="31" t="s">
        <v>49</v>
      </c>
      <c r="H4330" s="32"/>
      <c r="I4330" s="31" t="s">
        <v>5550</v>
      </c>
      <c r="K4330" s="118">
        <f>4*8*50*2.2</f>
        <v>3520.0000000000005</v>
      </c>
      <c r="L4330" s="33">
        <v>4</v>
      </c>
      <c r="S4330" s="33">
        <v>4</v>
      </c>
      <c r="T4330" s="31">
        <v>0</v>
      </c>
      <c r="U4330" s="31">
        <v>0</v>
      </c>
      <c r="V4330" s="31">
        <v>0</v>
      </c>
      <c r="Y4330" s="31" t="s">
        <v>51</v>
      </c>
      <c r="Z4330" s="31" t="s">
        <v>1846</v>
      </c>
      <c r="AA4330" s="49">
        <v>0.9375</v>
      </c>
      <c r="AB4330" s="49">
        <v>5.9027777777777783E-2</v>
      </c>
      <c r="AC4330" s="49">
        <v>0.99791666666666667</v>
      </c>
      <c r="AD4330" s="50">
        <v>1.75</v>
      </c>
      <c r="AE4330" s="31" t="s">
        <v>4756</v>
      </c>
      <c r="AF4330" s="47">
        <v>70</v>
      </c>
      <c r="AG4330"/>
      <c r="AH4330"/>
      <c r="AI4330"/>
      <c r="AJ4330"/>
      <c r="AK4330" s="136">
        <v>8</v>
      </c>
      <c r="AL4330"/>
      <c r="AM4330"/>
      <c r="AN4330"/>
      <c r="AO4330"/>
      <c r="AP4330"/>
      <c r="AQ4330" s="25" t="s">
        <v>5551</v>
      </c>
      <c r="AU4330">
        <v>4329</v>
      </c>
    </row>
    <row r="4331" spans="1:47" x14ac:dyDescent="0.2">
      <c r="A4331" s="133">
        <v>6738</v>
      </c>
      <c r="B4331" s="39" t="s">
        <v>45</v>
      </c>
      <c r="C4331" s="57" t="s">
        <v>4456</v>
      </c>
      <c r="D4331" s="29"/>
      <c r="E4331" s="39" t="s">
        <v>5552</v>
      </c>
      <c r="F4331" s="31" t="s">
        <v>83</v>
      </c>
      <c r="G4331" s="31" t="s">
        <v>69</v>
      </c>
      <c r="H4331" s="32"/>
      <c r="I4331" s="31" t="s">
        <v>5553</v>
      </c>
      <c r="K4331" s="118">
        <f>2*8*50*2.2</f>
        <v>1760.0000000000002</v>
      </c>
      <c r="L4331" s="33">
        <v>2</v>
      </c>
      <c r="S4331" s="33">
        <v>2</v>
      </c>
      <c r="T4331" s="31">
        <v>0</v>
      </c>
      <c r="U4331" s="31">
        <v>0</v>
      </c>
      <c r="V4331" s="31">
        <v>0</v>
      </c>
      <c r="Y4331" s="31" t="s">
        <v>51</v>
      </c>
      <c r="Z4331" s="31" t="s">
        <v>1846</v>
      </c>
      <c r="AA4331" s="49">
        <v>0.9375</v>
      </c>
      <c r="AB4331" s="49">
        <v>8.6805555555555566E-2</v>
      </c>
      <c r="AC4331" s="49">
        <v>1.1805555555555555E-2</v>
      </c>
      <c r="AD4331" s="50">
        <v>1.5</v>
      </c>
      <c r="AE4331" s="31" t="s">
        <v>4756</v>
      </c>
      <c r="AF4331" s="47">
        <v>50</v>
      </c>
      <c r="AG4331"/>
      <c r="AH4331"/>
      <c r="AI4331"/>
      <c r="AJ4331"/>
      <c r="AK4331" s="136">
        <v>8</v>
      </c>
      <c r="AQ4331" s="25" t="s">
        <v>5551</v>
      </c>
      <c r="AU4331">
        <v>4330</v>
      </c>
    </row>
    <row r="4332" spans="1:47" x14ac:dyDescent="0.2">
      <c r="A4332" s="13">
        <v>6738</v>
      </c>
      <c r="B4332" s="57" t="s">
        <v>45</v>
      </c>
      <c r="C4332" s="57" t="s">
        <v>4456</v>
      </c>
      <c r="D4332" s="29"/>
      <c r="E4332" s="57" t="s">
        <v>5253</v>
      </c>
      <c r="F4332" s="31" t="s">
        <v>76</v>
      </c>
      <c r="G4332" s="31" t="s">
        <v>49</v>
      </c>
      <c r="I4332" s="31" t="s">
        <v>5554</v>
      </c>
      <c r="K4332" s="31">
        <v>880</v>
      </c>
      <c r="L4332" s="33">
        <v>1</v>
      </c>
      <c r="S4332" s="33">
        <v>1</v>
      </c>
      <c r="T4332" s="31">
        <v>0</v>
      </c>
      <c r="U4332" s="31">
        <v>0</v>
      </c>
      <c r="V4332" s="31">
        <v>0</v>
      </c>
      <c r="Y4332" s="31" t="s">
        <v>51</v>
      </c>
      <c r="Z4332" s="31" t="s">
        <v>1846</v>
      </c>
      <c r="AA4332" s="49">
        <v>2.0833333333333332E-2</v>
      </c>
      <c r="AB4332" s="49">
        <v>6.9444444444444434E-2</v>
      </c>
      <c r="AC4332" s="49">
        <f>AVERAGE(AA4332:AB4332)</f>
        <v>4.5138888888888881E-2</v>
      </c>
      <c r="AD4332" s="50">
        <f>1+1/6</f>
        <v>1.1666666666666667</v>
      </c>
      <c r="AE4332" s="31" t="s">
        <v>4756</v>
      </c>
      <c r="AF4332" s="47">
        <v>50</v>
      </c>
      <c r="AG4332"/>
      <c r="AH4332"/>
      <c r="AI4332"/>
      <c r="AJ4332"/>
      <c r="AK4332" s="192">
        <v>8</v>
      </c>
      <c r="AQ4332" s="32" t="s">
        <v>5555</v>
      </c>
      <c r="AU4332">
        <v>4331</v>
      </c>
    </row>
    <row r="4333" spans="1:47" x14ac:dyDescent="0.2">
      <c r="A4333" s="13">
        <v>6738</v>
      </c>
      <c r="B4333" s="57" t="s">
        <v>45</v>
      </c>
      <c r="C4333" s="57" t="s">
        <v>4407</v>
      </c>
      <c r="D4333" s="29"/>
      <c r="E4333" s="57" t="s">
        <v>3936</v>
      </c>
      <c r="F4333" s="31" t="s">
        <v>76</v>
      </c>
      <c r="G4333" s="31" t="s">
        <v>49</v>
      </c>
      <c r="I4333" s="31" t="s">
        <v>5556</v>
      </c>
      <c r="K4333" s="31">
        <v>528</v>
      </c>
      <c r="AQ4333" s="32" t="s">
        <v>5522</v>
      </c>
      <c r="AU4333">
        <v>4332</v>
      </c>
    </row>
    <row r="4334" spans="1:47" x14ac:dyDescent="0.2">
      <c r="A4334" s="13">
        <v>6738</v>
      </c>
      <c r="B4334" s="57" t="s">
        <v>45</v>
      </c>
      <c r="C4334" s="57" t="s">
        <v>4407</v>
      </c>
      <c r="D4334" s="29"/>
      <c r="E4334" s="57" t="s">
        <v>5557</v>
      </c>
      <c r="F4334" s="31" t="s">
        <v>83</v>
      </c>
      <c r="G4334" s="31" t="s">
        <v>69</v>
      </c>
      <c r="I4334" s="31" t="s">
        <v>5558</v>
      </c>
      <c r="K4334" s="31">
        <f>2728-1760</f>
        <v>968</v>
      </c>
      <c r="AQ4334" s="32" t="s">
        <v>5522</v>
      </c>
      <c r="AU4334">
        <v>4333</v>
      </c>
    </row>
    <row r="4335" spans="1:47" x14ac:dyDescent="0.2">
      <c r="A4335" s="13">
        <v>6738</v>
      </c>
      <c r="B4335" s="57" t="s">
        <v>45</v>
      </c>
      <c r="C4335" s="57" t="s">
        <v>4407</v>
      </c>
      <c r="D4335" s="29"/>
      <c r="E4335" s="57" t="s">
        <v>5559</v>
      </c>
      <c r="F4335" s="31" t="s">
        <v>83</v>
      </c>
      <c r="G4335" s="31" t="s">
        <v>69</v>
      </c>
      <c r="I4335" s="31" t="s">
        <v>5556</v>
      </c>
      <c r="K4335" s="31">
        <v>3476</v>
      </c>
      <c r="AQ4335" s="32" t="s">
        <v>5522</v>
      </c>
      <c r="AU4335">
        <v>4334</v>
      </c>
    </row>
    <row r="4336" spans="1:47" x14ac:dyDescent="0.2">
      <c r="A4336" s="13">
        <v>6738</v>
      </c>
      <c r="B4336" s="57" t="s">
        <v>45</v>
      </c>
      <c r="C4336" s="57" t="s">
        <v>4407</v>
      </c>
      <c r="D4336" s="29"/>
      <c r="E4336" s="57" t="s">
        <v>5419</v>
      </c>
      <c r="F4336" s="31" t="s">
        <v>83</v>
      </c>
      <c r="G4336" s="31" t="s">
        <v>69</v>
      </c>
      <c r="I4336" s="31" t="s">
        <v>5556</v>
      </c>
      <c r="K4336" s="31">
        <v>4400</v>
      </c>
      <c r="AQ4336" s="32" t="s">
        <v>5522</v>
      </c>
      <c r="AU4336">
        <v>4335</v>
      </c>
    </row>
    <row r="4337" spans="1:47" x14ac:dyDescent="0.2">
      <c r="A4337" s="13">
        <v>6738</v>
      </c>
      <c r="B4337" s="57" t="s">
        <v>45</v>
      </c>
      <c r="C4337" s="57" t="s">
        <v>4407</v>
      </c>
      <c r="D4337" s="29"/>
      <c r="E4337" s="57" t="s">
        <v>5419</v>
      </c>
      <c r="F4337" s="31" t="s">
        <v>76</v>
      </c>
      <c r="G4337" s="31" t="s">
        <v>49</v>
      </c>
      <c r="I4337" s="31" t="s">
        <v>5560</v>
      </c>
      <c r="K4337" s="31">
        <f>10166.2-3520</f>
        <v>6646.2000000000007</v>
      </c>
      <c r="AQ4337" s="32" t="s">
        <v>5522</v>
      </c>
      <c r="AU4337">
        <v>4336</v>
      </c>
    </row>
    <row r="4338" spans="1:47" x14ac:dyDescent="0.2">
      <c r="A4338" s="13">
        <v>6738</v>
      </c>
      <c r="B4338" s="57" t="s">
        <v>45</v>
      </c>
      <c r="C4338" s="57" t="s">
        <v>4407</v>
      </c>
      <c r="D4338" s="29"/>
      <c r="E4338" s="57" t="s">
        <v>1078</v>
      </c>
      <c r="F4338" s="31" t="s">
        <v>76</v>
      </c>
      <c r="G4338" s="31" t="s">
        <v>49</v>
      </c>
      <c r="I4338" s="31" t="s">
        <v>5556</v>
      </c>
      <c r="K4338" s="31">
        <v>22715</v>
      </c>
      <c r="AQ4338" s="32" t="s">
        <v>5522</v>
      </c>
      <c r="AU4338">
        <v>4337</v>
      </c>
    </row>
    <row r="4339" spans="1:47" x14ac:dyDescent="0.2">
      <c r="A4339" s="26">
        <v>6738</v>
      </c>
      <c r="B4339" s="27">
        <v>0.80902777777777779</v>
      </c>
      <c r="C4339" s="28"/>
      <c r="D4339" s="29"/>
      <c r="E4339" s="30" t="s">
        <v>1124</v>
      </c>
      <c r="H4339" s="32">
        <v>1</v>
      </c>
      <c r="I4339" s="32" t="s">
        <v>5561</v>
      </c>
      <c r="AG4339" s="32">
        <v>1</v>
      </c>
      <c r="AH4339" s="32">
        <v>3</v>
      </c>
      <c r="AK4339" s="32">
        <v>15</v>
      </c>
      <c r="AL4339" s="32">
        <f>35/60+10</f>
        <v>10.583333333333334</v>
      </c>
      <c r="AO4339" s="46" t="s">
        <v>1126</v>
      </c>
      <c r="AP4339" s="32">
        <f>35/60</f>
        <v>0.58333333333333337</v>
      </c>
      <c r="AQ4339" s="32" t="s">
        <v>5562</v>
      </c>
      <c r="AU4339">
        <v>4338</v>
      </c>
    </row>
    <row r="4340" spans="1:47" x14ac:dyDescent="0.2">
      <c r="A4340" s="26">
        <v>6738</v>
      </c>
      <c r="B4340" s="27">
        <v>0.82499999999999996</v>
      </c>
      <c r="C4340" s="28"/>
      <c r="D4340" s="29"/>
      <c r="E4340" s="102" t="s">
        <v>1102</v>
      </c>
      <c r="H4340" s="32">
        <v>0</v>
      </c>
      <c r="I4340" s="32" t="s">
        <v>1103</v>
      </c>
      <c r="AG4340" s="32">
        <v>0</v>
      </c>
      <c r="AH4340" s="32">
        <v>0</v>
      </c>
      <c r="AI4340" s="32">
        <v>0</v>
      </c>
      <c r="AK4340" s="32">
        <v>0</v>
      </c>
      <c r="AL4340" s="32">
        <f>7/60</f>
        <v>0.11666666666666667</v>
      </c>
      <c r="AO4340" s="73" t="s">
        <v>1006</v>
      </c>
      <c r="AP4340" s="32">
        <f>7/60</f>
        <v>0.11666666666666667</v>
      </c>
      <c r="AQ4340" s="32" t="s">
        <v>589</v>
      </c>
      <c r="AU4340">
        <v>4339</v>
      </c>
    </row>
    <row r="4341" spans="1:47" x14ac:dyDescent="0.2">
      <c r="A4341" s="26">
        <v>6738</v>
      </c>
      <c r="B4341" s="27"/>
      <c r="C4341" s="28"/>
      <c r="D4341" s="29"/>
      <c r="E4341" s="30" t="s">
        <v>464</v>
      </c>
      <c r="H4341" s="32">
        <v>0</v>
      </c>
      <c r="I4341" s="32" t="s">
        <v>5563</v>
      </c>
      <c r="AG4341" s="32">
        <v>0</v>
      </c>
      <c r="AH4341" s="32">
        <v>0</v>
      </c>
      <c r="AI4341" s="32">
        <v>0</v>
      </c>
      <c r="AK4341" s="32">
        <v>0</v>
      </c>
      <c r="AL4341" s="32">
        <v>0.33300000000000002</v>
      </c>
      <c r="AO4341" s="32" t="s">
        <v>4067</v>
      </c>
      <c r="AP4341" s="32">
        <v>0.33300000000000002</v>
      </c>
      <c r="AQ4341" s="32" t="s">
        <v>1522</v>
      </c>
      <c r="AU4341">
        <v>4340</v>
      </c>
    </row>
    <row r="4342" spans="1:47" x14ac:dyDescent="0.2">
      <c r="A4342" s="133">
        <v>6739</v>
      </c>
      <c r="B4342" s="39" t="s">
        <v>85</v>
      </c>
      <c r="C4342" s="39">
        <v>55</v>
      </c>
      <c r="D4342" s="29" t="b">
        <v>0</v>
      </c>
      <c r="E4342" s="39" t="s">
        <v>1006</v>
      </c>
      <c r="F4342" s="47" t="s">
        <v>2398</v>
      </c>
      <c r="G4342" s="47" t="s">
        <v>49</v>
      </c>
      <c r="H4342"/>
      <c r="I4342" s="47" t="b">
        <v>0</v>
      </c>
      <c r="J4342" s="47" t="b">
        <v>1</v>
      </c>
      <c r="K4342" s="47">
        <v>2278</v>
      </c>
      <c r="L4342" s="48">
        <v>12</v>
      </c>
      <c r="M4342" s="47">
        <v>0</v>
      </c>
      <c r="N4342" s="47">
        <v>0</v>
      </c>
      <c r="O4342" s="47">
        <v>0</v>
      </c>
      <c r="P4342" s="47">
        <v>12</v>
      </c>
      <c r="Q4342" s="47">
        <v>0</v>
      </c>
      <c r="R4342" s="47">
        <v>0</v>
      </c>
      <c r="S4342" s="48">
        <v>12</v>
      </c>
      <c r="T4342" s="47">
        <v>1</v>
      </c>
      <c r="U4342" s="47">
        <v>0</v>
      </c>
      <c r="V4342" s="47">
        <v>0</v>
      </c>
      <c r="W4342" s="47">
        <v>14500</v>
      </c>
      <c r="X4342" s="47">
        <v>587</v>
      </c>
      <c r="Y4342" s="47" t="s">
        <v>120</v>
      </c>
      <c r="Z4342" s="47" t="s">
        <v>3618</v>
      </c>
      <c r="AA4342" s="49">
        <v>0.20138888888888887</v>
      </c>
      <c r="AB4342" s="49">
        <v>0.36805555555555558</v>
      </c>
      <c r="AC4342" s="49">
        <f>AVERAGE(AA4342:AB4342)</f>
        <v>0.28472222222222221</v>
      </c>
      <c r="AD4342" s="50">
        <f>(AB4342-AA4342)*24</f>
        <v>4.0000000000000009</v>
      </c>
      <c r="AE4342" s="47" t="s">
        <v>5433</v>
      </c>
      <c r="AF4342" s="47">
        <v>130</v>
      </c>
      <c r="AG4342"/>
      <c r="AH4342"/>
      <c r="AI4342"/>
      <c r="AJ4342"/>
      <c r="AK4342">
        <v>39</v>
      </c>
      <c r="AL4342"/>
      <c r="AM4342"/>
      <c r="AN4342"/>
      <c r="AO4342"/>
      <c r="AP4342"/>
      <c r="AQ4342" t="s">
        <v>5434</v>
      </c>
      <c r="AU4342">
        <v>4341</v>
      </c>
    </row>
    <row r="4343" spans="1:47" x14ac:dyDescent="0.2">
      <c r="A4343" s="133">
        <v>6739</v>
      </c>
      <c r="B4343" s="39" t="s">
        <v>85</v>
      </c>
      <c r="C4343" s="39">
        <v>99</v>
      </c>
      <c r="D4343" s="29" t="b">
        <v>0</v>
      </c>
      <c r="E4343" s="39" t="s">
        <v>911</v>
      </c>
      <c r="F4343" s="47" t="s">
        <v>5564</v>
      </c>
      <c r="G4343" s="47" t="s">
        <v>481</v>
      </c>
      <c r="H4343"/>
      <c r="I4343" s="47" t="b">
        <v>0</v>
      </c>
      <c r="J4343" s="47" t="b">
        <v>1</v>
      </c>
      <c r="K4343" s="47">
        <v>2276</v>
      </c>
      <c r="L4343" s="48">
        <v>12</v>
      </c>
      <c r="M4343" s="47">
        <v>0</v>
      </c>
      <c r="N4343" s="47">
        <v>3</v>
      </c>
      <c r="O4343" s="47">
        <v>0</v>
      </c>
      <c r="P4343" s="47">
        <v>0</v>
      </c>
      <c r="Q4343" s="47">
        <v>0</v>
      </c>
      <c r="R4343" s="47">
        <v>0</v>
      </c>
      <c r="S4343" s="48">
        <v>9</v>
      </c>
      <c r="T4343" s="47">
        <v>0</v>
      </c>
      <c r="U4343" s="47">
        <v>0</v>
      </c>
      <c r="V4343" s="47">
        <v>0</v>
      </c>
      <c r="W4343" s="47">
        <v>12500</v>
      </c>
      <c r="X4343" s="47">
        <v>588</v>
      </c>
      <c r="Y4343" s="47" t="s">
        <v>51</v>
      </c>
      <c r="Z4343" s="47" t="s">
        <v>5139</v>
      </c>
      <c r="AA4343" s="49">
        <v>0.33680555555555558</v>
      </c>
      <c r="AB4343" s="49">
        <v>0.46180555555555558</v>
      </c>
      <c r="AC4343" s="49">
        <f>AVERAGE(AA4343:AB4343)</f>
        <v>0.39930555555555558</v>
      </c>
      <c r="AD4343" s="50">
        <f>(AB4343-AA4343)*24</f>
        <v>3</v>
      </c>
      <c r="AE4343" s="47" t="s">
        <v>5433</v>
      </c>
      <c r="AF4343" s="47">
        <v>90</v>
      </c>
      <c r="AG4343"/>
      <c r="AH4343"/>
      <c r="AI4343"/>
      <c r="AJ4343"/>
      <c r="AK4343">
        <v>14</v>
      </c>
      <c r="AL4343"/>
      <c r="AM4343"/>
      <c r="AN4343"/>
      <c r="AO4343"/>
      <c r="AP4343"/>
      <c r="AQ4343" t="s">
        <v>2526</v>
      </c>
      <c r="AU4343">
        <v>4342</v>
      </c>
    </row>
    <row r="4344" spans="1:47" x14ac:dyDescent="0.2">
      <c r="A4344" s="133">
        <v>6739</v>
      </c>
      <c r="B4344" s="39" t="s">
        <v>85</v>
      </c>
      <c r="C4344" s="39">
        <v>104</v>
      </c>
      <c r="D4344" s="29" t="b">
        <v>0</v>
      </c>
      <c r="E4344" s="39" t="s">
        <v>464</v>
      </c>
      <c r="F4344" s="47" t="s">
        <v>5496</v>
      </c>
      <c r="G4344" s="47" t="s">
        <v>49</v>
      </c>
      <c r="H4344"/>
      <c r="I4344" s="47" t="b">
        <v>0</v>
      </c>
      <c r="J4344" s="47" t="b">
        <v>1</v>
      </c>
      <c r="K4344" s="47">
        <v>1828</v>
      </c>
      <c r="L4344" s="48">
        <v>12</v>
      </c>
      <c r="M4344" s="47">
        <v>0</v>
      </c>
      <c r="N4344" s="47">
        <v>4</v>
      </c>
      <c r="O4344" s="47">
        <v>0</v>
      </c>
      <c r="P4344" s="47">
        <v>0</v>
      </c>
      <c r="Q4344" s="47">
        <v>0</v>
      </c>
      <c r="R4344" s="47">
        <v>0</v>
      </c>
      <c r="S4344" s="48">
        <v>8</v>
      </c>
      <c r="T4344" s="47">
        <v>0</v>
      </c>
      <c r="U4344" s="47">
        <v>0</v>
      </c>
      <c r="V4344" s="47">
        <v>0</v>
      </c>
      <c r="W4344" s="47">
        <v>13000</v>
      </c>
      <c r="X4344" s="47">
        <v>589</v>
      </c>
      <c r="Y4344" s="47" t="s">
        <v>120</v>
      </c>
      <c r="Z4344" s="47" t="s">
        <v>5139</v>
      </c>
      <c r="AA4344" s="49">
        <v>0.38541666666666669</v>
      </c>
      <c r="AB4344" s="49">
        <v>0.48958333333333331</v>
      </c>
      <c r="AC4344" s="49">
        <f>AVERAGE(AA4344:AB4344)</f>
        <v>0.4375</v>
      </c>
      <c r="AD4344" s="50">
        <f>(AB4344-AA4344)*24</f>
        <v>2.4999999999999991</v>
      </c>
      <c r="AE4344" s="47" t="s">
        <v>5433</v>
      </c>
      <c r="AF4344" s="47">
        <v>75</v>
      </c>
      <c r="AG4344"/>
      <c r="AH4344"/>
      <c r="AI4344"/>
      <c r="AJ4344"/>
      <c r="AK4344">
        <v>10</v>
      </c>
      <c r="AL4344"/>
      <c r="AM4344"/>
      <c r="AN4344"/>
      <c r="AO4344"/>
      <c r="AP4344"/>
      <c r="AQ4344" t="s">
        <v>5485</v>
      </c>
      <c r="AU4344">
        <v>4343</v>
      </c>
    </row>
    <row r="4345" spans="1:47" x14ac:dyDescent="0.2">
      <c r="A4345" s="133">
        <v>6739</v>
      </c>
      <c r="B4345" s="39" t="s">
        <v>85</v>
      </c>
      <c r="C4345" s="39" t="s">
        <v>5565</v>
      </c>
      <c r="D4345" s="29"/>
      <c r="E4345" s="39" t="s">
        <v>5566</v>
      </c>
      <c r="F4345" s="47"/>
      <c r="G4345" s="47"/>
      <c r="H4345"/>
      <c r="I4345" s="47"/>
      <c r="J4345" s="47"/>
      <c r="K4345" s="47"/>
      <c r="L4345" s="48"/>
      <c r="M4345" s="47"/>
      <c r="N4345" s="47"/>
      <c r="O4345" s="47"/>
      <c r="P4345" s="47"/>
      <c r="Q4345" s="47"/>
      <c r="R4345" s="47"/>
      <c r="S4345" s="48"/>
      <c r="T4345" s="47"/>
      <c r="U4345" s="47"/>
      <c r="V4345" s="47"/>
      <c r="W4345" s="47"/>
      <c r="X4345" s="47"/>
      <c r="Y4345" s="47"/>
      <c r="Z4345" s="47"/>
      <c r="AA4345" s="49"/>
      <c r="AB4345" s="49"/>
      <c r="AC4345" s="49"/>
      <c r="AD4345" s="50"/>
      <c r="AE4345" s="47"/>
      <c r="AF4345" s="47"/>
      <c r="AG4345"/>
      <c r="AH4345"/>
      <c r="AI4345"/>
      <c r="AJ4345"/>
      <c r="AK4345"/>
      <c r="AL4345"/>
      <c r="AM4345"/>
      <c r="AN4345"/>
      <c r="AO4345"/>
      <c r="AP4345"/>
      <c r="AQ4345" t="s">
        <v>5519</v>
      </c>
      <c r="AU4345">
        <v>4344</v>
      </c>
    </row>
    <row r="4346" spans="1:47" x14ac:dyDescent="0.2">
      <c r="A4346" s="133">
        <v>6739</v>
      </c>
      <c r="B4346" s="39" t="s">
        <v>45</v>
      </c>
      <c r="C4346" s="39" t="s">
        <v>142</v>
      </c>
      <c r="D4346" s="29"/>
      <c r="E4346" s="39" t="s">
        <v>5567</v>
      </c>
      <c r="F4346" s="47" t="s">
        <v>5568</v>
      </c>
      <c r="G4346" s="47" t="s">
        <v>69</v>
      </c>
      <c r="H4346"/>
      <c r="I4346" s="47" t="s">
        <v>5569</v>
      </c>
      <c r="J4346" s="47"/>
      <c r="K4346" s="47">
        <f>5225*2.2</f>
        <v>11495.000000000002</v>
      </c>
      <c r="L4346" s="48">
        <v>23</v>
      </c>
      <c r="M4346" s="47">
        <v>1</v>
      </c>
      <c r="N4346" s="47">
        <v>5</v>
      </c>
      <c r="O4346" s="47"/>
      <c r="P4346" s="47"/>
      <c r="Q4346" s="47"/>
      <c r="R4346" s="47"/>
      <c r="S4346" s="48">
        <v>17</v>
      </c>
      <c r="T4346" s="47">
        <v>0</v>
      </c>
      <c r="U4346" s="47">
        <v>0</v>
      </c>
      <c r="V4346" s="47">
        <v>0</v>
      </c>
      <c r="W4346" s="47"/>
      <c r="X4346" s="47"/>
      <c r="Y4346" s="47" t="s">
        <v>51</v>
      </c>
      <c r="Z4346" s="31" t="s">
        <v>3855</v>
      </c>
      <c r="AA4346" s="49">
        <v>0.90277777777777779</v>
      </c>
      <c r="AB4346" s="49">
        <v>4.1666666666666664E-2</v>
      </c>
      <c r="AC4346" s="49">
        <v>0.97222222222222221</v>
      </c>
      <c r="AD4346" s="50">
        <f>3+40/60</f>
        <v>3.6666666666666665</v>
      </c>
      <c r="AE4346" s="47" t="s">
        <v>4217</v>
      </c>
      <c r="AF4346" s="47"/>
      <c r="AG4346"/>
      <c r="AH4346"/>
      <c r="AI4346"/>
      <c r="AJ4346"/>
      <c r="AK4346">
        <f>70+35+40+3+3+3</f>
        <v>154</v>
      </c>
      <c r="AL4346"/>
      <c r="AM4346"/>
      <c r="AN4346"/>
      <c r="AO4346"/>
      <c r="AP4346"/>
      <c r="AQ4346" s="32" t="s">
        <v>5549</v>
      </c>
      <c r="AU4346">
        <v>4345</v>
      </c>
    </row>
    <row r="4347" spans="1:47" x14ac:dyDescent="0.2">
      <c r="A4347" s="133">
        <v>6739</v>
      </c>
      <c r="B4347" s="39" t="s">
        <v>45</v>
      </c>
      <c r="C4347" s="57" t="s">
        <v>4456</v>
      </c>
      <c r="D4347" s="29"/>
      <c r="E4347" s="57" t="s">
        <v>5570</v>
      </c>
      <c r="F4347" s="31" t="s">
        <v>409</v>
      </c>
      <c r="G4347" s="31" t="s">
        <v>49</v>
      </c>
      <c r="H4347"/>
      <c r="I4347" s="47" t="s">
        <v>5571</v>
      </c>
      <c r="J4347" s="47"/>
      <c r="K4347" s="118">
        <f>3*8*50*2.2</f>
        <v>2640</v>
      </c>
      <c r="L4347" s="48">
        <v>3</v>
      </c>
      <c r="M4347" s="47"/>
      <c r="N4347" s="47"/>
      <c r="O4347" s="47"/>
      <c r="P4347" s="47"/>
      <c r="Q4347" s="47"/>
      <c r="R4347" s="47"/>
      <c r="S4347" s="48">
        <v>3</v>
      </c>
      <c r="T4347" s="47">
        <v>0</v>
      </c>
      <c r="U4347" s="47">
        <v>0</v>
      </c>
      <c r="V4347" s="47">
        <v>0</v>
      </c>
      <c r="W4347" s="47">
        <f>((1200+1400+1200)/3)*39.37/12</f>
        <v>4155.7222222222217</v>
      </c>
      <c r="X4347" s="47"/>
      <c r="Y4347" s="31" t="s">
        <v>51</v>
      </c>
      <c r="Z4347" s="31" t="s">
        <v>1846</v>
      </c>
      <c r="AA4347" s="49">
        <v>0.90625</v>
      </c>
      <c r="AB4347" s="49">
        <v>0.97569444444444453</v>
      </c>
      <c r="AC4347" s="49">
        <f>AVERAGE(AA4347:AB4347)</f>
        <v>0.94097222222222232</v>
      </c>
      <c r="AD4347" s="50">
        <v>1.67</v>
      </c>
      <c r="AE4347" s="31" t="s">
        <v>4756</v>
      </c>
      <c r="AF4347" s="47"/>
      <c r="AG4347"/>
      <c r="AH4347"/>
      <c r="AI4347"/>
      <c r="AJ4347"/>
      <c r="AK4347" s="136">
        <f>3*8</f>
        <v>24</v>
      </c>
      <c r="AL4347"/>
      <c r="AM4347"/>
      <c r="AN4347"/>
      <c r="AO4347"/>
      <c r="AP4347"/>
      <c r="AQ4347" s="25" t="s">
        <v>5572</v>
      </c>
      <c r="AU4347">
        <v>4346</v>
      </c>
    </row>
    <row r="4348" spans="1:47" x14ac:dyDescent="0.2">
      <c r="A4348" s="13">
        <v>6739</v>
      </c>
      <c r="B4348" s="57" t="s">
        <v>45</v>
      </c>
      <c r="C4348" s="57" t="s">
        <v>4407</v>
      </c>
      <c r="D4348" s="29"/>
      <c r="E4348" s="57" t="s">
        <v>5573</v>
      </c>
      <c r="F4348" s="31" t="s">
        <v>76</v>
      </c>
      <c r="I4348" s="31" t="s">
        <v>5574</v>
      </c>
      <c r="K4348" s="31">
        <v>528</v>
      </c>
      <c r="AQ4348" s="32" t="s">
        <v>5522</v>
      </c>
      <c r="AU4348">
        <v>4347</v>
      </c>
    </row>
    <row r="4349" spans="1:47" x14ac:dyDescent="0.2">
      <c r="A4349" s="13">
        <v>6739</v>
      </c>
      <c r="B4349" s="57" t="s">
        <v>45</v>
      </c>
      <c r="C4349" s="57" t="s">
        <v>4407</v>
      </c>
      <c r="D4349" s="29"/>
      <c r="E4349" s="57" t="s">
        <v>5312</v>
      </c>
      <c r="F4349" s="31" t="s">
        <v>76</v>
      </c>
      <c r="I4349" s="31" t="s">
        <v>5574</v>
      </c>
      <c r="K4349" s="31">
        <v>968</v>
      </c>
      <c r="AQ4349" s="32" t="s">
        <v>5522</v>
      </c>
      <c r="AU4349">
        <v>4348</v>
      </c>
    </row>
    <row r="4350" spans="1:47" x14ac:dyDescent="0.2">
      <c r="A4350" s="13">
        <v>6739</v>
      </c>
      <c r="B4350" s="57" t="s">
        <v>45</v>
      </c>
      <c r="C4350" s="57" t="s">
        <v>4407</v>
      </c>
      <c r="D4350" s="29"/>
      <c r="E4350" s="57" t="s">
        <v>1397</v>
      </c>
      <c r="F4350" s="31" t="s">
        <v>76</v>
      </c>
      <c r="I4350" s="31" t="s">
        <v>5574</v>
      </c>
      <c r="K4350" s="31">
        <v>968</v>
      </c>
      <c r="AQ4350" s="32" t="s">
        <v>5522</v>
      </c>
      <c r="AU4350">
        <v>4349</v>
      </c>
    </row>
    <row r="4351" spans="1:47" x14ac:dyDescent="0.2">
      <c r="A4351" s="13">
        <v>6739</v>
      </c>
      <c r="B4351" s="57" t="s">
        <v>45</v>
      </c>
      <c r="C4351" s="57" t="s">
        <v>4407</v>
      </c>
      <c r="D4351" s="29"/>
      <c r="E4351" s="57" t="s">
        <v>5575</v>
      </c>
      <c r="F4351" s="31" t="s">
        <v>76</v>
      </c>
      <c r="I4351" s="31" t="s">
        <v>5574</v>
      </c>
      <c r="K4351" s="31">
        <v>1298</v>
      </c>
      <c r="AQ4351" s="32" t="s">
        <v>5522</v>
      </c>
      <c r="AU4351">
        <v>4350</v>
      </c>
    </row>
    <row r="4352" spans="1:47" x14ac:dyDescent="0.2">
      <c r="A4352" s="13">
        <v>6739</v>
      </c>
      <c r="B4352" s="57" t="s">
        <v>45</v>
      </c>
      <c r="C4352" s="57" t="s">
        <v>4407</v>
      </c>
      <c r="D4352" s="29"/>
      <c r="E4352" s="57" t="s">
        <v>5576</v>
      </c>
      <c r="F4352" s="31" t="s">
        <v>76</v>
      </c>
      <c r="I4352" s="31" t="s">
        <v>5574</v>
      </c>
      <c r="K4352" s="31">
        <v>1320</v>
      </c>
      <c r="AQ4352" s="32" t="s">
        <v>5522</v>
      </c>
      <c r="AU4352">
        <v>4351</v>
      </c>
    </row>
    <row r="4353" spans="1:47" x14ac:dyDescent="0.2">
      <c r="A4353" s="13">
        <v>6739</v>
      </c>
      <c r="B4353" s="57" t="s">
        <v>45</v>
      </c>
      <c r="C4353" s="57" t="s">
        <v>4407</v>
      </c>
      <c r="D4353" s="29"/>
      <c r="E4353" s="57" t="s">
        <v>5419</v>
      </c>
      <c r="F4353" s="31" t="s">
        <v>76</v>
      </c>
      <c r="I4353" s="31" t="s">
        <v>5574</v>
      </c>
      <c r="K4353" s="31">
        <v>3799.4</v>
      </c>
      <c r="AQ4353" s="32" t="s">
        <v>5522</v>
      </c>
      <c r="AU4353">
        <v>4352</v>
      </c>
    </row>
    <row r="4354" spans="1:47" x14ac:dyDescent="0.2">
      <c r="A4354" s="13">
        <v>6739</v>
      </c>
      <c r="B4354" s="57" t="s">
        <v>45</v>
      </c>
      <c r="C4354" s="57" t="s">
        <v>4407</v>
      </c>
      <c r="D4354" s="29"/>
      <c r="E4354" s="57" t="s">
        <v>5253</v>
      </c>
      <c r="F4354" s="31" t="s">
        <v>76</v>
      </c>
      <c r="I4354" s="31" t="s">
        <v>5574</v>
      </c>
      <c r="K4354" s="31">
        <v>3865.4</v>
      </c>
      <c r="AQ4354" s="32" t="s">
        <v>5522</v>
      </c>
      <c r="AU4354">
        <v>4353</v>
      </c>
    </row>
    <row r="4355" spans="1:47" x14ac:dyDescent="0.2">
      <c r="A4355" s="13">
        <v>6739</v>
      </c>
      <c r="B4355" s="57" t="s">
        <v>45</v>
      </c>
      <c r="C4355" s="57" t="s">
        <v>4407</v>
      </c>
      <c r="D4355" s="29"/>
      <c r="E4355" s="57" t="s">
        <v>1064</v>
      </c>
      <c r="F4355" s="31" t="s">
        <v>76</v>
      </c>
      <c r="I4355" s="31" t="s">
        <v>5574</v>
      </c>
      <c r="K4355" s="31">
        <v>3982</v>
      </c>
      <c r="AQ4355" s="32" t="s">
        <v>5522</v>
      </c>
      <c r="AU4355">
        <v>4354</v>
      </c>
    </row>
    <row r="4356" spans="1:47" x14ac:dyDescent="0.2">
      <c r="A4356" s="13">
        <v>6739</v>
      </c>
      <c r="B4356" s="57" t="s">
        <v>45</v>
      </c>
      <c r="C4356" s="57" t="s">
        <v>4407</v>
      </c>
      <c r="D4356" s="29"/>
      <c r="E4356" s="57" t="s">
        <v>5577</v>
      </c>
      <c r="F4356" s="31" t="s">
        <v>5578</v>
      </c>
      <c r="I4356" s="31" t="s">
        <v>5574</v>
      </c>
      <c r="K4356" s="31">
        <v>10054</v>
      </c>
      <c r="AQ4356" s="32" t="s">
        <v>5522</v>
      </c>
      <c r="AU4356">
        <v>4355</v>
      </c>
    </row>
    <row r="4357" spans="1:47" x14ac:dyDescent="0.2">
      <c r="A4357" s="13">
        <v>6739</v>
      </c>
      <c r="B4357" s="57" t="s">
        <v>45</v>
      </c>
      <c r="C4357" s="57" t="s">
        <v>4407</v>
      </c>
      <c r="D4357" s="29"/>
      <c r="E4357" s="57" t="s">
        <v>1078</v>
      </c>
      <c r="F4357" s="31" t="s">
        <v>76</v>
      </c>
      <c r="I4357" s="31" t="s">
        <v>5574</v>
      </c>
      <c r="K4357" s="31">
        <v>13519</v>
      </c>
      <c r="AQ4357" s="32" t="s">
        <v>5522</v>
      </c>
      <c r="AU4357">
        <v>4356</v>
      </c>
    </row>
    <row r="4358" spans="1:47" x14ac:dyDescent="0.2">
      <c r="A4358" s="26">
        <v>6739</v>
      </c>
      <c r="B4358" s="27">
        <v>0.34722222222222227</v>
      </c>
      <c r="C4358" s="28"/>
      <c r="D4358" s="29"/>
      <c r="E4358" s="30" t="s">
        <v>5579</v>
      </c>
      <c r="H4358" s="32">
        <v>1</v>
      </c>
      <c r="I4358" s="32" t="s">
        <v>5580</v>
      </c>
      <c r="AG4358" s="32">
        <v>5</v>
      </c>
      <c r="AH4358" s="32">
        <v>4</v>
      </c>
      <c r="AI4358" s="32">
        <f>21618+120000</f>
        <v>141618</v>
      </c>
      <c r="AK4358" s="32">
        <f>20+1</f>
        <v>21</v>
      </c>
      <c r="AL4358" s="32">
        <f>7*24</f>
        <v>168</v>
      </c>
      <c r="AM4358" s="32">
        <f>100+360000</f>
        <v>360100</v>
      </c>
      <c r="AO4358" s="32" t="s">
        <v>1006</v>
      </c>
      <c r="AP4358" s="32">
        <f>42/60</f>
        <v>0.7</v>
      </c>
      <c r="AQ4358" s="91">
        <v>423430</v>
      </c>
      <c r="AU4358">
        <v>4357</v>
      </c>
    </row>
    <row r="4359" spans="1:47" x14ac:dyDescent="0.2">
      <c r="A4359" s="26">
        <v>6739</v>
      </c>
      <c r="B4359" s="27">
        <v>0.3576388888888889</v>
      </c>
      <c r="C4359" s="28"/>
      <c r="D4359" s="29"/>
      <c r="E4359" s="30" t="s">
        <v>1282</v>
      </c>
      <c r="H4359" s="32">
        <v>0</v>
      </c>
      <c r="I4359" s="32" t="s">
        <v>5581</v>
      </c>
      <c r="AG4359" s="32">
        <v>0</v>
      </c>
      <c r="AH4359" s="32">
        <v>0</v>
      </c>
      <c r="AI4359" s="32">
        <v>0</v>
      </c>
      <c r="AK4359" s="32">
        <v>0</v>
      </c>
      <c r="AL4359" s="32">
        <v>0.33300000000000002</v>
      </c>
      <c r="AP4359" s="32">
        <v>0.33300000000000002</v>
      </c>
      <c r="AQ4359" s="32" t="s">
        <v>1101</v>
      </c>
      <c r="AU4359">
        <v>4358</v>
      </c>
    </row>
    <row r="4360" spans="1:47" x14ac:dyDescent="0.2">
      <c r="A4360" s="26">
        <v>6739</v>
      </c>
      <c r="B4360" s="27">
        <v>0.36458333333333331</v>
      </c>
      <c r="C4360" s="28"/>
      <c r="D4360" s="29"/>
      <c r="E4360" s="30" t="s">
        <v>4219</v>
      </c>
      <c r="H4360" s="32">
        <v>1</v>
      </c>
      <c r="I4360" s="32" t="s">
        <v>5582</v>
      </c>
      <c r="AI4360" s="32">
        <v>663961</v>
      </c>
      <c r="AK4360" s="32">
        <v>12</v>
      </c>
      <c r="AL4360" s="32">
        <v>1.25</v>
      </c>
      <c r="AO4360" s="32" t="s">
        <v>858</v>
      </c>
      <c r="AP4360" s="32">
        <v>1.25</v>
      </c>
      <c r="AQ4360" s="32" t="s">
        <v>5162</v>
      </c>
      <c r="AU4360">
        <v>4359</v>
      </c>
    </row>
    <row r="4361" spans="1:47" x14ac:dyDescent="0.2">
      <c r="A4361" s="26">
        <v>6739</v>
      </c>
      <c r="B4361" s="27">
        <v>0.39444444444444443</v>
      </c>
      <c r="C4361" s="28"/>
      <c r="D4361" s="29"/>
      <c r="E4361" s="30" t="s">
        <v>1282</v>
      </c>
      <c r="H4361" s="32">
        <v>0</v>
      </c>
      <c r="I4361" s="32" t="s">
        <v>5583</v>
      </c>
      <c r="AG4361" s="32">
        <v>0</v>
      </c>
      <c r="AH4361" s="32">
        <v>0</v>
      </c>
      <c r="AI4361" s="32">
        <v>0</v>
      </c>
      <c r="AK4361" s="32">
        <v>0</v>
      </c>
      <c r="AL4361" s="32">
        <f>22/60</f>
        <v>0.36666666666666664</v>
      </c>
      <c r="AP4361" s="32">
        <f>22/60</f>
        <v>0.36666666666666664</v>
      </c>
      <c r="AQ4361" s="32" t="s">
        <v>1101</v>
      </c>
      <c r="AU4361">
        <v>4360</v>
      </c>
    </row>
    <row r="4362" spans="1:47" x14ac:dyDescent="0.2">
      <c r="A4362" s="26">
        <v>6739</v>
      </c>
      <c r="B4362" s="27">
        <v>0.4770833333333333</v>
      </c>
      <c r="C4362" s="28"/>
      <c r="D4362" s="29"/>
      <c r="E4362" s="102" t="s">
        <v>1102</v>
      </c>
      <c r="H4362" s="32">
        <v>0</v>
      </c>
      <c r="I4362" s="32" t="s">
        <v>5584</v>
      </c>
      <c r="AG4362" s="32">
        <v>0</v>
      </c>
      <c r="AH4362" s="32">
        <v>0</v>
      </c>
      <c r="AI4362" s="32">
        <v>0</v>
      </c>
      <c r="AK4362" s="32">
        <v>0</v>
      </c>
      <c r="AL4362" s="32">
        <f>43/60</f>
        <v>0.71666666666666667</v>
      </c>
      <c r="AO4362" s="73" t="s">
        <v>1006</v>
      </c>
      <c r="AP4362" s="32">
        <f>43/60</f>
        <v>0.71666666666666667</v>
      </c>
      <c r="AQ4362" s="32" t="s">
        <v>589</v>
      </c>
      <c r="AU4362">
        <v>4361</v>
      </c>
    </row>
    <row r="4363" spans="1:47" x14ac:dyDescent="0.2">
      <c r="A4363" s="26">
        <v>6739</v>
      </c>
      <c r="B4363" s="27">
        <v>0.4777777777777778</v>
      </c>
      <c r="C4363" s="28"/>
      <c r="D4363" s="29"/>
      <c r="E4363" s="30" t="s">
        <v>869</v>
      </c>
      <c r="H4363" s="32">
        <v>0</v>
      </c>
      <c r="I4363" s="32" t="s">
        <v>5585</v>
      </c>
      <c r="AG4363" s="32">
        <v>0</v>
      </c>
      <c r="AH4363" s="32">
        <v>0</v>
      </c>
      <c r="AI4363" s="32">
        <v>0</v>
      </c>
      <c r="AK4363" s="32">
        <v>0</v>
      </c>
      <c r="AL4363" s="32">
        <f>31/60</f>
        <v>0.51666666666666672</v>
      </c>
      <c r="AP4363" s="32">
        <f>31/60</f>
        <v>0.51666666666666672</v>
      </c>
      <c r="AQ4363" s="32" t="s">
        <v>589</v>
      </c>
      <c r="AU4363">
        <v>4362</v>
      </c>
    </row>
    <row r="4364" spans="1:47" x14ac:dyDescent="0.2">
      <c r="A4364" s="26">
        <v>6739</v>
      </c>
      <c r="B4364" s="27">
        <v>0.5</v>
      </c>
      <c r="C4364" s="28"/>
      <c r="D4364" s="29"/>
      <c r="E4364" s="30" t="s">
        <v>464</v>
      </c>
      <c r="H4364" s="32">
        <v>1</v>
      </c>
      <c r="I4364" s="32" t="s">
        <v>5586</v>
      </c>
      <c r="AG4364" s="32">
        <v>0</v>
      </c>
      <c r="AH4364" s="32">
        <v>0</v>
      </c>
      <c r="AI4364" s="32">
        <v>0</v>
      </c>
      <c r="AJ4364" s="32">
        <v>0</v>
      </c>
      <c r="AK4364" s="32">
        <v>7</v>
      </c>
      <c r="AL4364" s="32">
        <f>175/60</f>
        <v>2.9166666666666665</v>
      </c>
      <c r="AM4364" s="32">
        <v>0</v>
      </c>
      <c r="AO4364" s="32" t="s">
        <v>5587</v>
      </c>
      <c r="AP4364" s="32">
        <f>175/60</f>
        <v>2.9166666666666665</v>
      </c>
      <c r="AQ4364" s="32" t="s">
        <v>5503</v>
      </c>
      <c r="AU4364">
        <v>4363</v>
      </c>
    </row>
    <row r="4365" spans="1:47" x14ac:dyDescent="0.2">
      <c r="A4365" s="26">
        <v>6739</v>
      </c>
      <c r="B4365" s="27">
        <v>0.5</v>
      </c>
      <c r="C4365" s="28"/>
      <c r="D4365" s="29"/>
      <c r="E4365" s="30" t="s">
        <v>1282</v>
      </c>
      <c r="H4365" s="32">
        <v>0</v>
      </c>
      <c r="I4365" s="32" t="s">
        <v>5588</v>
      </c>
      <c r="AG4365" s="32">
        <v>0</v>
      </c>
      <c r="AH4365" s="32">
        <v>0</v>
      </c>
      <c r="AI4365" s="32">
        <v>0</v>
      </c>
      <c r="AK4365" s="32">
        <v>0</v>
      </c>
      <c r="AL4365" s="32">
        <f>24/60</f>
        <v>0.4</v>
      </c>
      <c r="AP4365" s="32">
        <f>24/60</f>
        <v>0.4</v>
      </c>
      <c r="AQ4365" s="32" t="s">
        <v>1101</v>
      </c>
      <c r="AU4365">
        <v>4364</v>
      </c>
    </row>
    <row r="4366" spans="1:47" x14ac:dyDescent="0.2">
      <c r="A4366" s="26">
        <v>6739</v>
      </c>
      <c r="B4366" s="27">
        <v>0.53819444444444442</v>
      </c>
      <c r="C4366" s="28"/>
      <c r="D4366" s="29"/>
      <c r="E4366" s="30" t="s">
        <v>4219</v>
      </c>
      <c r="H4366" s="32">
        <v>0</v>
      </c>
      <c r="I4366" s="32" t="s">
        <v>5589</v>
      </c>
      <c r="AG4366" s="32">
        <v>0</v>
      </c>
      <c r="AH4366" s="32">
        <v>0</v>
      </c>
      <c r="AI4366" s="32">
        <v>0</v>
      </c>
      <c r="AK4366" s="32">
        <v>0</v>
      </c>
      <c r="AL4366" s="32">
        <f>1/6</f>
        <v>0.16666666666666666</v>
      </c>
      <c r="AO4366" s="32" t="s">
        <v>858</v>
      </c>
      <c r="AP4366" s="32">
        <f>1/6</f>
        <v>0.16666666666666666</v>
      </c>
      <c r="AQ4366" s="32" t="s">
        <v>1101</v>
      </c>
      <c r="AU4366">
        <v>4365</v>
      </c>
    </row>
    <row r="4367" spans="1:47" x14ac:dyDescent="0.2">
      <c r="A4367" s="26">
        <v>6739</v>
      </c>
      <c r="B4367" s="27">
        <v>0.99652777777777779</v>
      </c>
      <c r="C4367" s="28"/>
      <c r="D4367" s="29"/>
      <c r="E4367" s="30" t="s">
        <v>4219</v>
      </c>
      <c r="H4367" s="32">
        <v>0</v>
      </c>
      <c r="I4367" s="32" t="s">
        <v>4249</v>
      </c>
      <c r="AG4367" s="32">
        <v>0</v>
      </c>
      <c r="AH4367" s="32">
        <v>0</v>
      </c>
      <c r="AI4367" s="32">
        <v>0</v>
      </c>
      <c r="AK4367" s="32">
        <v>0</v>
      </c>
      <c r="AL4367" s="32">
        <f>1/6</f>
        <v>0.16666666666666666</v>
      </c>
      <c r="AO4367" s="32" t="s">
        <v>858</v>
      </c>
      <c r="AP4367" s="32">
        <f>1/6</f>
        <v>0.16666666666666666</v>
      </c>
      <c r="AQ4367" s="32" t="s">
        <v>1101</v>
      </c>
      <c r="AU4367">
        <v>4366</v>
      </c>
    </row>
    <row r="4368" spans="1:47" x14ac:dyDescent="0.2">
      <c r="A4368" s="26">
        <v>6739</v>
      </c>
      <c r="B4368" s="27" t="s">
        <v>85</v>
      </c>
      <c r="C4368" s="28"/>
      <c r="D4368" s="29"/>
      <c r="E4368" s="30" t="s">
        <v>1531</v>
      </c>
      <c r="H4368" s="32">
        <v>0</v>
      </c>
      <c r="I4368" s="32" t="s">
        <v>1532</v>
      </c>
      <c r="AG4368" s="32">
        <v>0</v>
      </c>
      <c r="AH4368" s="32">
        <v>0</v>
      </c>
      <c r="AI4368" s="32">
        <v>0</v>
      </c>
      <c r="AK4368" s="32">
        <v>0</v>
      </c>
      <c r="AM4368" s="32">
        <f>498*14</f>
        <v>6972</v>
      </c>
      <c r="AO4368" s="32" t="s">
        <v>1533</v>
      </c>
      <c r="AQ4368" s="32" t="s">
        <v>1101</v>
      </c>
      <c r="AU4368">
        <v>4367</v>
      </c>
    </row>
    <row r="4369" spans="1:47" x14ac:dyDescent="0.2">
      <c r="A4369" s="26">
        <v>6739</v>
      </c>
      <c r="B4369" s="27"/>
      <c r="C4369" s="28"/>
      <c r="D4369" s="29"/>
      <c r="E4369" s="30" t="s">
        <v>4666</v>
      </c>
      <c r="H4369" s="32">
        <v>1</v>
      </c>
      <c r="I4369" s="32" t="s">
        <v>5590</v>
      </c>
      <c r="AG4369" s="32">
        <v>0</v>
      </c>
      <c r="AH4369" s="32">
        <v>0</v>
      </c>
      <c r="AI4369" s="32">
        <v>0</v>
      </c>
      <c r="AL4369" s="32">
        <v>1</v>
      </c>
      <c r="AO4369" s="32" t="s">
        <v>4668</v>
      </c>
      <c r="AP4369" s="32">
        <v>1</v>
      </c>
      <c r="AQ4369" s="32">
        <v>409</v>
      </c>
      <c r="AU4369">
        <v>4368</v>
      </c>
    </row>
    <row r="4370" spans="1:47" x14ac:dyDescent="0.2">
      <c r="A4370" s="37">
        <v>6740</v>
      </c>
      <c r="B4370" s="38" t="s">
        <v>85</v>
      </c>
      <c r="C4370" s="39" t="s">
        <v>4769</v>
      </c>
      <c r="D4370" s="29"/>
      <c r="E4370" s="38" t="s">
        <v>5419</v>
      </c>
      <c r="F4370" s="32" t="s">
        <v>278</v>
      </c>
      <c r="G4370" s="47" t="s">
        <v>49</v>
      </c>
      <c r="H4370"/>
      <c r="I4370" s="32"/>
      <c r="J4370" s="47"/>
      <c r="K4370" s="47">
        <f>3883*2.2</f>
        <v>8542.6</v>
      </c>
      <c r="L4370" s="48"/>
      <c r="M4370" s="47"/>
      <c r="N4370" s="47"/>
      <c r="O4370" s="47"/>
      <c r="P4370" s="47"/>
      <c r="Q4370" s="47"/>
      <c r="R4370" s="47"/>
      <c r="S4370" s="48">
        <v>38</v>
      </c>
      <c r="T4370" s="47">
        <v>1</v>
      </c>
      <c r="U4370" s="47">
        <v>0</v>
      </c>
      <c r="V4370" s="47">
        <v>1</v>
      </c>
      <c r="W4370" s="47"/>
      <c r="X4370" s="47"/>
      <c r="Y4370" s="47"/>
      <c r="Z4370" s="47"/>
      <c r="AA4370" s="49"/>
      <c r="AB4370" s="49"/>
      <c r="AC4370" s="49"/>
      <c r="AD4370" s="50"/>
      <c r="AE4370" s="47"/>
      <c r="AF4370" s="47"/>
      <c r="AG4370"/>
      <c r="AH4370"/>
      <c r="AI4370"/>
      <c r="AJ4370"/>
      <c r="AK4370"/>
      <c r="AL4370"/>
      <c r="AM4370"/>
      <c r="AN4370"/>
      <c r="AO4370"/>
      <c r="AP4370"/>
      <c r="AQ4370" t="s">
        <v>5282</v>
      </c>
      <c r="AU4370">
        <v>4369</v>
      </c>
    </row>
    <row r="4371" spans="1:47" x14ac:dyDescent="0.2">
      <c r="A4371" s="37">
        <v>6740</v>
      </c>
      <c r="B4371" s="38" t="s">
        <v>85</v>
      </c>
      <c r="C4371" s="39" t="s">
        <v>5533</v>
      </c>
      <c r="D4371" s="29"/>
      <c r="E4371" s="38" t="s">
        <v>788</v>
      </c>
      <c r="F4371" s="32" t="s">
        <v>1743</v>
      </c>
      <c r="G4371" s="47" t="s">
        <v>49</v>
      </c>
      <c r="H4371"/>
      <c r="I4371" s="32" t="s">
        <v>5591</v>
      </c>
      <c r="J4371" s="47"/>
      <c r="K4371" s="47">
        <f>79*8*2.2</f>
        <v>1390.4</v>
      </c>
      <c r="L4371" s="48">
        <v>6</v>
      </c>
      <c r="M4371" s="47"/>
      <c r="N4371" s="47">
        <v>1</v>
      </c>
      <c r="O4371" s="47"/>
      <c r="P4371" s="47"/>
      <c r="Q4371" s="47"/>
      <c r="R4371" s="47"/>
      <c r="S4371" s="48">
        <v>5</v>
      </c>
      <c r="T4371" s="47"/>
      <c r="U4371" s="47"/>
      <c r="V4371" s="47"/>
      <c r="W4371" s="47"/>
      <c r="X4371" s="47"/>
      <c r="Y4371" s="47"/>
      <c r="Z4371" s="31" t="s">
        <v>3724</v>
      </c>
      <c r="AA4371" s="49">
        <v>0.74305555555555547</v>
      </c>
      <c r="AB4371" s="49">
        <v>0.82638888888888884</v>
      </c>
      <c r="AC4371" s="49">
        <f>AVERAGE(AA4371:AB4371)</f>
        <v>0.7847222222222221</v>
      </c>
      <c r="AD4371" s="50">
        <f>(AB4371-AA4371)*24</f>
        <v>2.0000000000000009</v>
      </c>
      <c r="AE4371" s="47" t="s">
        <v>5536</v>
      </c>
      <c r="AF4371" s="47">
        <v>70</v>
      </c>
      <c r="AG4371"/>
      <c r="AH4371"/>
      <c r="AI4371"/>
      <c r="AJ4371"/>
      <c r="AK4371"/>
      <c r="AL4371"/>
      <c r="AM4371"/>
      <c r="AN4371"/>
      <c r="AO4371"/>
      <c r="AP4371"/>
      <c r="AQ4371"/>
      <c r="AU4371">
        <v>4370</v>
      </c>
    </row>
    <row r="4372" spans="1:47" x14ac:dyDescent="0.2">
      <c r="A4372" s="37">
        <v>6740</v>
      </c>
      <c r="B4372" s="38" t="s">
        <v>45</v>
      </c>
      <c r="C4372" s="39" t="s">
        <v>142</v>
      </c>
      <c r="D4372" s="29" t="s">
        <v>120</v>
      </c>
      <c r="E4372" s="38" t="s">
        <v>107</v>
      </c>
      <c r="F4372" s="32" t="s">
        <v>107</v>
      </c>
      <c r="G4372" s="47"/>
      <c r="H4372"/>
      <c r="I4372" s="32" t="s">
        <v>5592</v>
      </c>
      <c r="J4372" s="47"/>
      <c r="K4372" s="47">
        <v>0</v>
      </c>
      <c r="L4372" s="48">
        <v>13</v>
      </c>
      <c r="M4372" s="47">
        <v>13</v>
      </c>
      <c r="N4372" s="47"/>
      <c r="O4372" s="47"/>
      <c r="P4372" s="47"/>
      <c r="Q4372" s="47"/>
      <c r="R4372" s="47"/>
      <c r="S4372" s="48">
        <v>0</v>
      </c>
      <c r="T4372" s="47">
        <v>0</v>
      </c>
      <c r="U4372" s="47">
        <v>0</v>
      </c>
      <c r="V4372" s="47">
        <v>3</v>
      </c>
      <c r="W4372" s="47"/>
      <c r="X4372" s="47"/>
      <c r="Y4372" s="47"/>
      <c r="Z4372" s="31" t="s">
        <v>3855</v>
      </c>
      <c r="AA4372" s="49"/>
      <c r="AB4372" s="49"/>
      <c r="AC4372" s="49"/>
      <c r="AD4372" s="50"/>
      <c r="AE4372" s="47" t="s">
        <v>4217</v>
      </c>
      <c r="AF4372" s="47"/>
      <c r="AG4372"/>
      <c r="AH4372"/>
      <c r="AI4372"/>
      <c r="AJ4372"/>
      <c r="AK4372"/>
      <c r="AL4372"/>
      <c r="AM4372"/>
      <c r="AN4372"/>
      <c r="AO4372"/>
      <c r="AP4372"/>
      <c r="AQ4372" t="s">
        <v>5593</v>
      </c>
      <c r="AU4372">
        <v>4371</v>
      </c>
    </row>
    <row r="4373" spans="1:47" x14ac:dyDescent="0.2">
      <c r="A4373" s="26">
        <v>6740</v>
      </c>
      <c r="B4373" s="27">
        <v>0.95416666666666661</v>
      </c>
      <c r="C4373" s="28"/>
      <c r="D4373" s="29"/>
      <c r="E4373" s="102" t="s">
        <v>5200</v>
      </c>
      <c r="H4373" s="32">
        <v>0</v>
      </c>
      <c r="I4373" s="32" t="s">
        <v>5201</v>
      </c>
      <c r="AG4373" s="32">
        <v>0</v>
      </c>
      <c r="AH4373" s="32">
        <v>0</v>
      </c>
      <c r="AI4373" s="32">
        <v>0</v>
      </c>
      <c r="AK4373" s="32">
        <v>0</v>
      </c>
      <c r="AL4373" s="32">
        <f>21/60</f>
        <v>0.35</v>
      </c>
      <c r="AO4373" s="73"/>
      <c r="AP4373" s="32">
        <f>21/60</f>
        <v>0.35</v>
      </c>
      <c r="AQ4373" s="32" t="s">
        <v>589</v>
      </c>
      <c r="AU4373">
        <v>4372</v>
      </c>
    </row>
    <row r="4374" spans="1:47" x14ac:dyDescent="0.2">
      <c r="A4374" s="26">
        <v>6740</v>
      </c>
      <c r="B4374" s="27">
        <v>0.95486111111111116</v>
      </c>
      <c r="C4374" s="28"/>
      <c r="D4374" s="29"/>
      <c r="E4374" s="30" t="s">
        <v>4709</v>
      </c>
      <c r="H4374" s="32">
        <v>0</v>
      </c>
      <c r="I4374" s="32" t="s">
        <v>4710</v>
      </c>
      <c r="AG4374" s="32">
        <v>0</v>
      </c>
      <c r="AH4374" s="32">
        <v>0</v>
      </c>
      <c r="AI4374" s="32">
        <v>0</v>
      </c>
      <c r="AK4374" s="32">
        <v>0</v>
      </c>
      <c r="AL4374" s="32">
        <f>23/60</f>
        <v>0.38333333333333336</v>
      </c>
      <c r="AM4374" s="32">
        <f>AL4374*(261300+974800)/18.75</f>
        <v>25271.37777777778</v>
      </c>
      <c r="AP4374" s="32">
        <f>23/60</f>
        <v>0.38333333333333336</v>
      </c>
      <c r="AQ4374" s="32" t="s">
        <v>589</v>
      </c>
      <c r="AU4374">
        <v>4373</v>
      </c>
    </row>
    <row r="4375" spans="1:47" x14ac:dyDescent="0.2">
      <c r="A4375" s="26">
        <v>6740</v>
      </c>
      <c r="B4375" s="27">
        <v>0.9555555555555556</v>
      </c>
      <c r="C4375" s="28"/>
      <c r="D4375" s="29"/>
      <c r="E4375" s="30" t="s">
        <v>5224</v>
      </c>
      <c r="H4375" s="32">
        <v>0</v>
      </c>
      <c r="I4375" s="32" t="s">
        <v>5225</v>
      </c>
      <c r="AG4375" s="32">
        <v>0</v>
      </c>
      <c r="AH4375" s="32">
        <v>0</v>
      </c>
      <c r="AI4375" s="32">
        <v>0</v>
      </c>
      <c r="AK4375" s="32">
        <v>0</v>
      </c>
      <c r="AL4375" s="32">
        <v>0.33300000000000002</v>
      </c>
      <c r="AP4375" s="32">
        <v>0.33300000000000002</v>
      </c>
      <c r="AQ4375" s="32" t="s">
        <v>1101</v>
      </c>
      <c r="AU4375">
        <v>4374</v>
      </c>
    </row>
    <row r="4376" spans="1:47" x14ac:dyDescent="0.2">
      <c r="A4376" s="26">
        <v>6740</v>
      </c>
      <c r="B4376" s="27">
        <v>0.96180555555555547</v>
      </c>
      <c r="C4376" s="28"/>
      <c r="D4376" s="29"/>
      <c r="E4376" s="30" t="s">
        <v>4219</v>
      </c>
      <c r="H4376" s="32">
        <v>1</v>
      </c>
      <c r="I4376" s="32"/>
      <c r="AL4376" s="32">
        <v>0.75</v>
      </c>
      <c r="AO4376" s="32" t="s">
        <v>858</v>
      </c>
      <c r="AP4376" s="32">
        <v>0.75</v>
      </c>
      <c r="AQ4376" s="32" t="s">
        <v>1101</v>
      </c>
      <c r="AU4376">
        <v>4375</v>
      </c>
    </row>
    <row r="4377" spans="1:47" x14ac:dyDescent="0.2">
      <c r="A4377" s="26">
        <v>6740</v>
      </c>
      <c r="B4377" s="27">
        <v>0.97916666666666663</v>
      </c>
      <c r="C4377" s="28"/>
      <c r="D4377" s="29"/>
      <c r="E4377" s="30" t="s">
        <v>464</v>
      </c>
      <c r="H4377" s="32">
        <v>0</v>
      </c>
      <c r="I4377" s="32" t="s">
        <v>5594</v>
      </c>
      <c r="AG4377" s="32">
        <v>0</v>
      </c>
      <c r="AH4377" s="32">
        <v>0</v>
      </c>
      <c r="AL4377" s="32">
        <f>4+10/60</f>
        <v>4.166666666666667</v>
      </c>
      <c r="AO4377" s="32" t="s">
        <v>4067</v>
      </c>
      <c r="AP4377" s="32">
        <f>4+10/60</f>
        <v>4.166666666666667</v>
      </c>
      <c r="AQ4377" s="32" t="s">
        <v>1522</v>
      </c>
      <c r="AU4377">
        <v>4376</v>
      </c>
    </row>
    <row r="4378" spans="1:47" x14ac:dyDescent="0.2">
      <c r="A4378" s="26">
        <v>6740</v>
      </c>
      <c r="B4378" s="27">
        <v>0.99305555555555547</v>
      </c>
      <c r="C4378" s="28"/>
      <c r="D4378" s="29"/>
      <c r="E4378" s="30" t="s">
        <v>1282</v>
      </c>
      <c r="H4378" s="32">
        <v>0</v>
      </c>
      <c r="I4378" s="32" t="s">
        <v>5595</v>
      </c>
      <c r="AG4378" s="32">
        <v>0</v>
      </c>
      <c r="AH4378" s="32">
        <v>0</v>
      </c>
      <c r="AI4378" s="32">
        <v>0</v>
      </c>
      <c r="AK4378" s="32">
        <v>0</v>
      </c>
      <c r="AL4378" s="32">
        <f>40/60</f>
        <v>0.66666666666666663</v>
      </c>
      <c r="AP4378" s="32">
        <f>40/60</f>
        <v>0.66666666666666663</v>
      </c>
      <c r="AQ4378" s="32" t="s">
        <v>1101</v>
      </c>
      <c r="AU4378">
        <v>4377</v>
      </c>
    </row>
    <row r="4379" spans="1:47" x14ac:dyDescent="0.2">
      <c r="A4379" s="26">
        <v>6740</v>
      </c>
      <c r="B4379" s="27" t="s">
        <v>45</v>
      </c>
      <c r="C4379" s="28"/>
      <c r="D4379" s="29"/>
      <c r="E4379" s="30" t="s">
        <v>1531</v>
      </c>
      <c r="H4379" s="32">
        <v>0</v>
      </c>
      <c r="I4379" s="32" t="s">
        <v>1532</v>
      </c>
      <c r="AG4379" s="32">
        <v>0</v>
      </c>
      <c r="AH4379" s="32">
        <v>0</v>
      </c>
      <c r="AI4379" s="32">
        <v>0</v>
      </c>
      <c r="AK4379" s="32">
        <v>0</v>
      </c>
      <c r="AM4379" s="32">
        <f>498*15</f>
        <v>7470</v>
      </c>
      <c r="AO4379" s="32" t="s">
        <v>1533</v>
      </c>
      <c r="AQ4379" s="32" t="s">
        <v>1101</v>
      </c>
      <c r="AU4379">
        <v>4378</v>
      </c>
    </row>
    <row r="4380" spans="1:47" x14ac:dyDescent="0.2">
      <c r="A4380" s="26">
        <v>6740</v>
      </c>
      <c r="B4380" s="27" t="s">
        <v>45</v>
      </c>
      <c r="C4380" s="28"/>
      <c r="D4380" s="29"/>
      <c r="E4380" s="150" t="s">
        <v>2286</v>
      </c>
      <c r="H4380" s="32">
        <v>0</v>
      </c>
      <c r="I4380" s="32" t="s">
        <v>1824</v>
      </c>
      <c r="AG4380" s="32">
        <v>0</v>
      </c>
      <c r="AH4380" s="32">
        <v>0</v>
      </c>
      <c r="AI4380" s="32">
        <v>0</v>
      </c>
      <c r="AK4380" s="32">
        <v>0</v>
      </c>
      <c r="AM4380" s="32">
        <v>3000</v>
      </c>
      <c r="AO4380" s="73" t="s">
        <v>75</v>
      </c>
      <c r="AQ4380" s="32" t="s">
        <v>589</v>
      </c>
      <c r="AU4380">
        <v>4379</v>
      </c>
    </row>
    <row r="4381" spans="1:47" x14ac:dyDescent="0.2">
      <c r="A4381" s="26">
        <v>6740</v>
      </c>
      <c r="B4381" s="27"/>
      <c r="C4381" s="28"/>
      <c r="D4381" s="29"/>
      <c r="E4381" s="30" t="s">
        <v>4666</v>
      </c>
      <c r="H4381" s="32">
        <v>1</v>
      </c>
      <c r="I4381" s="32" t="s">
        <v>5596</v>
      </c>
      <c r="AG4381" s="32">
        <v>0</v>
      </c>
      <c r="AH4381" s="32">
        <v>0</v>
      </c>
      <c r="AI4381" s="32">
        <v>0</v>
      </c>
      <c r="AL4381" s="32">
        <v>2</v>
      </c>
      <c r="AO4381" s="32" t="s">
        <v>4668</v>
      </c>
      <c r="AP4381" s="32">
        <v>2</v>
      </c>
      <c r="AQ4381" s="32">
        <v>409</v>
      </c>
      <c r="AU4381">
        <v>4380</v>
      </c>
    </row>
    <row r="4382" spans="1:47" x14ac:dyDescent="0.2">
      <c r="A4382" s="26">
        <v>6741</v>
      </c>
      <c r="B4382" s="27">
        <v>3.125E-2</v>
      </c>
      <c r="C4382" s="28"/>
      <c r="D4382" s="29"/>
      <c r="E4382" s="30" t="s">
        <v>4219</v>
      </c>
      <c r="H4382" s="32">
        <v>0</v>
      </c>
      <c r="I4382" s="32" t="s">
        <v>5597</v>
      </c>
      <c r="AG4382" s="32">
        <v>0</v>
      </c>
      <c r="AH4382" s="32">
        <v>0</v>
      </c>
      <c r="AI4382" s="32">
        <v>0</v>
      </c>
      <c r="AK4382" s="32">
        <v>0</v>
      </c>
      <c r="AL4382" s="32">
        <v>0.33300000000000002</v>
      </c>
      <c r="AO4382" s="32" t="s">
        <v>858</v>
      </c>
      <c r="AP4382" s="32">
        <v>0.33300000000000002</v>
      </c>
      <c r="AQ4382" s="32" t="s">
        <v>1101</v>
      </c>
      <c r="AU4382">
        <v>4381</v>
      </c>
    </row>
    <row r="4383" spans="1:47" x14ac:dyDescent="0.2">
      <c r="A4383" s="26">
        <v>6741</v>
      </c>
      <c r="B4383" s="27">
        <v>0.1875</v>
      </c>
      <c r="C4383" s="28"/>
      <c r="D4383" s="29"/>
      <c r="E4383" s="30" t="s">
        <v>1282</v>
      </c>
      <c r="H4383" s="32">
        <v>0</v>
      </c>
      <c r="I4383" s="32" t="s">
        <v>5598</v>
      </c>
      <c r="AG4383" s="32">
        <v>0</v>
      </c>
      <c r="AH4383" s="32">
        <v>0</v>
      </c>
      <c r="AI4383" s="32">
        <v>0</v>
      </c>
      <c r="AK4383" s="32">
        <v>0</v>
      </c>
      <c r="AL4383" s="32">
        <v>0.5</v>
      </c>
      <c r="AP4383" s="32">
        <v>0.5</v>
      </c>
      <c r="AQ4383" s="32" t="s">
        <v>1101</v>
      </c>
      <c r="AU4383">
        <v>4382</v>
      </c>
    </row>
    <row r="4384" spans="1:47" x14ac:dyDescent="0.2">
      <c r="A4384" s="44">
        <v>6742</v>
      </c>
      <c r="B4384" s="42" t="s">
        <v>85</v>
      </c>
      <c r="C4384" s="43" t="s">
        <v>5565</v>
      </c>
      <c r="D4384" s="29"/>
      <c r="E4384" s="36" t="s">
        <v>1593</v>
      </c>
      <c r="H4384" s="32"/>
      <c r="I4384" s="32" t="s">
        <v>5599</v>
      </c>
      <c r="T4384" s="31">
        <v>6</v>
      </c>
      <c r="AQ4384" s="32" t="s">
        <v>5519</v>
      </c>
      <c r="AU4384">
        <v>4383</v>
      </c>
    </row>
    <row r="4385" spans="1:47" x14ac:dyDescent="0.2">
      <c r="A4385" s="26">
        <v>6742</v>
      </c>
      <c r="B4385" s="27">
        <v>0.18402777777777779</v>
      </c>
      <c r="C4385" s="28"/>
      <c r="D4385" s="29"/>
      <c r="E4385" s="30" t="s">
        <v>464</v>
      </c>
      <c r="H4385" s="32">
        <v>0</v>
      </c>
      <c r="I4385" s="32" t="s">
        <v>5600</v>
      </c>
      <c r="AG4385" s="32">
        <v>0</v>
      </c>
      <c r="AH4385" s="32">
        <v>0</v>
      </c>
      <c r="AL4385" s="32">
        <v>0.75</v>
      </c>
      <c r="AO4385" s="32" t="s">
        <v>4067</v>
      </c>
      <c r="AP4385" s="32">
        <v>0.75</v>
      </c>
      <c r="AQ4385" s="32" t="s">
        <v>1522</v>
      </c>
      <c r="AU4385">
        <v>4384</v>
      </c>
    </row>
    <row r="4386" spans="1:47" x14ac:dyDescent="0.2">
      <c r="A4386" s="26">
        <v>6742</v>
      </c>
      <c r="B4386" s="27" t="s">
        <v>85</v>
      </c>
      <c r="C4386" s="28"/>
      <c r="D4386" s="29"/>
      <c r="E4386" s="30" t="s">
        <v>1531</v>
      </c>
      <c r="H4386" s="32">
        <v>0</v>
      </c>
      <c r="I4386" s="32" t="s">
        <v>1532</v>
      </c>
      <c r="AG4386" s="32">
        <v>0</v>
      </c>
      <c r="AH4386" s="32">
        <v>0</v>
      </c>
      <c r="AI4386" s="32">
        <v>0</v>
      </c>
      <c r="AK4386" s="32">
        <v>0</v>
      </c>
      <c r="AM4386" s="32">
        <f>498*18</f>
        <v>8964</v>
      </c>
      <c r="AO4386" s="32" t="s">
        <v>1533</v>
      </c>
      <c r="AQ4386" s="32" t="s">
        <v>1101</v>
      </c>
      <c r="AU4386">
        <v>4385</v>
      </c>
    </row>
    <row r="4387" spans="1:47" x14ac:dyDescent="0.2">
      <c r="A4387" s="26">
        <v>6742</v>
      </c>
      <c r="B4387" s="27"/>
      <c r="C4387" s="28"/>
      <c r="D4387" s="29"/>
      <c r="E4387" s="30" t="s">
        <v>4666</v>
      </c>
      <c r="H4387" s="32">
        <v>0</v>
      </c>
      <c r="I4387" s="32" t="s">
        <v>5601</v>
      </c>
      <c r="AG4387" s="32">
        <v>0</v>
      </c>
      <c r="AH4387" s="32">
        <v>0</v>
      </c>
      <c r="AI4387" s="32">
        <v>0</v>
      </c>
      <c r="AK4387" s="32">
        <v>0</v>
      </c>
      <c r="AO4387" s="32" t="s">
        <v>4668</v>
      </c>
      <c r="AQ4387" s="32">
        <v>409</v>
      </c>
      <c r="AU4387">
        <v>4386</v>
      </c>
    </row>
    <row r="4388" spans="1:47" x14ac:dyDescent="0.2">
      <c r="A4388" s="44">
        <v>6743</v>
      </c>
      <c r="B4388" s="42" t="s">
        <v>85</v>
      </c>
      <c r="C4388" s="43" t="s">
        <v>5565</v>
      </c>
      <c r="D4388" s="29"/>
      <c r="E4388" s="36" t="s">
        <v>5602</v>
      </c>
      <c r="H4388" s="32"/>
      <c r="I4388" s="32"/>
      <c r="AQ4388" s="32" t="s">
        <v>5519</v>
      </c>
      <c r="AU4388">
        <v>4387</v>
      </c>
    </row>
    <row r="4389" spans="1:47" x14ac:dyDescent="0.2">
      <c r="A4389" s="37">
        <v>6744</v>
      </c>
      <c r="B4389" s="38" t="s">
        <v>85</v>
      </c>
      <c r="C4389" s="43" t="s">
        <v>5565</v>
      </c>
      <c r="D4389" s="29"/>
      <c r="E4389" s="36" t="s">
        <v>5603</v>
      </c>
      <c r="H4389" s="32"/>
      <c r="I4389" s="32"/>
      <c r="AQ4389" s="32" t="s">
        <v>5519</v>
      </c>
      <c r="AU4389">
        <v>4388</v>
      </c>
    </row>
    <row r="4390" spans="1:47" x14ac:dyDescent="0.2">
      <c r="A4390" s="37">
        <v>6744</v>
      </c>
      <c r="B4390" s="38" t="s">
        <v>85</v>
      </c>
      <c r="C4390" s="39" t="s">
        <v>5533</v>
      </c>
      <c r="D4390" s="29"/>
      <c r="E4390" s="38" t="s">
        <v>788</v>
      </c>
      <c r="F4390" s="32" t="s">
        <v>1743</v>
      </c>
      <c r="G4390" s="31" t="s">
        <v>49</v>
      </c>
      <c r="H4390" s="32"/>
      <c r="I4390" s="32" t="s">
        <v>5604</v>
      </c>
      <c r="K4390" s="31">
        <f>38*20*2.2</f>
        <v>1672.0000000000002</v>
      </c>
      <c r="L4390" s="33">
        <v>7</v>
      </c>
      <c r="N4390" s="31">
        <v>2</v>
      </c>
      <c r="S4390" s="33">
        <v>5</v>
      </c>
      <c r="Z4390" s="31" t="s">
        <v>3724</v>
      </c>
      <c r="AA4390" s="34">
        <v>0.76180555555555562</v>
      </c>
      <c r="AB4390" s="34">
        <v>0.85902777777777783</v>
      </c>
      <c r="AC4390" s="49">
        <f>AVERAGE(AA4390:AB4390)</f>
        <v>0.81041666666666679</v>
      </c>
      <c r="AD4390" s="50">
        <f>(AB4390-AA4390)*24</f>
        <v>2.333333333333333</v>
      </c>
      <c r="AE4390" s="47" t="s">
        <v>5536</v>
      </c>
      <c r="AF4390" s="31">
        <v>70</v>
      </c>
      <c r="AU4390">
        <v>4389</v>
      </c>
    </row>
    <row r="4391" spans="1:47" x14ac:dyDescent="0.2">
      <c r="A4391" s="13">
        <v>6744</v>
      </c>
      <c r="B4391" s="57" t="s">
        <v>45</v>
      </c>
      <c r="C4391" s="57" t="s">
        <v>4843</v>
      </c>
      <c r="D4391" s="29"/>
      <c r="E4391" s="57" t="s">
        <v>5605</v>
      </c>
      <c r="F4391" s="31" t="s">
        <v>5606</v>
      </c>
      <c r="G4391" s="31" t="s">
        <v>69</v>
      </c>
      <c r="K4391" s="31">
        <v>9922</v>
      </c>
      <c r="S4391" s="33">
        <v>15</v>
      </c>
      <c r="Z4391" s="31" t="s">
        <v>3814</v>
      </c>
      <c r="AE4391" s="31" t="s">
        <v>4411</v>
      </c>
      <c r="AQ4391" s="32" t="s">
        <v>5607</v>
      </c>
      <c r="AU4391">
        <v>4390</v>
      </c>
    </row>
    <row r="4392" spans="1:47" x14ac:dyDescent="0.2">
      <c r="A4392" s="13">
        <v>6744</v>
      </c>
      <c r="B4392" s="57" t="s">
        <v>45</v>
      </c>
      <c r="C4392" s="57" t="s">
        <v>4843</v>
      </c>
      <c r="D4392" s="29"/>
      <c r="E4392" s="57" t="s">
        <v>5608</v>
      </c>
      <c r="F4392" s="31" t="s">
        <v>5606</v>
      </c>
      <c r="G4392" s="31" t="s">
        <v>69</v>
      </c>
      <c r="K4392" s="31">
        <v>1870</v>
      </c>
      <c r="S4392" s="33">
        <v>3</v>
      </c>
      <c r="Z4392" s="31" t="s">
        <v>3814</v>
      </c>
      <c r="AE4392" s="31" t="s">
        <v>4411</v>
      </c>
      <c r="AQ4392" s="32" t="s">
        <v>5607</v>
      </c>
      <c r="AU4392">
        <v>4391</v>
      </c>
    </row>
    <row r="4393" spans="1:47" x14ac:dyDescent="0.2">
      <c r="A4393" s="37">
        <v>6744</v>
      </c>
      <c r="B4393" s="38" t="s">
        <v>45</v>
      </c>
      <c r="C4393" s="39" t="s">
        <v>142</v>
      </c>
      <c r="D4393" s="29"/>
      <c r="E4393" s="38" t="s">
        <v>5609</v>
      </c>
      <c r="F4393" s="32" t="s">
        <v>5610</v>
      </c>
      <c r="G4393" s="31" t="s">
        <v>69</v>
      </c>
      <c r="H4393" s="32"/>
      <c r="I4393" s="47" t="b">
        <v>1</v>
      </c>
      <c r="J4393" s="47" t="b">
        <v>1</v>
      </c>
      <c r="K4393" s="31">
        <f>5325*2.2</f>
        <v>11715.000000000002</v>
      </c>
      <c r="L4393" s="33">
        <v>21</v>
      </c>
      <c r="M4393" s="31">
        <v>2</v>
      </c>
      <c r="N4393" s="31">
        <v>2</v>
      </c>
      <c r="S4393" s="33">
        <v>18</v>
      </c>
      <c r="T4393" s="31">
        <v>0</v>
      </c>
      <c r="U4393" s="31">
        <v>0</v>
      </c>
      <c r="V4393" s="31">
        <v>0</v>
      </c>
      <c r="Y4393" s="31" t="s">
        <v>51</v>
      </c>
      <c r="Z4393" s="31" t="s">
        <v>3855</v>
      </c>
      <c r="AE4393" s="47" t="s">
        <v>4217</v>
      </c>
      <c r="AK4393" s="32">
        <f>47+62+32+5+4</f>
        <v>150</v>
      </c>
      <c r="AQ4393" s="32" t="s">
        <v>5611</v>
      </c>
      <c r="AR4393" s="32" t="s">
        <v>5612</v>
      </c>
      <c r="AU4393">
        <v>4392</v>
      </c>
    </row>
    <row r="4394" spans="1:47" x14ac:dyDescent="0.2">
      <c r="A4394" s="13">
        <v>6744</v>
      </c>
      <c r="B4394" s="38" t="s">
        <v>45</v>
      </c>
      <c r="C4394" s="57" t="s">
        <v>142</v>
      </c>
      <c r="D4394" s="29"/>
      <c r="E4394" s="57" t="s">
        <v>5613</v>
      </c>
      <c r="F4394" s="31" t="s">
        <v>76</v>
      </c>
      <c r="G4394" s="31" t="s">
        <v>49</v>
      </c>
      <c r="I4394" s="47" t="b">
        <v>0</v>
      </c>
      <c r="J4394" s="47" t="b">
        <v>0</v>
      </c>
      <c r="K4394" s="31">
        <v>2134</v>
      </c>
      <c r="S4394" s="33">
        <v>3</v>
      </c>
      <c r="Z4394" s="31" t="s">
        <v>3855</v>
      </c>
      <c r="AE4394" s="47" t="s">
        <v>4217</v>
      </c>
      <c r="AF4394" s="31">
        <v>65</v>
      </c>
      <c r="AQ4394" s="32" t="s">
        <v>5607</v>
      </c>
      <c r="AU4394">
        <v>4393</v>
      </c>
    </row>
    <row r="4395" spans="1:47" x14ac:dyDescent="0.2">
      <c r="A4395" s="13">
        <v>6744</v>
      </c>
      <c r="B4395" s="38" t="s">
        <v>45</v>
      </c>
      <c r="C4395" s="57" t="s">
        <v>142</v>
      </c>
      <c r="D4395" s="29"/>
      <c r="E4395" s="57" t="s">
        <v>5253</v>
      </c>
      <c r="F4395" s="31" t="s">
        <v>76</v>
      </c>
      <c r="G4395" s="31" t="s">
        <v>49</v>
      </c>
      <c r="I4395" s="47" t="b">
        <v>0</v>
      </c>
      <c r="J4395" s="47" t="b">
        <v>0</v>
      </c>
      <c r="K4395" s="31">
        <v>2904</v>
      </c>
      <c r="S4395" s="33">
        <v>4</v>
      </c>
      <c r="Z4395" s="31" t="s">
        <v>3855</v>
      </c>
      <c r="AE4395" s="47" t="s">
        <v>4217</v>
      </c>
      <c r="AF4395" s="31">
        <v>70</v>
      </c>
      <c r="AQ4395" s="32" t="s">
        <v>5607</v>
      </c>
      <c r="AU4395">
        <v>4394</v>
      </c>
    </row>
    <row r="4396" spans="1:47" x14ac:dyDescent="0.2">
      <c r="A4396" s="13">
        <v>6744</v>
      </c>
      <c r="B4396" s="38" t="s">
        <v>45</v>
      </c>
      <c r="C4396" s="57" t="s">
        <v>142</v>
      </c>
      <c r="D4396" s="29"/>
      <c r="E4396" s="57" t="s">
        <v>5608</v>
      </c>
      <c r="F4396" s="31" t="s">
        <v>5606</v>
      </c>
      <c r="G4396" s="31" t="s">
        <v>69</v>
      </c>
      <c r="I4396" s="47" t="b">
        <v>0</v>
      </c>
      <c r="J4396" s="47" t="b">
        <v>0</v>
      </c>
      <c r="K4396" s="31">
        <v>7667</v>
      </c>
      <c r="S4396" s="33">
        <v>10</v>
      </c>
      <c r="Z4396" s="31" t="s">
        <v>3855</v>
      </c>
      <c r="AE4396" s="47" t="s">
        <v>4217</v>
      </c>
      <c r="AQ4396" s="32" t="s">
        <v>5607</v>
      </c>
      <c r="AU4396">
        <v>4395</v>
      </c>
    </row>
    <row r="4397" spans="1:47" x14ac:dyDescent="0.2">
      <c r="A4397" s="26">
        <v>6744</v>
      </c>
      <c r="B4397" s="27">
        <v>0.86805555555555547</v>
      </c>
      <c r="C4397" s="28"/>
      <c r="D4397" s="29"/>
      <c r="E4397" s="30" t="s">
        <v>1282</v>
      </c>
      <c r="H4397" s="32">
        <v>0</v>
      </c>
      <c r="I4397" s="32" t="s">
        <v>5614</v>
      </c>
      <c r="AG4397" s="32">
        <v>0</v>
      </c>
      <c r="AH4397" s="32">
        <v>0</v>
      </c>
      <c r="AI4397" s="32">
        <v>0</v>
      </c>
      <c r="AK4397" s="32">
        <v>0</v>
      </c>
      <c r="AL4397" s="32">
        <f>20/60</f>
        <v>0.33333333333333331</v>
      </c>
      <c r="AP4397" s="32">
        <f>20/60</f>
        <v>0.33333333333333331</v>
      </c>
      <c r="AQ4397" s="32" t="s">
        <v>1101</v>
      </c>
      <c r="AU4397">
        <v>4396</v>
      </c>
    </row>
    <row r="4398" spans="1:47" x14ac:dyDescent="0.2">
      <c r="A4398" s="26">
        <v>6744</v>
      </c>
      <c r="B4398" s="27">
        <v>0.97916666666666663</v>
      </c>
      <c r="C4398" s="28"/>
      <c r="D4398" s="29"/>
      <c r="E4398" s="30" t="s">
        <v>2871</v>
      </c>
      <c r="H4398" s="32">
        <v>1</v>
      </c>
      <c r="I4398" s="32" t="s">
        <v>5615</v>
      </c>
      <c r="AO4398" s="46" t="s">
        <v>2873</v>
      </c>
      <c r="AP4398" s="46"/>
      <c r="AQ4398" s="32">
        <v>446</v>
      </c>
      <c r="AU4398">
        <v>4397</v>
      </c>
    </row>
    <row r="4399" spans="1:47" x14ac:dyDescent="0.2">
      <c r="A4399" s="26">
        <v>6744</v>
      </c>
      <c r="B4399" s="27"/>
      <c r="C4399" s="28"/>
      <c r="D4399" s="29"/>
      <c r="E4399" s="30" t="s">
        <v>464</v>
      </c>
      <c r="H4399" s="32">
        <v>0</v>
      </c>
      <c r="I4399" s="32" t="s">
        <v>5616</v>
      </c>
      <c r="AG4399" s="32">
        <v>0</v>
      </c>
      <c r="AH4399" s="32">
        <v>0</v>
      </c>
      <c r="AI4399" s="32">
        <v>0</v>
      </c>
      <c r="AK4399" s="32">
        <v>0</v>
      </c>
      <c r="AL4399" s="32">
        <v>0.66700000000000004</v>
      </c>
      <c r="AM4399" s="32">
        <v>0</v>
      </c>
      <c r="AO4399" s="32" t="s">
        <v>4067</v>
      </c>
      <c r="AP4399" s="32">
        <v>0.66700000000000004</v>
      </c>
      <c r="AQ4399" s="32" t="s">
        <v>1522</v>
      </c>
      <c r="AU4399">
        <v>4398</v>
      </c>
    </row>
    <row r="4400" spans="1:47" x14ac:dyDescent="0.2">
      <c r="A4400" s="37">
        <v>6745</v>
      </c>
      <c r="B4400" s="42" t="s">
        <v>85</v>
      </c>
      <c r="C4400" s="43" t="s">
        <v>5565</v>
      </c>
      <c r="D4400" s="29"/>
      <c r="E4400" s="36" t="s">
        <v>1593</v>
      </c>
      <c r="H4400" s="32"/>
      <c r="I4400" s="32" t="s">
        <v>5617</v>
      </c>
      <c r="AQ4400" s="32" t="s">
        <v>5519</v>
      </c>
      <c r="AU4400">
        <v>4399</v>
      </c>
    </row>
    <row r="4401" spans="1:47" x14ac:dyDescent="0.2">
      <c r="A4401" s="37">
        <v>6748</v>
      </c>
      <c r="B4401" s="38" t="s">
        <v>45</v>
      </c>
      <c r="C4401" s="39" t="s">
        <v>142</v>
      </c>
      <c r="D4401" s="29"/>
      <c r="E4401" s="38" t="s">
        <v>5618</v>
      </c>
      <c r="F4401" s="31" t="s">
        <v>5619</v>
      </c>
      <c r="G4401" s="31" t="s">
        <v>205</v>
      </c>
      <c r="H4401" s="32"/>
      <c r="I4401" s="47" t="b">
        <v>1</v>
      </c>
      <c r="J4401" s="47" t="b">
        <v>1</v>
      </c>
      <c r="K4401" s="31">
        <f>4965*2.2</f>
        <v>10923</v>
      </c>
      <c r="L4401" s="33">
        <v>25</v>
      </c>
      <c r="N4401" s="31">
        <v>6</v>
      </c>
      <c r="S4401" s="33">
        <v>19</v>
      </c>
      <c r="T4401" s="31">
        <v>0</v>
      </c>
      <c r="U4401" s="31">
        <v>1</v>
      </c>
      <c r="V4401" s="31">
        <v>0</v>
      </c>
      <c r="Y4401" s="31" t="s">
        <v>51</v>
      </c>
      <c r="Z4401" s="31" t="s">
        <v>3855</v>
      </c>
      <c r="AE4401" s="47" t="s">
        <v>4217</v>
      </c>
      <c r="AK4401" s="32">
        <f>27+80+20+6+6</f>
        <v>139</v>
      </c>
      <c r="AQ4401" s="32" t="s">
        <v>5611</v>
      </c>
      <c r="AR4401" s="32" t="s">
        <v>5620</v>
      </c>
      <c r="AU4401">
        <v>4400</v>
      </c>
    </row>
    <row r="4402" spans="1:47" x14ac:dyDescent="0.2">
      <c r="A4402" s="13">
        <v>6748</v>
      </c>
      <c r="B4402" s="38" t="s">
        <v>45</v>
      </c>
      <c r="C4402" s="57" t="s">
        <v>142</v>
      </c>
      <c r="D4402" s="29"/>
      <c r="E4402" s="57" t="s">
        <v>5621</v>
      </c>
      <c r="F4402" s="31" t="s">
        <v>204</v>
      </c>
      <c r="G4402" s="31" t="s">
        <v>205</v>
      </c>
      <c r="I4402" s="47" t="b">
        <v>0</v>
      </c>
      <c r="J4402" s="47" t="b">
        <v>0</v>
      </c>
      <c r="K4402" s="31">
        <v>2222</v>
      </c>
      <c r="S4402" s="33">
        <v>4</v>
      </c>
      <c r="Z4402" s="31" t="s">
        <v>3855</v>
      </c>
      <c r="AE4402" s="47" t="s">
        <v>4217</v>
      </c>
      <c r="AF4402" s="31">
        <v>15</v>
      </c>
      <c r="AQ4402" s="32" t="s">
        <v>5607</v>
      </c>
      <c r="AR4402" s="32" t="s">
        <v>5622</v>
      </c>
      <c r="AU4402">
        <v>4401</v>
      </c>
    </row>
    <row r="4403" spans="1:47" x14ac:dyDescent="0.2">
      <c r="A4403" s="13">
        <v>6748</v>
      </c>
      <c r="B4403" s="38" t="s">
        <v>45</v>
      </c>
      <c r="C4403" s="57" t="s">
        <v>142</v>
      </c>
      <c r="D4403" s="29"/>
      <c r="E4403" s="57" t="s">
        <v>5623</v>
      </c>
      <c r="F4403" s="31" t="s">
        <v>204</v>
      </c>
      <c r="G4403" s="31" t="s">
        <v>205</v>
      </c>
      <c r="I4403" s="47" t="b">
        <v>0</v>
      </c>
      <c r="J4403" s="47" t="b">
        <v>0</v>
      </c>
      <c r="K4403" s="31">
        <v>4147</v>
      </c>
      <c r="S4403" s="33">
        <v>7</v>
      </c>
      <c r="Z4403" s="31" t="s">
        <v>3855</v>
      </c>
      <c r="AE4403" s="47" t="s">
        <v>4217</v>
      </c>
      <c r="AF4403" s="31">
        <v>65</v>
      </c>
      <c r="AQ4403" s="32" t="s">
        <v>5607</v>
      </c>
      <c r="AR4403" s="32" t="s">
        <v>5622</v>
      </c>
      <c r="AU4403">
        <v>4402</v>
      </c>
    </row>
    <row r="4404" spans="1:47" x14ac:dyDescent="0.2">
      <c r="A4404" s="13">
        <v>6748</v>
      </c>
      <c r="B4404" s="38" t="s">
        <v>45</v>
      </c>
      <c r="C4404" s="57" t="s">
        <v>142</v>
      </c>
      <c r="D4404" s="29"/>
      <c r="E4404" s="57" t="s">
        <v>5608</v>
      </c>
      <c r="F4404" s="31" t="s">
        <v>5606</v>
      </c>
      <c r="G4404" s="31" t="s">
        <v>69</v>
      </c>
      <c r="I4404" s="47" t="b">
        <v>0</v>
      </c>
      <c r="J4404" s="47" t="b">
        <v>0</v>
      </c>
      <c r="K4404" s="31">
        <v>4554</v>
      </c>
      <c r="S4404" s="33">
        <v>8</v>
      </c>
      <c r="Z4404" s="31" t="s">
        <v>3855</v>
      </c>
      <c r="AE4404" s="47" t="s">
        <v>4217</v>
      </c>
      <c r="AQ4404" s="32" t="s">
        <v>5607</v>
      </c>
      <c r="AR4404" s="32" t="s">
        <v>5622</v>
      </c>
      <c r="AU4404">
        <v>4403</v>
      </c>
    </row>
    <row r="4405" spans="1:47" x14ac:dyDescent="0.2">
      <c r="A4405" s="133">
        <v>6749</v>
      </c>
      <c r="B4405" s="39" t="s">
        <v>85</v>
      </c>
      <c r="C4405" s="39">
        <v>55</v>
      </c>
      <c r="D4405" s="29" t="b">
        <v>0</v>
      </c>
      <c r="E4405" s="39" t="s">
        <v>1168</v>
      </c>
      <c r="F4405" s="47" t="s">
        <v>2398</v>
      </c>
      <c r="G4405" s="47" t="s">
        <v>49</v>
      </c>
      <c r="H4405"/>
      <c r="I4405" s="47" t="b">
        <v>0</v>
      </c>
      <c r="J4405" s="47" t="b">
        <v>1</v>
      </c>
      <c r="K4405" s="47">
        <v>2562</v>
      </c>
      <c r="L4405" s="48">
        <v>12</v>
      </c>
      <c r="M4405" s="47">
        <v>0</v>
      </c>
      <c r="N4405" s="47">
        <v>1</v>
      </c>
      <c r="O4405" s="47">
        <v>0</v>
      </c>
      <c r="P4405" s="47">
        <v>0</v>
      </c>
      <c r="Q4405" s="47">
        <v>0</v>
      </c>
      <c r="R4405" s="47">
        <v>0</v>
      </c>
      <c r="S4405" s="48">
        <v>11</v>
      </c>
      <c r="T4405" s="47">
        <v>0</v>
      </c>
      <c r="U4405" s="47">
        <v>0</v>
      </c>
      <c r="V4405" s="47">
        <v>0</v>
      </c>
      <c r="W4405" s="47">
        <v>14500</v>
      </c>
      <c r="X4405" s="47">
        <v>590</v>
      </c>
      <c r="Y4405" s="47" t="s">
        <v>120</v>
      </c>
      <c r="Z4405" s="47" t="s">
        <v>3618</v>
      </c>
      <c r="AA4405" s="49">
        <v>0.78125</v>
      </c>
      <c r="AB4405" s="49">
        <v>0.87152777777777779</v>
      </c>
      <c r="AC4405" s="49">
        <f>AVERAGE(AA4405:AB4405)</f>
        <v>0.82638888888888884</v>
      </c>
      <c r="AD4405" s="50">
        <f>(AB4405-AA4405)*24</f>
        <v>2.166666666666667</v>
      </c>
      <c r="AE4405" s="47" t="s">
        <v>5433</v>
      </c>
      <c r="AF4405" s="47">
        <v>55</v>
      </c>
      <c r="AG4405"/>
      <c r="AH4405"/>
      <c r="AI4405"/>
      <c r="AJ4405"/>
      <c r="AK4405">
        <v>41</v>
      </c>
      <c r="AL4405"/>
      <c r="AM4405"/>
      <c r="AN4405"/>
      <c r="AO4405"/>
      <c r="AP4405"/>
      <c r="AQ4405" t="s">
        <v>5434</v>
      </c>
      <c r="AU4405">
        <v>4404</v>
      </c>
    </row>
    <row r="4406" spans="1:47" x14ac:dyDescent="0.2">
      <c r="A4406" s="133">
        <v>6749</v>
      </c>
      <c r="B4406" s="39" t="s">
        <v>85</v>
      </c>
      <c r="C4406" s="39">
        <v>99</v>
      </c>
      <c r="D4406" s="29" t="b">
        <v>0</v>
      </c>
      <c r="E4406" s="39" t="s">
        <v>1168</v>
      </c>
      <c r="F4406" s="47" t="s">
        <v>2398</v>
      </c>
      <c r="G4406" s="47" t="s">
        <v>49</v>
      </c>
      <c r="H4406"/>
      <c r="I4406" s="47" t="b">
        <v>0</v>
      </c>
      <c r="J4406" s="47" t="b">
        <v>1</v>
      </c>
      <c r="K4406" s="47">
        <v>2736</v>
      </c>
      <c r="L4406" s="48">
        <v>12</v>
      </c>
      <c r="M4406" s="47">
        <v>0</v>
      </c>
      <c r="N4406" s="47">
        <v>0</v>
      </c>
      <c r="O4406" s="47">
        <v>0</v>
      </c>
      <c r="P4406" s="47">
        <v>0</v>
      </c>
      <c r="Q4406" s="47">
        <v>0</v>
      </c>
      <c r="R4406" s="47">
        <v>0</v>
      </c>
      <c r="S4406" s="48">
        <v>12</v>
      </c>
      <c r="T4406" s="47">
        <v>0</v>
      </c>
      <c r="U4406" s="47">
        <v>0</v>
      </c>
      <c r="V4406" s="47">
        <v>0</v>
      </c>
      <c r="W4406" s="47">
        <v>13050</v>
      </c>
      <c r="X4406" s="47">
        <v>591</v>
      </c>
      <c r="Y4406" s="47" t="s">
        <v>51</v>
      </c>
      <c r="Z4406" s="47" t="s">
        <v>5139</v>
      </c>
      <c r="AA4406" s="49">
        <v>0.76041666666666663</v>
      </c>
      <c r="AB4406" s="49">
        <v>0.88888888888888884</v>
      </c>
      <c r="AC4406" s="49">
        <f>AVERAGE(AA4406:AB4406)</f>
        <v>0.82465277777777768</v>
      </c>
      <c r="AD4406" s="50">
        <f>(AB4406-AA4406)*24</f>
        <v>3.083333333333333</v>
      </c>
      <c r="AE4406" s="47" t="s">
        <v>5433</v>
      </c>
      <c r="AF4406" s="47">
        <v>55</v>
      </c>
      <c r="AG4406"/>
      <c r="AH4406"/>
      <c r="AI4406"/>
      <c r="AJ4406"/>
      <c r="AK4406">
        <v>16</v>
      </c>
      <c r="AL4406"/>
      <c r="AM4406"/>
      <c r="AN4406"/>
      <c r="AO4406"/>
      <c r="AP4406"/>
      <c r="AQ4406" t="s">
        <v>2526</v>
      </c>
      <c r="AU4406">
        <v>4405</v>
      </c>
    </row>
    <row r="4407" spans="1:47" x14ac:dyDescent="0.2">
      <c r="A4407" s="133">
        <v>6749</v>
      </c>
      <c r="B4407" s="39" t="s">
        <v>85</v>
      </c>
      <c r="C4407" s="39">
        <v>104</v>
      </c>
      <c r="D4407" s="29" t="b">
        <v>0</v>
      </c>
      <c r="E4407" s="39" t="s">
        <v>1168</v>
      </c>
      <c r="F4407" s="47" t="s">
        <v>2398</v>
      </c>
      <c r="G4407" s="47" t="s">
        <v>49</v>
      </c>
      <c r="H4407"/>
      <c r="I4407" s="47" t="b">
        <v>0</v>
      </c>
      <c r="J4407" s="47" t="b">
        <v>1</v>
      </c>
      <c r="K4407" s="47">
        <v>2276</v>
      </c>
      <c r="L4407" s="48">
        <v>12</v>
      </c>
      <c r="M4407" s="47">
        <v>0</v>
      </c>
      <c r="N4407" s="47">
        <v>1</v>
      </c>
      <c r="O4407" s="47">
        <v>1</v>
      </c>
      <c r="P4407" s="47">
        <v>0</v>
      </c>
      <c r="Q4407" s="47">
        <v>0</v>
      </c>
      <c r="R4407" s="47">
        <v>0</v>
      </c>
      <c r="S4407" s="48">
        <v>10</v>
      </c>
      <c r="T4407" s="47">
        <v>0</v>
      </c>
      <c r="U4407" s="47">
        <v>0</v>
      </c>
      <c r="V4407" s="47">
        <v>0</v>
      </c>
      <c r="W4407" s="47">
        <v>13000</v>
      </c>
      <c r="X4407" s="47">
        <v>592</v>
      </c>
      <c r="Y4407" s="47" t="s">
        <v>51</v>
      </c>
      <c r="Z4407" s="47" t="s">
        <v>5139</v>
      </c>
      <c r="AA4407" s="49">
        <v>0.76388888888888884</v>
      </c>
      <c r="AB4407" s="49">
        <v>0.85416666666666663</v>
      </c>
      <c r="AC4407" s="49">
        <f>AVERAGE(AA4407:AB4407)</f>
        <v>0.80902777777777768</v>
      </c>
      <c r="AD4407" s="50">
        <f>(AB4407-AA4407)*24</f>
        <v>2.166666666666667</v>
      </c>
      <c r="AE4407" s="47" t="s">
        <v>5433</v>
      </c>
      <c r="AF4407" s="47">
        <v>55</v>
      </c>
      <c r="AG4407"/>
      <c r="AH4407"/>
      <c r="AI4407"/>
      <c r="AJ4407"/>
      <c r="AK4407">
        <v>14</v>
      </c>
      <c r="AL4407"/>
      <c r="AM4407"/>
      <c r="AN4407"/>
      <c r="AO4407"/>
      <c r="AP4407"/>
      <c r="AQ4407" t="s">
        <v>5624</v>
      </c>
      <c r="AR4407" s="32" t="s">
        <v>5625</v>
      </c>
      <c r="AU4407">
        <v>4406</v>
      </c>
    </row>
    <row r="4408" spans="1:47" x14ac:dyDescent="0.2">
      <c r="A4408" s="133">
        <v>6749</v>
      </c>
      <c r="B4408" s="39" t="s">
        <v>85</v>
      </c>
      <c r="C4408" s="15" t="s">
        <v>5626</v>
      </c>
      <c r="D4408" s="29"/>
      <c r="E4408" s="15" t="s">
        <v>5627</v>
      </c>
      <c r="F4408" s="17" t="s">
        <v>5610</v>
      </c>
      <c r="G4408" s="17" t="s">
        <v>69</v>
      </c>
      <c r="H4408"/>
      <c r="I4408" s="17" t="s">
        <v>5628</v>
      </c>
      <c r="J4408" s="47"/>
      <c r="K4408" s="47">
        <f>505*2.2</f>
        <v>1111</v>
      </c>
      <c r="L4408" s="48">
        <v>21</v>
      </c>
      <c r="M4408" s="47"/>
      <c r="N4408" s="47"/>
      <c r="O4408" s="47"/>
      <c r="P4408" s="47"/>
      <c r="Q4408" s="47"/>
      <c r="R4408" s="47"/>
      <c r="S4408" s="48">
        <v>4</v>
      </c>
      <c r="T4408" s="47">
        <v>0</v>
      </c>
      <c r="U4408" s="47"/>
      <c r="V4408" s="47"/>
      <c r="W4408" s="47"/>
      <c r="X4408" s="47"/>
      <c r="Y4408" s="17" t="s">
        <v>51</v>
      </c>
      <c r="Z4408" s="17" t="s">
        <v>3724</v>
      </c>
      <c r="AA4408" s="49"/>
      <c r="AB4408" s="49"/>
      <c r="AC4408" s="49">
        <v>0.375</v>
      </c>
      <c r="AD4408" s="50"/>
      <c r="AE4408" s="47"/>
      <c r="AF4408" s="47"/>
      <c r="AG4408"/>
      <c r="AH4408"/>
      <c r="AI4408"/>
      <c r="AJ4408"/>
      <c r="AK4408">
        <f>6+14+16</f>
        <v>36</v>
      </c>
      <c r="AL4408"/>
      <c r="AM4408"/>
      <c r="AN4408"/>
      <c r="AO4408"/>
      <c r="AP4408"/>
      <c r="AQ4408" s="25" t="s">
        <v>5629</v>
      </c>
      <c r="AU4408">
        <v>4407</v>
      </c>
    </row>
    <row r="4409" spans="1:47" x14ac:dyDescent="0.2">
      <c r="A4409" s="13">
        <v>6749</v>
      </c>
      <c r="B4409" s="57" t="s">
        <v>45</v>
      </c>
      <c r="C4409" s="57" t="s">
        <v>4843</v>
      </c>
      <c r="D4409" s="29"/>
      <c r="E4409" s="57" t="s">
        <v>3875</v>
      </c>
      <c r="F4409" s="31" t="s">
        <v>76</v>
      </c>
      <c r="G4409" s="31" t="s">
        <v>49</v>
      </c>
      <c r="K4409" s="31">
        <v>528</v>
      </c>
      <c r="S4409" s="33">
        <v>1</v>
      </c>
      <c r="Z4409" s="31" t="s">
        <v>3814</v>
      </c>
      <c r="AQ4409" s="32" t="s">
        <v>5607</v>
      </c>
      <c r="AU4409">
        <v>4408</v>
      </c>
    </row>
    <row r="4410" spans="1:47" x14ac:dyDescent="0.2">
      <c r="A4410" s="13">
        <v>6749</v>
      </c>
      <c r="B4410" s="57" t="s">
        <v>45</v>
      </c>
      <c r="C4410" s="57" t="s">
        <v>4843</v>
      </c>
      <c r="D4410" s="29"/>
      <c r="E4410" s="57" t="s">
        <v>4845</v>
      </c>
      <c r="F4410" s="31" t="s">
        <v>204</v>
      </c>
      <c r="G4410" s="31" t="s">
        <v>205</v>
      </c>
      <c r="K4410" s="31">
        <v>5632</v>
      </c>
      <c r="S4410" s="33">
        <v>11</v>
      </c>
      <c r="Z4410" s="31" t="s">
        <v>3814</v>
      </c>
      <c r="AQ4410" s="32" t="s">
        <v>5607</v>
      </c>
      <c r="AU4410">
        <v>4409</v>
      </c>
    </row>
    <row r="4411" spans="1:47" x14ac:dyDescent="0.2">
      <c r="A4411" s="133">
        <v>6749</v>
      </c>
      <c r="B4411" s="39" t="s">
        <v>45</v>
      </c>
      <c r="C4411" s="39">
        <v>100</v>
      </c>
      <c r="D4411" s="29" t="b">
        <v>0</v>
      </c>
      <c r="E4411" s="39" t="s">
        <v>1168</v>
      </c>
      <c r="F4411" s="47" t="s">
        <v>2398</v>
      </c>
      <c r="G4411" s="47" t="s">
        <v>49</v>
      </c>
      <c r="H4411"/>
      <c r="I4411" s="47" t="b">
        <v>0</v>
      </c>
      <c r="J4411" s="47" t="b">
        <v>1</v>
      </c>
      <c r="K4411" s="47">
        <v>3938</v>
      </c>
      <c r="L4411" s="48">
        <v>14</v>
      </c>
      <c r="M4411" s="47">
        <v>0</v>
      </c>
      <c r="N4411" s="47">
        <v>2</v>
      </c>
      <c r="O4411" s="47">
        <v>0</v>
      </c>
      <c r="P4411" s="47">
        <v>0</v>
      </c>
      <c r="Q4411" s="47">
        <v>0</v>
      </c>
      <c r="R4411" s="47">
        <v>0</v>
      </c>
      <c r="S4411" s="48">
        <v>12</v>
      </c>
      <c r="T4411" s="47">
        <v>0</v>
      </c>
      <c r="U4411" s="47">
        <v>0</v>
      </c>
      <c r="V4411" s="47">
        <v>0</v>
      </c>
      <c r="W4411" s="47"/>
      <c r="X4411" s="47">
        <v>593</v>
      </c>
      <c r="Y4411" s="47"/>
      <c r="Z4411" s="47" t="s">
        <v>2524</v>
      </c>
      <c r="AA4411" s="49"/>
      <c r="AB4411" s="49"/>
      <c r="AC4411" s="49"/>
      <c r="AD4411" s="50"/>
      <c r="AE4411" s="47" t="s">
        <v>1312</v>
      </c>
      <c r="AF4411" s="47">
        <v>60</v>
      </c>
      <c r="AG4411"/>
      <c r="AH4411"/>
      <c r="AI4411"/>
      <c r="AJ4411"/>
      <c r="AK4411"/>
      <c r="AL4411"/>
      <c r="AM4411"/>
      <c r="AN4411"/>
      <c r="AO4411"/>
      <c r="AP4411"/>
      <c r="AQ4411" t="s">
        <v>2526</v>
      </c>
      <c r="AU4411">
        <v>4410</v>
      </c>
    </row>
    <row r="4412" spans="1:47" x14ac:dyDescent="0.2">
      <c r="A4412" s="133">
        <v>6749</v>
      </c>
      <c r="B4412" s="38" t="s">
        <v>45</v>
      </c>
      <c r="C4412" s="39" t="s">
        <v>142</v>
      </c>
      <c r="D4412" s="29"/>
      <c r="E4412" s="38" t="s">
        <v>5630</v>
      </c>
      <c r="F4412" s="47" t="s">
        <v>5631</v>
      </c>
      <c r="G4412" s="47" t="s">
        <v>69</v>
      </c>
      <c r="H4412"/>
      <c r="I4412" s="47" t="b">
        <v>1</v>
      </c>
      <c r="J4412" s="47" t="b">
        <v>1</v>
      </c>
      <c r="K4412" s="47">
        <f>3725*2.2</f>
        <v>8195</v>
      </c>
      <c r="L4412" s="48">
        <f>24+2</f>
        <v>26</v>
      </c>
      <c r="M4412" s="47">
        <f>11+1</f>
        <v>12</v>
      </c>
      <c r="N4412" s="47"/>
      <c r="O4412" s="47"/>
      <c r="P4412" s="47"/>
      <c r="Q4412" s="47"/>
      <c r="R4412" s="47"/>
      <c r="S4412" s="48">
        <f>13+1</f>
        <v>14</v>
      </c>
      <c r="T4412" s="47">
        <v>0</v>
      </c>
      <c r="U4412" s="47">
        <v>0</v>
      </c>
      <c r="V4412" s="47">
        <v>0</v>
      </c>
      <c r="W4412" s="47"/>
      <c r="X4412" s="47"/>
      <c r="Y4412" s="47" t="s">
        <v>51</v>
      </c>
      <c r="Z4412" s="31" t="s">
        <v>3855</v>
      </c>
      <c r="AA4412" s="49"/>
      <c r="AB4412" s="49"/>
      <c r="AC4412" s="49"/>
      <c r="AD4412" s="50"/>
      <c r="AE4412" s="47" t="s">
        <v>4217</v>
      </c>
      <c r="AF4412" s="47"/>
      <c r="AG4412"/>
      <c r="AH4412"/>
      <c r="AI4412"/>
      <c r="AJ4412"/>
      <c r="AK4412">
        <f>18+55+19+7+9</f>
        <v>108</v>
      </c>
      <c r="AL4412"/>
      <c r="AM4412"/>
      <c r="AN4412"/>
      <c r="AO4412"/>
      <c r="AP4412"/>
      <c r="AQ4412" t="s">
        <v>5632</v>
      </c>
      <c r="AR4412" s="32" t="s">
        <v>5633</v>
      </c>
      <c r="AU4412">
        <v>4411</v>
      </c>
    </row>
    <row r="4413" spans="1:47" x14ac:dyDescent="0.2">
      <c r="A4413" s="13">
        <v>6749</v>
      </c>
      <c r="B4413" s="38" t="s">
        <v>45</v>
      </c>
      <c r="C4413" s="57" t="s">
        <v>142</v>
      </c>
      <c r="D4413" s="29"/>
      <c r="E4413" s="57" t="s">
        <v>5623</v>
      </c>
      <c r="F4413" s="31" t="s">
        <v>204</v>
      </c>
      <c r="G4413" s="31" t="s">
        <v>205</v>
      </c>
      <c r="I4413" s="47" t="b">
        <v>0</v>
      </c>
      <c r="J4413" s="47" t="b">
        <v>0</v>
      </c>
      <c r="K4413" s="31">
        <v>3751</v>
      </c>
      <c r="S4413" s="33">
        <v>6</v>
      </c>
      <c r="Z4413" s="31" t="s">
        <v>3855</v>
      </c>
      <c r="AE4413" s="47" t="s">
        <v>4217</v>
      </c>
      <c r="AF4413" s="31">
        <v>65</v>
      </c>
      <c r="AQ4413" s="32" t="s">
        <v>5607</v>
      </c>
      <c r="AR4413" s="32" t="s">
        <v>5634</v>
      </c>
      <c r="AU4413">
        <v>4412</v>
      </c>
    </row>
    <row r="4414" spans="1:47" x14ac:dyDescent="0.2">
      <c r="A4414" s="13">
        <v>6749</v>
      </c>
      <c r="B4414" s="38" t="s">
        <v>45</v>
      </c>
      <c r="C4414" s="57" t="s">
        <v>142</v>
      </c>
      <c r="D4414" s="29"/>
      <c r="E4414" s="57" t="s">
        <v>5608</v>
      </c>
      <c r="F4414" s="31" t="s">
        <v>5606</v>
      </c>
      <c r="G4414" s="31" t="s">
        <v>69</v>
      </c>
      <c r="I4414" s="47" t="b">
        <v>0</v>
      </c>
      <c r="J4414" s="47" t="b">
        <v>0</v>
      </c>
      <c r="K4414" s="31">
        <v>4444</v>
      </c>
      <c r="S4414" s="33">
        <v>7</v>
      </c>
      <c r="Z4414" s="31" t="s">
        <v>3855</v>
      </c>
      <c r="AE4414" s="47" t="s">
        <v>4217</v>
      </c>
      <c r="AQ4414" s="32" t="s">
        <v>5607</v>
      </c>
      <c r="AR4414" s="32" t="s">
        <v>5634</v>
      </c>
      <c r="AU4414">
        <v>4413</v>
      </c>
    </row>
    <row r="4415" spans="1:47" x14ac:dyDescent="0.2">
      <c r="A4415" s="26">
        <v>6749</v>
      </c>
      <c r="B4415" s="27">
        <v>6.25E-2</v>
      </c>
      <c r="C4415" s="28"/>
      <c r="D4415" s="29"/>
      <c r="E4415" s="30" t="s">
        <v>1124</v>
      </c>
      <c r="H4415" s="32">
        <v>1</v>
      </c>
      <c r="I4415" s="32" t="s">
        <v>5635</v>
      </c>
      <c r="AG4415" s="32">
        <v>0</v>
      </c>
      <c r="AH4415" s="32">
        <v>0</v>
      </c>
      <c r="AK4415" s="32">
        <v>2</v>
      </c>
      <c r="AL4415" s="32">
        <v>0.33300000000000002</v>
      </c>
      <c r="AO4415" s="46" t="s">
        <v>1126</v>
      </c>
      <c r="AP4415" s="32">
        <v>0.33300000000000002</v>
      </c>
      <c r="AQ4415" s="32" t="s">
        <v>589</v>
      </c>
      <c r="AU4415">
        <v>4414</v>
      </c>
    </row>
    <row r="4416" spans="1:47" x14ac:dyDescent="0.2">
      <c r="A4416" s="26">
        <v>6749</v>
      </c>
      <c r="B4416" s="27">
        <v>0.51041666666666663</v>
      </c>
      <c r="C4416" s="28"/>
      <c r="D4416" s="29"/>
      <c r="E4416" s="30" t="s">
        <v>1124</v>
      </c>
      <c r="H4416" s="32">
        <v>1</v>
      </c>
      <c r="I4416" s="32" t="s">
        <v>5635</v>
      </c>
      <c r="AG4416" s="32">
        <v>0</v>
      </c>
      <c r="AH4416" s="32">
        <v>0</v>
      </c>
      <c r="AK4416" s="32">
        <v>6</v>
      </c>
      <c r="AL4416" s="32">
        <v>0.5</v>
      </c>
      <c r="AO4416" s="46" t="s">
        <v>1126</v>
      </c>
      <c r="AP4416" s="32">
        <v>0.5</v>
      </c>
      <c r="AQ4416" s="32" t="s">
        <v>589</v>
      </c>
      <c r="AU4416">
        <v>4415</v>
      </c>
    </row>
    <row r="4417" spans="1:47" x14ac:dyDescent="0.2">
      <c r="A4417" s="26">
        <v>6749</v>
      </c>
      <c r="B4417" s="27">
        <v>0.86111111111111116</v>
      </c>
      <c r="C4417" s="28"/>
      <c r="D4417" s="29"/>
      <c r="E4417" s="30" t="s">
        <v>1124</v>
      </c>
      <c r="H4417" s="32">
        <v>1</v>
      </c>
      <c r="I4417" s="32" t="s">
        <v>5636</v>
      </c>
      <c r="AG4417" s="32">
        <v>0</v>
      </c>
      <c r="AH4417" s="32">
        <v>0</v>
      </c>
      <c r="AK4417" s="32">
        <v>6</v>
      </c>
      <c r="AL4417" s="32">
        <v>1</v>
      </c>
      <c r="AO4417" s="46" t="s">
        <v>1126</v>
      </c>
      <c r="AP4417" s="32">
        <v>1</v>
      </c>
      <c r="AQ4417" s="32" t="s">
        <v>589</v>
      </c>
      <c r="AU4417">
        <v>4416</v>
      </c>
    </row>
    <row r="4418" spans="1:47" x14ac:dyDescent="0.2">
      <c r="A4418" s="26">
        <v>6749</v>
      </c>
      <c r="B4418" s="27">
        <v>0.86458333333333337</v>
      </c>
      <c r="C4418" s="28"/>
      <c r="D4418" s="29"/>
      <c r="E4418" s="30" t="s">
        <v>364</v>
      </c>
      <c r="H4418" s="32">
        <v>1</v>
      </c>
      <c r="I4418" s="32" t="s">
        <v>5637</v>
      </c>
      <c r="AI4418" s="32">
        <v>500</v>
      </c>
      <c r="AK4418" s="32">
        <v>10</v>
      </c>
      <c r="AL4418" s="32">
        <v>0</v>
      </c>
      <c r="AO4418" s="46"/>
      <c r="AQ4418" s="32" t="s">
        <v>5638</v>
      </c>
      <c r="AU4418">
        <v>4417</v>
      </c>
    </row>
    <row r="4419" spans="1:47" x14ac:dyDescent="0.2">
      <c r="A4419" s="26">
        <v>6749</v>
      </c>
      <c r="B4419" s="27">
        <v>0.86805555555555547</v>
      </c>
      <c r="C4419" s="28"/>
      <c r="D4419" s="29"/>
      <c r="E4419" s="30" t="s">
        <v>1282</v>
      </c>
      <c r="H4419" s="32">
        <v>0</v>
      </c>
      <c r="I4419" s="32" t="s">
        <v>5639</v>
      </c>
      <c r="AG4419" s="32">
        <v>0</v>
      </c>
      <c r="AH4419" s="32">
        <v>0</v>
      </c>
      <c r="AI4419" s="32">
        <v>0</v>
      </c>
      <c r="AK4419" s="32">
        <v>0</v>
      </c>
      <c r="AL4419" s="32">
        <f>20/60</f>
        <v>0.33333333333333331</v>
      </c>
      <c r="AP4419" s="32">
        <f>20/60</f>
        <v>0.33333333333333331</v>
      </c>
      <c r="AQ4419" s="32" t="s">
        <v>1101</v>
      </c>
      <c r="AU4419">
        <v>4418</v>
      </c>
    </row>
    <row r="4420" spans="1:47" x14ac:dyDescent="0.2">
      <c r="A4420" s="26">
        <v>6749</v>
      </c>
      <c r="B4420" s="27"/>
      <c r="C4420" s="28"/>
      <c r="D4420" s="29"/>
      <c r="E4420" s="30" t="s">
        <v>4666</v>
      </c>
      <c r="H4420" s="32">
        <v>1</v>
      </c>
      <c r="I4420" s="32" t="s">
        <v>5640</v>
      </c>
      <c r="AG4420" s="32">
        <v>0</v>
      </c>
      <c r="AH4420" s="32">
        <v>0</v>
      </c>
      <c r="AI4420" s="32">
        <v>0</v>
      </c>
      <c r="AO4420" s="32" t="s">
        <v>4668</v>
      </c>
      <c r="AQ4420" s="32">
        <v>409</v>
      </c>
      <c r="AU4420">
        <v>4419</v>
      </c>
    </row>
    <row r="4421" spans="1:47" x14ac:dyDescent="0.2">
      <c r="A4421" s="133">
        <v>6750</v>
      </c>
      <c r="B4421" s="39" t="s">
        <v>85</v>
      </c>
      <c r="C4421" s="39">
        <v>55</v>
      </c>
      <c r="D4421" s="29" t="b">
        <v>0</v>
      </c>
      <c r="E4421" s="39" t="s">
        <v>5641</v>
      </c>
      <c r="F4421" s="47" t="s">
        <v>5642</v>
      </c>
      <c r="G4421" s="47" t="s">
        <v>49</v>
      </c>
      <c r="H4421"/>
      <c r="I4421" s="47" t="b">
        <v>1</v>
      </c>
      <c r="J4421" s="47" t="b">
        <v>1</v>
      </c>
      <c r="K4421" s="47">
        <v>2328</v>
      </c>
      <c r="L4421" s="48">
        <v>12</v>
      </c>
      <c r="M4421" s="47">
        <v>0</v>
      </c>
      <c r="N4421" s="47">
        <v>2</v>
      </c>
      <c r="O4421" s="47">
        <v>0</v>
      </c>
      <c r="P4421" s="47">
        <v>10</v>
      </c>
      <c r="Q4421" s="47">
        <v>0</v>
      </c>
      <c r="R4421" s="47">
        <v>0</v>
      </c>
      <c r="S4421" s="48">
        <v>10</v>
      </c>
      <c r="T4421" s="47">
        <v>0</v>
      </c>
      <c r="U4421" s="47">
        <v>0</v>
      </c>
      <c r="V4421" s="47">
        <v>0</v>
      </c>
      <c r="W4421" s="47">
        <v>13100</v>
      </c>
      <c r="X4421" s="47">
        <v>594</v>
      </c>
      <c r="Y4421" s="47" t="s">
        <v>51</v>
      </c>
      <c r="Z4421" s="47" t="s">
        <v>3618</v>
      </c>
      <c r="AA4421" s="49">
        <v>0.35416666666666669</v>
      </c>
      <c r="AB4421" s="49">
        <v>0.50694444444444442</v>
      </c>
      <c r="AC4421" s="49">
        <f t="shared" ref="AC4421:AC4427" si="4">AVERAGE(AA4421:AB4421)</f>
        <v>0.43055555555555558</v>
      </c>
      <c r="AD4421" s="50">
        <f t="shared" ref="AD4421:AD4427" si="5">(AB4421-AA4421)*24</f>
        <v>3.6666666666666656</v>
      </c>
      <c r="AE4421" s="47" t="s">
        <v>5433</v>
      </c>
      <c r="AF4421" s="47">
        <v>55</v>
      </c>
      <c r="AG4421"/>
      <c r="AH4421"/>
      <c r="AI4421"/>
      <c r="AJ4421"/>
      <c r="AK4421">
        <v>28</v>
      </c>
      <c r="AL4421"/>
      <c r="AM4421"/>
      <c r="AN4421"/>
      <c r="AO4421"/>
      <c r="AP4421"/>
      <c r="AQ4421" t="s">
        <v>5434</v>
      </c>
      <c r="AU4421">
        <v>4420</v>
      </c>
    </row>
    <row r="4422" spans="1:47" x14ac:dyDescent="0.2">
      <c r="A4422" s="133">
        <v>6750</v>
      </c>
      <c r="B4422" s="39" t="s">
        <v>85</v>
      </c>
      <c r="C4422" s="39">
        <v>55</v>
      </c>
      <c r="D4422" s="29" t="b">
        <v>0</v>
      </c>
      <c r="E4422" s="39" t="s">
        <v>1168</v>
      </c>
      <c r="F4422" s="47" t="s">
        <v>2398</v>
      </c>
      <c r="G4422" s="47" t="s">
        <v>49</v>
      </c>
      <c r="H4422"/>
      <c r="I4422" s="47" t="b">
        <v>0</v>
      </c>
      <c r="J4422" s="47" t="b">
        <v>0</v>
      </c>
      <c r="K4422" s="47">
        <v>1426</v>
      </c>
      <c r="L4422" s="48">
        <v>6</v>
      </c>
      <c r="M4422" s="47">
        <v>0</v>
      </c>
      <c r="N4422" s="47">
        <v>0</v>
      </c>
      <c r="O4422" s="47">
        <v>0</v>
      </c>
      <c r="P4422" s="47">
        <v>6</v>
      </c>
      <c r="Q4422" s="47">
        <v>0</v>
      </c>
      <c r="R4422" s="47">
        <v>0</v>
      </c>
      <c r="S4422" s="48">
        <v>6</v>
      </c>
      <c r="T4422" s="47">
        <v>0</v>
      </c>
      <c r="U4422" s="47">
        <v>0</v>
      </c>
      <c r="V4422" s="47">
        <v>0</v>
      </c>
      <c r="W4422" s="47">
        <v>12500</v>
      </c>
      <c r="X4422" s="47">
        <v>595</v>
      </c>
      <c r="Y4422" s="47" t="s">
        <v>51</v>
      </c>
      <c r="Z4422" s="47" t="s">
        <v>3618</v>
      </c>
      <c r="AA4422" s="49">
        <v>0.35416666666666669</v>
      </c>
      <c r="AB4422" s="49">
        <v>0.50694444444444442</v>
      </c>
      <c r="AC4422" s="49">
        <f t="shared" si="4"/>
        <v>0.43055555555555558</v>
      </c>
      <c r="AD4422" s="50">
        <f t="shared" si="5"/>
        <v>3.6666666666666656</v>
      </c>
      <c r="AE4422" s="47" t="s">
        <v>5433</v>
      </c>
      <c r="AF4422" s="47">
        <v>55</v>
      </c>
      <c r="AG4422"/>
      <c r="AH4422"/>
      <c r="AI4422"/>
      <c r="AJ4422"/>
      <c r="AK4422">
        <v>21</v>
      </c>
      <c r="AL4422"/>
      <c r="AM4422"/>
      <c r="AN4422"/>
      <c r="AO4422"/>
      <c r="AP4422"/>
      <c r="AQ4422" t="s">
        <v>5434</v>
      </c>
      <c r="AU4422">
        <v>4421</v>
      </c>
    </row>
    <row r="4423" spans="1:47" x14ac:dyDescent="0.2">
      <c r="A4423" s="133">
        <v>6750</v>
      </c>
      <c r="B4423" s="39" t="s">
        <v>85</v>
      </c>
      <c r="C4423" s="39">
        <v>55</v>
      </c>
      <c r="D4423" s="29" t="b">
        <v>0</v>
      </c>
      <c r="E4423" s="39" t="s">
        <v>911</v>
      </c>
      <c r="F4423" s="47" t="s">
        <v>5643</v>
      </c>
      <c r="G4423" s="47" t="s">
        <v>481</v>
      </c>
      <c r="H4423"/>
      <c r="I4423" s="47" t="b">
        <v>0</v>
      </c>
      <c r="J4423" s="47" t="b">
        <v>0</v>
      </c>
      <c r="K4423" s="47">
        <v>902</v>
      </c>
      <c r="L4423" s="48">
        <v>6</v>
      </c>
      <c r="M4423" s="47">
        <v>0</v>
      </c>
      <c r="N4423" s="47">
        <v>2</v>
      </c>
      <c r="O4423" s="47">
        <v>0</v>
      </c>
      <c r="P4423" s="47">
        <v>6</v>
      </c>
      <c r="Q4423" s="47">
        <v>0</v>
      </c>
      <c r="R4423" s="47">
        <v>0</v>
      </c>
      <c r="S4423" s="48">
        <v>4</v>
      </c>
      <c r="T4423" s="47">
        <v>0</v>
      </c>
      <c r="U4423" s="47">
        <v>0</v>
      </c>
      <c r="V4423" s="47">
        <v>0</v>
      </c>
      <c r="W4423" s="47">
        <v>14000</v>
      </c>
      <c r="X4423" s="47">
        <v>596</v>
      </c>
      <c r="Y4423" s="47" t="s">
        <v>51</v>
      </c>
      <c r="Z4423" s="47" t="s">
        <v>3618</v>
      </c>
      <c r="AA4423" s="49">
        <v>0.35416666666666669</v>
      </c>
      <c r="AB4423" s="49">
        <v>0.50694444444444442</v>
      </c>
      <c r="AC4423" s="49">
        <f t="shared" si="4"/>
        <v>0.43055555555555558</v>
      </c>
      <c r="AD4423" s="50">
        <f t="shared" si="5"/>
        <v>3.6666666666666656</v>
      </c>
      <c r="AE4423" s="47" t="s">
        <v>5433</v>
      </c>
      <c r="AF4423" s="47">
        <v>90</v>
      </c>
      <c r="AG4423"/>
      <c r="AH4423"/>
      <c r="AI4423"/>
      <c r="AJ4423"/>
      <c r="AK4423">
        <v>7</v>
      </c>
      <c r="AL4423"/>
      <c r="AM4423"/>
      <c r="AN4423"/>
      <c r="AO4423"/>
      <c r="AP4423"/>
      <c r="AQ4423" t="s">
        <v>5434</v>
      </c>
      <c r="AU4423">
        <v>4422</v>
      </c>
    </row>
    <row r="4424" spans="1:47" x14ac:dyDescent="0.2">
      <c r="A4424" s="133">
        <v>6750</v>
      </c>
      <c r="B4424" s="39" t="s">
        <v>85</v>
      </c>
      <c r="C4424" s="39">
        <v>99</v>
      </c>
      <c r="D4424" s="29" t="b">
        <v>0</v>
      </c>
      <c r="E4424" s="39" t="s">
        <v>5644</v>
      </c>
      <c r="F4424" s="47" t="s">
        <v>5645</v>
      </c>
      <c r="G4424" s="47" t="s">
        <v>73</v>
      </c>
      <c r="H4424"/>
      <c r="I4424" s="47" t="b">
        <v>1</v>
      </c>
      <c r="J4424" s="47" t="b">
        <v>1</v>
      </c>
      <c r="K4424" s="47">
        <v>2276</v>
      </c>
      <c r="L4424" s="48">
        <v>12</v>
      </c>
      <c r="M4424" s="47">
        <v>0</v>
      </c>
      <c r="N4424" s="47">
        <v>2</v>
      </c>
      <c r="O4424" s="47">
        <v>0</v>
      </c>
      <c r="P4424" s="47">
        <v>0</v>
      </c>
      <c r="Q4424" s="47">
        <v>0</v>
      </c>
      <c r="R4424" s="47">
        <v>0</v>
      </c>
      <c r="S4424" s="48">
        <v>10</v>
      </c>
      <c r="T4424" s="47">
        <v>0</v>
      </c>
      <c r="U4424" s="47">
        <v>0</v>
      </c>
      <c r="V4424" s="47">
        <v>0</v>
      </c>
      <c r="W4424" s="47"/>
      <c r="X4424" s="47">
        <v>597</v>
      </c>
      <c r="Y4424" s="47" t="s">
        <v>51</v>
      </c>
      <c r="Z4424" s="47" t="s">
        <v>5139</v>
      </c>
      <c r="AA4424" s="49">
        <v>0.36805555555555558</v>
      </c>
      <c r="AB4424" s="49">
        <v>0.55902777777777779</v>
      </c>
      <c r="AC4424" s="49">
        <f t="shared" si="4"/>
        <v>0.46354166666666669</v>
      </c>
      <c r="AD4424" s="50">
        <f t="shared" si="5"/>
        <v>4.583333333333333</v>
      </c>
      <c r="AE4424" s="47" t="s">
        <v>5433</v>
      </c>
      <c r="AF4424" s="47">
        <v>90</v>
      </c>
      <c r="AG4424"/>
      <c r="AH4424"/>
      <c r="AI4424"/>
      <c r="AJ4424"/>
      <c r="AK4424">
        <f>7+7</f>
        <v>14</v>
      </c>
      <c r="AL4424"/>
      <c r="AM4424"/>
      <c r="AN4424"/>
      <c r="AO4424"/>
      <c r="AP4424"/>
      <c r="AQ4424" t="s">
        <v>2526</v>
      </c>
      <c r="AU4424">
        <v>4423</v>
      </c>
    </row>
    <row r="4425" spans="1:47" x14ac:dyDescent="0.2">
      <c r="A4425" s="133">
        <v>6750</v>
      </c>
      <c r="B4425" s="39" t="s">
        <v>85</v>
      </c>
      <c r="C4425" s="39">
        <v>99</v>
      </c>
      <c r="D4425" s="29" t="b">
        <v>0</v>
      </c>
      <c r="E4425" s="39" t="s">
        <v>911</v>
      </c>
      <c r="F4425" s="47" t="s">
        <v>1663</v>
      </c>
      <c r="G4425" s="47" t="s">
        <v>481</v>
      </c>
      <c r="H4425"/>
      <c r="I4425" s="47" t="b">
        <v>0</v>
      </c>
      <c r="J4425" s="47" t="b">
        <v>0</v>
      </c>
      <c r="K4425" s="47">
        <v>1138</v>
      </c>
      <c r="L4425" s="48">
        <v>6</v>
      </c>
      <c r="M4425" s="47">
        <v>0</v>
      </c>
      <c r="N4425" s="47">
        <v>1</v>
      </c>
      <c r="O4425" s="47">
        <v>0</v>
      </c>
      <c r="P4425" s="47">
        <v>0</v>
      </c>
      <c r="Q4425" s="47">
        <v>0</v>
      </c>
      <c r="R4425" s="47">
        <v>0</v>
      </c>
      <c r="S4425" s="48">
        <v>5</v>
      </c>
      <c r="T4425" s="47">
        <v>0</v>
      </c>
      <c r="U4425" s="47">
        <v>0</v>
      </c>
      <c r="V4425" s="47">
        <v>0</v>
      </c>
      <c r="W4425" s="47"/>
      <c r="X4425" s="47">
        <v>598</v>
      </c>
      <c r="Y4425" s="47" t="s">
        <v>51</v>
      </c>
      <c r="Z4425" s="47" t="s">
        <v>5139</v>
      </c>
      <c r="AA4425" s="49">
        <v>0.36805555555555558</v>
      </c>
      <c r="AB4425" s="49">
        <v>0.55902777777777779</v>
      </c>
      <c r="AC4425" s="49">
        <f t="shared" si="4"/>
        <v>0.46354166666666669</v>
      </c>
      <c r="AD4425" s="50">
        <f t="shared" si="5"/>
        <v>4.583333333333333</v>
      </c>
      <c r="AE4425" s="47" t="s">
        <v>5433</v>
      </c>
      <c r="AF4425" s="47">
        <v>90</v>
      </c>
      <c r="AG4425"/>
      <c r="AH4425"/>
      <c r="AI4425"/>
      <c r="AJ4425"/>
      <c r="AK4425">
        <v>7</v>
      </c>
      <c r="AL4425"/>
      <c r="AM4425"/>
      <c r="AN4425"/>
      <c r="AO4425"/>
      <c r="AP4425"/>
      <c r="AQ4425" t="s">
        <v>2526</v>
      </c>
      <c r="AU4425">
        <v>4424</v>
      </c>
    </row>
    <row r="4426" spans="1:47" x14ac:dyDescent="0.2">
      <c r="A4426" s="133">
        <v>6750</v>
      </c>
      <c r="B4426" s="39" t="s">
        <v>85</v>
      </c>
      <c r="C4426" s="39">
        <v>99</v>
      </c>
      <c r="D4426" s="29" t="b">
        <v>0</v>
      </c>
      <c r="E4426" s="39" t="s">
        <v>858</v>
      </c>
      <c r="F4426" s="47" t="s">
        <v>5645</v>
      </c>
      <c r="G4426" s="47" t="s">
        <v>49</v>
      </c>
      <c r="H4426"/>
      <c r="I4426" s="47" t="b">
        <v>0</v>
      </c>
      <c r="J4426" s="47" t="b">
        <v>0</v>
      </c>
      <c r="K4426" s="47">
        <v>1138</v>
      </c>
      <c r="L4426" s="48">
        <v>6</v>
      </c>
      <c r="M4426" s="47">
        <v>0</v>
      </c>
      <c r="N4426" s="47">
        <v>1</v>
      </c>
      <c r="O4426" s="47">
        <v>0</v>
      </c>
      <c r="P4426" s="47">
        <v>0</v>
      </c>
      <c r="Q4426" s="47">
        <v>0</v>
      </c>
      <c r="R4426" s="47">
        <v>0</v>
      </c>
      <c r="S4426" s="48">
        <v>5</v>
      </c>
      <c r="T4426" s="47">
        <v>0</v>
      </c>
      <c r="U4426" s="47">
        <v>0</v>
      </c>
      <c r="V4426" s="47">
        <v>0</v>
      </c>
      <c r="W4426" s="47"/>
      <c r="X4426" s="47">
        <v>599</v>
      </c>
      <c r="Y4426" s="47" t="s">
        <v>51</v>
      </c>
      <c r="Z4426" s="47" t="s">
        <v>5139</v>
      </c>
      <c r="AA4426" s="49">
        <v>0.36805555555555558</v>
      </c>
      <c r="AB4426" s="49">
        <v>0.50694444444444442</v>
      </c>
      <c r="AC4426" s="49">
        <f t="shared" si="4"/>
        <v>0.4375</v>
      </c>
      <c r="AD4426" s="50">
        <f t="shared" si="5"/>
        <v>3.3333333333333321</v>
      </c>
      <c r="AE4426" s="47" t="s">
        <v>5433</v>
      </c>
      <c r="AF4426" s="47">
        <v>90</v>
      </c>
      <c r="AG4426"/>
      <c r="AH4426"/>
      <c r="AI4426"/>
      <c r="AJ4426"/>
      <c r="AK4426">
        <v>7</v>
      </c>
      <c r="AL4426"/>
      <c r="AM4426"/>
      <c r="AN4426"/>
      <c r="AO4426"/>
      <c r="AP4426"/>
      <c r="AQ4426" t="s">
        <v>2526</v>
      </c>
      <c r="AU4426">
        <v>4425</v>
      </c>
    </row>
    <row r="4427" spans="1:47" x14ac:dyDescent="0.2">
      <c r="A4427" s="133">
        <v>6750</v>
      </c>
      <c r="B4427" s="39" t="s">
        <v>85</v>
      </c>
      <c r="C4427" s="39">
        <v>104</v>
      </c>
      <c r="D4427" s="29" t="b">
        <v>0</v>
      </c>
      <c r="E4427" s="39" t="s">
        <v>858</v>
      </c>
      <c r="F4427" s="47" t="s">
        <v>348</v>
      </c>
      <c r="G4427" s="47" t="s">
        <v>49</v>
      </c>
      <c r="H4427"/>
      <c r="I4427" s="47" t="b">
        <v>0</v>
      </c>
      <c r="J4427" s="47" t="b">
        <v>1</v>
      </c>
      <c r="K4427" s="47">
        <v>2052</v>
      </c>
      <c r="L4427" s="48">
        <v>12</v>
      </c>
      <c r="M4427" s="47">
        <v>0</v>
      </c>
      <c r="N4427" s="47">
        <v>1</v>
      </c>
      <c r="O4427" s="47">
        <v>2</v>
      </c>
      <c r="P4427" s="47">
        <v>9</v>
      </c>
      <c r="Q4427" s="47">
        <v>0</v>
      </c>
      <c r="R4427" s="47">
        <v>0</v>
      </c>
      <c r="S4427" s="48">
        <v>9</v>
      </c>
      <c r="T4427" s="47">
        <v>0</v>
      </c>
      <c r="U4427" s="47">
        <v>0</v>
      </c>
      <c r="V4427" s="47">
        <v>0</v>
      </c>
      <c r="W4427" s="47">
        <v>13500</v>
      </c>
      <c r="X4427" s="47">
        <v>600</v>
      </c>
      <c r="Y4427" s="47" t="s">
        <v>120</v>
      </c>
      <c r="Z4427" s="47" t="s">
        <v>5139</v>
      </c>
      <c r="AA4427" s="49">
        <v>0.35416666666666669</v>
      </c>
      <c r="AB4427" s="49">
        <v>0.5</v>
      </c>
      <c r="AC4427" s="49">
        <f t="shared" si="4"/>
        <v>0.42708333333333337</v>
      </c>
      <c r="AD4427" s="50">
        <f t="shared" si="5"/>
        <v>3.4999999999999996</v>
      </c>
      <c r="AE4427" s="47" t="s">
        <v>5433</v>
      </c>
      <c r="AF4427" s="47">
        <v>90</v>
      </c>
      <c r="AG4427"/>
      <c r="AH4427"/>
      <c r="AI4427"/>
      <c r="AJ4427"/>
      <c r="AK4427">
        <v>12</v>
      </c>
      <c r="AL4427"/>
      <c r="AM4427"/>
      <c r="AN4427"/>
      <c r="AO4427"/>
      <c r="AP4427"/>
      <c r="AQ4427" t="s">
        <v>5485</v>
      </c>
      <c r="AU4427">
        <v>4426</v>
      </c>
    </row>
    <row r="4428" spans="1:47" x14ac:dyDescent="0.2">
      <c r="A4428" s="133">
        <v>6750</v>
      </c>
      <c r="B4428" s="39" t="s">
        <v>85</v>
      </c>
      <c r="C4428" s="15" t="s">
        <v>5626</v>
      </c>
      <c r="D4428" s="29"/>
      <c r="E4428" s="15" t="s">
        <v>5646</v>
      </c>
      <c r="F4428" s="17" t="s">
        <v>144</v>
      </c>
      <c r="G4428" s="17" t="s">
        <v>69</v>
      </c>
      <c r="H4428"/>
      <c r="I4428" s="17" t="s">
        <v>5647</v>
      </c>
      <c r="J4428" s="47"/>
      <c r="K4428" s="47">
        <f>2111*2.2</f>
        <v>4644.2000000000007</v>
      </c>
      <c r="L4428" s="48">
        <v>21</v>
      </c>
      <c r="M4428" s="47"/>
      <c r="N4428" s="47"/>
      <c r="O4428" s="47"/>
      <c r="P4428" s="47"/>
      <c r="Q4428" s="47"/>
      <c r="R4428" s="47"/>
      <c r="S4428" s="48">
        <v>15</v>
      </c>
      <c r="T4428" s="47">
        <v>0</v>
      </c>
      <c r="U4428" s="47"/>
      <c r="V4428" s="47"/>
      <c r="W4428" s="47"/>
      <c r="X4428" s="47"/>
      <c r="Y4428" s="17" t="s">
        <v>51</v>
      </c>
      <c r="Z4428" s="17" t="s">
        <v>3724</v>
      </c>
      <c r="AA4428" s="49"/>
      <c r="AB4428" s="49"/>
      <c r="AC4428" s="49"/>
      <c r="AD4428" s="50"/>
      <c r="AE4428" s="47"/>
      <c r="AF4428" s="47"/>
      <c r="AG4428"/>
      <c r="AH4428"/>
      <c r="AI4428"/>
      <c r="AJ4428"/>
      <c r="AK4428"/>
      <c r="AL4428"/>
      <c r="AM4428"/>
      <c r="AN4428"/>
      <c r="AO4428"/>
      <c r="AP4428"/>
      <c r="AQ4428" s="25" t="s">
        <v>5648</v>
      </c>
      <c r="AU4428">
        <v>4427</v>
      </c>
    </row>
    <row r="4429" spans="1:47" x14ac:dyDescent="0.2">
      <c r="A4429" s="26">
        <v>6750</v>
      </c>
      <c r="B4429" s="27">
        <v>2.0833333333333332E-2</v>
      </c>
      <c r="C4429" s="28"/>
      <c r="D4429" s="29"/>
      <c r="E4429" s="30" t="s">
        <v>464</v>
      </c>
      <c r="H4429" s="32">
        <v>0</v>
      </c>
      <c r="I4429" s="32" t="s">
        <v>5649</v>
      </c>
      <c r="AG4429" s="32">
        <v>0</v>
      </c>
      <c r="AH4429" s="32">
        <v>0</v>
      </c>
      <c r="AL4429" s="32">
        <f>175/60</f>
        <v>2.9166666666666665</v>
      </c>
      <c r="AO4429" s="32" t="s">
        <v>4067</v>
      </c>
      <c r="AP4429" s="32">
        <f>175/60</f>
        <v>2.9166666666666665</v>
      </c>
      <c r="AQ4429" s="32" t="s">
        <v>1522</v>
      </c>
      <c r="AU4429">
        <v>4428</v>
      </c>
    </row>
    <row r="4430" spans="1:47" x14ac:dyDescent="0.2">
      <c r="A4430" s="26">
        <v>6750</v>
      </c>
      <c r="B4430" s="27">
        <v>0.4861111111111111</v>
      </c>
      <c r="C4430" s="28"/>
      <c r="D4430" s="29"/>
      <c r="E4430" s="30" t="s">
        <v>4219</v>
      </c>
      <c r="H4430" s="32">
        <v>1</v>
      </c>
      <c r="I4430" s="32" t="s">
        <v>5650</v>
      </c>
      <c r="AL4430" s="32">
        <v>1</v>
      </c>
      <c r="AO4430" s="32" t="s">
        <v>858</v>
      </c>
      <c r="AP4430" s="32">
        <v>1</v>
      </c>
      <c r="AQ4430" s="32" t="s">
        <v>1101</v>
      </c>
      <c r="AU4430">
        <v>4429</v>
      </c>
    </row>
    <row r="4431" spans="1:47" x14ac:dyDescent="0.2">
      <c r="A4431" s="26">
        <v>6750</v>
      </c>
      <c r="B4431" s="27">
        <v>0.5</v>
      </c>
      <c r="C4431" s="28"/>
      <c r="D4431" s="29"/>
      <c r="E4431" s="30" t="s">
        <v>1282</v>
      </c>
      <c r="H4431" s="32">
        <v>0</v>
      </c>
      <c r="I4431" s="32" t="s">
        <v>5651</v>
      </c>
      <c r="AG4431" s="32">
        <v>0</v>
      </c>
      <c r="AH4431" s="32">
        <v>0</v>
      </c>
      <c r="AI4431" s="32">
        <v>0</v>
      </c>
      <c r="AK4431" s="32">
        <v>0</v>
      </c>
      <c r="AL4431" s="32">
        <f>20/60</f>
        <v>0.33333333333333331</v>
      </c>
      <c r="AP4431" s="32">
        <f>20/60</f>
        <v>0.33333333333333331</v>
      </c>
      <c r="AQ4431" s="32" t="s">
        <v>1101</v>
      </c>
      <c r="AU4431">
        <v>4430</v>
      </c>
    </row>
    <row r="4432" spans="1:47" x14ac:dyDescent="0.2">
      <c r="A4432" s="26">
        <v>6750</v>
      </c>
      <c r="B4432" s="27">
        <v>0.51041666666666663</v>
      </c>
      <c r="C4432" s="28"/>
      <c r="D4432" s="29"/>
      <c r="E4432" s="102" t="s">
        <v>1102</v>
      </c>
      <c r="H4432" s="32">
        <v>0</v>
      </c>
      <c r="I4432" s="32" t="s">
        <v>1103</v>
      </c>
      <c r="AG4432" s="32">
        <v>0</v>
      </c>
      <c r="AH4432" s="32">
        <v>0</v>
      </c>
      <c r="AI4432" s="32">
        <v>0</v>
      </c>
      <c r="AK4432" s="32">
        <v>0</v>
      </c>
      <c r="AL4432" s="32">
        <v>0.75</v>
      </c>
      <c r="AO4432" s="73" t="s">
        <v>1006</v>
      </c>
      <c r="AP4432" s="32">
        <v>0.75</v>
      </c>
      <c r="AQ4432" s="32" t="s">
        <v>589</v>
      </c>
      <c r="AU4432">
        <v>4431</v>
      </c>
    </row>
    <row r="4433" spans="1:47" x14ac:dyDescent="0.2">
      <c r="A4433" s="26">
        <v>6750</v>
      </c>
      <c r="B4433" s="27">
        <v>0.87152777777777779</v>
      </c>
      <c r="C4433" s="28"/>
      <c r="D4433" s="29"/>
      <c r="E4433" s="30" t="s">
        <v>464</v>
      </c>
      <c r="H4433" s="32">
        <v>0</v>
      </c>
      <c r="I4433" s="32" t="s">
        <v>5652</v>
      </c>
      <c r="AG4433" s="32">
        <v>0</v>
      </c>
      <c r="AH4433" s="32">
        <v>0</v>
      </c>
      <c r="AL4433" s="32">
        <f>190/60</f>
        <v>3.1666666666666665</v>
      </c>
      <c r="AO4433" s="32" t="s">
        <v>4067</v>
      </c>
      <c r="AP4433" s="32">
        <f>190/60</f>
        <v>3.1666666666666665</v>
      </c>
      <c r="AQ4433" s="32" t="s">
        <v>1522</v>
      </c>
      <c r="AU4433">
        <v>4432</v>
      </c>
    </row>
    <row r="4434" spans="1:47" x14ac:dyDescent="0.2">
      <c r="A4434" s="26">
        <v>6750</v>
      </c>
      <c r="B4434" s="27" t="s">
        <v>85</v>
      </c>
      <c r="C4434" s="28"/>
      <c r="D4434" s="29"/>
      <c r="E4434" s="30" t="s">
        <v>858</v>
      </c>
      <c r="H4434" s="32">
        <v>1</v>
      </c>
      <c r="I4434" s="32" t="s">
        <v>5653</v>
      </c>
      <c r="AG4434" s="32">
        <v>1</v>
      </c>
      <c r="AH4434" s="32">
        <v>1</v>
      </c>
      <c r="AI4434" s="32">
        <v>19000</v>
      </c>
      <c r="AK4434" s="32">
        <v>14</v>
      </c>
      <c r="AL4434" s="32">
        <v>6</v>
      </c>
      <c r="AQ4434" s="32" t="s">
        <v>5654</v>
      </c>
      <c r="AU4434">
        <v>4433</v>
      </c>
    </row>
    <row r="4435" spans="1:47" x14ac:dyDescent="0.2">
      <c r="A4435" s="26">
        <v>6750</v>
      </c>
      <c r="B4435" s="27" t="s">
        <v>85</v>
      </c>
      <c r="C4435" s="28"/>
      <c r="D4435" s="29"/>
      <c r="E4435" s="72" t="s">
        <v>872</v>
      </c>
      <c r="H4435" s="32">
        <v>1</v>
      </c>
      <c r="I4435" s="32" t="s">
        <v>5655</v>
      </c>
      <c r="AI4435" s="32">
        <v>4500</v>
      </c>
      <c r="AK4435" s="32">
        <v>7</v>
      </c>
      <c r="AO4435" s="73" t="s">
        <v>858</v>
      </c>
      <c r="AQ4435" s="32">
        <v>439</v>
      </c>
      <c r="AU4435">
        <v>4434</v>
      </c>
    </row>
    <row r="4436" spans="1:47" x14ac:dyDescent="0.2">
      <c r="A4436" s="26">
        <v>6750</v>
      </c>
      <c r="B4436" s="27" t="s">
        <v>85</v>
      </c>
      <c r="C4436" s="28"/>
      <c r="D4436" s="29"/>
      <c r="E4436" s="102" t="s">
        <v>364</v>
      </c>
      <c r="H4436" s="32">
        <v>1</v>
      </c>
      <c r="I4436" s="32" t="s">
        <v>5656</v>
      </c>
      <c r="AI4436" s="32">
        <v>500</v>
      </c>
      <c r="AO4436" s="73"/>
      <c r="AQ4436" s="32" t="s">
        <v>5431</v>
      </c>
      <c r="AU4436">
        <v>4435</v>
      </c>
    </row>
    <row r="4437" spans="1:47" x14ac:dyDescent="0.2">
      <c r="A4437" s="26">
        <v>6750</v>
      </c>
      <c r="B4437" s="27"/>
      <c r="C4437" s="28"/>
      <c r="D4437" s="29"/>
      <c r="E4437" s="30" t="s">
        <v>75</v>
      </c>
      <c r="H4437" s="32">
        <v>1</v>
      </c>
      <c r="I4437" s="32" t="s">
        <v>5657</v>
      </c>
      <c r="AG4437" s="32">
        <v>0</v>
      </c>
      <c r="AH4437" s="32">
        <v>0</v>
      </c>
      <c r="AI4437" s="32">
        <v>1500</v>
      </c>
      <c r="AL4437" s="32">
        <v>0</v>
      </c>
      <c r="AQ4437" s="32">
        <v>413</v>
      </c>
      <c r="AU4437">
        <v>4436</v>
      </c>
    </row>
    <row r="4438" spans="1:47" x14ac:dyDescent="0.2">
      <c r="A4438" s="133">
        <v>6751</v>
      </c>
      <c r="B4438" s="39" t="s">
        <v>85</v>
      </c>
      <c r="C4438" s="39">
        <v>55</v>
      </c>
      <c r="D4438" s="29" t="b">
        <v>0</v>
      </c>
      <c r="E4438" s="39" t="s">
        <v>858</v>
      </c>
      <c r="F4438" s="47" t="s">
        <v>5496</v>
      </c>
      <c r="G4438" s="47" t="s">
        <v>49</v>
      </c>
      <c r="H4438"/>
      <c r="I4438" s="47" t="b">
        <v>0</v>
      </c>
      <c r="J4438" s="47" t="b">
        <v>1</v>
      </c>
      <c r="K4438" s="47">
        <v>2110</v>
      </c>
      <c r="L4438" s="48">
        <v>12</v>
      </c>
      <c r="M4438" s="47">
        <v>0</v>
      </c>
      <c r="N4438" s="47">
        <v>2</v>
      </c>
      <c r="O4438" s="47">
        <v>1</v>
      </c>
      <c r="P4438" s="47">
        <v>0</v>
      </c>
      <c r="Q4438" s="47">
        <v>0</v>
      </c>
      <c r="R4438" s="47">
        <v>0</v>
      </c>
      <c r="S4438" s="48">
        <v>9</v>
      </c>
      <c r="T4438" s="47">
        <v>1</v>
      </c>
      <c r="U4438" s="47">
        <v>0</v>
      </c>
      <c r="V4438" s="47">
        <v>0</v>
      </c>
      <c r="W4438" s="47">
        <v>15000</v>
      </c>
      <c r="X4438" s="47">
        <v>601</v>
      </c>
      <c r="Y4438" s="47" t="s">
        <v>120</v>
      </c>
      <c r="Z4438" s="47" t="s">
        <v>3618</v>
      </c>
      <c r="AA4438" s="49">
        <v>0.23055555555555554</v>
      </c>
      <c r="AB4438" s="49">
        <v>0.3611111111111111</v>
      </c>
      <c r="AC4438" s="49">
        <f>AVERAGE(AA4438:AB4438)</f>
        <v>0.29583333333333334</v>
      </c>
      <c r="AD4438" s="50">
        <f>(AB4438-AA4438)*24</f>
        <v>3.1333333333333337</v>
      </c>
      <c r="AE4438" s="47" t="s">
        <v>5433</v>
      </c>
      <c r="AF4438" s="47">
        <v>90</v>
      </c>
      <c r="AG4438"/>
      <c r="AH4438"/>
      <c r="AI4438"/>
      <c r="AJ4438"/>
      <c r="AK4438">
        <v>25</v>
      </c>
      <c r="AL4438"/>
      <c r="AM4438"/>
      <c r="AN4438"/>
      <c r="AO4438"/>
      <c r="AP4438"/>
      <c r="AQ4438" t="s">
        <v>5434</v>
      </c>
      <c r="AU4438">
        <v>4437</v>
      </c>
    </row>
    <row r="4439" spans="1:47" x14ac:dyDescent="0.2">
      <c r="A4439" s="133">
        <v>6751</v>
      </c>
      <c r="B4439" s="39" t="s">
        <v>85</v>
      </c>
      <c r="C4439" s="39">
        <v>99</v>
      </c>
      <c r="D4439" s="29" t="b">
        <v>0</v>
      </c>
      <c r="E4439" s="39" t="s">
        <v>907</v>
      </c>
      <c r="F4439" s="47" t="s">
        <v>5658</v>
      </c>
      <c r="G4439" s="47" t="s">
        <v>49</v>
      </c>
      <c r="H4439"/>
      <c r="I4439" s="47" t="b">
        <v>0</v>
      </c>
      <c r="J4439" s="47" t="b">
        <v>1</v>
      </c>
      <c r="K4439" s="47">
        <v>2506</v>
      </c>
      <c r="L4439" s="48">
        <v>12</v>
      </c>
      <c r="M4439" s="47">
        <v>0</v>
      </c>
      <c r="N4439" s="47">
        <v>0</v>
      </c>
      <c r="O4439" s="47">
        <v>1</v>
      </c>
      <c r="P4439" s="47">
        <v>0</v>
      </c>
      <c r="Q4439" s="47">
        <v>0</v>
      </c>
      <c r="R4439" s="47">
        <v>0</v>
      </c>
      <c r="S4439" s="48">
        <v>11</v>
      </c>
      <c r="T4439" s="47">
        <v>1</v>
      </c>
      <c r="U4439" s="47">
        <v>0</v>
      </c>
      <c r="V4439" s="47">
        <v>0</v>
      </c>
      <c r="W4439" s="47">
        <v>14000</v>
      </c>
      <c r="X4439" s="47">
        <v>602</v>
      </c>
      <c r="Y4439" s="47" t="s">
        <v>120</v>
      </c>
      <c r="Z4439" s="47" t="s">
        <v>5139</v>
      </c>
      <c r="AA4439" s="49">
        <v>0.19791666666666666</v>
      </c>
      <c r="AB4439" s="49">
        <v>0.34375</v>
      </c>
      <c r="AC4439" s="49">
        <f>AVERAGE(AA4439:AB4439)</f>
        <v>0.27083333333333331</v>
      </c>
      <c r="AD4439" s="50">
        <f>(AB4439-AA4439)*24</f>
        <v>3.5</v>
      </c>
      <c r="AE4439" s="47" t="s">
        <v>5433</v>
      </c>
      <c r="AF4439" s="47">
        <v>125</v>
      </c>
      <c r="AG4439"/>
      <c r="AH4439"/>
      <c r="AI4439"/>
      <c r="AJ4439"/>
      <c r="AK4439">
        <v>15</v>
      </c>
      <c r="AL4439"/>
      <c r="AM4439"/>
      <c r="AN4439"/>
      <c r="AO4439"/>
      <c r="AP4439"/>
      <c r="AQ4439" t="s">
        <v>2526</v>
      </c>
      <c r="AU4439">
        <v>4438</v>
      </c>
    </row>
    <row r="4440" spans="1:47" x14ac:dyDescent="0.2">
      <c r="A4440" s="133">
        <v>6751</v>
      </c>
      <c r="B4440" s="39" t="s">
        <v>85</v>
      </c>
      <c r="C4440" s="39">
        <v>104</v>
      </c>
      <c r="D4440" s="29" t="b">
        <v>0</v>
      </c>
      <c r="E4440" s="39" t="s">
        <v>720</v>
      </c>
      <c r="F4440" s="47" t="s">
        <v>5659</v>
      </c>
      <c r="G4440" s="47" t="s">
        <v>274</v>
      </c>
      <c r="H4440"/>
      <c r="I4440" s="47" t="b">
        <v>0</v>
      </c>
      <c r="J4440" s="47" t="b">
        <v>1</v>
      </c>
      <c r="K4440" s="47">
        <v>1592</v>
      </c>
      <c r="L4440" s="48">
        <v>12</v>
      </c>
      <c r="M4440" s="47">
        <v>0</v>
      </c>
      <c r="N4440" s="47">
        <v>4</v>
      </c>
      <c r="O4440" s="47">
        <v>1</v>
      </c>
      <c r="P4440" s="47">
        <v>0</v>
      </c>
      <c r="Q4440" s="47">
        <v>0</v>
      </c>
      <c r="R4440" s="47">
        <v>0</v>
      </c>
      <c r="S4440" s="48">
        <v>7</v>
      </c>
      <c r="T4440" s="47">
        <v>1</v>
      </c>
      <c r="U4440" s="47">
        <v>0</v>
      </c>
      <c r="V4440" s="47">
        <v>0</v>
      </c>
      <c r="W4440" s="47"/>
      <c r="X4440" s="47">
        <v>603</v>
      </c>
      <c r="Y4440" s="47" t="s">
        <v>120</v>
      </c>
      <c r="Z4440" s="47" t="s">
        <v>5139</v>
      </c>
      <c r="AA4440" s="49">
        <v>0.17708333333333334</v>
      </c>
      <c r="AB4440" s="49">
        <v>0.33333333333333331</v>
      </c>
      <c r="AC4440" s="49">
        <f>AVERAGE(AA4440:AB4440)</f>
        <v>0.25520833333333331</v>
      </c>
      <c r="AD4440" s="50">
        <f>(AB4440-AA4440)*24</f>
        <v>3.7499999999999991</v>
      </c>
      <c r="AE4440" s="47" t="s">
        <v>5433</v>
      </c>
      <c r="AF4440" s="47">
        <v>165</v>
      </c>
      <c r="AG4440"/>
      <c r="AH4440"/>
      <c r="AI4440"/>
      <c r="AJ4440"/>
      <c r="AK4440">
        <v>10</v>
      </c>
      <c r="AL4440"/>
      <c r="AM4440"/>
      <c r="AN4440"/>
      <c r="AO4440"/>
      <c r="AP4440"/>
      <c r="AQ4440" t="s">
        <v>5485</v>
      </c>
      <c r="AU4440">
        <v>4439</v>
      </c>
    </row>
    <row r="4441" spans="1:47" x14ac:dyDescent="0.2">
      <c r="A4441" s="37">
        <v>6751</v>
      </c>
      <c r="B4441" s="38" t="s">
        <v>85</v>
      </c>
      <c r="C4441" s="39" t="s">
        <v>5533</v>
      </c>
      <c r="D4441" s="29"/>
      <c r="E4441" s="38" t="s">
        <v>788</v>
      </c>
      <c r="F4441" s="32" t="s">
        <v>1743</v>
      </c>
      <c r="G4441" s="31" t="s">
        <v>49</v>
      </c>
      <c r="H4441" s="32"/>
      <c r="I4441" s="32" t="s">
        <v>5660</v>
      </c>
      <c r="J4441" s="47"/>
      <c r="K4441" s="47"/>
      <c r="L4441" s="48">
        <v>6</v>
      </c>
      <c r="M4441" s="47"/>
      <c r="N4441" s="47">
        <v>2</v>
      </c>
      <c r="O4441" s="47"/>
      <c r="P4441" s="47"/>
      <c r="Q4441" s="47"/>
      <c r="R4441" s="47"/>
      <c r="S4441" s="48">
        <v>4</v>
      </c>
      <c r="T4441" s="47"/>
      <c r="U4441" s="47"/>
      <c r="V4441" s="47"/>
      <c r="W4441" s="47"/>
      <c r="X4441" s="47"/>
      <c r="Y4441" s="47"/>
      <c r="Z4441" s="31" t="s">
        <v>3724</v>
      </c>
      <c r="AA4441" s="49"/>
      <c r="AB4441" s="49"/>
      <c r="AC4441" s="49"/>
      <c r="AD4441" s="50"/>
      <c r="AE4441" s="47" t="s">
        <v>5536</v>
      </c>
      <c r="AF4441" s="47">
        <v>70</v>
      </c>
      <c r="AG4441"/>
      <c r="AH4441"/>
      <c r="AI4441"/>
      <c r="AJ4441"/>
      <c r="AK4441"/>
      <c r="AL4441"/>
      <c r="AM4441"/>
      <c r="AN4441"/>
      <c r="AO4441"/>
      <c r="AP4441"/>
      <c r="AQ4441"/>
      <c r="AU4441">
        <v>4440</v>
      </c>
    </row>
    <row r="4442" spans="1:47" x14ac:dyDescent="0.2">
      <c r="A4442" s="37">
        <v>6751</v>
      </c>
      <c r="B4442" s="38" t="s">
        <v>85</v>
      </c>
      <c r="C4442" s="15" t="s">
        <v>5626</v>
      </c>
      <c r="D4442" s="29"/>
      <c r="E4442" s="103" t="s">
        <v>5661</v>
      </c>
      <c r="F4442" s="167" t="s">
        <v>5610</v>
      </c>
      <c r="G4442" s="19" t="s">
        <v>69</v>
      </c>
      <c r="H4442" s="32"/>
      <c r="I4442" s="18" t="s">
        <v>5662</v>
      </c>
      <c r="J4442" s="47"/>
      <c r="K4442" s="47">
        <f>2235*2.2</f>
        <v>4917</v>
      </c>
      <c r="L4442" s="48">
        <v>23</v>
      </c>
      <c r="M4442" s="47"/>
      <c r="N4442" s="47"/>
      <c r="O4442" s="47"/>
      <c r="P4442" s="47"/>
      <c r="Q4442" s="47"/>
      <c r="R4442" s="47"/>
      <c r="S4442" s="48">
        <v>17</v>
      </c>
      <c r="T4442" s="47">
        <v>0</v>
      </c>
      <c r="U4442" s="47"/>
      <c r="V4442" s="47"/>
      <c r="W4442" s="47">
        <f>5000*39.37/12</f>
        <v>16404.166666666668</v>
      </c>
      <c r="X4442" s="47"/>
      <c r="Y4442" s="17" t="s">
        <v>120</v>
      </c>
      <c r="Z4442" s="19" t="s">
        <v>3724</v>
      </c>
      <c r="AA4442" s="49"/>
      <c r="AB4442" s="49"/>
      <c r="AC4442" s="49"/>
      <c r="AD4442" s="50"/>
      <c r="AE4442" s="47"/>
      <c r="AF4442" s="47"/>
      <c r="AG4442"/>
      <c r="AH4442"/>
      <c r="AI4442"/>
      <c r="AJ4442"/>
      <c r="AK4442"/>
      <c r="AL4442"/>
      <c r="AM4442"/>
      <c r="AN4442"/>
      <c r="AO4442"/>
      <c r="AP4442"/>
      <c r="AQ4442" s="25" t="s">
        <v>5663</v>
      </c>
      <c r="AU4442">
        <v>4441</v>
      </c>
    </row>
    <row r="4443" spans="1:47" x14ac:dyDescent="0.2">
      <c r="A4443" s="13">
        <v>6751</v>
      </c>
      <c r="B4443" s="57" t="s">
        <v>45</v>
      </c>
      <c r="C4443" s="57" t="s">
        <v>4843</v>
      </c>
      <c r="D4443" s="29"/>
      <c r="E4443" s="57" t="s">
        <v>5608</v>
      </c>
      <c r="F4443" s="31" t="s">
        <v>5606</v>
      </c>
      <c r="G4443" s="31" t="s">
        <v>69</v>
      </c>
      <c r="K4443" s="31">
        <v>3872</v>
      </c>
      <c r="S4443" s="33">
        <v>8</v>
      </c>
      <c r="Z4443" s="31" t="s">
        <v>3814</v>
      </c>
      <c r="AQ4443" s="32" t="s">
        <v>5607</v>
      </c>
      <c r="AU4443">
        <v>4442</v>
      </c>
    </row>
    <row r="4444" spans="1:47" x14ac:dyDescent="0.2">
      <c r="A4444" s="13">
        <v>6751</v>
      </c>
      <c r="B4444" s="57" t="s">
        <v>45</v>
      </c>
      <c r="C4444" s="57" t="s">
        <v>4843</v>
      </c>
      <c r="D4444" s="29"/>
      <c r="E4444" s="57" t="s">
        <v>4845</v>
      </c>
      <c r="F4444" s="31" t="s">
        <v>204</v>
      </c>
      <c r="G4444" s="31" t="s">
        <v>205</v>
      </c>
      <c r="K4444" s="31">
        <v>4752</v>
      </c>
      <c r="S4444" s="33">
        <v>10</v>
      </c>
      <c r="Z4444" s="31" t="s">
        <v>3814</v>
      </c>
      <c r="AQ4444" s="32" t="s">
        <v>5607</v>
      </c>
      <c r="AU4444">
        <v>4443</v>
      </c>
    </row>
    <row r="4445" spans="1:47" x14ac:dyDescent="0.2">
      <c r="A4445" s="133">
        <v>6751</v>
      </c>
      <c r="B4445" s="39" t="s">
        <v>45</v>
      </c>
      <c r="C4445" s="39">
        <v>100</v>
      </c>
      <c r="D4445" s="29" t="b">
        <v>0</v>
      </c>
      <c r="E4445" s="39" t="s">
        <v>5664</v>
      </c>
      <c r="F4445" s="47" t="s">
        <v>5665</v>
      </c>
      <c r="G4445" s="47" t="s">
        <v>205</v>
      </c>
      <c r="H4445"/>
      <c r="I4445" s="47" t="b">
        <v>1</v>
      </c>
      <c r="J4445" s="47" t="b">
        <v>1</v>
      </c>
      <c r="K4445" s="47">
        <v>4747</v>
      </c>
      <c r="L4445" s="48">
        <v>-1</v>
      </c>
      <c r="M4445" s="47">
        <v>0</v>
      </c>
      <c r="N4445" s="47">
        <v>0</v>
      </c>
      <c r="O4445" s="47">
        <v>0</v>
      </c>
      <c r="P4445" s="47">
        <v>0</v>
      </c>
      <c r="Q4445" s="47">
        <v>0</v>
      </c>
      <c r="R4445" s="47">
        <v>0</v>
      </c>
      <c r="S4445" s="48">
        <v>15</v>
      </c>
      <c r="T4445" s="47">
        <v>0</v>
      </c>
      <c r="U4445" s="47">
        <v>0</v>
      </c>
      <c r="V4445" s="47">
        <v>0</v>
      </c>
      <c r="W4445" s="47">
        <v>1200</v>
      </c>
      <c r="X4445" s="47">
        <v>604</v>
      </c>
      <c r="Y4445" s="47"/>
      <c r="Z4445" s="47" t="s">
        <v>2524</v>
      </c>
      <c r="AA4445" s="49"/>
      <c r="AB4445" s="49"/>
      <c r="AC4445" s="49"/>
      <c r="AD4445" s="50"/>
      <c r="AE4445" s="47" t="s">
        <v>1312</v>
      </c>
      <c r="AF4445" s="47">
        <v>75</v>
      </c>
      <c r="AG4445"/>
      <c r="AH4445"/>
      <c r="AI4445"/>
      <c r="AJ4445"/>
      <c r="AK4445"/>
      <c r="AL4445"/>
      <c r="AM4445"/>
      <c r="AN4445"/>
      <c r="AO4445"/>
      <c r="AP4445"/>
      <c r="AQ4445" t="s">
        <v>2526</v>
      </c>
      <c r="AU4445">
        <v>4444</v>
      </c>
    </row>
    <row r="4446" spans="1:47" x14ac:dyDescent="0.2">
      <c r="A4446" s="133">
        <v>6751</v>
      </c>
      <c r="B4446" s="39" t="s">
        <v>45</v>
      </c>
      <c r="C4446" s="39">
        <v>100</v>
      </c>
      <c r="D4446" s="29" t="b">
        <v>0</v>
      </c>
      <c r="E4446" s="39" t="s">
        <v>5666</v>
      </c>
      <c r="F4446" s="47" t="s">
        <v>529</v>
      </c>
      <c r="G4446" s="47" t="s">
        <v>205</v>
      </c>
      <c r="H4446"/>
      <c r="I4446" s="47" t="b">
        <v>0</v>
      </c>
      <c r="J4446" s="47" t="b">
        <v>0</v>
      </c>
      <c r="K4446" s="47">
        <v>3912</v>
      </c>
      <c r="L4446" s="48">
        <v>-1</v>
      </c>
      <c r="M4446" s="47">
        <v>0</v>
      </c>
      <c r="N4446" s="47">
        <v>0</v>
      </c>
      <c r="O4446" s="47">
        <v>0</v>
      </c>
      <c r="P4446" s="47">
        <v>0</v>
      </c>
      <c r="Q4446" s="47">
        <v>0</v>
      </c>
      <c r="R4446" s="47">
        <v>0</v>
      </c>
      <c r="S4446" s="48">
        <v>11</v>
      </c>
      <c r="T4446" s="47">
        <v>0</v>
      </c>
      <c r="U4446" s="47">
        <v>0</v>
      </c>
      <c r="V4446" s="47">
        <v>0</v>
      </c>
      <c r="W4446" s="47">
        <v>1200</v>
      </c>
      <c r="X4446" s="47">
        <v>605</v>
      </c>
      <c r="Y4446" s="47"/>
      <c r="Z4446" s="47" t="s">
        <v>2524</v>
      </c>
      <c r="AA4446" s="49"/>
      <c r="AB4446" s="49"/>
      <c r="AC4446" s="49"/>
      <c r="AD4446" s="50"/>
      <c r="AE4446" s="47" t="s">
        <v>1312</v>
      </c>
      <c r="AF4446" s="47">
        <v>75</v>
      </c>
      <c r="AG4446"/>
      <c r="AH4446"/>
      <c r="AI4446"/>
      <c r="AJ4446"/>
      <c r="AK4446"/>
      <c r="AL4446"/>
      <c r="AM4446"/>
      <c r="AN4446"/>
      <c r="AO4446"/>
      <c r="AP4446"/>
      <c r="AQ4446" t="s">
        <v>2526</v>
      </c>
      <c r="AU4446">
        <v>4445</v>
      </c>
    </row>
    <row r="4447" spans="1:47" x14ac:dyDescent="0.2">
      <c r="A4447" s="133">
        <v>6751</v>
      </c>
      <c r="B4447" s="39" t="s">
        <v>45</v>
      </c>
      <c r="C4447" s="39">
        <v>100</v>
      </c>
      <c r="D4447" s="29" t="b">
        <v>0</v>
      </c>
      <c r="E4447" s="39" t="s">
        <v>5667</v>
      </c>
      <c r="F4447" s="47" t="s">
        <v>3663</v>
      </c>
      <c r="G4447" s="47" t="s">
        <v>49</v>
      </c>
      <c r="H4447"/>
      <c r="I4447" s="47" t="b">
        <v>0</v>
      </c>
      <c r="J4447" s="47" t="b">
        <v>0</v>
      </c>
      <c r="K4447" s="47">
        <v>835</v>
      </c>
      <c r="L4447" s="48">
        <v>-1</v>
      </c>
      <c r="M4447" s="47">
        <v>0</v>
      </c>
      <c r="N4447" s="47">
        <v>0</v>
      </c>
      <c r="O4447" s="47">
        <v>0</v>
      </c>
      <c r="P4447" s="47">
        <v>0</v>
      </c>
      <c r="Q4447" s="47">
        <v>0</v>
      </c>
      <c r="R4447" s="47">
        <v>0</v>
      </c>
      <c r="S4447" s="48">
        <v>4</v>
      </c>
      <c r="T4447" s="47">
        <v>0</v>
      </c>
      <c r="U4447" s="47">
        <v>0</v>
      </c>
      <c r="V4447" s="47">
        <v>0</v>
      </c>
      <c r="W4447" s="47"/>
      <c r="X4447" s="47">
        <v>606</v>
      </c>
      <c r="Y4447" s="47"/>
      <c r="Z4447" s="47" t="s">
        <v>2524</v>
      </c>
      <c r="AA4447" s="49"/>
      <c r="AB4447" s="49"/>
      <c r="AC4447" s="49"/>
      <c r="AD4447" s="50"/>
      <c r="AE4447" s="47" t="s">
        <v>1312</v>
      </c>
      <c r="AF4447" s="47">
        <v>55</v>
      </c>
      <c r="AG4447"/>
      <c r="AH4447"/>
      <c r="AI4447"/>
      <c r="AJ4447"/>
      <c r="AK4447"/>
      <c r="AL4447"/>
      <c r="AM4447"/>
      <c r="AN4447"/>
      <c r="AO4447"/>
      <c r="AP4447"/>
      <c r="AQ4447" t="s">
        <v>2526</v>
      </c>
      <c r="AU4447">
        <v>4446</v>
      </c>
    </row>
    <row r="4448" spans="1:47" x14ac:dyDescent="0.2">
      <c r="A4448" s="133">
        <v>6751</v>
      </c>
      <c r="B4448" s="39" t="s">
        <v>45</v>
      </c>
      <c r="C4448" s="39">
        <v>216</v>
      </c>
      <c r="D4448" s="29" t="b">
        <v>0</v>
      </c>
      <c r="E4448" s="39" t="s">
        <v>5668</v>
      </c>
      <c r="F4448" s="47" t="s">
        <v>5669</v>
      </c>
      <c r="G4448" s="47" t="s">
        <v>49</v>
      </c>
      <c r="H4448"/>
      <c r="I4448" s="47" t="b">
        <v>1</v>
      </c>
      <c r="J4448" s="47" t="b">
        <v>1</v>
      </c>
      <c r="K4448" s="47">
        <v>6720</v>
      </c>
      <c r="L4448" s="48">
        <v>6</v>
      </c>
      <c r="M4448" s="47">
        <v>0</v>
      </c>
      <c r="N4448" s="47">
        <v>1</v>
      </c>
      <c r="O4448" s="47">
        <v>0</v>
      </c>
      <c r="P4448" s="47">
        <v>0</v>
      </c>
      <c r="Q4448" s="47">
        <v>0</v>
      </c>
      <c r="R4448" s="47">
        <v>1</v>
      </c>
      <c r="S4448" s="48">
        <v>5</v>
      </c>
      <c r="T4448" s="47">
        <v>0</v>
      </c>
      <c r="U4448" s="47">
        <v>0</v>
      </c>
      <c r="V4448" s="47">
        <v>0</v>
      </c>
      <c r="W4448" s="47"/>
      <c r="X4448" s="47">
        <v>607</v>
      </c>
      <c r="Y4448" s="47"/>
      <c r="Z4448" s="47" t="s">
        <v>2466</v>
      </c>
      <c r="AA4448" s="49"/>
      <c r="AB4448" s="49"/>
      <c r="AC4448" s="49"/>
      <c r="AD4448" s="50"/>
      <c r="AE4448" s="47" t="s">
        <v>1312</v>
      </c>
      <c r="AF4448" s="47">
        <v>60</v>
      </c>
      <c r="AG4448"/>
      <c r="AH4448"/>
      <c r="AI4448"/>
      <c r="AJ4448"/>
      <c r="AK4448"/>
      <c r="AL4448"/>
      <c r="AM4448"/>
      <c r="AN4448"/>
      <c r="AO4448"/>
      <c r="AP4448"/>
      <c r="AQ4448" t="s">
        <v>2526</v>
      </c>
      <c r="AU4448">
        <v>4447</v>
      </c>
    </row>
    <row r="4449" spans="1:47" x14ac:dyDescent="0.2">
      <c r="A4449" s="133">
        <v>6751</v>
      </c>
      <c r="B4449" s="39" t="s">
        <v>45</v>
      </c>
      <c r="C4449" s="39">
        <v>216</v>
      </c>
      <c r="D4449" s="29" t="b">
        <v>0</v>
      </c>
      <c r="E4449" s="39" t="s">
        <v>1168</v>
      </c>
      <c r="F4449" s="47" t="s">
        <v>5439</v>
      </c>
      <c r="G4449" s="47" t="s">
        <v>49</v>
      </c>
      <c r="H4449"/>
      <c r="I4449" s="47" t="b">
        <v>0</v>
      </c>
      <c r="J4449" s="47" t="b">
        <v>0</v>
      </c>
      <c r="K4449" s="47">
        <v>5376</v>
      </c>
      <c r="L4449" s="48">
        <v>6</v>
      </c>
      <c r="M4449" s="47">
        <v>0</v>
      </c>
      <c r="N4449" s="47">
        <v>1</v>
      </c>
      <c r="O4449" s="47">
        <v>0</v>
      </c>
      <c r="P4449" s="47">
        <v>0</v>
      </c>
      <c r="Q4449" s="47">
        <v>0</v>
      </c>
      <c r="R4449" s="47">
        <v>1</v>
      </c>
      <c r="S4449" s="48">
        <v>4</v>
      </c>
      <c r="T4449" s="47">
        <v>0</v>
      </c>
      <c r="U4449" s="47">
        <v>0</v>
      </c>
      <c r="V4449" s="47">
        <v>0</v>
      </c>
      <c r="W4449" s="47"/>
      <c r="X4449" s="47">
        <v>608</v>
      </c>
      <c r="Y4449" s="47"/>
      <c r="Z4449" s="47" t="s">
        <v>2466</v>
      </c>
      <c r="AA4449" s="49"/>
      <c r="AB4449" s="49"/>
      <c r="AC4449" s="49"/>
      <c r="AD4449" s="50"/>
      <c r="AE4449" s="47" t="s">
        <v>1312</v>
      </c>
      <c r="AF4449" s="47">
        <v>60</v>
      </c>
      <c r="AG4449"/>
      <c r="AH4449"/>
      <c r="AI4449"/>
      <c r="AJ4449"/>
      <c r="AK4449"/>
      <c r="AL4449"/>
      <c r="AM4449"/>
      <c r="AN4449"/>
      <c r="AO4449"/>
      <c r="AP4449"/>
      <c r="AQ4449" t="s">
        <v>2526</v>
      </c>
      <c r="AU4449">
        <v>4448</v>
      </c>
    </row>
    <row r="4450" spans="1:47" x14ac:dyDescent="0.2">
      <c r="A4450" s="133">
        <v>6751</v>
      </c>
      <c r="B4450" s="39" t="s">
        <v>45</v>
      </c>
      <c r="C4450" s="39">
        <v>216</v>
      </c>
      <c r="D4450" s="29" t="b">
        <v>0</v>
      </c>
      <c r="E4450" s="39" t="s">
        <v>5670</v>
      </c>
      <c r="F4450" s="47" t="s">
        <v>5345</v>
      </c>
      <c r="G4450" s="47" t="s">
        <v>49</v>
      </c>
      <c r="H4450"/>
      <c r="I4450" s="47" t="b">
        <v>0</v>
      </c>
      <c r="J4450" s="47" t="b">
        <v>0</v>
      </c>
      <c r="K4450" s="47">
        <v>1344</v>
      </c>
      <c r="L4450" s="48">
        <v>6</v>
      </c>
      <c r="M4450" s="47">
        <v>0</v>
      </c>
      <c r="N4450" s="47">
        <v>1</v>
      </c>
      <c r="O4450" s="47">
        <v>0</v>
      </c>
      <c r="P4450" s="47">
        <v>0</v>
      </c>
      <c r="Q4450" s="47">
        <v>0</v>
      </c>
      <c r="R4450" s="47">
        <v>1</v>
      </c>
      <c r="S4450" s="48">
        <v>1</v>
      </c>
      <c r="T4450" s="47">
        <v>0</v>
      </c>
      <c r="U4450" s="47">
        <v>0</v>
      </c>
      <c r="V4450" s="47">
        <v>0</v>
      </c>
      <c r="W4450" s="47"/>
      <c r="X4450" s="47">
        <v>609</v>
      </c>
      <c r="Y4450" s="47"/>
      <c r="Z4450" s="47" t="s">
        <v>2466</v>
      </c>
      <c r="AA4450" s="49"/>
      <c r="AB4450" s="49"/>
      <c r="AC4450" s="49"/>
      <c r="AD4450" s="50"/>
      <c r="AE4450" s="47" t="s">
        <v>1312</v>
      </c>
      <c r="AF4450" s="47">
        <v>55</v>
      </c>
      <c r="AG4450"/>
      <c r="AH4450"/>
      <c r="AI4450"/>
      <c r="AJ4450"/>
      <c r="AK4450"/>
      <c r="AL4450"/>
      <c r="AM4450"/>
      <c r="AN4450"/>
      <c r="AO4450"/>
      <c r="AP4450"/>
      <c r="AQ4450" t="s">
        <v>2526</v>
      </c>
      <c r="AU4450">
        <v>4449</v>
      </c>
    </row>
    <row r="4451" spans="1:47" x14ac:dyDescent="0.2">
      <c r="A4451" s="133">
        <v>6751</v>
      </c>
      <c r="B4451" s="39" t="s">
        <v>45</v>
      </c>
      <c r="C4451" s="39" t="s">
        <v>142</v>
      </c>
      <c r="D4451" s="29"/>
      <c r="E4451" s="38" t="s">
        <v>5671</v>
      </c>
      <c r="F4451" s="31" t="s">
        <v>5672</v>
      </c>
      <c r="G4451" s="31" t="s">
        <v>69</v>
      </c>
      <c r="H4451" s="32"/>
      <c r="I4451" s="47" t="b">
        <v>1</v>
      </c>
      <c r="J4451" s="47" t="b">
        <v>1</v>
      </c>
      <c r="K4451" s="47">
        <f>7045*2.2</f>
        <v>15499.000000000002</v>
      </c>
      <c r="L4451" s="48">
        <f>30+5</f>
        <v>35</v>
      </c>
      <c r="M4451" s="47">
        <v>1</v>
      </c>
      <c r="N4451" s="47">
        <v>1</v>
      </c>
      <c r="O4451" s="47">
        <v>1</v>
      </c>
      <c r="P4451" s="47"/>
      <c r="Q4451" s="47"/>
      <c r="R4451" s="47"/>
      <c r="S4451" s="48">
        <f>27+5</f>
        <v>32</v>
      </c>
      <c r="T4451" s="47">
        <v>0</v>
      </c>
      <c r="U4451" s="47">
        <v>0</v>
      </c>
      <c r="V4451" s="47">
        <v>0</v>
      </c>
      <c r="W4451" s="47"/>
      <c r="X4451" s="47"/>
      <c r="Y4451" s="47" t="s">
        <v>51</v>
      </c>
      <c r="Z4451" s="31" t="s">
        <v>5673</v>
      </c>
      <c r="AA4451" s="49"/>
      <c r="AB4451" s="49"/>
      <c r="AC4451" s="49"/>
      <c r="AD4451" s="50"/>
      <c r="AE4451" s="47" t="s">
        <v>4217</v>
      </c>
      <c r="AF4451" s="47"/>
      <c r="AG4451"/>
      <c r="AH4451"/>
      <c r="AI4451"/>
      <c r="AJ4451"/>
      <c r="AK4451">
        <f>8+2+1+163+6+14+8</f>
        <v>202</v>
      </c>
      <c r="AL4451"/>
      <c r="AM4451"/>
      <c r="AN4451"/>
      <c r="AO4451"/>
      <c r="AP4451"/>
      <c r="AQ4451" t="s">
        <v>5674</v>
      </c>
      <c r="AR4451" s="32" t="s">
        <v>5675</v>
      </c>
      <c r="AU4451">
        <v>4450</v>
      </c>
    </row>
    <row r="4452" spans="1:47" x14ac:dyDescent="0.2">
      <c r="A4452" s="13">
        <v>6751</v>
      </c>
      <c r="B4452" s="39" t="s">
        <v>45</v>
      </c>
      <c r="C4452" s="57" t="s">
        <v>142</v>
      </c>
      <c r="D4452" s="29"/>
      <c r="E4452" s="57" t="s">
        <v>5608</v>
      </c>
      <c r="F4452" s="31" t="s">
        <v>5606</v>
      </c>
      <c r="G4452" s="31" t="s">
        <v>69</v>
      </c>
      <c r="I4452" s="47" t="b">
        <v>0</v>
      </c>
      <c r="J4452" s="47" t="b">
        <v>0</v>
      </c>
      <c r="K4452" s="31">
        <v>9889</v>
      </c>
      <c r="S4452" s="33">
        <v>16</v>
      </c>
      <c r="Z4452" s="31" t="s">
        <v>3855</v>
      </c>
      <c r="AE4452" s="47" t="s">
        <v>4217</v>
      </c>
      <c r="AQ4452" s="32" t="s">
        <v>5607</v>
      </c>
      <c r="AR4452" s="32" t="s">
        <v>5634</v>
      </c>
      <c r="AU4452">
        <v>4451</v>
      </c>
    </row>
    <row r="4453" spans="1:47" x14ac:dyDescent="0.2">
      <c r="A4453" s="13">
        <v>6751</v>
      </c>
      <c r="B4453" s="39" t="s">
        <v>45</v>
      </c>
      <c r="C4453" s="57" t="s">
        <v>142</v>
      </c>
      <c r="D4453" s="29"/>
      <c r="E4453" s="57" t="s">
        <v>5623</v>
      </c>
      <c r="F4453" s="31" t="s">
        <v>204</v>
      </c>
      <c r="G4453" s="31" t="s">
        <v>205</v>
      </c>
      <c r="I4453" s="47" t="b">
        <v>0</v>
      </c>
      <c r="J4453" s="47" t="b">
        <v>0</v>
      </c>
      <c r="K4453" s="31">
        <v>4499</v>
      </c>
      <c r="S4453" s="33">
        <v>9</v>
      </c>
      <c r="Z4453" s="31" t="s">
        <v>3855</v>
      </c>
      <c r="AE4453" s="47" t="s">
        <v>4217</v>
      </c>
      <c r="AF4453" s="31">
        <v>65</v>
      </c>
      <c r="AQ4453" s="32" t="s">
        <v>5607</v>
      </c>
      <c r="AR4453" s="32" t="s">
        <v>5634</v>
      </c>
      <c r="AU4453">
        <v>4452</v>
      </c>
    </row>
    <row r="4454" spans="1:47" x14ac:dyDescent="0.2">
      <c r="A4454" s="13">
        <v>6751</v>
      </c>
      <c r="B4454" s="39" t="s">
        <v>45</v>
      </c>
      <c r="C4454" s="57" t="s">
        <v>142</v>
      </c>
      <c r="D4454" s="29"/>
      <c r="E4454" s="57" t="s">
        <v>5676</v>
      </c>
      <c r="F4454" s="31" t="s">
        <v>204</v>
      </c>
      <c r="G4454" s="31" t="s">
        <v>205</v>
      </c>
      <c r="I4454" s="47" t="b">
        <v>0</v>
      </c>
      <c r="J4454" s="47" t="b">
        <v>0</v>
      </c>
      <c r="K4454" s="31">
        <v>1111</v>
      </c>
      <c r="S4454" s="33">
        <v>2</v>
      </c>
      <c r="Z4454" s="31" t="s">
        <v>3855</v>
      </c>
      <c r="AE4454" s="47" t="s">
        <v>4217</v>
      </c>
      <c r="AF4454" s="31">
        <v>130</v>
      </c>
      <c r="AQ4454" s="32" t="s">
        <v>5607</v>
      </c>
      <c r="AR4454" s="32" t="s">
        <v>5634</v>
      </c>
      <c r="AU4454">
        <v>4453</v>
      </c>
    </row>
    <row r="4455" spans="1:47" x14ac:dyDescent="0.2">
      <c r="A4455" s="13">
        <v>6751</v>
      </c>
      <c r="B4455" s="57" t="s">
        <v>45</v>
      </c>
      <c r="C4455" s="57" t="s">
        <v>1367</v>
      </c>
      <c r="D4455" s="29"/>
      <c r="E4455" s="57" t="s">
        <v>3936</v>
      </c>
      <c r="F4455" s="31" t="s">
        <v>76</v>
      </c>
      <c r="G4455" s="31" t="s">
        <v>49</v>
      </c>
      <c r="K4455" s="31">
        <v>880</v>
      </c>
      <c r="S4455" s="33">
        <v>1</v>
      </c>
      <c r="AE4455" s="31" t="s">
        <v>4756</v>
      </c>
      <c r="AF4455" s="31">
        <v>55</v>
      </c>
      <c r="AQ4455" s="32" t="s">
        <v>5607</v>
      </c>
      <c r="AU4455">
        <v>4454</v>
      </c>
    </row>
    <row r="4456" spans="1:47" x14ac:dyDescent="0.2">
      <c r="A4456" s="13">
        <v>6751</v>
      </c>
      <c r="B4456" s="57" t="s">
        <v>45</v>
      </c>
      <c r="C4456" s="57" t="s">
        <v>1367</v>
      </c>
      <c r="D4456" s="29"/>
      <c r="E4456" s="57" t="s">
        <v>5677</v>
      </c>
      <c r="F4456" s="31" t="s">
        <v>76</v>
      </c>
      <c r="G4456" s="31" t="s">
        <v>49</v>
      </c>
      <c r="I4456" s="31" t="s">
        <v>5678</v>
      </c>
      <c r="K4456" s="31">
        <v>880</v>
      </c>
      <c r="S4456" s="33">
        <v>1</v>
      </c>
      <c r="AE4456" s="31" t="s">
        <v>4756</v>
      </c>
      <c r="AF4456" s="31">
        <v>45</v>
      </c>
      <c r="AQ4456" s="32" t="s">
        <v>5607</v>
      </c>
      <c r="AU4456">
        <v>4455</v>
      </c>
    </row>
    <row r="4457" spans="1:47" x14ac:dyDescent="0.2">
      <c r="A4457" s="13">
        <v>6751</v>
      </c>
      <c r="B4457" s="57" t="s">
        <v>45</v>
      </c>
      <c r="C4457" s="57" t="s">
        <v>4456</v>
      </c>
      <c r="D4457" s="29"/>
      <c r="E4457" s="57" t="s">
        <v>5419</v>
      </c>
      <c r="F4457" s="31" t="s">
        <v>76</v>
      </c>
      <c r="G4457" s="31" t="s">
        <v>49</v>
      </c>
      <c r="I4457" s="31" t="s">
        <v>5679</v>
      </c>
      <c r="K4457" s="118">
        <f>8*50*2.2</f>
        <v>880.00000000000011</v>
      </c>
      <c r="L4457" s="48">
        <v>1</v>
      </c>
      <c r="M4457" s="47"/>
      <c r="N4457" s="47"/>
      <c r="O4457" s="47"/>
      <c r="P4457" s="47"/>
      <c r="Q4457" s="47"/>
      <c r="R4457" s="47"/>
      <c r="S4457" s="48">
        <v>1</v>
      </c>
      <c r="T4457" s="47">
        <v>0</v>
      </c>
      <c r="U4457" s="47">
        <v>0</v>
      </c>
      <c r="V4457" s="47">
        <v>0</v>
      </c>
      <c r="W4457" s="47">
        <f>1400*39.37/12</f>
        <v>4593.166666666667</v>
      </c>
      <c r="X4457" s="47"/>
      <c r="Y4457" s="31" t="s">
        <v>51</v>
      </c>
      <c r="Z4457" s="31" t="s">
        <v>1846</v>
      </c>
      <c r="AA4457" s="49">
        <v>0.94444444444444453</v>
      </c>
      <c r="AB4457" s="49">
        <v>0.97569444444444453</v>
      </c>
      <c r="AC4457" s="49">
        <f>AVERAGE(AA4457:AB4457)</f>
        <v>0.96006944444444453</v>
      </c>
      <c r="AD4457" s="50">
        <v>0.75</v>
      </c>
      <c r="AE4457" s="31" t="s">
        <v>4756</v>
      </c>
      <c r="AF4457" s="47">
        <v>70</v>
      </c>
      <c r="AG4457"/>
      <c r="AH4457"/>
      <c r="AI4457"/>
      <c r="AJ4457"/>
      <c r="AK4457" s="136">
        <v>8</v>
      </c>
      <c r="AL4457"/>
      <c r="AM4457"/>
      <c r="AN4457"/>
      <c r="AO4457"/>
      <c r="AP4457"/>
      <c r="AQ4457" s="25" t="s">
        <v>5680</v>
      </c>
      <c r="AU4457">
        <v>4456</v>
      </c>
    </row>
    <row r="4458" spans="1:47" x14ac:dyDescent="0.2">
      <c r="A4458" s="13">
        <v>6751</v>
      </c>
      <c r="B4458" s="57" t="s">
        <v>45</v>
      </c>
      <c r="C4458" s="57" t="s">
        <v>4456</v>
      </c>
      <c r="D4458" s="29"/>
      <c r="E4458" s="57" t="s">
        <v>5681</v>
      </c>
      <c r="F4458" s="31" t="s">
        <v>5606</v>
      </c>
      <c r="G4458" s="31" t="s">
        <v>69</v>
      </c>
      <c r="I4458" s="31" t="s">
        <v>5682</v>
      </c>
      <c r="K4458" s="31">
        <v>880</v>
      </c>
      <c r="L4458" s="33">
        <v>1</v>
      </c>
      <c r="S4458" s="33">
        <v>1</v>
      </c>
      <c r="T4458" s="47">
        <v>0</v>
      </c>
      <c r="U4458" s="47">
        <v>0</v>
      </c>
      <c r="V4458" s="47">
        <v>0</v>
      </c>
      <c r="W4458" s="47">
        <f>1100*39.37/12</f>
        <v>3608.9166666666665</v>
      </c>
      <c r="X4458" s="47"/>
      <c r="Y4458" s="31" t="s">
        <v>51</v>
      </c>
      <c r="Z4458" s="31" t="s">
        <v>1846</v>
      </c>
      <c r="AA4458" s="49">
        <v>0.95138888888888884</v>
      </c>
      <c r="AB4458" s="49">
        <v>0.99305555555555547</v>
      </c>
      <c r="AC4458" s="49">
        <f>AVERAGE(AA4458:AB4458)</f>
        <v>0.9722222222222221</v>
      </c>
      <c r="AD4458" s="35">
        <v>1</v>
      </c>
      <c r="AE4458" s="31" t="s">
        <v>4756</v>
      </c>
      <c r="AF4458" s="31">
        <v>50</v>
      </c>
      <c r="AK4458" s="136">
        <v>8</v>
      </c>
      <c r="AQ4458" s="32" t="s">
        <v>5683</v>
      </c>
      <c r="AU4458">
        <v>4457</v>
      </c>
    </row>
    <row r="4459" spans="1:47" x14ac:dyDescent="0.2">
      <c r="A4459" s="13">
        <v>6751</v>
      </c>
      <c r="B4459" s="57" t="s">
        <v>45</v>
      </c>
      <c r="C4459" s="57" t="s">
        <v>4456</v>
      </c>
      <c r="D4459" s="29"/>
      <c r="E4459" s="57" t="s">
        <v>5684</v>
      </c>
      <c r="F4459" s="31" t="s">
        <v>76</v>
      </c>
      <c r="G4459" s="31" t="s">
        <v>49</v>
      </c>
      <c r="I4459" s="31" t="s">
        <v>5685</v>
      </c>
      <c r="K4459" s="31">
        <v>968</v>
      </c>
      <c r="S4459" s="33">
        <v>1</v>
      </c>
      <c r="T4459" s="47">
        <v>0</v>
      </c>
      <c r="U4459" s="47">
        <v>0</v>
      </c>
      <c r="V4459" s="47">
        <v>0</v>
      </c>
      <c r="W4459" s="47">
        <f>2300*39.37/12</f>
        <v>7545.916666666667</v>
      </c>
      <c r="X4459" s="47"/>
      <c r="Y4459" s="31" t="s">
        <v>51</v>
      </c>
      <c r="Z4459" s="31" t="s">
        <v>1846</v>
      </c>
      <c r="AA4459" s="49">
        <v>0.94097222222222221</v>
      </c>
      <c r="AB4459" s="49">
        <v>1.0138888888888888</v>
      </c>
      <c r="AC4459" s="49">
        <f>AVERAGE(AA4459:AB4459)</f>
        <v>0.97743055555555558</v>
      </c>
      <c r="AD4459" s="35">
        <v>1.75</v>
      </c>
      <c r="AE4459" s="31" t="s">
        <v>4756</v>
      </c>
      <c r="AF4459" s="31">
        <v>80</v>
      </c>
      <c r="AK4459" s="136">
        <v>9</v>
      </c>
      <c r="AQ4459" s="32" t="s">
        <v>5683</v>
      </c>
      <c r="AU4459">
        <v>4458</v>
      </c>
    </row>
    <row r="4460" spans="1:47" x14ac:dyDescent="0.2">
      <c r="A4460" s="13">
        <v>6751</v>
      </c>
      <c r="B4460" s="57" t="s">
        <v>45</v>
      </c>
      <c r="C4460" s="57" t="s">
        <v>4456</v>
      </c>
      <c r="D4460" s="29"/>
      <c r="E4460" s="57" t="s">
        <v>5686</v>
      </c>
      <c r="F4460" s="31" t="s">
        <v>76</v>
      </c>
      <c r="G4460" s="31" t="s">
        <v>49</v>
      </c>
      <c r="I4460" s="31" t="s">
        <v>5687</v>
      </c>
      <c r="K4460" s="31">
        <v>968</v>
      </c>
      <c r="S4460" s="33">
        <v>1</v>
      </c>
      <c r="T4460" s="47">
        <v>0</v>
      </c>
      <c r="U4460" s="47">
        <v>0</v>
      </c>
      <c r="V4460" s="47">
        <v>0</v>
      </c>
      <c r="W4460" s="47">
        <f>1300*39.37/12</f>
        <v>4265.083333333333</v>
      </c>
      <c r="X4460" s="47"/>
      <c r="Y4460" s="31" t="s">
        <v>51</v>
      </c>
      <c r="Z4460" s="31" t="s">
        <v>1846</v>
      </c>
      <c r="AA4460" s="49">
        <v>0.94791666666666663</v>
      </c>
      <c r="AB4460" s="49">
        <v>0.99652777777777779</v>
      </c>
      <c r="AC4460" s="49">
        <f>AVERAGE(AA4460:AB4460)</f>
        <v>0.97222222222222221</v>
      </c>
      <c r="AD4460" s="35">
        <f>1+1/6</f>
        <v>1.1666666666666667</v>
      </c>
      <c r="AE4460" s="31" t="s">
        <v>4756</v>
      </c>
      <c r="AF4460" s="31">
        <v>45</v>
      </c>
      <c r="AK4460" s="136">
        <v>9</v>
      </c>
      <c r="AQ4460" s="32" t="s">
        <v>5683</v>
      </c>
      <c r="AU4460">
        <v>4459</v>
      </c>
    </row>
    <row r="4461" spans="1:47" x14ac:dyDescent="0.2">
      <c r="A4461" s="26">
        <v>6751</v>
      </c>
      <c r="B4461" s="27">
        <v>0.26111111111111113</v>
      </c>
      <c r="C4461" s="28"/>
      <c r="D4461" s="29"/>
      <c r="E4461" s="30" t="s">
        <v>464</v>
      </c>
      <c r="H4461" s="32">
        <v>0</v>
      </c>
      <c r="I4461" s="32" t="s">
        <v>5688</v>
      </c>
      <c r="AG4461" s="32">
        <v>0</v>
      </c>
      <c r="AH4461" s="32">
        <v>0</v>
      </c>
      <c r="AI4461" s="32">
        <v>0</v>
      </c>
      <c r="AK4461" s="32">
        <v>0</v>
      </c>
      <c r="AL4461" s="32">
        <v>0.66700000000000004</v>
      </c>
      <c r="AM4461" s="32">
        <v>0</v>
      </c>
      <c r="AO4461" s="32" t="s">
        <v>4067</v>
      </c>
      <c r="AP4461" s="32">
        <v>0.66700000000000004</v>
      </c>
      <c r="AQ4461" s="32" t="s">
        <v>1522</v>
      </c>
      <c r="AU4461">
        <v>4460</v>
      </c>
    </row>
    <row r="4462" spans="1:47" x14ac:dyDescent="0.2">
      <c r="A4462" s="26">
        <v>6751</v>
      </c>
      <c r="B4462" s="27">
        <v>0.31597222222222221</v>
      </c>
      <c r="C4462" s="28"/>
      <c r="D4462" s="29"/>
      <c r="E4462" s="30" t="s">
        <v>3737</v>
      </c>
      <c r="H4462" s="32">
        <v>0</v>
      </c>
      <c r="I4462" s="32" t="s">
        <v>5689</v>
      </c>
      <c r="AG4462" s="32">
        <v>0</v>
      </c>
      <c r="AH4462" s="32">
        <v>0</v>
      </c>
      <c r="AI4462" s="32">
        <v>0</v>
      </c>
      <c r="AK4462" s="32">
        <v>0</v>
      </c>
      <c r="AM4462" s="74"/>
      <c r="AQ4462" s="32" t="s">
        <v>1101</v>
      </c>
      <c r="AU4462">
        <v>4461</v>
      </c>
    </row>
    <row r="4463" spans="1:47" x14ac:dyDescent="0.2">
      <c r="A4463" s="26">
        <v>6751</v>
      </c>
      <c r="B4463" s="27">
        <v>0.35069444444444442</v>
      </c>
      <c r="C4463" s="28"/>
      <c r="D4463" s="29"/>
      <c r="E4463" s="30" t="s">
        <v>4219</v>
      </c>
      <c r="H4463" s="32">
        <v>0</v>
      </c>
      <c r="I4463" s="32" t="s">
        <v>4249</v>
      </c>
      <c r="AG4463" s="32">
        <v>0</v>
      </c>
      <c r="AH4463" s="32">
        <v>0</v>
      </c>
      <c r="AI4463" s="32">
        <v>0</v>
      </c>
      <c r="AK4463" s="32">
        <v>0</v>
      </c>
      <c r="AL4463" s="32">
        <v>0.25</v>
      </c>
      <c r="AO4463" s="32" t="s">
        <v>858</v>
      </c>
      <c r="AP4463" s="32">
        <v>0.25</v>
      </c>
      <c r="AQ4463" s="32" t="s">
        <v>1101</v>
      </c>
      <c r="AU4463">
        <v>4462</v>
      </c>
    </row>
    <row r="4464" spans="1:47" x14ac:dyDescent="0.2">
      <c r="A4464" s="26">
        <v>6751</v>
      </c>
      <c r="B4464" s="27">
        <v>0.3527777777777778</v>
      </c>
      <c r="C4464" s="28"/>
      <c r="D4464" s="29"/>
      <c r="E4464" s="30" t="s">
        <v>869</v>
      </c>
      <c r="H4464" s="32">
        <v>0</v>
      </c>
      <c r="I4464" s="32" t="s">
        <v>2344</v>
      </c>
      <c r="AG4464" s="32">
        <v>0</v>
      </c>
      <c r="AH4464" s="32">
        <v>0</v>
      </c>
      <c r="AI4464" s="32">
        <v>0</v>
      </c>
      <c r="AK4464" s="32">
        <v>0</v>
      </c>
      <c r="AL4464" s="32">
        <v>0.25</v>
      </c>
      <c r="AP4464" s="32">
        <v>0.25</v>
      </c>
      <c r="AQ4464" s="32" t="s">
        <v>589</v>
      </c>
      <c r="AU4464">
        <v>4463</v>
      </c>
    </row>
    <row r="4465" spans="1:47" x14ac:dyDescent="0.2">
      <c r="A4465" s="26">
        <v>6751</v>
      </c>
      <c r="B4465" s="27">
        <v>0.89236111111111116</v>
      </c>
      <c r="C4465" s="28"/>
      <c r="D4465" s="29"/>
      <c r="E4465" s="30" t="s">
        <v>464</v>
      </c>
      <c r="H4465" s="32">
        <v>0</v>
      </c>
      <c r="I4465" s="32" t="s">
        <v>4561</v>
      </c>
      <c r="AG4465" s="32">
        <v>0</v>
      </c>
      <c r="AH4465" s="32">
        <v>0</v>
      </c>
      <c r="AL4465" s="32">
        <f>5+47/60</f>
        <v>5.7833333333333332</v>
      </c>
      <c r="AO4465" s="32" t="s">
        <v>4067</v>
      </c>
      <c r="AP4465" s="32">
        <f>5+47/60</f>
        <v>5.7833333333333332</v>
      </c>
      <c r="AQ4465" s="32" t="s">
        <v>1522</v>
      </c>
      <c r="AU4465">
        <v>4464</v>
      </c>
    </row>
    <row r="4466" spans="1:47" x14ac:dyDescent="0.2">
      <c r="A4466" s="26">
        <v>6751</v>
      </c>
      <c r="B4466" s="27" t="s">
        <v>85</v>
      </c>
      <c r="C4466" s="28"/>
      <c r="D4466" s="29"/>
      <c r="E4466" s="30" t="s">
        <v>858</v>
      </c>
      <c r="H4466" s="32">
        <v>1</v>
      </c>
      <c r="I4466" s="32" t="s">
        <v>5690</v>
      </c>
      <c r="AG4466" s="32">
        <v>3</v>
      </c>
      <c r="AH4466" s="32">
        <v>7</v>
      </c>
      <c r="AI4466" s="32">
        <v>80000</v>
      </c>
      <c r="AK4466" s="32">
        <v>18</v>
      </c>
      <c r="AQ4466" s="32" t="s">
        <v>5059</v>
      </c>
      <c r="AR4466" s="32">
        <v>3</v>
      </c>
      <c r="AU4466">
        <v>4465</v>
      </c>
    </row>
    <row r="4467" spans="1:47" x14ac:dyDescent="0.2">
      <c r="A4467" s="26">
        <v>6751</v>
      </c>
      <c r="B4467" s="27" t="s">
        <v>85</v>
      </c>
      <c r="C4467" s="28"/>
      <c r="D4467" s="29"/>
      <c r="E4467" s="30" t="s">
        <v>720</v>
      </c>
      <c r="H4467" s="32">
        <v>1</v>
      </c>
      <c r="I4467" s="32" t="s">
        <v>2377</v>
      </c>
      <c r="AG4467" s="32">
        <v>1</v>
      </c>
      <c r="AH4467" s="32">
        <v>0</v>
      </c>
      <c r="AQ4467" s="32">
        <v>460</v>
      </c>
      <c r="AU4467">
        <v>4466</v>
      </c>
    </row>
    <row r="4468" spans="1:47" x14ac:dyDescent="0.2">
      <c r="A4468" s="26">
        <v>6751</v>
      </c>
      <c r="B4468" s="27" t="s">
        <v>85</v>
      </c>
      <c r="C4468" s="28"/>
      <c r="D4468" s="29"/>
      <c r="E4468" s="30" t="s">
        <v>720</v>
      </c>
      <c r="H4468" s="32">
        <v>1</v>
      </c>
      <c r="I4468" s="32" t="s">
        <v>5691</v>
      </c>
      <c r="AI4468" s="32">
        <v>250000</v>
      </c>
      <c r="AQ4468" s="32" t="s">
        <v>5692</v>
      </c>
      <c r="AU4468">
        <v>4467</v>
      </c>
    </row>
    <row r="4469" spans="1:47" x14ac:dyDescent="0.2">
      <c r="A4469" s="133">
        <v>6752</v>
      </c>
      <c r="B4469" s="39" t="s">
        <v>85</v>
      </c>
      <c r="C4469" s="39">
        <v>55</v>
      </c>
      <c r="D4469" s="29" t="b">
        <v>0</v>
      </c>
      <c r="E4469" s="39" t="s">
        <v>720</v>
      </c>
      <c r="F4469" s="47" t="s">
        <v>5693</v>
      </c>
      <c r="G4469" s="47" t="s">
        <v>49</v>
      </c>
      <c r="H4469"/>
      <c r="I4469" s="47" t="b">
        <v>0</v>
      </c>
      <c r="J4469" s="47" t="b">
        <v>1</v>
      </c>
      <c r="K4469" s="47">
        <v>2532</v>
      </c>
      <c r="L4469" s="48">
        <v>12</v>
      </c>
      <c r="M4469" s="47">
        <v>0</v>
      </c>
      <c r="N4469" s="47">
        <v>0</v>
      </c>
      <c r="O4469" s="47">
        <v>1</v>
      </c>
      <c r="P4469" s="47">
        <v>0</v>
      </c>
      <c r="Q4469" s="47">
        <v>0</v>
      </c>
      <c r="R4469" s="47">
        <v>0</v>
      </c>
      <c r="S4469" s="48">
        <v>10</v>
      </c>
      <c r="T4469" s="47">
        <v>0</v>
      </c>
      <c r="U4469" s="47">
        <v>0</v>
      </c>
      <c r="V4469" s="47">
        <v>0</v>
      </c>
      <c r="W4469" s="47">
        <v>15000</v>
      </c>
      <c r="X4469" s="47">
        <v>610</v>
      </c>
      <c r="Y4469" s="47" t="s">
        <v>120</v>
      </c>
      <c r="Z4469" s="47" t="s">
        <v>3618</v>
      </c>
      <c r="AA4469" s="49">
        <v>0.4236111111111111</v>
      </c>
      <c r="AB4469" s="49">
        <v>0.59027777777777779</v>
      </c>
      <c r="AC4469" s="49">
        <f>AVERAGE(AA4469:AB4469)</f>
        <v>0.50694444444444442</v>
      </c>
      <c r="AD4469" s="50">
        <f>(AB4469-AA4469)*24</f>
        <v>4</v>
      </c>
      <c r="AE4469" s="47" t="s">
        <v>5433</v>
      </c>
      <c r="AF4469" s="47">
        <v>165</v>
      </c>
      <c r="AG4469"/>
      <c r="AH4469"/>
      <c r="AI4469"/>
      <c r="AJ4469"/>
      <c r="AK4469">
        <v>28</v>
      </c>
      <c r="AL4469"/>
      <c r="AM4469"/>
      <c r="AN4469"/>
      <c r="AO4469"/>
      <c r="AP4469"/>
      <c r="AQ4469" t="s">
        <v>5434</v>
      </c>
      <c r="AU4469">
        <v>4468</v>
      </c>
    </row>
    <row r="4470" spans="1:47" x14ac:dyDescent="0.2">
      <c r="A4470" s="133">
        <v>6752</v>
      </c>
      <c r="B4470" s="39" t="s">
        <v>85</v>
      </c>
      <c r="C4470" s="39">
        <v>99</v>
      </c>
      <c r="D4470" s="29" t="b">
        <v>0</v>
      </c>
      <c r="E4470" s="39" t="s">
        <v>720</v>
      </c>
      <c r="F4470" s="47" t="s">
        <v>5694</v>
      </c>
      <c r="G4470" s="47" t="s">
        <v>49</v>
      </c>
      <c r="H4470"/>
      <c r="I4470" s="47" t="b">
        <v>0</v>
      </c>
      <c r="J4470" s="47" t="b">
        <v>1</v>
      </c>
      <c r="K4470" s="47">
        <v>1362</v>
      </c>
      <c r="L4470" s="48">
        <v>12</v>
      </c>
      <c r="M4470" s="47">
        <v>0</v>
      </c>
      <c r="N4470" s="47">
        <v>5</v>
      </c>
      <c r="O4470" s="47">
        <v>1</v>
      </c>
      <c r="P4470" s="47">
        <v>0</v>
      </c>
      <c r="Q4470" s="47">
        <v>0</v>
      </c>
      <c r="R4470" s="47">
        <v>0</v>
      </c>
      <c r="S4470" s="48">
        <v>6</v>
      </c>
      <c r="T4470" s="47">
        <v>0</v>
      </c>
      <c r="U4470" s="47">
        <v>0</v>
      </c>
      <c r="V4470" s="47">
        <v>0</v>
      </c>
      <c r="W4470" s="47">
        <v>15000</v>
      </c>
      <c r="X4470" s="47">
        <v>611</v>
      </c>
      <c r="Y4470" s="47" t="s">
        <v>51</v>
      </c>
      <c r="Z4470" s="47" t="s">
        <v>5139</v>
      </c>
      <c r="AA4470" s="49">
        <v>0.41666666666666669</v>
      </c>
      <c r="AB4470" s="49">
        <v>0.58333333333333337</v>
      </c>
      <c r="AC4470" s="49">
        <f>AVERAGE(AA4470:AB4470)</f>
        <v>0.5</v>
      </c>
      <c r="AD4470" s="50">
        <f>(AB4470-AA4470)*24</f>
        <v>4</v>
      </c>
      <c r="AE4470" s="47" t="s">
        <v>5433</v>
      </c>
      <c r="AF4470" s="47">
        <v>165</v>
      </c>
      <c r="AG4470"/>
      <c r="AH4470"/>
      <c r="AI4470"/>
      <c r="AJ4470"/>
      <c r="AK4470">
        <v>9</v>
      </c>
      <c r="AL4470"/>
      <c r="AM4470"/>
      <c r="AN4470"/>
      <c r="AO4470"/>
      <c r="AP4470"/>
      <c r="AQ4470" t="s">
        <v>2526</v>
      </c>
      <c r="AU4470">
        <v>4469</v>
      </c>
    </row>
    <row r="4471" spans="1:47" x14ac:dyDescent="0.2">
      <c r="A4471" s="133">
        <v>6752</v>
      </c>
      <c r="B4471" s="39" t="s">
        <v>85</v>
      </c>
      <c r="C4471" s="39">
        <v>104</v>
      </c>
      <c r="D4471" s="29" t="b">
        <v>0</v>
      </c>
      <c r="E4471" s="39" t="s">
        <v>720</v>
      </c>
      <c r="F4471" s="47" t="s">
        <v>5345</v>
      </c>
      <c r="G4471" s="47" t="s">
        <v>49</v>
      </c>
      <c r="H4471"/>
      <c r="I4471" s="47" t="b">
        <v>0</v>
      </c>
      <c r="J4471" s="47" t="b">
        <v>1</v>
      </c>
      <c r="K4471" s="47">
        <v>684</v>
      </c>
      <c r="L4471" s="48">
        <v>12</v>
      </c>
      <c r="M4471" s="47">
        <v>0</v>
      </c>
      <c r="N4471" s="47">
        <v>3</v>
      </c>
      <c r="O4471" s="47">
        <v>4</v>
      </c>
      <c r="P4471" s="47">
        <v>0</v>
      </c>
      <c r="Q4471" s="47">
        <v>0</v>
      </c>
      <c r="R4471" s="47">
        <v>0</v>
      </c>
      <c r="S4471" s="48">
        <v>3</v>
      </c>
      <c r="T4471" s="47">
        <v>1</v>
      </c>
      <c r="U4471" s="47">
        <v>0</v>
      </c>
      <c r="V4471" s="47">
        <v>1</v>
      </c>
      <c r="W4471" s="47">
        <v>15000</v>
      </c>
      <c r="X4471" s="47">
        <v>612</v>
      </c>
      <c r="Y4471" s="47" t="s">
        <v>120</v>
      </c>
      <c r="Z4471" s="47" t="s">
        <v>5139</v>
      </c>
      <c r="AA4471" s="49">
        <v>0.41666666666666669</v>
      </c>
      <c r="AB4471" s="49">
        <v>0.58333333333333337</v>
      </c>
      <c r="AC4471" s="49">
        <f>AVERAGE(AA4471:AB4471)</f>
        <v>0.5</v>
      </c>
      <c r="AD4471" s="50">
        <f>(AB4471-AA4471)*24</f>
        <v>4</v>
      </c>
      <c r="AE4471" s="47" t="s">
        <v>5433</v>
      </c>
      <c r="AF4471" s="47">
        <v>165</v>
      </c>
      <c r="AG4471"/>
      <c r="AH4471"/>
      <c r="AI4471"/>
      <c r="AJ4471"/>
      <c r="AK4471">
        <v>4</v>
      </c>
      <c r="AL4471"/>
      <c r="AM4471"/>
      <c r="AN4471"/>
      <c r="AO4471"/>
      <c r="AP4471"/>
      <c r="AQ4471" t="s">
        <v>5485</v>
      </c>
      <c r="AR4471" s="32" t="s">
        <v>5695</v>
      </c>
      <c r="AU4471">
        <v>4470</v>
      </c>
    </row>
    <row r="4472" spans="1:47" x14ac:dyDescent="0.2">
      <c r="A4472" s="133">
        <v>6752</v>
      </c>
      <c r="B4472" s="39" t="s">
        <v>85</v>
      </c>
      <c r="C4472" s="15" t="s">
        <v>5626</v>
      </c>
      <c r="D4472" s="29"/>
      <c r="E4472" s="39" t="s">
        <v>5696</v>
      </c>
      <c r="F4472" s="47" t="s">
        <v>5697</v>
      </c>
      <c r="G4472" s="47" t="s">
        <v>69</v>
      </c>
      <c r="H4472"/>
      <c r="I4472" s="47" t="s">
        <v>5698</v>
      </c>
      <c r="J4472" s="47"/>
      <c r="K4472" s="47">
        <f>230*2.2</f>
        <v>506.00000000000006</v>
      </c>
      <c r="L4472" s="48"/>
      <c r="M4472" s="47"/>
      <c r="N4472" s="47"/>
      <c r="O4472" s="47"/>
      <c r="P4472" s="47"/>
      <c r="Q4472" s="47"/>
      <c r="R4472" s="47"/>
      <c r="S4472" s="48">
        <v>1</v>
      </c>
      <c r="T4472" s="47">
        <v>0</v>
      </c>
      <c r="U4472" s="47"/>
      <c r="V4472" s="47"/>
      <c r="W4472" s="47"/>
      <c r="X4472" s="47"/>
      <c r="Y4472" s="47" t="s">
        <v>51</v>
      </c>
      <c r="Z4472" s="47" t="s">
        <v>3724</v>
      </c>
      <c r="AA4472" s="49"/>
      <c r="AB4472" s="49"/>
      <c r="AC4472" s="49">
        <v>0.5</v>
      </c>
      <c r="AD4472" s="50"/>
      <c r="AE4472" s="47"/>
      <c r="AF4472" s="47"/>
      <c r="AG4472"/>
      <c r="AH4472"/>
      <c r="AI4472"/>
      <c r="AJ4472"/>
      <c r="AK4472"/>
      <c r="AL4472"/>
      <c r="AM4472"/>
      <c r="AN4472"/>
      <c r="AO4472"/>
      <c r="AP4472"/>
      <c r="AQ4472" s="25" t="s">
        <v>5699</v>
      </c>
      <c r="AU4472">
        <v>4471</v>
      </c>
    </row>
    <row r="4473" spans="1:47" x14ac:dyDescent="0.2">
      <c r="A4473" s="133">
        <v>6752</v>
      </c>
      <c r="B4473" s="39" t="s">
        <v>85</v>
      </c>
      <c r="C4473" s="15" t="s">
        <v>5626</v>
      </c>
      <c r="D4473" s="29"/>
      <c r="E4473" s="39" t="s">
        <v>775</v>
      </c>
      <c r="F4473" s="47" t="s">
        <v>144</v>
      </c>
      <c r="G4473" s="47" t="s">
        <v>69</v>
      </c>
      <c r="H4473"/>
      <c r="I4473" s="47" t="s">
        <v>5700</v>
      </c>
      <c r="J4473" s="47"/>
      <c r="K4473" s="47">
        <f>120*2.2</f>
        <v>264</v>
      </c>
      <c r="L4473" s="48"/>
      <c r="M4473" s="47"/>
      <c r="N4473" s="47"/>
      <c r="O4473" s="47"/>
      <c r="P4473" s="47"/>
      <c r="Q4473" s="47"/>
      <c r="R4473" s="47"/>
      <c r="S4473" s="48">
        <v>1</v>
      </c>
      <c r="T4473" s="47">
        <v>0</v>
      </c>
      <c r="U4473" s="47"/>
      <c r="V4473" s="47"/>
      <c r="W4473" s="47"/>
      <c r="X4473" s="47"/>
      <c r="Y4473" s="47" t="s">
        <v>51</v>
      </c>
      <c r="Z4473" s="47" t="s">
        <v>3724</v>
      </c>
      <c r="AA4473" s="49"/>
      <c r="AB4473" s="49"/>
      <c r="AC4473" s="49">
        <v>0.74305555555555547</v>
      </c>
      <c r="AD4473" s="50"/>
      <c r="AE4473" s="47"/>
      <c r="AF4473" s="47"/>
      <c r="AG4473"/>
      <c r="AH4473"/>
      <c r="AI4473"/>
      <c r="AJ4473"/>
      <c r="AK4473"/>
      <c r="AL4473"/>
      <c r="AM4473"/>
      <c r="AN4473"/>
      <c r="AO4473"/>
      <c r="AP4473"/>
      <c r="AQ4473" s="25" t="s">
        <v>5699</v>
      </c>
      <c r="AU4473">
        <v>4472</v>
      </c>
    </row>
    <row r="4474" spans="1:47" x14ac:dyDescent="0.2">
      <c r="A4474" s="13">
        <v>6752</v>
      </c>
      <c r="B4474" s="57" t="s">
        <v>45</v>
      </c>
      <c r="C4474" s="57" t="s">
        <v>4843</v>
      </c>
      <c r="D4474" s="29"/>
      <c r="E4474" s="57" t="s">
        <v>5701</v>
      </c>
      <c r="F4474" s="31" t="s">
        <v>204</v>
      </c>
      <c r="G4474" s="31" t="s">
        <v>205</v>
      </c>
      <c r="K4474" s="31">
        <v>176</v>
      </c>
      <c r="S4474" s="33">
        <v>1</v>
      </c>
      <c r="Z4474" s="31" t="s">
        <v>3814</v>
      </c>
      <c r="AQ4474" s="32" t="s">
        <v>5607</v>
      </c>
      <c r="AU4474">
        <v>4473</v>
      </c>
    </row>
    <row r="4475" spans="1:47" x14ac:dyDescent="0.2">
      <c r="A4475" s="13">
        <v>6752</v>
      </c>
      <c r="B4475" s="57" t="s">
        <v>45</v>
      </c>
      <c r="C4475" s="57" t="s">
        <v>4843</v>
      </c>
      <c r="D4475" s="29"/>
      <c r="E4475" s="57" t="s">
        <v>5702</v>
      </c>
      <c r="F4475" s="31" t="s">
        <v>5606</v>
      </c>
      <c r="G4475" s="31" t="s">
        <v>69</v>
      </c>
      <c r="K4475" s="31">
        <v>3344</v>
      </c>
      <c r="S4475" s="33">
        <v>7</v>
      </c>
      <c r="Z4475" s="31" t="s">
        <v>3814</v>
      </c>
      <c r="AQ4475" s="32" t="s">
        <v>5607</v>
      </c>
      <c r="AU4475">
        <v>4474</v>
      </c>
    </row>
    <row r="4476" spans="1:47" x14ac:dyDescent="0.2">
      <c r="A4476" s="13">
        <v>6752</v>
      </c>
      <c r="B4476" s="57" t="s">
        <v>45</v>
      </c>
      <c r="C4476" s="57" t="s">
        <v>4843</v>
      </c>
      <c r="D4476" s="29"/>
      <c r="E4476" s="57" t="s">
        <v>5703</v>
      </c>
      <c r="F4476" s="31" t="s">
        <v>76</v>
      </c>
      <c r="G4476" s="31" t="s">
        <v>49</v>
      </c>
      <c r="K4476" s="31">
        <v>5544</v>
      </c>
      <c r="S4476" s="33">
        <v>13</v>
      </c>
      <c r="Z4476" s="31" t="s">
        <v>3814</v>
      </c>
      <c r="AQ4476" s="32" t="s">
        <v>5607</v>
      </c>
      <c r="AU4476">
        <v>4475</v>
      </c>
    </row>
    <row r="4477" spans="1:47" x14ac:dyDescent="0.2">
      <c r="A4477" s="133">
        <v>6752</v>
      </c>
      <c r="B4477" s="39" t="s">
        <v>45</v>
      </c>
      <c r="C4477" s="39">
        <v>100</v>
      </c>
      <c r="D4477" s="29" t="b">
        <v>0</v>
      </c>
      <c r="E4477" s="39" t="s">
        <v>5666</v>
      </c>
      <c r="F4477" s="47" t="s">
        <v>529</v>
      </c>
      <c r="G4477" s="47" t="s">
        <v>205</v>
      </c>
      <c r="H4477"/>
      <c r="I4477" s="47" t="b">
        <v>0</v>
      </c>
      <c r="J4477" s="47" t="b">
        <v>1</v>
      </c>
      <c r="K4477" s="47">
        <v>1860</v>
      </c>
      <c r="L4477" s="48">
        <v>-1</v>
      </c>
      <c r="M4477" s="47">
        <v>0</v>
      </c>
      <c r="N4477" s="47">
        <v>0</v>
      </c>
      <c r="O4477" s="47">
        <v>0</v>
      </c>
      <c r="P4477" s="47">
        <v>0</v>
      </c>
      <c r="Q4477" s="47">
        <v>0</v>
      </c>
      <c r="R4477" s="47">
        <v>0</v>
      </c>
      <c r="S4477" s="48">
        <v>6</v>
      </c>
      <c r="T4477" s="47">
        <v>0</v>
      </c>
      <c r="U4477" s="47">
        <v>0</v>
      </c>
      <c r="V4477" s="47">
        <v>0</v>
      </c>
      <c r="W4477" s="47">
        <v>1500</v>
      </c>
      <c r="X4477" s="47">
        <v>613</v>
      </c>
      <c r="Y4477" s="47"/>
      <c r="Z4477" s="47" t="s">
        <v>2524</v>
      </c>
      <c r="AA4477" s="49"/>
      <c r="AB4477" s="49"/>
      <c r="AC4477" s="49"/>
      <c r="AD4477" s="50"/>
      <c r="AE4477" s="47" t="s">
        <v>1312</v>
      </c>
      <c r="AF4477" s="47">
        <v>75</v>
      </c>
      <c r="AG4477"/>
      <c r="AH4477"/>
      <c r="AI4477"/>
      <c r="AJ4477"/>
      <c r="AK4477"/>
      <c r="AL4477"/>
      <c r="AM4477"/>
      <c r="AN4477"/>
      <c r="AO4477"/>
      <c r="AP4477"/>
      <c r="AQ4477" t="s">
        <v>2526</v>
      </c>
      <c r="AU4477">
        <v>4476</v>
      </c>
    </row>
    <row r="4478" spans="1:47" x14ac:dyDescent="0.2">
      <c r="A4478" s="133">
        <v>6752</v>
      </c>
      <c r="B4478" s="39" t="s">
        <v>45</v>
      </c>
      <c r="C4478" s="39">
        <v>216</v>
      </c>
      <c r="D4478" s="29" t="b">
        <v>0</v>
      </c>
      <c r="E4478" s="39" t="s">
        <v>5704</v>
      </c>
      <c r="F4478" s="47" t="s">
        <v>5705</v>
      </c>
      <c r="G4478" s="47" t="s">
        <v>73</v>
      </c>
      <c r="H4478"/>
      <c r="I4478" s="47" t="b">
        <v>1</v>
      </c>
      <c r="J4478" s="47" t="b">
        <v>1</v>
      </c>
      <c r="K4478" s="47">
        <v>5376</v>
      </c>
      <c r="L4478" s="48">
        <v>4</v>
      </c>
      <c r="M4478" s="47">
        <v>0</v>
      </c>
      <c r="N4478" s="47">
        <v>0</v>
      </c>
      <c r="O4478" s="47">
        <v>0</v>
      </c>
      <c r="P4478" s="47">
        <v>1</v>
      </c>
      <c r="Q4478" s="47">
        <v>1</v>
      </c>
      <c r="R4478" s="47">
        <v>0</v>
      </c>
      <c r="S4478" s="48">
        <v>4</v>
      </c>
      <c r="T4478" s="47">
        <v>0</v>
      </c>
      <c r="U4478" s="47">
        <v>0</v>
      </c>
      <c r="V4478" s="47">
        <v>0</v>
      </c>
      <c r="W4478" s="47">
        <v>7000</v>
      </c>
      <c r="X4478" s="47">
        <v>614</v>
      </c>
      <c r="Y4478" s="47"/>
      <c r="Z4478" s="47" t="s">
        <v>2466</v>
      </c>
      <c r="AA4478" s="49"/>
      <c r="AB4478" s="49"/>
      <c r="AC4478" s="49"/>
      <c r="AD4478" s="50"/>
      <c r="AE4478" s="47" t="s">
        <v>1312</v>
      </c>
      <c r="AF4478" s="47">
        <v>210</v>
      </c>
      <c r="AG4478"/>
      <c r="AH4478"/>
      <c r="AI4478"/>
      <c r="AJ4478"/>
      <c r="AK4478"/>
      <c r="AL4478"/>
      <c r="AM4478"/>
      <c r="AN4478"/>
      <c r="AO4478"/>
      <c r="AP4478"/>
      <c r="AQ4478" t="s">
        <v>2526</v>
      </c>
      <c r="AU4478">
        <v>4477</v>
      </c>
    </row>
    <row r="4479" spans="1:47" x14ac:dyDescent="0.2">
      <c r="A4479" s="133">
        <v>6752</v>
      </c>
      <c r="B4479" s="39" t="s">
        <v>45</v>
      </c>
      <c r="C4479" s="39">
        <v>216</v>
      </c>
      <c r="D4479" s="29" t="b">
        <v>0</v>
      </c>
      <c r="E4479" s="39" t="s">
        <v>3909</v>
      </c>
      <c r="F4479" s="47" t="s">
        <v>626</v>
      </c>
      <c r="G4479" s="47" t="s">
        <v>274</v>
      </c>
      <c r="H4479"/>
      <c r="I4479" s="47" t="b">
        <v>0</v>
      </c>
      <c r="J4479" s="47" t="b">
        <v>0</v>
      </c>
      <c r="K4479" s="47">
        <v>1344</v>
      </c>
      <c r="L4479" s="48">
        <v>4</v>
      </c>
      <c r="M4479" s="47">
        <v>0</v>
      </c>
      <c r="N4479" s="47">
        <v>0</v>
      </c>
      <c r="O4479" s="47">
        <v>0</v>
      </c>
      <c r="P4479" s="47">
        <v>1</v>
      </c>
      <c r="Q4479" s="47">
        <v>1</v>
      </c>
      <c r="R4479" s="47">
        <v>0</v>
      </c>
      <c r="S4479" s="48">
        <v>1</v>
      </c>
      <c r="T4479" s="47">
        <v>0</v>
      </c>
      <c r="U4479" s="47">
        <v>0</v>
      </c>
      <c r="V4479" s="47">
        <v>0</v>
      </c>
      <c r="W4479" s="47">
        <v>6000</v>
      </c>
      <c r="X4479" s="47">
        <v>615</v>
      </c>
      <c r="Y4479" s="47"/>
      <c r="Z4479" s="47" t="s">
        <v>2466</v>
      </c>
      <c r="AA4479" s="49"/>
      <c r="AB4479" s="49"/>
      <c r="AC4479" s="49"/>
      <c r="AD4479" s="50"/>
      <c r="AE4479" s="47" t="s">
        <v>1312</v>
      </c>
      <c r="AF4479" s="47">
        <v>210</v>
      </c>
      <c r="AG4479"/>
      <c r="AH4479"/>
      <c r="AI4479"/>
      <c r="AJ4479"/>
      <c r="AK4479"/>
      <c r="AL4479"/>
      <c r="AM4479"/>
      <c r="AN4479"/>
      <c r="AO4479"/>
      <c r="AP4479"/>
      <c r="AQ4479" t="s">
        <v>2526</v>
      </c>
      <c r="AU4479">
        <v>4478</v>
      </c>
    </row>
    <row r="4480" spans="1:47" x14ac:dyDescent="0.2">
      <c r="A4480" s="133">
        <v>6752</v>
      </c>
      <c r="B4480" s="39" t="s">
        <v>45</v>
      </c>
      <c r="C4480" s="39">
        <v>216</v>
      </c>
      <c r="D4480" s="29" t="b">
        <v>0</v>
      </c>
      <c r="E4480" s="39" t="s">
        <v>858</v>
      </c>
      <c r="F4480" s="47" t="s">
        <v>5706</v>
      </c>
      <c r="G4480" s="47" t="s">
        <v>49</v>
      </c>
      <c r="H4480"/>
      <c r="I4480" s="47" t="b">
        <v>0</v>
      </c>
      <c r="J4480" s="47" t="b">
        <v>0</v>
      </c>
      <c r="K4480" s="47">
        <v>2688</v>
      </c>
      <c r="L4480" s="48">
        <v>4</v>
      </c>
      <c r="M4480" s="47">
        <v>0</v>
      </c>
      <c r="N4480" s="47">
        <v>0</v>
      </c>
      <c r="O4480" s="47">
        <v>0</v>
      </c>
      <c r="P4480" s="47">
        <v>1</v>
      </c>
      <c r="Q4480" s="47">
        <v>1</v>
      </c>
      <c r="R4480" s="47">
        <v>0</v>
      </c>
      <c r="S4480" s="48">
        <v>2</v>
      </c>
      <c r="T4480" s="47">
        <v>0</v>
      </c>
      <c r="U4480" s="47">
        <v>0</v>
      </c>
      <c r="V4480" s="47">
        <v>0</v>
      </c>
      <c r="W4480" s="47">
        <v>7000</v>
      </c>
      <c r="X4480" s="47">
        <v>616</v>
      </c>
      <c r="Y4480" s="47"/>
      <c r="Z4480" s="47" t="s">
        <v>2466</v>
      </c>
      <c r="AA4480" s="49"/>
      <c r="AB4480" s="49"/>
      <c r="AC4480" s="49"/>
      <c r="AD4480" s="50"/>
      <c r="AE4480" s="47" t="s">
        <v>1312</v>
      </c>
      <c r="AF4480" s="47">
        <v>105</v>
      </c>
      <c r="AG4480"/>
      <c r="AH4480"/>
      <c r="AI4480"/>
      <c r="AJ4480"/>
      <c r="AK4480"/>
      <c r="AL4480"/>
      <c r="AM4480"/>
      <c r="AN4480"/>
      <c r="AO4480"/>
      <c r="AP4480"/>
      <c r="AQ4480" t="s">
        <v>2526</v>
      </c>
      <c r="AU4480">
        <v>4479</v>
      </c>
    </row>
    <row r="4481" spans="1:47" x14ac:dyDescent="0.2">
      <c r="A4481" s="133">
        <v>6752</v>
      </c>
      <c r="B4481" s="39" t="s">
        <v>45</v>
      </c>
      <c r="C4481" s="39">
        <v>216</v>
      </c>
      <c r="D4481" s="29" t="b">
        <v>0</v>
      </c>
      <c r="E4481" s="39" t="s">
        <v>5707</v>
      </c>
      <c r="F4481" s="47" t="s">
        <v>529</v>
      </c>
      <c r="G4481" s="47" t="s">
        <v>205</v>
      </c>
      <c r="H4481"/>
      <c r="I4481" s="47" t="b">
        <v>0</v>
      </c>
      <c r="J4481" s="47" t="b">
        <v>0</v>
      </c>
      <c r="K4481" s="47">
        <v>1344</v>
      </c>
      <c r="L4481" s="48">
        <v>4</v>
      </c>
      <c r="M4481" s="47">
        <v>0</v>
      </c>
      <c r="N4481" s="47">
        <v>0</v>
      </c>
      <c r="O4481" s="47">
        <v>0</v>
      </c>
      <c r="P4481" s="47">
        <v>1</v>
      </c>
      <c r="Q4481" s="47">
        <v>1</v>
      </c>
      <c r="R4481" s="47">
        <v>0</v>
      </c>
      <c r="S4481" s="48">
        <v>1</v>
      </c>
      <c r="T4481" s="47">
        <v>0</v>
      </c>
      <c r="U4481" s="47">
        <v>0</v>
      </c>
      <c r="V4481" s="47">
        <v>0</v>
      </c>
      <c r="W4481" s="47">
        <v>8000</v>
      </c>
      <c r="X4481" s="47">
        <v>617</v>
      </c>
      <c r="Y4481" s="47"/>
      <c r="Z4481" s="47" t="s">
        <v>2466</v>
      </c>
      <c r="AA4481" s="49"/>
      <c r="AB4481" s="49"/>
      <c r="AC4481" s="49"/>
      <c r="AD4481" s="50"/>
      <c r="AE4481" s="47" t="s">
        <v>1312</v>
      </c>
      <c r="AF4481" s="47">
        <v>75</v>
      </c>
      <c r="AG4481"/>
      <c r="AH4481"/>
      <c r="AI4481"/>
      <c r="AJ4481"/>
      <c r="AK4481"/>
      <c r="AL4481"/>
      <c r="AM4481"/>
      <c r="AN4481"/>
      <c r="AO4481"/>
      <c r="AP4481"/>
      <c r="AQ4481" t="s">
        <v>2526</v>
      </c>
      <c r="AU4481">
        <v>4480</v>
      </c>
    </row>
    <row r="4482" spans="1:47" x14ac:dyDescent="0.2">
      <c r="A4482" s="13">
        <v>6752</v>
      </c>
      <c r="B4482" s="39" t="s">
        <v>45</v>
      </c>
      <c r="C4482" s="57" t="s">
        <v>142</v>
      </c>
      <c r="D4482" s="29"/>
      <c r="E4482" s="57" t="s">
        <v>5312</v>
      </c>
      <c r="F4482" s="31" t="s">
        <v>76</v>
      </c>
      <c r="G4482" s="31" t="s">
        <v>49</v>
      </c>
      <c r="I4482" s="31" t="s">
        <v>5708</v>
      </c>
      <c r="K4482" s="47">
        <f>10085*2.2</f>
        <v>22187</v>
      </c>
      <c r="L4482" s="48">
        <f>35+11</f>
        <v>46</v>
      </c>
      <c r="M4482" s="47"/>
      <c r="N4482" s="47"/>
      <c r="O4482" s="47"/>
      <c r="P4482" s="47"/>
      <c r="Q4482" s="47"/>
      <c r="R4482" s="47"/>
      <c r="S4482" s="48">
        <f>35+11</f>
        <v>46</v>
      </c>
      <c r="T4482" s="31">
        <v>0</v>
      </c>
      <c r="U4482" s="31">
        <v>0</v>
      </c>
      <c r="V4482" s="31">
        <v>0</v>
      </c>
      <c r="Y4482" s="31" t="s">
        <v>51</v>
      </c>
      <c r="Z4482" s="31" t="s">
        <v>3855</v>
      </c>
      <c r="AE4482" s="47" t="s">
        <v>4217</v>
      </c>
      <c r="AK4482" s="32">
        <f>243+16+14+13</f>
        <v>286</v>
      </c>
      <c r="AQ4482" s="32" t="s">
        <v>5709</v>
      </c>
      <c r="AU4482">
        <v>4481</v>
      </c>
    </row>
    <row r="4483" spans="1:47" x14ac:dyDescent="0.2">
      <c r="A4483" s="13">
        <v>6752</v>
      </c>
      <c r="B4483" s="39" t="s">
        <v>45</v>
      </c>
      <c r="C4483" s="57" t="s">
        <v>142</v>
      </c>
      <c r="D4483" s="29"/>
      <c r="E4483" s="57" t="s">
        <v>5262</v>
      </c>
      <c r="F4483" s="31" t="s">
        <v>76</v>
      </c>
      <c r="G4483" s="31" t="s">
        <v>49</v>
      </c>
      <c r="I4483" s="31" t="s">
        <v>5710</v>
      </c>
      <c r="K4483" s="31">
        <v>528</v>
      </c>
      <c r="S4483" s="33">
        <v>1</v>
      </c>
      <c r="Z4483" s="31" t="s">
        <v>3855</v>
      </c>
      <c r="AE4483" s="47" t="s">
        <v>4217</v>
      </c>
      <c r="AQ4483" s="32" t="s">
        <v>5607</v>
      </c>
      <c r="AU4483">
        <v>4482</v>
      </c>
    </row>
    <row r="4484" spans="1:47" x14ac:dyDescent="0.2">
      <c r="A4484" s="13">
        <v>6752</v>
      </c>
      <c r="B4484" s="57" t="s">
        <v>45</v>
      </c>
      <c r="C4484" s="57" t="s">
        <v>1367</v>
      </c>
      <c r="D4484" s="29"/>
      <c r="E4484" s="57" t="s">
        <v>1064</v>
      </c>
      <c r="F4484" s="31" t="s">
        <v>76</v>
      </c>
      <c r="G4484" s="31" t="s">
        <v>49</v>
      </c>
      <c r="K4484" s="31">
        <v>968</v>
      </c>
      <c r="S4484" s="33">
        <v>1</v>
      </c>
      <c r="AE4484" s="31" t="s">
        <v>4756</v>
      </c>
      <c r="AF4484" s="31">
        <v>75</v>
      </c>
      <c r="AQ4484" s="32" t="s">
        <v>5607</v>
      </c>
      <c r="AU4484">
        <v>4483</v>
      </c>
    </row>
    <row r="4485" spans="1:47" x14ac:dyDescent="0.2">
      <c r="A4485" s="13">
        <v>6752</v>
      </c>
      <c r="B4485" s="57" t="s">
        <v>45</v>
      </c>
      <c r="C4485" s="57" t="s">
        <v>1367</v>
      </c>
      <c r="D4485" s="29"/>
      <c r="E4485" s="57" t="s">
        <v>5312</v>
      </c>
      <c r="F4485" s="31" t="s">
        <v>76</v>
      </c>
      <c r="G4485" s="31" t="s">
        <v>49</v>
      </c>
      <c r="K4485" s="31">
        <v>1760</v>
      </c>
      <c r="S4485" s="33">
        <v>2</v>
      </c>
      <c r="AE4485" s="31" t="s">
        <v>4756</v>
      </c>
      <c r="AF4485" s="31">
        <v>50</v>
      </c>
      <c r="AQ4485" s="32" t="s">
        <v>5607</v>
      </c>
      <c r="AU4485">
        <v>4484</v>
      </c>
    </row>
    <row r="4486" spans="1:47" x14ac:dyDescent="0.2">
      <c r="A4486" s="13">
        <v>6752</v>
      </c>
      <c r="B4486" s="57" t="s">
        <v>45</v>
      </c>
      <c r="C4486" s="57" t="s">
        <v>4456</v>
      </c>
      <c r="D4486" s="29"/>
      <c r="E4486" s="57" t="s">
        <v>5711</v>
      </c>
      <c r="F4486" s="31" t="s">
        <v>76</v>
      </c>
      <c r="G4486" s="31" t="s">
        <v>49</v>
      </c>
      <c r="I4486" s="31" t="s">
        <v>5712</v>
      </c>
      <c r="K4486" s="31">
        <v>968</v>
      </c>
      <c r="L4486" s="33">
        <v>1</v>
      </c>
      <c r="S4486" s="33">
        <v>1</v>
      </c>
      <c r="T4486" s="47">
        <v>0</v>
      </c>
      <c r="U4486" s="47">
        <v>0</v>
      </c>
      <c r="V4486" s="47">
        <v>0</v>
      </c>
      <c r="W4486" s="47">
        <f>2500*39.37/12</f>
        <v>8202.0833333333339</v>
      </c>
      <c r="X4486" s="47"/>
      <c r="Y4486" s="31" t="s">
        <v>51</v>
      </c>
      <c r="Z4486" s="31" t="s">
        <v>1846</v>
      </c>
      <c r="AA4486" s="49">
        <v>0.91666666666666663</v>
      </c>
      <c r="AB4486" s="49">
        <v>1.0243055555555556</v>
      </c>
      <c r="AC4486" s="49">
        <f>AVERAGE(AA4486:AB4486)</f>
        <v>0.97048611111111116</v>
      </c>
      <c r="AD4486" s="35">
        <f>2+25/60</f>
        <v>2.4166666666666665</v>
      </c>
      <c r="AE4486" s="31" t="s">
        <v>4756</v>
      </c>
      <c r="AF4486" s="31">
        <v>105</v>
      </c>
      <c r="AK4486" s="136">
        <v>9</v>
      </c>
      <c r="AQ4486" s="32" t="s">
        <v>5683</v>
      </c>
      <c r="AU4486">
        <v>4485</v>
      </c>
    </row>
    <row r="4487" spans="1:47" x14ac:dyDescent="0.2">
      <c r="A4487" s="13">
        <v>6752</v>
      </c>
      <c r="B4487" s="57" t="s">
        <v>45</v>
      </c>
      <c r="C4487" s="57" t="s">
        <v>4456</v>
      </c>
      <c r="D4487" s="45"/>
      <c r="E4487" s="57" t="s">
        <v>5419</v>
      </c>
      <c r="F4487" s="31" t="s">
        <v>76</v>
      </c>
      <c r="G4487" s="31" t="s">
        <v>49</v>
      </c>
      <c r="I4487" s="31" t="s">
        <v>5713</v>
      </c>
      <c r="K4487" s="135">
        <f>3850*0.75</f>
        <v>2887.5</v>
      </c>
      <c r="L4487" s="33">
        <v>3</v>
      </c>
      <c r="S4487" s="33">
        <v>3</v>
      </c>
      <c r="T4487" s="47">
        <v>0</v>
      </c>
      <c r="U4487" s="47">
        <v>0</v>
      </c>
      <c r="V4487" s="47">
        <v>0</v>
      </c>
      <c r="W4487" s="47">
        <f>((2050+2000+1100)/3)*39.37/12</f>
        <v>5632.0972222222226</v>
      </c>
      <c r="X4487" s="47"/>
      <c r="Y4487" s="31" t="s">
        <v>51</v>
      </c>
      <c r="Z4487" s="31" t="s">
        <v>1846</v>
      </c>
      <c r="AA4487" s="49">
        <v>0.91666666666666663</v>
      </c>
      <c r="AB4487" s="49">
        <v>1.0034722222222221</v>
      </c>
      <c r="AC4487" s="49">
        <f>AVERAGE(AA4487:AB4487)</f>
        <v>0.96006944444444442</v>
      </c>
      <c r="AD4487" s="35">
        <f>1+55/60</f>
        <v>1.9166666666666665</v>
      </c>
      <c r="AE4487" s="31" t="s">
        <v>4756</v>
      </c>
      <c r="AF4487" s="31">
        <v>70</v>
      </c>
      <c r="AK4487" s="136">
        <f>3*9</f>
        <v>27</v>
      </c>
      <c r="AQ4487" s="32" t="s">
        <v>5683</v>
      </c>
      <c r="AU4487">
        <v>4486</v>
      </c>
    </row>
    <row r="4488" spans="1:47" x14ac:dyDescent="0.2">
      <c r="A4488" s="13">
        <v>6752</v>
      </c>
      <c r="B4488" s="57" t="s">
        <v>45</v>
      </c>
      <c r="C4488" s="57" t="s">
        <v>5714</v>
      </c>
      <c r="D4488" s="29"/>
      <c r="E4488" s="57" t="s">
        <v>5419</v>
      </c>
      <c r="F4488" s="19" t="s">
        <v>76</v>
      </c>
      <c r="G4488" s="31" t="s">
        <v>49</v>
      </c>
      <c r="I4488" s="31" t="s">
        <v>5715</v>
      </c>
      <c r="K4488" s="135">
        <f>3850*0.25</f>
        <v>962.5</v>
      </c>
      <c r="L4488" s="33">
        <v>1</v>
      </c>
      <c r="S4488" s="33">
        <v>1</v>
      </c>
      <c r="Z4488" s="31" t="s">
        <v>1846</v>
      </c>
      <c r="AE4488" s="31" t="s">
        <v>4756</v>
      </c>
      <c r="AF4488" s="31">
        <v>70</v>
      </c>
      <c r="AK4488" s="136">
        <v>9</v>
      </c>
      <c r="AQ4488" s="32" t="s">
        <v>5607</v>
      </c>
      <c r="AU4488">
        <v>4487</v>
      </c>
    </row>
    <row r="4489" spans="1:47" x14ac:dyDescent="0.2">
      <c r="A4489" s="26">
        <v>6752</v>
      </c>
      <c r="B4489" s="27">
        <v>8.819444444444445E-2</v>
      </c>
      <c r="C4489" s="28"/>
      <c r="D4489" s="29"/>
      <c r="E4489" s="30" t="s">
        <v>1282</v>
      </c>
      <c r="H4489" s="32">
        <v>1</v>
      </c>
      <c r="I4489" s="32" t="s">
        <v>5716</v>
      </c>
      <c r="AG4489" s="32">
        <v>0</v>
      </c>
      <c r="AH4489" s="32">
        <v>1</v>
      </c>
      <c r="AL4489" s="32">
        <f>1+53/60</f>
        <v>1.8833333333333333</v>
      </c>
      <c r="AP4489" s="32">
        <f>1+53/60</f>
        <v>1.8833333333333333</v>
      </c>
      <c r="AQ4489" s="32" t="s">
        <v>1101</v>
      </c>
      <c r="AU4489">
        <v>4488</v>
      </c>
    </row>
    <row r="4490" spans="1:47" x14ac:dyDescent="0.2">
      <c r="A4490" s="26">
        <v>6752</v>
      </c>
      <c r="B4490" s="27">
        <v>9.375E-2</v>
      </c>
      <c r="C4490" s="28"/>
      <c r="D4490" s="29"/>
      <c r="E4490" s="30" t="s">
        <v>4219</v>
      </c>
      <c r="H4490" s="32">
        <v>1</v>
      </c>
      <c r="I4490" s="32" t="s">
        <v>5717</v>
      </c>
      <c r="AL4490" s="32">
        <v>0.75</v>
      </c>
      <c r="AO4490" s="32" t="s">
        <v>858</v>
      </c>
      <c r="AP4490" s="32">
        <v>0.75</v>
      </c>
      <c r="AQ4490" s="32" t="s">
        <v>1101</v>
      </c>
      <c r="AU4490">
        <v>4489</v>
      </c>
    </row>
    <row r="4491" spans="1:47" x14ac:dyDescent="0.2">
      <c r="A4491" s="26">
        <v>6752</v>
      </c>
      <c r="B4491" s="27">
        <v>0.10416666666666667</v>
      </c>
      <c r="C4491" s="28"/>
      <c r="D4491" s="29"/>
      <c r="E4491" s="30" t="s">
        <v>5718</v>
      </c>
      <c r="H4491" s="32">
        <v>1</v>
      </c>
      <c r="I4491" s="32" t="s">
        <v>5719</v>
      </c>
      <c r="AG4491" s="32">
        <v>0</v>
      </c>
      <c r="AH4491" s="32">
        <v>0</v>
      </c>
      <c r="AI4491" s="32">
        <v>0</v>
      </c>
      <c r="AJ4491" s="32">
        <v>0</v>
      </c>
      <c r="AL4491" s="32">
        <v>0</v>
      </c>
      <c r="AM4491" s="32">
        <v>0</v>
      </c>
      <c r="AO4491" s="32" t="s">
        <v>5720</v>
      </c>
      <c r="AQ4491" s="32">
        <v>380</v>
      </c>
      <c r="AU4491">
        <v>4490</v>
      </c>
    </row>
    <row r="4492" spans="1:47" x14ac:dyDescent="0.2">
      <c r="A4492" s="26">
        <v>6752</v>
      </c>
      <c r="B4492" s="27">
        <v>0.12083333333333333</v>
      </c>
      <c r="C4492" s="28"/>
      <c r="D4492" s="29"/>
      <c r="E4492" s="30" t="s">
        <v>3737</v>
      </c>
      <c r="H4492" s="32">
        <v>0</v>
      </c>
      <c r="I4492" s="32" t="s">
        <v>4926</v>
      </c>
      <c r="AG4492" s="32">
        <v>0</v>
      </c>
      <c r="AH4492" s="32">
        <v>0</v>
      </c>
      <c r="AI4492" s="32">
        <v>0</v>
      </c>
      <c r="AK4492" s="32">
        <v>0</v>
      </c>
      <c r="AM4492" s="74"/>
      <c r="AQ4492" s="32" t="s">
        <v>1101</v>
      </c>
      <c r="AU4492">
        <v>4491</v>
      </c>
    </row>
    <row r="4493" spans="1:47" x14ac:dyDescent="0.2">
      <c r="A4493" s="26">
        <v>6752</v>
      </c>
      <c r="B4493" s="27">
        <v>0.12152777777777778</v>
      </c>
      <c r="C4493" s="28"/>
      <c r="D4493" s="29"/>
      <c r="E4493" s="30" t="s">
        <v>869</v>
      </c>
      <c r="H4493" s="32">
        <v>0</v>
      </c>
      <c r="I4493" s="32" t="s">
        <v>2344</v>
      </c>
      <c r="AG4493" s="32">
        <v>0</v>
      </c>
      <c r="AH4493" s="32">
        <v>0</v>
      </c>
      <c r="AI4493" s="32">
        <v>0</v>
      </c>
      <c r="AK4493" s="32">
        <v>0</v>
      </c>
      <c r="AL4493" s="32">
        <f>8/60</f>
        <v>0.13333333333333333</v>
      </c>
      <c r="AP4493" s="32">
        <f>8/60</f>
        <v>0.13333333333333333</v>
      </c>
      <c r="AQ4493" s="32" t="s">
        <v>589</v>
      </c>
      <c r="AU4493">
        <v>4492</v>
      </c>
    </row>
    <row r="4494" spans="1:47" x14ac:dyDescent="0.2">
      <c r="A4494" s="26">
        <v>6752</v>
      </c>
      <c r="B4494" s="27">
        <v>0.125</v>
      </c>
      <c r="C4494" s="28"/>
      <c r="D4494" s="29"/>
      <c r="E4494" s="30" t="s">
        <v>1124</v>
      </c>
      <c r="H4494" s="32">
        <v>1</v>
      </c>
      <c r="I4494" s="32" t="s">
        <v>5721</v>
      </c>
      <c r="AG4494" s="32">
        <v>0</v>
      </c>
      <c r="AH4494" s="32">
        <v>0</v>
      </c>
      <c r="AK4494" s="32">
        <v>19</v>
      </c>
      <c r="AL4494" s="32">
        <v>0.75</v>
      </c>
      <c r="AO4494" s="46" t="s">
        <v>1126</v>
      </c>
      <c r="AP4494" s="32">
        <v>0.75</v>
      </c>
      <c r="AQ4494" s="32" t="s">
        <v>589</v>
      </c>
      <c r="AU4494">
        <v>4493</v>
      </c>
    </row>
    <row r="4495" spans="1:47" x14ac:dyDescent="0.2">
      <c r="A4495" s="26">
        <v>6752</v>
      </c>
      <c r="B4495" s="27">
        <v>0.4909722222222222</v>
      </c>
      <c r="C4495" s="28"/>
      <c r="D4495" s="29"/>
      <c r="E4495" s="30" t="s">
        <v>869</v>
      </c>
      <c r="H4495" s="32">
        <v>0</v>
      </c>
      <c r="I4495" s="32" t="s">
        <v>5722</v>
      </c>
      <c r="AG4495" s="32">
        <v>0</v>
      </c>
      <c r="AH4495" s="32">
        <v>0</v>
      </c>
      <c r="AI4495" s="32">
        <v>0</v>
      </c>
      <c r="AK4495" s="32">
        <v>0</v>
      </c>
      <c r="AL4495" s="32">
        <f>39/60</f>
        <v>0.65</v>
      </c>
      <c r="AP4495" s="32">
        <f>39/60</f>
        <v>0.65</v>
      </c>
      <c r="AQ4495" s="32" t="s">
        <v>589</v>
      </c>
      <c r="AU4495">
        <v>4494</v>
      </c>
    </row>
    <row r="4496" spans="1:47" x14ac:dyDescent="0.2">
      <c r="A4496" s="26">
        <v>6752</v>
      </c>
      <c r="B4496" s="27">
        <v>0.55902777777777779</v>
      </c>
      <c r="C4496" s="28"/>
      <c r="D4496" s="29"/>
      <c r="E4496" s="30" t="s">
        <v>3737</v>
      </c>
      <c r="H4496" s="32">
        <v>0</v>
      </c>
      <c r="I4496" s="32" t="s">
        <v>5723</v>
      </c>
      <c r="AG4496" s="32">
        <v>0</v>
      </c>
      <c r="AH4496" s="32">
        <v>0</v>
      </c>
      <c r="AI4496" s="32">
        <v>0</v>
      </c>
      <c r="AK4496" s="32">
        <v>0</v>
      </c>
      <c r="AM4496" s="74"/>
      <c r="AQ4496" s="32" t="s">
        <v>1101</v>
      </c>
      <c r="AU4496">
        <v>4495</v>
      </c>
    </row>
    <row r="4497" spans="1:47" x14ac:dyDescent="0.2">
      <c r="A4497" s="26">
        <v>6752</v>
      </c>
      <c r="B4497" s="27">
        <v>0.56111111111111112</v>
      </c>
      <c r="C4497" s="28"/>
      <c r="D4497" s="29"/>
      <c r="E4497" s="30" t="s">
        <v>464</v>
      </c>
      <c r="H4497" s="32">
        <v>0</v>
      </c>
      <c r="I4497" s="31" t="s">
        <v>5724</v>
      </c>
      <c r="AG4497" s="32">
        <v>0</v>
      </c>
      <c r="AH4497" s="32">
        <v>0</v>
      </c>
      <c r="AL4497" s="32">
        <f>22/60</f>
        <v>0.36666666666666664</v>
      </c>
      <c r="AO4497" s="32" t="s">
        <v>4067</v>
      </c>
      <c r="AP4497" s="32">
        <f>22/60</f>
        <v>0.36666666666666664</v>
      </c>
      <c r="AQ4497" s="32" t="s">
        <v>1522</v>
      </c>
      <c r="AU4497">
        <v>4496</v>
      </c>
    </row>
    <row r="4498" spans="1:47" x14ac:dyDescent="0.2">
      <c r="A4498" s="26">
        <v>6752</v>
      </c>
      <c r="B4498" s="27">
        <v>0.61805555555555558</v>
      </c>
      <c r="C4498" s="28"/>
      <c r="D4498" s="29"/>
      <c r="E4498" s="102" t="s">
        <v>1102</v>
      </c>
      <c r="H4498" s="32">
        <v>0</v>
      </c>
      <c r="I4498" s="32" t="s">
        <v>1103</v>
      </c>
      <c r="AG4498" s="32">
        <v>0</v>
      </c>
      <c r="AH4498" s="32">
        <v>0</v>
      </c>
      <c r="AI4498" s="32">
        <v>0</v>
      </c>
      <c r="AK4498" s="32">
        <v>0</v>
      </c>
      <c r="AL4498" s="32">
        <f>17/60</f>
        <v>0.28333333333333333</v>
      </c>
      <c r="AO4498" s="73" t="s">
        <v>1006</v>
      </c>
      <c r="AP4498" s="32">
        <f>17/60</f>
        <v>0.28333333333333333</v>
      </c>
      <c r="AQ4498" s="32" t="s">
        <v>589</v>
      </c>
      <c r="AU4498">
        <v>4497</v>
      </c>
    </row>
    <row r="4499" spans="1:47" x14ac:dyDescent="0.2">
      <c r="A4499" s="26">
        <v>6752</v>
      </c>
      <c r="B4499" s="27">
        <v>0.97569444444444453</v>
      </c>
      <c r="C4499" s="28"/>
      <c r="D4499" s="29"/>
      <c r="E4499" s="30" t="s">
        <v>464</v>
      </c>
      <c r="H4499" s="32">
        <v>0</v>
      </c>
      <c r="I4499" s="32" t="s">
        <v>5725</v>
      </c>
      <c r="AG4499" s="32">
        <v>0</v>
      </c>
      <c r="AH4499" s="32">
        <v>0</v>
      </c>
      <c r="AL4499" s="32">
        <f>170/60</f>
        <v>2.8333333333333335</v>
      </c>
      <c r="AO4499" s="32" t="s">
        <v>4067</v>
      </c>
      <c r="AP4499" s="32">
        <f>170/60</f>
        <v>2.8333333333333335</v>
      </c>
      <c r="AQ4499" s="32" t="s">
        <v>1522</v>
      </c>
      <c r="AU4499">
        <v>4498</v>
      </c>
    </row>
    <row r="4500" spans="1:47" x14ac:dyDescent="0.2">
      <c r="A4500" s="26">
        <v>6752</v>
      </c>
      <c r="B4500" s="27" t="s">
        <v>85</v>
      </c>
      <c r="C4500" s="28"/>
      <c r="D4500" s="29"/>
      <c r="E4500" s="30" t="s">
        <v>858</v>
      </c>
      <c r="H4500" s="32">
        <v>1</v>
      </c>
      <c r="I4500" s="32"/>
      <c r="AG4500" s="32">
        <v>0</v>
      </c>
      <c r="AH4500" s="32">
        <v>0</v>
      </c>
      <c r="AI4500" s="32">
        <v>16000</v>
      </c>
      <c r="AQ4500" s="32">
        <v>438</v>
      </c>
      <c r="AU4500">
        <v>4499</v>
      </c>
    </row>
    <row r="4501" spans="1:47" x14ac:dyDescent="0.2">
      <c r="A4501" s="26">
        <v>6752</v>
      </c>
      <c r="B4501" s="27" t="s">
        <v>85</v>
      </c>
      <c r="C4501" s="28"/>
      <c r="D4501" s="29"/>
      <c r="E4501" s="30" t="s">
        <v>720</v>
      </c>
      <c r="H4501" s="32">
        <v>1</v>
      </c>
      <c r="I4501" s="32" t="s">
        <v>5726</v>
      </c>
      <c r="AQ4501" s="32" t="s">
        <v>5692</v>
      </c>
      <c r="AU4501">
        <v>4500</v>
      </c>
    </row>
    <row r="4502" spans="1:47" x14ac:dyDescent="0.2">
      <c r="A4502" s="26">
        <v>6752</v>
      </c>
      <c r="B4502" s="27" t="s">
        <v>45</v>
      </c>
      <c r="C4502" s="28"/>
      <c r="D4502" s="29"/>
      <c r="E4502" s="30" t="s">
        <v>5727</v>
      </c>
      <c r="H4502" s="32">
        <v>1</v>
      </c>
      <c r="I4502" s="32" t="s">
        <v>5728</v>
      </c>
      <c r="AG4502" s="32">
        <v>1</v>
      </c>
      <c r="AI4502" s="32">
        <v>58300</v>
      </c>
      <c r="AK4502" s="32">
        <v>5</v>
      </c>
      <c r="AO4502" s="32" t="s">
        <v>5729</v>
      </c>
      <c r="AQ4502" s="32" t="s">
        <v>5207</v>
      </c>
      <c r="AU4502">
        <v>4501</v>
      </c>
    </row>
    <row r="4503" spans="1:47" x14ac:dyDescent="0.2">
      <c r="A4503" s="133">
        <v>6753</v>
      </c>
      <c r="B4503" s="39" t="s">
        <v>85</v>
      </c>
      <c r="C4503" s="39">
        <v>55</v>
      </c>
      <c r="D4503" s="29" t="b">
        <v>0</v>
      </c>
      <c r="E4503" s="39" t="s">
        <v>5730</v>
      </c>
      <c r="F4503" s="47" t="s">
        <v>5693</v>
      </c>
      <c r="G4503" s="47" t="s">
        <v>49</v>
      </c>
      <c r="H4503"/>
      <c r="I4503" s="47" t="b">
        <v>0</v>
      </c>
      <c r="J4503" s="47" t="b">
        <v>1</v>
      </c>
      <c r="K4503" s="47">
        <v>2628</v>
      </c>
      <c r="L4503" s="48">
        <v>12</v>
      </c>
      <c r="M4503" s="47">
        <v>0</v>
      </c>
      <c r="N4503" s="47">
        <v>1</v>
      </c>
      <c r="O4503" s="47">
        <v>0</v>
      </c>
      <c r="P4503" s="47">
        <v>0</v>
      </c>
      <c r="Q4503" s="47">
        <v>0</v>
      </c>
      <c r="R4503" s="47">
        <v>0</v>
      </c>
      <c r="S4503" s="48">
        <v>11</v>
      </c>
      <c r="T4503" s="47">
        <v>0</v>
      </c>
      <c r="U4503" s="47">
        <v>0</v>
      </c>
      <c r="V4503" s="47">
        <v>0</v>
      </c>
      <c r="W4503" s="47">
        <v>14250</v>
      </c>
      <c r="X4503" s="47">
        <v>618</v>
      </c>
      <c r="Y4503" s="47" t="s">
        <v>120</v>
      </c>
      <c r="Z4503" s="47" t="s">
        <v>3618</v>
      </c>
      <c r="AA4503" s="49">
        <v>0.60416666666666663</v>
      </c>
      <c r="AB4503" s="49">
        <v>0.73263888888888884</v>
      </c>
      <c r="AC4503" s="49">
        <f>AVERAGE(AA4503:AB4503)</f>
        <v>0.66840277777777768</v>
      </c>
      <c r="AD4503" s="50">
        <f>(AB4503-AA4503)*24</f>
        <v>3.083333333333333</v>
      </c>
      <c r="AE4503" s="47" t="s">
        <v>5433</v>
      </c>
      <c r="AF4503" s="47">
        <v>85</v>
      </c>
      <c r="AG4503"/>
      <c r="AH4503"/>
      <c r="AI4503"/>
      <c r="AJ4503"/>
      <c r="AK4503">
        <v>40</v>
      </c>
      <c r="AL4503"/>
      <c r="AM4503"/>
      <c r="AN4503"/>
      <c r="AO4503"/>
      <c r="AP4503"/>
      <c r="AQ4503" t="s">
        <v>5434</v>
      </c>
      <c r="AU4503">
        <v>4502</v>
      </c>
    </row>
    <row r="4504" spans="1:47" x14ac:dyDescent="0.2">
      <c r="A4504" s="133">
        <v>6753</v>
      </c>
      <c r="B4504" s="39" t="s">
        <v>85</v>
      </c>
      <c r="C4504" s="39">
        <v>99</v>
      </c>
      <c r="D4504" s="29" t="b">
        <v>0</v>
      </c>
      <c r="E4504" s="39" t="s">
        <v>1764</v>
      </c>
      <c r="F4504" s="47" t="s">
        <v>5731</v>
      </c>
      <c r="G4504" s="47" t="s">
        <v>49</v>
      </c>
      <c r="H4504"/>
      <c r="I4504" s="47" t="b">
        <v>0</v>
      </c>
      <c r="J4504" s="47" t="b">
        <v>1</v>
      </c>
      <c r="K4504" s="47">
        <v>2506</v>
      </c>
      <c r="L4504" s="48">
        <v>12</v>
      </c>
      <c r="M4504" s="47">
        <v>0</v>
      </c>
      <c r="N4504" s="47">
        <v>1</v>
      </c>
      <c r="O4504" s="47">
        <v>0</v>
      </c>
      <c r="P4504" s="47">
        <v>0</v>
      </c>
      <c r="Q4504" s="47">
        <v>0</v>
      </c>
      <c r="R4504" s="47">
        <v>0</v>
      </c>
      <c r="S4504" s="48">
        <v>11</v>
      </c>
      <c r="T4504" s="47">
        <v>1</v>
      </c>
      <c r="U4504" s="47">
        <v>0</v>
      </c>
      <c r="V4504" s="47">
        <v>0</v>
      </c>
      <c r="W4504" s="47">
        <v>13500</v>
      </c>
      <c r="X4504" s="47">
        <v>619</v>
      </c>
      <c r="Y4504" s="47" t="s">
        <v>120</v>
      </c>
      <c r="Z4504" s="47" t="s">
        <v>5139</v>
      </c>
      <c r="AA4504" s="49">
        <v>0.59375</v>
      </c>
      <c r="AB4504" s="49">
        <v>0.71875</v>
      </c>
      <c r="AC4504" s="49">
        <f>AVERAGE(AA4504:AB4504)</f>
        <v>0.65625</v>
      </c>
      <c r="AD4504" s="50">
        <f>(AB4504-AA4504)*24</f>
        <v>3</v>
      </c>
      <c r="AE4504" s="47" t="s">
        <v>5433</v>
      </c>
      <c r="AF4504" s="47">
        <v>85</v>
      </c>
      <c r="AG4504"/>
      <c r="AH4504"/>
      <c r="AI4504"/>
      <c r="AJ4504"/>
      <c r="AK4504">
        <v>15</v>
      </c>
      <c r="AL4504"/>
      <c r="AM4504"/>
      <c r="AN4504"/>
      <c r="AO4504"/>
      <c r="AP4504"/>
      <c r="AQ4504" t="s">
        <v>2526</v>
      </c>
      <c r="AU4504">
        <v>4503</v>
      </c>
    </row>
    <row r="4505" spans="1:47" x14ac:dyDescent="0.2">
      <c r="A4505" s="133">
        <v>6753</v>
      </c>
      <c r="B4505" s="39" t="s">
        <v>85</v>
      </c>
      <c r="C4505" s="39">
        <v>104</v>
      </c>
      <c r="D4505" s="29" t="b">
        <v>0</v>
      </c>
      <c r="E4505" s="39" t="s">
        <v>1764</v>
      </c>
      <c r="F4505" s="47" t="s">
        <v>5693</v>
      </c>
      <c r="G4505" s="47" t="s">
        <v>49</v>
      </c>
      <c r="H4505"/>
      <c r="I4505" s="47" t="b">
        <v>0</v>
      </c>
      <c r="J4505" s="47" t="b">
        <v>1</v>
      </c>
      <c r="K4505" s="47">
        <v>1132</v>
      </c>
      <c r="L4505" s="48">
        <v>6</v>
      </c>
      <c r="M4505" s="47">
        <v>0</v>
      </c>
      <c r="N4505" s="47">
        <v>1</v>
      </c>
      <c r="O4505" s="47">
        <v>0</v>
      </c>
      <c r="P4505" s="47">
        <v>0</v>
      </c>
      <c r="Q4505" s="47">
        <v>0</v>
      </c>
      <c r="R4505" s="47">
        <v>0</v>
      </c>
      <c r="S4505" s="48">
        <v>5</v>
      </c>
      <c r="T4505" s="47">
        <v>0</v>
      </c>
      <c r="U4505" s="47">
        <v>0</v>
      </c>
      <c r="V4505" s="47">
        <v>0</v>
      </c>
      <c r="W4505" s="47">
        <v>14000</v>
      </c>
      <c r="X4505" s="47">
        <v>620</v>
      </c>
      <c r="Y4505" s="47" t="s">
        <v>120</v>
      </c>
      <c r="Z4505" s="47" t="s">
        <v>5139</v>
      </c>
      <c r="AA4505" s="49">
        <v>0.60069444444444442</v>
      </c>
      <c r="AB4505" s="49">
        <v>0.72222222222222221</v>
      </c>
      <c r="AC4505" s="49">
        <f>AVERAGE(AA4505:AB4505)</f>
        <v>0.66145833333333326</v>
      </c>
      <c r="AD4505" s="50">
        <f>(AB4505-AA4505)*24</f>
        <v>2.916666666666667</v>
      </c>
      <c r="AE4505" s="47" t="s">
        <v>5433</v>
      </c>
      <c r="AF4505" s="47">
        <v>85</v>
      </c>
      <c r="AG4505"/>
      <c r="AH4505"/>
      <c r="AI4505"/>
      <c r="AJ4505"/>
      <c r="AK4505">
        <v>8</v>
      </c>
      <c r="AL4505"/>
      <c r="AM4505"/>
      <c r="AN4505"/>
      <c r="AO4505"/>
      <c r="AP4505"/>
      <c r="AQ4505" t="s">
        <v>5485</v>
      </c>
      <c r="AU4505">
        <v>4504</v>
      </c>
    </row>
    <row r="4506" spans="1:47" x14ac:dyDescent="0.2">
      <c r="A4506" s="133">
        <v>6753</v>
      </c>
      <c r="B4506" s="39" t="s">
        <v>85</v>
      </c>
      <c r="C4506" s="15" t="s">
        <v>5626</v>
      </c>
      <c r="D4506" s="29"/>
      <c r="E4506" s="39" t="s">
        <v>5732</v>
      </c>
      <c r="F4506" s="47" t="s">
        <v>170</v>
      </c>
      <c r="G4506" s="47" t="s">
        <v>69</v>
      </c>
      <c r="H4506"/>
      <c r="I4506" s="47" t="s">
        <v>5733</v>
      </c>
      <c r="J4506" s="47"/>
      <c r="K4506" s="47">
        <f>2426*2.2</f>
        <v>5337.2000000000007</v>
      </c>
      <c r="L4506" s="48">
        <v>27</v>
      </c>
      <c r="M4506" s="47"/>
      <c r="N4506" s="47"/>
      <c r="O4506" s="47"/>
      <c r="P4506" s="47"/>
      <c r="Q4506" s="47"/>
      <c r="R4506" s="47"/>
      <c r="S4506" s="48">
        <v>18</v>
      </c>
      <c r="T4506" s="47">
        <v>0</v>
      </c>
      <c r="U4506" s="47"/>
      <c r="V4506" s="47"/>
      <c r="W4506" s="47"/>
      <c r="X4506" s="47"/>
      <c r="Y4506" s="47" t="s">
        <v>51</v>
      </c>
      <c r="Z4506" s="47" t="s">
        <v>3724</v>
      </c>
      <c r="AA4506" s="49"/>
      <c r="AB4506" s="49"/>
      <c r="AC4506" s="49"/>
      <c r="AD4506" s="50"/>
      <c r="AE4506" s="47"/>
      <c r="AF4506" s="47"/>
      <c r="AG4506"/>
      <c r="AH4506"/>
      <c r="AI4506"/>
      <c r="AJ4506"/>
      <c r="AK4506">
        <v>156</v>
      </c>
      <c r="AL4506"/>
      <c r="AM4506"/>
      <c r="AN4506"/>
      <c r="AO4506"/>
      <c r="AP4506"/>
      <c r="AQ4506" t="s">
        <v>5734</v>
      </c>
      <c r="AU4506">
        <v>4505</v>
      </c>
    </row>
    <row r="4507" spans="1:47" x14ac:dyDescent="0.2">
      <c r="A4507" s="13">
        <v>6753</v>
      </c>
      <c r="B4507" s="57" t="s">
        <v>45</v>
      </c>
      <c r="C4507" s="57" t="s">
        <v>4843</v>
      </c>
      <c r="D4507" s="29"/>
      <c r="E4507" s="57" t="s">
        <v>5735</v>
      </c>
      <c r="F4507" s="31" t="s">
        <v>204</v>
      </c>
      <c r="K4507" s="31">
        <v>616</v>
      </c>
      <c r="S4507" s="33">
        <v>1</v>
      </c>
      <c r="Z4507" s="31" t="s">
        <v>3814</v>
      </c>
      <c r="AQ4507" s="32" t="s">
        <v>5607</v>
      </c>
      <c r="AU4507">
        <v>4506</v>
      </c>
    </row>
    <row r="4508" spans="1:47" x14ac:dyDescent="0.2">
      <c r="A4508" s="13">
        <v>6753</v>
      </c>
      <c r="B4508" s="57" t="s">
        <v>45</v>
      </c>
      <c r="C4508" s="57" t="s">
        <v>4843</v>
      </c>
      <c r="D4508" s="29"/>
      <c r="E4508" s="57" t="s">
        <v>5736</v>
      </c>
      <c r="F4508" s="31" t="s">
        <v>5606</v>
      </c>
      <c r="K4508" s="31">
        <v>1144</v>
      </c>
      <c r="S4508" s="33">
        <v>2</v>
      </c>
      <c r="Z4508" s="31" t="s">
        <v>3814</v>
      </c>
      <c r="AQ4508" s="32" t="s">
        <v>5607</v>
      </c>
      <c r="AU4508">
        <v>4507</v>
      </c>
    </row>
    <row r="4509" spans="1:47" x14ac:dyDescent="0.2">
      <c r="A4509" s="13">
        <v>6753</v>
      </c>
      <c r="B4509" s="57" t="s">
        <v>45</v>
      </c>
      <c r="C4509" s="57" t="s">
        <v>4843</v>
      </c>
      <c r="D4509" s="29"/>
      <c r="E4509" s="57" t="s">
        <v>1078</v>
      </c>
      <c r="F4509" s="31" t="s">
        <v>76</v>
      </c>
      <c r="K4509" s="31">
        <v>1672</v>
      </c>
      <c r="S4509" s="33">
        <v>3</v>
      </c>
      <c r="Z4509" s="31" t="s">
        <v>3814</v>
      </c>
      <c r="AQ4509" s="32" t="s">
        <v>5607</v>
      </c>
      <c r="AU4509">
        <v>4508</v>
      </c>
    </row>
    <row r="4510" spans="1:47" x14ac:dyDescent="0.2">
      <c r="A4510" s="13">
        <v>6753</v>
      </c>
      <c r="B4510" s="57" t="s">
        <v>45</v>
      </c>
      <c r="C4510" s="57" t="s">
        <v>4843</v>
      </c>
      <c r="D4510" s="29"/>
      <c r="E4510" s="57" t="s">
        <v>5703</v>
      </c>
      <c r="F4510" s="31" t="s">
        <v>76</v>
      </c>
      <c r="K4510" s="31">
        <v>5016</v>
      </c>
      <c r="S4510" s="33">
        <v>9</v>
      </c>
      <c r="Z4510" s="31" t="s">
        <v>3814</v>
      </c>
      <c r="AQ4510" s="32" t="s">
        <v>5607</v>
      </c>
      <c r="AU4510">
        <v>4509</v>
      </c>
    </row>
    <row r="4511" spans="1:47" x14ac:dyDescent="0.2">
      <c r="A4511" s="133">
        <v>6753</v>
      </c>
      <c r="B4511" s="39" t="s">
        <v>45</v>
      </c>
      <c r="C4511" s="39">
        <v>100</v>
      </c>
      <c r="D4511" s="29" t="b">
        <v>0</v>
      </c>
      <c r="E4511" s="39" t="s">
        <v>5737</v>
      </c>
      <c r="F4511" s="47" t="s">
        <v>5738</v>
      </c>
      <c r="G4511" s="47" t="s">
        <v>205</v>
      </c>
      <c r="H4511"/>
      <c r="I4511" s="47" t="b">
        <v>1</v>
      </c>
      <c r="J4511" s="47" t="b">
        <v>1</v>
      </c>
      <c r="K4511" s="47">
        <v>1548</v>
      </c>
      <c r="L4511" s="48">
        <v>9</v>
      </c>
      <c r="M4511" s="47">
        <v>4</v>
      </c>
      <c r="N4511" s="47">
        <v>0</v>
      </c>
      <c r="O4511" s="47">
        <v>0</v>
      </c>
      <c r="P4511" s="47">
        <v>0</v>
      </c>
      <c r="Q4511" s="47">
        <v>0</v>
      </c>
      <c r="R4511" s="47">
        <v>0</v>
      </c>
      <c r="S4511" s="48">
        <v>5</v>
      </c>
      <c r="T4511" s="47">
        <v>0</v>
      </c>
      <c r="U4511" s="47">
        <v>0</v>
      </c>
      <c r="V4511" s="47">
        <v>0</v>
      </c>
      <c r="W4511" s="47"/>
      <c r="X4511" s="47">
        <v>621</v>
      </c>
      <c r="Y4511" s="47"/>
      <c r="Z4511" s="47" t="s">
        <v>2524</v>
      </c>
      <c r="AA4511" s="49"/>
      <c r="AB4511" s="49"/>
      <c r="AC4511" s="49"/>
      <c r="AD4511" s="50"/>
      <c r="AE4511" s="47" t="s">
        <v>1312</v>
      </c>
      <c r="AF4511" s="47">
        <v>75</v>
      </c>
      <c r="AG4511"/>
      <c r="AH4511"/>
      <c r="AI4511"/>
      <c r="AJ4511"/>
      <c r="AK4511"/>
      <c r="AL4511"/>
      <c r="AM4511"/>
      <c r="AN4511"/>
      <c r="AO4511"/>
      <c r="AP4511"/>
      <c r="AQ4511" t="s">
        <v>2526</v>
      </c>
      <c r="AU4511">
        <v>4510</v>
      </c>
    </row>
    <row r="4512" spans="1:47" x14ac:dyDescent="0.2">
      <c r="A4512" s="133">
        <v>6753</v>
      </c>
      <c r="B4512" s="39" t="s">
        <v>45</v>
      </c>
      <c r="C4512" s="39">
        <v>100</v>
      </c>
      <c r="D4512" s="29" t="b">
        <v>0</v>
      </c>
      <c r="E4512" s="39" t="s">
        <v>5707</v>
      </c>
      <c r="F4512" s="47" t="s">
        <v>529</v>
      </c>
      <c r="G4512" s="47" t="s">
        <v>205</v>
      </c>
      <c r="H4512"/>
      <c r="I4512" s="47" t="b">
        <v>0</v>
      </c>
      <c r="J4512" s="47" t="b">
        <v>0</v>
      </c>
      <c r="K4512" s="47">
        <v>970</v>
      </c>
      <c r="L4512" s="48">
        <v>9</v>
      </c>
      <c r="M4512" s="47">
        <v>4</v>
      </c>
      <c r="N4512" s="47">
        <v>0</v>
      </c>
      <c r="O4512" s="47">
        <v>0</v>
      </c>
      <c r="P4512" s="47">
        <v>0</v>
      </c>
      <c r="Q4512" s="47">
        <v>0</v>
      </c>
      <c r="R4512" s="47">
        <v>0</v>
      </c>
      <c r="S4512" s="48">
        <v>3</v>
      </c>
      <c r="T4512" s="47">
        <v>0</v>
      </c>
      <c r="U4512" s="47">
        <v>0</v>
      </c>
      <c r="V4512" s="47">
        <v>0</v>
      </c>
      <c r="W4512" s="47"/>
      <c r="X4512" s="47">
        <v>622</v>
      </c>
      <c r="Y4512" s="47"/>
      <c r="Z4512" s="47" t="s">
        <v>2524</v>
      </c>
      <c r="AA4512" s="49"/>
      <c r="AB4512" s="49"/>
      <c r="AC4512" s="49"/>
      <c r="AD4512" s="50"/>
      <c r="AE4512" s="47" t="s">
        <v>1312</v>
      </c>
      <c r="AF4512" s="47">
        <v>75</v>
      </c>
      <c r="AG4512"/>
      <c r="AH4512"/>
      <c r="AI4512"/>
      <c r="AJ4512"/>
      <c r="AK4512"/>
      <c r="AL4512"/>
      <c r="AM4512"/>
      <c r="AN4512"/>
      <c r="AO4512"/>
      <c r="AP4512"/>
      <c r="AQ4512" t="s">
        <v>2526</v>
      </c>
      <c r="AU4512">
        <v>4511</v>
      </c>
    </row>
    <row r="4513" spans="1:47" x14ac:dyDescent="0.2">
      <c r="A4513" s="133">
        <v>6753</v>
      </c>
      <c r="B4513" s="39" t="s">
        <v>45</v>
      </c>
      <c r="C4513" s="39">
        <v>100</v>
      </c>
      <c r="D4513" s="29" t="b">
        <v>0</v>
      </c>
      <c r="E4513" s="39" t="s">
        <v>1168</v>
      </c>
      <c r="F4513" s="47" t="s">
        <v>2398</v>
      </c>
      <c r="G4513" s="47" t="s">
        <v>49</v>
      </c>
      <c r="H4513"/>
      <c r="I4513" s="47" t="b">
        <v>0</v>
      </c>
      <c r="J4513" s="47" t="b">
        <v>0</v>
      </c>
      <c r="K4513" s="47">
        <v>274</v>
      </c>
      <c r="L4513" s="48">
        <v>9</v>
      </c>
      <c r="M4513" s="47">
        <v>4</v>
      </c>
      <c r="N4513" s="47">
        <v>0</v>
      </c>
      <c r="O4513" s="47">
        <v>0</v>
      </c>
      <c r="P4513" s="47">
        <v>0</v>
      </c>
      <c r="Q4513" s="47">
        <v>0</v>
      </c>
      <c r="R4513" s="47">
        <v>0</v>
      </c>
      <c r="S4513" s="48">
        <v>1</v>
      </c>
      <c r="T4513" s="47">
        <v>0</v>
      </c>
      <c r="U4513" s="47">
        <v>0</v>
      </c>
      <c r="V4513" s="47">
        <v>0</v>
      </c>
      <c r="W4513" s="47"/>
      <c r="X4513" s="47">
        <v>623</v>
      </c>
      <c r="Y4513" s="47"/>
      <c r="Z4513" s="47" t="s">
        <v>2524</v>
      </c>
      <c r="AA4513" s="49"/>
      <c r="AB4513" s="49"/>
      <c r="AC4513" s="49"/>
      <c r="AD4513" s="50"/>
      <c r="AE4513" s="47" t="s">
        <v>1312</v>
      </c>
      <c r="AF4513" s="47">
        <v>60</v>
      </c>
      <c r="AG4513"/>
      <c r="AH4513"/>
      <c r="AI4513"/>
      <c r="AJ4513"/>
      <c r="AK4513"/>
      <c r="AL4513"/>
      <c r="AM4513"/>
      <c r="AN4513"/>
      <c r="AO4513"/>
      <c r="AP4513"/>
      <c r="AQ4513" t="s">
        <v>2526</v>
      </c>
      <c r="AU4513">
        <v>4512</v>
      </c>
    </row>
    <row r="4514" spans="1:47" x14ac:dyDescent="0.2">
      <c r="A4514" s="133">
        <v>6753</v>
      </c>
      <c r="B4514" s="39" t="s">
        <v>45</v>
      </c>
      <c r="C4514" s="39">
        <v>100</v>
      </c>
      <c r="D4514" s="29" t="b">
        <v>0</v>
      </c>
      <c r="E4514" s="39" t="s">
        <v>5739</v>
      </c>
      <c r="F4514" s="47" t="s">
        <v>57</v>
      </c>
      <c r="G4514" s="47" t="s">
        <v>49</v>
      </c>
      <c r="H4514"/>
      <c r="I4514" s="47" t="b">
        <v>0</v>
      </c>
      <c r="J4514" s="47" t="b">
        <v>0</v>
      </c>
      <c r="K4514" s="47">
        <v>304</v>
      </c>
      <c r="L4514" s="48">
        <v>9</v>
      </c>
      <c r="M4514" s="47">
        <v>4</v>
      </c>
      <c r="N4514" s="47">
        <v>0</v>
      </c>
      <c r="O4514" s="47">
        <v>0</v>
      </c>
      <c r="P4514" s="47">
        <v>0</v>
      </c>
      <c r="Q4514" s="47">
        <v>0</v>
      </c>
      <c r="R4514" s="47">
        <v>0</v>
      </c>
      <c r="S4514" s="48">
        <v>1</v>
      </c>
      <c r="T4514" s="47">
        <v>0</v>
      </c>
      <c r="U4514" s="47">
        <v>0</v>
      </c>
      <c r="V4514" s="47">
        <v>0</v>
      </c>
      <c r="W4514" s="47"/>
      <c r="X4514" s="47">
        <v>624</v>
      </c>
      <c r="Y4514" s="47"/>
      <c r="Z4514" s="47" t="s">
        <v>2524</v>
      </c>
      <c r="AA4514" s="49"/>
      <c r="AB4514" s="49"/>
      <c r="AC4514" s="49"/>
      <c r="AD4514" s="50"/>
      <c r="AE4514" s="47" t="s">
        <v>1312</v>
      </c>
      <c r="AF4514" s="47"/>
      <c r="AG4514"/>
      <c r="AH4514"/>
      <c r="AI4514"/>
      <c r="AJ4514"/>
      <c r="AK4514"/>
      <c r="AL4514"/>
      <c r="AM4514"/>
      <c r="AN4514"/>
      <c r="AO4514"/>
      <c r="AP4514"/>
      <c r="AQ4514" t="s">
        <v>2526</v>
      </c>
      <c r="AU4514">
        <v>4513</v>
      </c>
    </row>
    <row r="4515" spans="1:47" x14ac:dyDescent="0.2">
      <c r="A4515" s="133">
        <v>6753</v>
      </c>
      <c r="B4515" s="39" t="s">
        <v>45</v>
      </c>
      <c r="C4515" s="39" t="s">
        <v>142</v>
      </c>
      <c r="D4515" s="29"/>
      <c r="E4515" s="39" t="s">
        <v>5740</v>
      </c>
      <c r="F4515" s="47" t="s">
        <v>5741</v>
      </c>
      <c r="G4515" s="47" t="s">
        <v>69</v>
      </c>
      <c r="H4515"/>
      <c r="I4515" s="47" t="b">
        <v>1</v>
      </c>
      <c r="J4515" s="47" t="b">
        <v>1</v>
      </c>
      <c r="K4515" s="47">
        <f>7780*2.2</f>
        <v>17116</v>
      </c>
      <c r="L4515" s="48">
        <f>31+7</f>
        <v>38</v>
      </c>
      <c r="M4515" s="47"/>
      <c r="N4515" s="47">
        <v>3</v>
      </c>
      <c r="O4515" s="47"/>
      <c r="P4515" s="47"/>
      <c r="Q4515" s="47"/>
      <c r="R4515" s="47"/>
      <c r="S4515" s="48">
        <f>28+7</f>
        <v>35</v>
      </c>
      <c r="T4515" s="47">
        <v>0</v>
      </c>
      <c r="U4515" s="47">
        <v>1</v>
      </c>
      <c r="V4515" s="47">
        <v>0</v>
      </c>
      <c r="W4515" s="47"/>
      <c r="X4515" s="47"/>
      <c r="Y4515" s="47" t="s">
        <v>51</v>
      </c>
      <c r="Z4515" s="31" t="s">
        <v>3855</v>
      </c>
      <c r="AA4515" s="49"/>
      <c r="AB4515" s="49"/>
      <c r="AC4515" s="49"/>
      <c r="AD4515" s="50"/>
      <c r="AE4515" s="47" t="s">
        <v>4217</v>
      </c>
      <c r="AF4515" s="47"/>
      <c r="AG4515"/>
      <c r="AH4515"/>
      <c r="AI4515"/>
      <c r="AJ4515"/>
      <c r="AK4515">
        <f>181+37+11+10</f>
        <v>239</v>
      </c>
      <c r="AL4515"/>
      <c r="AM4515"/>
      <c r="AN4515"/>
      <c r="AO4515"/>
      <c r="AP4515"/>
      <c r="AQ4515" t="s">
        <v>5742</v>
      </c>
      <c r="AR4515" s="47" t="s">
        <v>5743</v>
      </c>
      <c r="AU4515">
        <v>4514</v>
      </c>
    </row>
    <row r="4516" spans="1:47" x14ac:dyDescent="0.2">
      <c r="A4516" s="13">
        <v>6753</v>
      </c>
      <c r="B4516" s="39" t="s">
        <v>45</v>
      </c>
      <c r="C4516" s="57" t="s">
        <v>142</v>
      </c>
      <c r="D4516" s="29"/>
      <c r="E4516" s="57" t="s">
        <v>5312</v>
      </c>
      <c r="F4516" s="31" t="s">
        <v>76</v>
      </c>
      <c r="G4516" s="31" t="s">
        <v>49</v>
      </c>
      <c r="I4516" s="47" t="b">
        <v>0</v>
      </c>
      <c r="J4516" s="47" t="b">
        <v>0</v>
      </c>
      <c r="K4516" s="31">
        <v>16126</v>
      </c>
      <c r="S4516" s="33">
        <v>24</v>
      </c>
      <c r="Z4516" s="31" t="s">
        <v>3855</v>
      </c>
      <c r="AE4516" s="47" t="s">
        <v>4217</v>
      </c>
      <c r="AF4516" s="31">
        <v>70</v>
      </c>
      <c r="AQ4516" s="32" t="s">
        <v>5607</v>
      </c>
      <c r="AR4516" s="32" t="s">
        <v>5744</v>
      </c>
      <c r="AU4516">
        <v>4515</v>
      </c>
    </row>
    <row r="4517" spans="1:47" x14ac:dyDescent="0.2">
      <c r="A4517" s="13">
        <v>6753</v>
      </c>
      <c r="B4517" s="39" t="s">
        <v>45</v>
      </c>
      <c r="C4517" s="57" t="s">
        <v>142</v>
      </c>
      <c r="D4517" s="29"/>
      <c r="E4517" s="57" t="s">
        <v>5677</v>
      </c>
      <c r="F4517" s="31" t="s">
        <v>76</v>
      </c>
      <c r="G4517" s="31" t="s">
        <v>49</v>
      </c>
      <c r="I4517" s="47" t="b">
        <v>0</v>
      </c>
      <c r="J4517" s="47" t="b">
        <v>0</v>
      </c>
      <c r="K4517" s="31">
        <v>660</v>
      </c>
      <c r="S4517" s="33">
        <v>1</v>
      </c>
      <c r="Z4517" s="31" t="s">
        <v>3855</v>
      </c>
      <c r="AE4517" s="47" t="s">
        <v>4217</v>
      </c>
      <c r="AF4517" s="31">
        <v>65</v>
      </c>
      <c r="AQ4517" s="32" t="s">
        <v>5607</v>
      </c>
      <c r="AR4517" s="32" t="s">
        <v>5744</v>
      </c>
      <c r="AU4517">
        <v>4516</v>
      </c>
    </row>
    <row r="4518" spans="1:47" x14ac:dyDescent="0.2">
      <c r="A4518" s="13">
        <v>6753</v>
      </c>
      <c r="B4518" s="39" t="s">
        <v>45</v>
      </c>
      <c r="C4518" s="57" t="s">
        <v>142</v>
      </c>
      <c r="D4518" s="29"/>
      <c r="E4518" s="57" t="s">
        <v>5613</v>
      </c>
      <c r="F4518" s="31" t="s">
        <v>76</v>
      </c>
      <c r="G4518" s="31" t="s">
        <v>49</v>
      </c>
      <c r="I4518" s="47" t="b">
        <v>0</v>
      </c>
      <c r="J4518" s="47" t="b">
        <v>0</v>
      </c>
      <c r="K4518" s="31">
        <v>660</v>
      </c>
      <c r="S4518" s="33">
        <v>1</v>
      </c>
      <c r="Z4518" s="31" t="s">
        <v>3855</v>
      </c>
      <c r="AE4518" s="47" t="s">
        <v>4217</v>
      </c>
      <c r="AF4518" s="31">
        <v>65</v>
      </c>
      <c r="AQ4518" s="32" t="s">
        <v>5607</v>
      </c>
      <c r="AR4518" s="32" t="s">
        <v>5744</v>
      </c>
      <c r="AU4518">
        <v>4517</v>
      </c>
    </row>
    <row r="4519" spans="1:47" x14ac:dyDescent="0.2">
      <c r="A4519" s="13">
        <v>6753</v>
      </c>
      <c r="B4519" s="39" t="s">
        <v>45</v>
      </c>
      <c r="C4519" s="57" t="s">
        <v>142</v>
      </c>
      <c r="D4519" s="29"/>
      <c r="E4519" s="57" t="s">
        <v>3895</v>
      </c>
      <c r="F4519" s="31" t="s">
        <v>76</v>
      </c>
      <c r="G4519" s="31" t="s">
        <v>49</v>
      </c>
      <c r="I4519" s="47" t="b">
        <v>0</v>
      </c>
      <c r="J4519" s="47" t="b">
        <v>0</v>
      </c>
      <c r="K4519" s="31">
        <v>880</v>
      </c>
      <c r="S4519" s="33">
        <v>2</v>
      </c>
      <c r="Z4519" s="31" t="s">
        <v>3855</v>
      </c>
      <c r="AE4519" s="47" t="s">
        <v>4217</v>
      </c>
      <c r="AF4519" s="31">
        <v>70</v>
      </c>
      <c r="AQ4519" s="32" t="s">
        <v>5607</v>
      </c>
      <c r="AR4519" s="32" t="s">
        <v>5744</v>
      </c>
      <c r="AU4519">
        <v>4518</v>
      </c>
    </row>
    <row r="4520" spans="1:47" x14ac:dyDescent="0.2">
      <c r="A4520" s="13">
        <v>6753</v>
      </c>
      <c r="B4520" s="57" t="s">
        <v>45</v>
      </c>
      <c r="C4520" s="57" t="s">
        <v>1367</v>
      </c>
      <c r="D4520" s="29"/>
      <c r="E4520" s="57" t="s">
        <v>5353</v>
      </c>
      <c r="F4520" s="31" t="s">
        <v>76</v>
      </c>
      <c r="G4520" s="31" t="s">
        <v>49</v>
      </c>
      <c r="K4520" s="31">
        <v>440</v>
      </c>
      <c r="S4520" s="33">
        <v>1</v>
      </c>
      <c r="AE4520" s="31" t="s">
        <v>4756</v>
      </c>
      <c r="AF4520" s="31">
        <v>60</v>
      </c>
      <c r="AQ4520" s="32" t="s">
        <v>5607</v>
      </c>
      <c r="AU4520">
        <v>4519</v>
      </c>
    </row>
    <row r="4521" spans="1:47" x14ac:dyDescent="0.2">
      <c r="A4521" s="13">
        <v>6753</v>
      </c>
      <c r="B4521" s="57" t="s">
        <v>45</v>
      </c>
      <c r="C4521" s="57" t="s">
        <v>1367</v>
      </c>
      <c r="D4521" s="29"/>
      <c r="E4521" s="57" t="s">
        <v>5745</v>
      </c>
      <c r="F4521" s="31" t="s">
        <v>76</v>
      </c>
      <c r="G4521" s="31" t="s">
        <v>49</v>
      </c>
      <c r="K4521" s="31">
        <v>704</v>
      </c>
      <c r="S4521" s="33">
        <v>1</v>
      </c>
      <c r="AE4521" s="31" t="s">
        <v>4756</v>
      </c>
      <c r="AQ4521" s="32" t="s">
        <v>5607</v>
      </c>
      <c r="AU4521">
        <v>4520</v>
      </c>
    </row>
    <row r="4522" spans="1:47" x14ac:dyDescent="0.2">
      <c r="A4522" s="13">
        <v>6753</v>
      </c>
      <c r="B4522" s="57" t="s">
        <v>45</v>
      </c>
      <c r="C4522" s="57" t="s">
        <v>1367</v>
      </c>
      <c r="D4522" s="29"/>
      <c r="E4522" s="57" t="s">
        <v>5312</v>
      </c>
      <c r="F4522" s="31" t="s">
        <v>76</v>
      </c>
      <c r="G4522" s="31" t="s">
        <v>49</v>
      </c>
      <c r="K4522" s="31">
        <v>704</v>
      </c>
      <c r="S4522" s="33">
        <v>1</v>
      </c>
      <c r="AE4522" s="31" t="s">
        <v>4756</v>
      </c>
      <c r="AF4522" s="31">
        <v>50</v>
      </c>
      <c r="AQ4522" s="32" t="s">
        <v>5607</v>
      </c>
      <c r="AU4522">
        <v>4521</v>
      </c>
    </row>
    <row r="4523" spans="1:47" x14ac:dyDescent="0.2">
      <c r="A4523" s="13">
        <v>6753</v>
      </c>
      <c r="B4523" s="57" t="s">
        <v>45</v>
      </c>
      <c r="C4523" s="57" t="s">
        <v>1367</v>
      </c>
      <c r="D4523" s="29"/>
      <c r="E4523" s="57" t="s">
        <v>5746</v>
      </c>
      <c r="F4523" s="31" t="s">
        <v>76</v>
      </c>
      <c r="G4523" s="31" t="s">
        <v>49</v>
      </c>
      <c r="K4523" s="31">
        <v>880</v>
      </c>
      <c r="S4523" s="33">
        <v>1</v>
      </c>
      <c r="AE4523" s="31" t="s">
        <v>4756</v>
      </c>
      <c r="AF4523" s="31">
        <v>50</v>
      </c>
      <c r="AQ4523" s="32" t="s">
        <v>5607</v>
      </c>
      <c r="AU4523">
        <v>4522</v>
      </c>
    </row>
    <row r="4524" spans="1:47" x14ac:dyDescent="0.2">
      <c r="A4524" s="13">
        <v>6753</v>
      </c>
      <c r="B4524" s="57" t="s">
        <v>45</v>
      </c>
      <c r="C4524" s="57" t="s">
        <v>1367</v>
      </c>
      <c r="D4524" s="29"/>
      <c r="E4524" s="57" t="s">
        <v>5253</v>
      </c>
      <c r="F4524" s="31" t="s">
        <v>76</v>
      </c>
      <c r="G4524" s="31" t="s">
        <v>49</v>
      </c>
      <c r="K4524" s="31">
        <v>1834.8</v>
      </c>
      <c r="S4524" s="33">
        <v>2</v>
      </c>
      <c r="AE4524" s="31" t="s">
        <v>4756</v>
      </c>
      <c r="AF4524" s="31">
        <v>50</v>
      </c>
      <c r="AQ4524" s="32" t="s">
        <v>5607</v>
      </c>
      <c r="AU4524">
        <v>4523</v>
      </c>
    </row>
    <row r="4525" spans="1:47" x14ac:dyDescent="0.2">
      <c r="A4525" s="13">
        <v>6753</v>
      </c>
      <c r="B4525" s="57" t="s">
        <v>45</v>
      </c>
      <c r="C4525" s="57" t="s">
        <v>4456</v>
      </c>
      <c r="D4525" s="29"/>
      <c r="E4525" s="57" t="s">
        <v>1088</v>
      </c>
      <c r="F4525" s="31" t="s">
        <v>76</v>
      </c>
      <c r="G4525" s="31" t="s">
        <v>49</v>
      </c>
      <c r="I4525" s="31" t="s">
        <v>5747</v>
      </c>
      <c r="K4525" s="31">
        <v>968</v>
      </c>
      <c r="L4525" s="33">
        <v>1</v>
      </c>
      <c r="S4525" s="33">
        <v>1</v>
      </c>
      <c r="T4525" s="47">
        <v>0</v>
      </c>
      <c r="U4525" s="47">
        <v>0</v>
      </c>
      <c r="V4525" s="47">
        <v>0</v>
      </c>
      <c r="W4525" s="47"/>
      <c r="X4525" s="47"/>
      <c r="Y4525" s="31" t="s">
        <v>51</v>
      </c>
      <c r="Z4525" s="31" t="s">
        <v>1846</v>
      </c>
      <c r="AA4525" s="49">
        <v>0.93402777777777779</v>
      </c>
      <c r="AB4525" s="49">
        <v>1.03125</v>
      </c>
      <c r="AC4525" s="49">
        <f>AVERAGE(AA4525:AB4525)</f>
        <v>0.98263888888888884</v>
      </c>
      <c r="AD4525" s="35">
        <v>2.33</v>
      </c>
      <c r="AE4525" s="31" t="s">
        <v>4756</v>
      </c>
      <c r="AF4525" s="31">
        <v>75</v>
      </c>
      <c r="AK4525" s="136">
        <v>9</v>
      </c>
      <c r="AQ4525" s="32" t="s">
        <v>5748</v>
      </c>
      <c r="AU4525">
        <v>4524</v>
      </c>
    </row>
    <row r="4526" spans="1:47" x14ac:dyDescent="0.2">
      <c r="A4526" s="13">
        <v>6753</v>
      </c>
      <c r="B4526" s="57" t="s">
        <v>45</v>
      </c>
      <c r="C4526" s="57" t="s">
        <v>4456</v>
      </c>
      <c r="D4526" s="45"/>
      <c r="E4526" s="57" t="s">
        <v>5419</v>
      </c>
      <c r="F4526" s="31" t="s">
        <v>76</v>
      </c>
      <c r="G4526" s="31" t="s">
        <v>49</v>
      </c>
      <c r="I4526" s="31" t="s">
        <v>5749</v>
      </c>
      <c r="K4526" s="135">
        <f>6542.8*4/7</f>
        <v>3738.7428571428572</v>
      </c>
      <c r="L4526" s="33">
        <v>4</v>
      </c>
      <c r="S4526" s="33">
        <v>4</v>
      </c>
      <c r="T4526" s="47">
        <v>0</v>
      </c>
      <c r="U4526" s="47">
        <v>0</v>
      </c>
      <c r="V4526" s="47">
        <v>0</v>
      </c>
      <c r="W4526" s="47">
        <f>((2100+2000+2100+2000)/4)*39.37/12</f>
        <v>6725.708333333333</v>
      </c>
      <c r="X4526" s="47"/>
      <c r="Y4526" s="31" t="s">
        <v>51</v>
      </c>
      <c r="Z4526" s="31" t="s">
        <v>1846</v>
      </c>
      <c r="AA4526" s="49">
        <v>0.9375</v>
      </c>
      <c r="AB4526" s="49">
        <v>1.03125</v>
      </c>
      <c r="AC4526" s="49">
        <f>AVERAGE(AA4526:AB4526)</f>
        <v>0.984375</v>
      </c>
      <c r="AD4526" s="35">
        <v>2</v>
      </c>
      <c r="AE4526" s="31" t="s">
        <v>4756</v>
      </c>
      <c r="AF4526" s="31">
        <v>70</v>
      </c>
      <c r="AK4526" s="136">
        <f>4*9</f>
        <v>36</v>
      </c>
      <c r="AQ4526" s="32" t="s">
        <v>5748</v>
      </c>
      <c r="AU4526">
        <v>4525</v>
      </c>
    </row>
    <row r="4527" spans="1:47" x14ac:dyDescent="0.2">
      <c r="A4527" s="13">
        <v>6753</v>
      </c>
      <c r="B4527" s="57" t="s">
        <v>45</v>
      </c>
      <c r="C4527" s="57" t="s">
        <v>5714</v>
      </c>
      <c r="D4527" s="29"/>
      <c r="E4527" s="57" t="s">
        <v>5419</v>
      </c>
      <c r="F4527" s="31" t="s">
        <v>76</v>
      </c>
      <c r="G4527" s="31" t="s">
        <v>49</v>
      </c>
      <c r="I4527" s="31" t="s">
        <v>5750</v>
      </c>
      <c r="K4527" s="135">
        <f>6542.8*3/7</f>
        <v>2804.0571428571429</v>
      </c>
      <c r="S4527" s="33">
        <v>3</v>
      </c>
      <c r="Z4527" s="31" t="s">
        <v>1846</v>
      </c>
      <c r="AE4527" s="31" t="s">
        <v>4756</v>
      </c>
      <c r="AF4527" s="31">
        <v>70</v>
      </c>
      <c r="AK4527" s="136">
        <f>3*9</f>
        <v>27</v>
      </c>
      <c r="AQ4527" s="32" t="s">
        <v>5607</v>
      </c>
      <c r="AU4527">
        <v>4526</v>
      </c>
    </row>
    <row r="4528" spans="1:47" x14ac:dyDescent="0.2">
      <c r="A4528" s="26">
        <v>6753</v>
      </c>
      <c r="B4528" s="27">
        <v>6.9444444444444441E-3</v>
      </c>
      <c r="C4528" s="28"/>
      <c r="D4528" s="29"/>
      <c r="E4528" s="30" t="s">
        <v>4219</v>
      </c>
      <c r="H4528" s="32">
        <v>0</v>
      </c>
      <c r="I4528" s="32" t="s">
        <v>5751</v>
      </c>
      <c r="AG4528" s="32">
        <v>0</v>
      </c>
      <c r="AH4528" s="32">
        <v>0</v>
      </c>
      <c r="AI4528" s="32">
        <v>0</v>
      </c>
      <c r="AK4528" s="32">
        <v>0</v>
      </c>
      <c r="AL4528" s="32">
        <v>0.33300000000000002</v>
      </c>
      <c r="AO4528" s="32" t="s">
        <v>858</v>
      </c>
      <c r="AP4528" s="32">
        <v>0.33300000000000002</v>
      </c>
      <c r="AQ4528" s="32" t="s">
        <v>1101</v>
      </c>
      <c r="AU4528">
        <v>4527</v>
      </c>
    </row>
    <row r="4529" spans="1:47" x14ac:dyDescent="0.2">
      <c r="A4529" s="26">
        <v>6753</v>
      </c>
      <c r="B4529" s="27">
        <v>5.4166666666666669E-2</v>
      </c>
      <c r="C4529" s="28"/>
      <c r="D4529" s="29"/>
      <c r="E4529" s="30" t="s">
        <v>3155</v>
      </c>
      <c r="H4529" s="32">
        <v>0</v>
      </c>
      <c r="I4529" s="32" t="s">
        <v>3156</v>
      </c>
      <c r="AG4529" s="32">
        <v>0</v>
      </c>
      <c r="AH4529" s="32">
        <v>0</v>
      </c>
      <c r="AI4529" s="32">
        <v>0</v>
      </c>
      <c r="AK4529" s="32">
        <v>0</v>
      </c>
      <c r="AP4529" s="32">
        <f>37/60</f>
        <v>0.6166666666666667</v>
      </c>
      <c r="AQ4529" s="32" t="s">
        <v>1101</v>
      </c>
      <c r="AU4529">
        <v>4528</v>
      </c>
    </row>
    <row r="4530" spans="1:47" x14ac:dyDescent="0.2">
      <c r="A4530" s="26">
        <v>6753</v>
      </c>
      <c r="B4530" s="27">
        <v>5.5555555555555552E-2</v>
      </c>
      <c r="C4530" s="28"/>
      <c r="D4530" s="29"/>
      <c r="E4530" s="30" t="s">
        <v>631</v>
      </c>
      <c r="H4530" s="32">
        <v>1</v>
      </c>
      <c r="I4530" s="32" t="s">
        <v>5752</v>
      </c>
      <c r="AG4530" s="32">
        <v>0</v>
      </c>
      <c r="AH4530" s="32">
        <v>0</v>
      </c>
      <c r="AK4530" s="32">
        <v>9</v>
      </c>
      <c r="AL4530" s="32">
        <f>25/60</f>
        <v>0.41666666666666669</v>
      </c>
      <c r="AM4530" s="32">
        <v>140</v>
      </c>
      <c r="AO4530" s="32" t="s">
        <v>633</v>
      </c>
      <c r="AP4530" s="32">
        <f>25/60</f>
        <v>0.41666666666666669</v>
      </c>
      <c r="AQ4530" s="32">
        <v>464</v>
      </c>
      <c r="AU4530">
        <v>4529</v>
      </c>
    </row>
    <row r="4531" spans="1:47" x14ac:dyDescent="0.2">
      <c r="A4531" s="26">
        <v>6753</v>
      </c>
      <c r="B4531" s="27">
        <v>0.73611111111111116</v>
      </c>
      <c r="C4531" s="28"/>
      <c r="D4531" s="29"/>
      <c r="E4531" s="30" t="s">
        <v>4219</v>
      </c>
      <c r="H4531" s="32">
        <v>0</v>
      </c>
      <c r="I4531" s="32" t="s">
        <v>4249</v>
      </c>
      <c r="AG4531" s="32">
        <v>0</v>
      </c>
      <c r="AH4531" s="32">
        <v>0</v>
      </c>
      <c r="AI4531" s="32">
        <v>0</v>
      </c>
      <c r="AK4531" s="32">
        <v>0</v>
      </c>
      <c r="AL4531" s="32">
        <v>0.25</v>
      </c>
      <c r="AO4531" s="32" t="s">
        <v>858</v>
      </c>
      <c r="AP4531" s="32">
        <v>0.25</v>
      </c>
      <c r="AQ4531" s="32" t="s">
        <v>1101</v>
      </c>
      <c r="AU4531">
        <v>4530</v>
      </c>
    </row>
    <row r="4532" spans="1:47" x14ac:dyDescent="0.2">
      <c r="A4532" s="26">
        <v>6753</v>
      </c>
      <c r="B4532" s="27" t="s">
        <v>85</v>
      </c>
      <c r="C4532" s="28"/>
      <c r="D4532" s="29"/>
      <c r="E4532" s="30" t="s">
        <v>1461</v>
      </c>
      <c r="H4532" s="32">
        <v>1</v>
      </c>
      <c r="I4532" s="32" t="s">
        <v>5753</v>
      </c>
      <c r="AG4532" s="32">
        <v>0</v>
      </c>
      <c r="AH4532" s="32">
        <v>0</v>
      </c>
      <c r="AI4532" s="32">
        <v>0</v>
      </c>
      <c r="AK4532" s="32">
        <v>2</v>
      </c>
      <c r="AO4532" s="32" t="s">
        <v>1463</v>
      </c>
      <c r="AQ4532" s="32">
        <v>404</v>
      </c>
      <c r="AU4532">
        <v>4531</v>
      </c>
    </row>
    <row r="4533" spans="1:47" x14ac:dyDescent="0.2">
      <c r="A4533" s="26">
        <v>6753</v>
      </c>
      <c r="B4533" s="27"/>
      <c r="C4533" s="28"/>
      <c r="D4533" s="29"/>
      <c r="E4533" s="102" t="s">
        <v>1421</v>
      </c>
      <c r="H4533" s="32">
        <v>1</v>
      </c>
      <c r="I4533" s="32" t="s">
        <v>1422</v>
      </c>
      <c r="AK4533" s="32">
        <v>2</v>
      </c>
      <c r="AO4533" s="73"/>
      <c r="AQ4533" s="32" t="s">
        <v>589</v>
      </c>
      <c r="AU4533">
        <v>4532</v>
      </c>
    </row>
    <row r="4534" spans="1:47" x14ac:dyDescent="0.2">
      <c r="A4534" s="133">
        <v>6754</v>
      </c>
      <c r="B4534" s="39" t="s">
        <v>85</v>
      </c>
      <c r="C4534" s="39">
        <v>104</v>
      </c>
      <c r="D4534" s="29" t="b">
        <v>0</v>
      </c>
      <c r="E4534" s="39" t="s">
        <v>649</v>
      </c>
      <c r="F4534" s="47" t="s">
        <v>529</v>
      </c>
      <c r="G4534" s="47" t="s">
        <v>205</v>
      </c>
      <c r="H4534"/>
      <c r="I4534" s="47" t="b">
        <v>0</v>
      </c>
      <c r="J4534" s="47" t="b">
        <v>1</v>
      </c>
      <c r="K4534" s="47">
        <v>1856</v>
      </c>
      <c r="L4534" s="48">
        <v>10</v>
      </c>
      <c r="M4534" s="47">
        <v>1</v>
      </c>
      <c r="N4534" s="47">
        <v>0</v>
      </c>
      <c r="O4534" s="47">
        <v>0</v>
      </c>
      <c r="P4534" s="47">
        <v>0</v>
      </c>
      <c r="Q4534" s="47">
        <v>0</v>
      </c>
      <c r="R4534" s="47">
        <v>0</v>
      </c>
      <c r="S4534" s="48">
        <v>9</v>
      </c>
      <c r="T4534" s="47">
        <v>0</v>
      </c>
      <c r="U4534" s="47">
        <v>0</v>
      </c>
      <c r="V4534" s="47">
        <v>0</v>
      </c>
      <c r="W4534" s="47">
        <v>13000</v>
      </c>
      <c r="X4534" s="47">
        <v>625</v>
      </c>
      <c r="Y4534" s="47" t="s">
        <v>51</v>
      </c>
      <c r="Z4534" s="47" t="s">
        <v>5139</v>
      </c>
      <c r="AA4534" s="49">
        <v>0.76041666666666663</v>
      </c>
      <c r="AB4534" s="49">
        <v>0.84722222222222221</v>
      </c>
      <c r="AC4534" s="49">
        <f>AVERAGE(AA4534:AB4534)</f>
        <v>0.80381944444444442</v>
      </c>
      <c r="AD4534" s="50">
        <f>(AB4534-AA4534)*24</f>
        <v>2.0833333333333339</v>
      </c>
      <c r="AE4534" s="47" t="s">
        <v>5433</v>
      </c>
      <c r="AF4534" s="47">
        <v>55</v>
      </c>
      <c r="AG4534"/>
      <c r="AH4534"/>
      <c r="AI4534"/>
      <c r="AJ4534"/>
      <c r="AK4534">
        <v>29</v>
      </c>
      <c r="AL4534"/>
      <c r="AM4534"/>
      <c r="AN4534"/>
      <c r="AO4534"/>
      <c r="AP4534"/>
      <c r="AQ4534" t="s">
        <v>5485</v>
      </c>
      <c r="AU4534">
        <v>4533</v>
      </c>
    </row>
    <row r="4535" spans="1:47" x14ac:dyDescent="0.2">
      <c r="A4535" s="133">
        <v>6754</v>
      </c>
      <c r="B4535" s="39" t="s">
        <v>85</v>
      </c>
      <c r="C4535" s="39" t="s">
        <v>5626</v>
      </c>
      <c r="D4535" s="29"/>
      <c r="E4535" s="39" t="s">
        <v>5754</v>
      </c>
      <c r="F4535" s="47" t="s">
        <v>170</v>
      </c>
      <c r="G4535" s="47" t="s">
        <v>69</v>
      </c>
      <c r="H4535"/>
      <c r="I4535" s="47" t="s">
        <v>5755</v>
      </c>
      <c r="J4535" s="47"/>
      <c r="K4535" s="47">
        <f>4865*2.2</f>
        <v>10703</v>
      </c>
      <c r="L4535" s="48">
        <v>24</v>
      </c>
      <c r="M4535" s="47"/>
      <c r="N4535" s="47"/>
      <c r="O4535" s="47"/>
      <c r="P4535" s="47"/>
      <c r="Q4535" s="47"/>
      <c r="R4535" s="47"/>
      <c r="S4535" s="48">
        <v>23</v>
      </c>
      <c r="T4535" s="47">
        <v>0</v>
      </c>
      <c r="U4535" s="47"/>
      <c r="V4535" s="47"/>
      <c r="W4535" s="47">
        <f>1800*39.37/12</f>
        <v>5905.5</v>
      </c>
      <c r="X4535" s="47"/>
      <c r="Y4535" s="47" t="s">
        <v>51</v>
      </c>
      <c r="Z4535" s="47" t="s">
        <v>3724</v>
      </c>
      <c r="AA4535" s="49"/>
      <c r="AB4535" s="49"/>
      <c r="AC4535" s="49">
        <v>0.56944444444444442</v>
      </c>
      <c r="AD4535" s="50"/>
      <c r="AE4535" s="47"/>
      <c r="AF4535" s="47"/>
      <c r="AG4535"/>
      <c r="AH4535"/>
      <c r="AI4535"/>
      <c r="AJ4535"/>
      <c r="AK4535">
        <v>558</v>
      </c>
      <c r="AL4535"/>
      <c r="AM4535"/>
      <c r="AN4535"/>
      <c r="AO4535"/>
      <c r="AP4535"/>
      <c r="AQ4535" t="s">
        <v>5756</v>
      </c>
      <c r="AU4535">
        <v>4534</v>
      </c>
    </row>
    <row r="4536" spans="1:47" x14ac:dyDescent="0.2">
      <c r="A4536" s="13">
        <v>6754</v>
      </c>
      <c r="B4536" s="57" t="s">
        <v>45</v>
      </c>
      <c r="C4536" s="57" t="s">
        <v>4843</v>
      </c>
      <c r="D4536" s="29"/>
      <c r="E4536" s="57" t="s">
        <v>3875</v>
      </c>
      <c r="F4536" s="31" t="s">
        <v>76</v>
      </c>
      <c r="G4536" s="31" t="s">
        <v>49</v>
      </c>
      <c r="K4536" s="31">
        <v>5192</v>
      </c>
      <c r="S4536" s="33">
        <v>10</v>
      </c>
      <c r="Z4536" s="31" t="s">
        <v>3814</v>
      </c>
      <c r="AQ4536" s="32" t="s">
        <v>5607</v>
      </c>
      <c r="AU4536">
        <v>4535</v>
      </c>
    </row>
    <row r="4537" spans="1:47" x14ac:dyDescent="0.2">
      <c r="A4537" s="133">
        <v>6754</v>
      </c>
      <c r="B4537" s="39" t="s">
        <v>45</v>
      </c>
      <c r="C4537" s="39" t="s">
        <v>142</v>
      </c>
      <c r="D4537" s="29"/>
      <c r="E4537" s="39" t="s">
        <v>5757</v>
      </c>
      <c r="F4537" s="47" t="s">
        <v>340</v>
      </c>
      <c r="G4537" s="47" t="s">
        <v>49</v>
      </c>
      <c r="H4537"/>
      <c r="I4537" s="47" t="b">
        <v>1</v>
      </c>
      <c r="J4537" s="47" t="b">
        <v>1</v>
      </c>
      <c r="K4537" s="47">
        <f>6945*2.2</f>
        <v>15279.000000000002</v>
      </c>
      <c r="L4537" s="48">
        <f>27+4</f>
        <v>31</v>
      </c>
      <c r="M4537" s="47"/>
      <c r="N4537" s="47">
        <v>3</v>
      </c>
      <c r="O4537" s="47"/>
      <c r="P4537" s="47"/>
      <c r="Q4537" s="47"/>
      <c r="R4537" s="47"/>
      <c r="S4537" s="48">
        <f>24+4</f>
        <v>28</v>
      </c>
      <c r="T4537" s="47">
        <v>0</v>
      </c>
      <c r="U4537" s="47">
        <v>0</v>
      </c>
      <c r="V4537" s="47">
        <v>0</v>
      </c>
      <c r="W4537" s="47"/>
      <c r="X4537" s="47"/>
      <c r="Y4537" s="47" t="s">
        <v>51</v>
      </c>
      <c r="Z4537" s="31" t="s">
        <v>3855</v>
      </c>
      <c r="AA4537" s="49"/>
      <c r="AB4537" s="49"/>
      <c r="AC4537" s="49"/>
      <c r="AD4537" s="50"/>
      <c r="AE4537" s="47" t="s">
        <v>4217</v>
      </c>
      <c r="AF4537" s="47"/>
      <c r="AG4537"/>
      <c r="AH4537"/>
      <c r="AI4537"/>
      <c r="AJ4537"/>
      <c r="AK4537">
        <f>157+8+12+3</f>
        <v>180</v>
      </c>
      <c r="AL4537"/>
      <c r="AM4537"/>
      <c r="AN4537"/>
      <c r="AO4537"/>
      <c r="AP4537"/>
      <c r="AQ4537" s="32" t="s">
        <v>5742</v>
      </c>
      <c r="AR4537" s="32" t="s">
        <v>5758</v>
      </c>
      <c r="AU4537">
        <v>4536</v>
      </c>
    </row>
    <row r="4538" spans="1:47" x14ac:dyDescent="0.2">
      <c r="A4538" s="13">
        <v>6754</v>
      </c>
      <c r="B4538" s="39" t="s">
        <v>45</v>
      </c>
      <c r="C4538" s="57" t="s">
        <v>142</v>
      </c>
      <c r="D4538" s="29"/>
      <c r="E4538" s="57" t="s">
        <v>3875</v>
      </c>
      <c r="F4538" s="31" t="s">
        <v>76</v>
      </c>
      <c r="G4538" s="47" t="s">
        <v>49</v>
      </c>
      <c r="I4538" s="47" t="b">
        <v>0</v>
      </c>
      <c r="J4538" s="47" t="b">
        <v>0</v>
      </c>
      <c r="K4538" s="31">
        <v>7898</v>
      </c>
      <c r="S4538" s="33">
        <v>13</v>
      </c>
      <c r="Z4538" s="31" t="s">
        <v>3855</v>
      </c>
      <c r="AE4538" s="47" t="s">
        <v>4217</v>
      </c>
      <c r="AF4538" s="31">
        <v>60</v>
      </c>
      <c r="AQ4538" s="32" t="s">
        <v>5607</v>
      </c>
      <c r="AR4538" s="32" t="s">
        <v>5744</v>
      </c>
      <c r="AU4538">
        <v>4537</v>
      </c>
    </row>
    <row r="4539" spans="1:47" x14ac:dyDescent="0.2">
      <c r="A4539" s="13">
        <v>6754</v>
      </c>
      <c r="B4539" s="39" t="s">
        <v>45</v>
      </c>
      <c r="C4539" s="57" t="s">
        <v>142</v>
      </c>
      <c r="D4539" s="29"/>
      <c r="E4539" s="57" t="s">
        <v>5759</v>
      </c>
      <c r="F4539" s="31" t="s">
        <v>76</v>
      </c>
      <c r="G4539" s="47" t="s">
        <v>49</v>
      </c>
      <c r="I4539" s="47" t="b">
        <v>0</v>
      </c>
      <c r="J4539" s="47" t="b">
        <v>0</v>
      </c>
      <c r="K4539" s="31">
        <v>627</v>
      </c>
      <c r="S4539" s="33">
        <v>1</v>
      </c>
      <c r="Z4539" s="31" t="s">
        <v>3855</v>
      </c>
      <c r="AE4539" s="47" t="s">
        <v>4217</v>
      </c>
      <c r="AQ4539" s="32" t="s">
        <v>5607</v>
      </c>
      <c r="AR4539" s="32" t="s">
        <v>5744</v>
      </c>
      <c r="AU4539">
        <v>4538</v>
      </c>
    </row>
    <row r="4540" spans="1:47" x14ac:dyDescent="0.2">
      <c r="A4540" s="13">
        <v>6754</v>
      </c>
      <c r="B4540" s="39" t="s">
        <v>45</v>
      </c>
      <c r="C4540" s="57" t="s">
        <v>142</v>
      </c>
      <c r="D4540" s="29"/>
      <c r="E4540" s="57" t="s">
        <v>5760</v>
      </c>
      <c r="F4540" s="31" t="s">
        <v>76</v>
      </c>
      <c r="G4540" s="47" t="s">
        <v>49</v>
      </c>
      <c r="I4540" s="47" t="b">
        <v>0</v>
      </c>
      <c r="J4540" s="47" t="b">
        <v>0</v>
      </c>
      <c r="K4540" s="31">
        <v>1694</v>
      </c>
      <c r="S4540" s="33">
        <v>3</v>
      </c>
      <c r="Z4540" s="31" t="s">
        <v>3855</v>
      </c>
      <c r="AE4540" s="47" t="s">
        <v>4217</v>
      </c>
      <c r="AF4540" s="31">
        <v>50</v>
      </c>
      <c r="AQ4540" s="32" t="s">
        <v>5607</v>
      </c>
      <c r="AR4540" s="32" t="s">
        <v>5744</v>
      </c>
      <c r="AU4540">
        <v>4539</v>
      </c>
    </row>
    <row r="4541" spans="1:47" x14ac:dyDescent="0.2">
      <c r="A4541" s="13">
        <v>6754</v>
      </c>
      <c r="B4541" s="39" t="s">
        <v>45</v>
      </c>
      <c r="C4541" s="57" t="s">
        <v>142</v>
      </c>
      <c r="D4541" s="29"/>
      <c r="E4541" s="57" t="s">
        <v>5761</v>
      </c>
      <c r="F4541" s="31" t="s">
        <v>76</v>
      </c>
      <c r="G4541" s="47" t="s">
        <v>49</v>
      </c>
      <c r="I4541" s="47" t="b">
        <v>0</v>
      </c>
      <c r="J4541" s="47" t="b">
        <v>0</v>
      </c>
      <c r="K4541" s="31">
        <v>1936</v>
      </c>
      <c r="S4541" s="33">
        <v>3</v>
      </c>
      <c r="Z4541" s="31" t="s">
        <v>3855</v>
      </c>
      <c r="AE4541" s="47" t="s">
        <v>4217</v>
      </c>
      <c r="AF4541" s="31">
        <v>65</v>
      </c>
      <c r="AQ4541" s="32" t="s">
        <v>5607</v>
      </c>
      <c r="AR4541" s="32" t="s">
        <v>5744</v>
      </c>
      <c r="AU4541">
        <v>4540</v>
      </c>
    </row>
    <row r="4542" spans="1:47" x14ac:dyDescent="0.2">
      <c r="A4542" s="13">
        <v>6754</v>
      </c>
      <c r="B4542" s="39" t="s">
        <v>45</v>
      </c>
      <c r="C4542" s="57" t="s">
        <v>142</v>
      </c>
      <c r="D4542" s="29"/>
      <c r="E4542" s="57" t="s">
        <v>1064</v>
      </c>
      <c r="F4542" s="31" t="s">
        <v>76</v>
      </c>
      <c r="G4542" s="47" t="s">
        <v>49</v>
      </c>
      <c r="I4542" s="47" t="b">
        <v>0</v>
      </c>
      <c r="J4542" s="47" t="b">
        <v>0</v>
      </c>
      <c r="K4542" s="31">
        <v>2134</v>
      </c>
      <c r="S4542" s="33">
        <v>4</v>
      </c>
      <c r="Z4542" s="31" t="s">
        <v>3855</v>
      </c>
      <c r="AE4542" s="47" t="s">
        <v>4217</v>
      </c>
      <c r="AF4542" s="31">
        <v>60</v>
      </c>
      <c r="AQ4542" s="32" t="s">
        <v>5607</v>
      </c>
      <c r="AR4542" s="32" t="s">
        <v>5744</v>
      </c>
      <c r="AU4542">
        <v>4541</v>
      </c>
    </row>
    <row r="4543" spans="1:47" x14ac:dyDescent="0.2">
      <c r="A4543" s="13">
        <v>6754</v>
      </c>
      <c r="B4543" s="57" t="s">
        <v>45</v>
      </c>
      <c r="C4543" s="57" t="s">
        <v>1367</v>
      </c>
      <c r="D4543" s="29"/>
      <c r="E4543" s="57" t="s">
        <v>5353</v>
      </c>
      <c r="F4543" s="31" t="s">
        <v>76</v>
      </c>
      <c r="G4543" s="47" t="s">
        <v>49</v>
      </c>
      <c r="K4543" s="31">
        <v>792</v>
      </c>
      <c r="S4543" s="33">
        <v>1</v>
      </c>
      <c r="AE4543" s="31" t="s">
        <v>4756</v>
      </c>
      <c r="AF4543" s="31">
        <v>60</v>
      </c>
      <c r="AQ4543" s="32" t="s">
        <v>5607</v>
      </c>
      <c r="AU4543">
        <v>4542</v>
      </c>
    </row>
    <row r="4544" spans="1:47" x14ac:dyDescent="0.2">
      <c r="A4544" s="13">
        <v>6754</v>
      </c>
      <c r="B4544" s="57" t="s">
        <v>45</v>
      </c>
      <c r="C4544" s="57" t="s">
        <v>4456</v>
      </c>
      <c r="D4544" s="29"/>
      <c r="E4544" s="57" t="s">
        <v>5711</v>
      </c>
      <c r="F4544" s="31" t="s">
        <v>76</v>
      </c>
      <c r="G4544" s="47" t="s">
        <v>49</v>
      </c>
      <c r="I4544" s="31" t="s">
        <v>5762</v>
      </c>
      <c r="K4544" s="31">
        <v>968</v>
      </c>
      <c r="L4544" s="33">
        <v>1</v>
      </c>
      <c r="S4544" s="33">
        <v>1</v>
      </c>
      <c r="T4544" s="47">
        <v>0</v>
      </c>
      <c r="U4544" s="47">
        <v>0</v>
      </c>
      <c r="V4544" s="47">
        <v>0</v>
      </c>
      <c r="W4544" s="47">
        <f>2200*39.37/12</f>
        <v>7217.833333333333</v>
      </c>
      <c r="X4544" s="47"/>
      <c r="Y4544" s="31" t="s">
        <v>51</v>
      </c>
      <c r="Z4544" s="31" t="s">
        <v>1846</v>
      </c>
      <c r="AA4544" s="49">
        <v>0.98611111111111116</v>
      </c>
      <c r="AB4544" s="49">
        <v>1.0520833333333333</v>
      </c>
      <c r="AC4544" s="49">
        <f>AVERAGE(AA4544:AB4544)</f>
        <v>1.0190972222222223</v>
      </c>
      <c r="AD4544" s="35">
        <f>2+5/6</f>
        <v>2.8333333333333335</v>
      </c>
      <c r="AE4544" s="31" t="s">
        <v>4756</v>
      </c>
      <c r="AF4544" s="31">
        <v>105</v>
      </c>
      <c r="AK4544" s="136">
        <v>9</v>
      </c>
      <c r="AQ4544" s="32" t="s">
        <v>5748</v>
      </c>
      <c r="AU4544">
        <v>4543</v>
      </c>
    </row>
    <row r="4545" spans="1:47" x14ac:dyDescent="0.2">
      <c r="A4545" s="13">
        <v>6754</v>
      </c>
      <c r="B4545" s="57" t="s">
        <v>45</v>
      </c>
      <c r="C4545" s="57" t="s">
        <v>4456</v>
      </c>
      <c r="D4545" s="29"/>
      <c r="E4545" s="57" t="s">
        <v>5419</v>
      </c>
      <c r="F4545" s="31" t="s">
        <v>76</v>
      </c>
      <c r="G4545" s="47" t="s">
        <v>49</v>
      </c>
      <c r="I4545" s="31" t="s">
        <v>5763</v>
      </c>
      <c r="K4545" s="135">
        <f>4136*3/5</f>
        <v>2481.6</v>
      </c>
      <c r="L4545" s="33">
        <v>3</v>
      </c>
      <c r="S4545" s="33">
        <v>3</v>
      </c>
      <c r="T4545" s="47">
        <v>0</v>
      </c>
      <c r="U4545" s="47">
        <v>0</v>
      </c>
      <c r="V4545" s="47">
        <v>0</v>
      </c>
      <c r="W4545" s="47">
        <f>((2400+2100+2500)/3)*39.37/12</f>
        <v>7655.2777777777774</v>
      </c>
      <c r="X4545" s="47"/>
      <c r="Y4545" s="31" t="s">
        <v>51</v>
      </c>
      <c r="Z4545" s="31" t="s">
        <v>1846</v>
      </c>
      <c r="AA4545" s="49">
        <v>0.98611111111111116</v>
      </c>
      <c r="AB4545" s="49">
        <v>1.0833333333333333</v>
      </c>
      <c r="AC4545" s="49">
        <f>AVERAGE(AA4545:AB4545)</f>
        <v>1.0347222222222223</v>
      </c>
      <c r="AD4545" s="35">
        <f>2+1/6</f>
        <v>2.1666666666666665</v>
      </c>
      <c r="AE4545" s="31" t="s">
        <v>4756</v>
      </c>
      <c r="AF4545" s="31">
        <v>70</v>
      </c>
      <c r="AK4545" s="136">
        <f>3*9</f>
        <v>27</v>
      </c>
      <c r="AQ4545" s="32" t="s">
        <v>5748</v>
      </c>
      <c r="AU4545">
        <v>4544</v>
      </c>
    </row>
    <row r="4546" spans="1:47" x14ac:dyDescent="0.2">
      <c r="A4546" s="13">
        <v>6754</v>
      </c>
      <c r="B4546" s="57" t="s">
        <v>45</v>
      </c>
      <c r="C4546" s="57" t="s">
        <v>1367</v>
      </c>
      <c r="D4546" s="29"/>
      <c r="E4546" s="57" t="s">
        <v>5419</v>
      </c>
      <c r="F4546" s="31" t="s">
        <v>76</v>
      </c>
      <c r="G4546" s="47" t="s">
        <v>49</v>
      </c>
      <c r="I4546" s="31" t="s">
        <v>5764</v>
      </c>
      <c r="K4546" s="135">
        <f>4136*2/5</f>
        <v>1654.4</v>
      </c>
      <c r="S4546" s="33">
        <v>2</v>
      </c>
      <c r="Z4546" s="31" t="s">
        <v>1846</v>
      </c>
      <c r="AE4546" s="31" t="s">
        <v>4756</v>
      </c>
      <c r="AF4546" s="31">
        <v>70</v>
      </c>
      <c r="AK4546" s="136">
        <f>2*9</f>
        <v>18</v>
      </c>
      <c r="AQ4546" s="32" t="s">
        <v>5607</v>
      </c>
      <c r="AU4546">
        <v>4545</v>
      </c>
    </row>
    <row r="4547" spans="1:47" x14ac:dyDescent="0.2">
      <c r="A4547" s="13">
        <v>6754</v>
      </c>
      <c r="B4547" s="57" t="s">
        <v>45</v>
      </c>
      <c r="C4547" s="57" t="s">
        <v>5765</v>
      </c>
      <c r="D4547" s="29"/>
      <c r="E4547" s="57" t="s">
        <v>5312</v>
      </c>
      <c r="F4547" s="31" t="s">
        <v>76</v>
      </c>
      <c r="G4547" s="47" t="s">
        <v>49</v>
      </c>
      <c r="K4547" s="31">
        <v>2842.4</v>
      </c>
      <c r="S4547" s="33">
        <v>4</v>
      </c>
      <c r="AE4547" s="31" t="s">
        <v>4756</v>
      </c>
      <c r="AF4547" s="31">
        <v>50</v>
      </c>
      <c r="AQ4547" s="32" t="s">
        <v>5607</v>
      </c>
      <c r="AU4547">
        <v>4546</v>
      </c>
    </row>
    <row r="4548" spans="1:47" x14ac:dyDescent="0.2">
      <c r="A4548" s="26">
        <v>6754</v>
      </c>
      <c r="B4548" s="27">
        <v>7.9861111111111105E-2</v>
      </c>
      <c r="C4548" s="28"/>
      <c r="D4548" s="29"/>
      <c r="E4548" s="30" t="s">
        <v>464</v>
      </c>
      <c r="H4548" s="32">
        <v>0</v>
      </c>
      <c r="I4548" s="32" t="s">
        <v>5766</v>
      </c>
      <c r="AG4548" s="32">
        <v>0</v>
      </c>
      <c r="AH4548" s="32">
        <v>0</v>
      </c>
      <c r="AI4548" s="32">
        <v>0</v>
      </c>
      <c r="AK4548" s="32">
        <v>0</v>
      </c>
      <c r="AL4548" s="32">
        <v>0.33300000000000002</v>
      </c>
      <c r="AM4548" s="32">
        <v>0</v>
      </c>
      <c r="AO4548" s="32" t="s">
        <v>4067</v>
      </c>
      <c r="AP4548" s="32">
        <v>0.33300000000000002</v>
      </c>
      <c r="AQ4548" s="32" t="s">
        <v>1522</v>
      </c>
      <c r="AU4548">
        <v>4547</v>
      </c>
    </row>
    <row r="4549" spans="1:47" x14ac:dyDescent="0.2">
      <c r="A4549" s="26">
        <v>6754</v>
      </c>
      <c r="B4549" s="27">
        <v>0.22500000000000001</v>
      </c>
      <c r="C4549" s="28"/>
      <c r="D4549" s="29"/>
      <c r="E4549" s="30" t="s">
        <v>1282</v>
      </c>
      <c r="H4549" s="32">
        <v>0</v>
      </c>
      <c r="I4549" s="32" t="s">
        <v>5767</v>
      </c>
      <c r="AG4549" s="32">
        <v>0</v>
      </c>
      <c r="AH4549" s="32">
        <v>0</v>
      </c>
      <c r="AI4549" s="32">
        <v>0</v>
      </c>
      <c r="AK4549" s="32">
        <v>0</v>
      </c>
      <c r="AL4549" s="32">
        <f>58/60</f>
        <v>0.96666666666666667</v>
      </c>
      <c r="AP4549" s="32">
        <f>58/60</f>
        <v>0.96666666666666667</v>
      </c>
      <c r="AQ4549" s="32" t="s">
        <v>1101</v>
      </c>
      <c r="AU4549">
        <v>4548</v>
      </c>
    </row>
    <row r="4550" spans="1:47" x14ac:dyDescent="0.2">
      <c r="A4550" s="26">
        <v>6754</v>
      </c>
      <c r="B4550" s="27">
        <v>0.96875</v>
      </c>
      <c r="C4550" s="28"/>
      <c r="D4550" s="29"/>
      <c r="E4550" s="30" t="s">
        <v>464</v>
      </c>
      <c r="H4550" s="32">
        <v>0</v>
      </c>
      <c r="I4550" s="32" t="s">
        <v>5766</v>
      </c>
      <c r="AG4550" s="32">
        <v>0</v>
      </c>
      <c r="AH4550" s="32">
        <v>0</v>
      </c>
      <c r="AI4550" s="32">
        <v>0</v>
      </c>
      <c r="AK4550" s="32">
        <v>0</v>
      </c>
      <c r="AL4550" s="32">
        <v>0.33300000000000002</v>
      </c>
      <c r="AM4550" s="32">
        <v>0</v>
      </c>
      <c r="AO4550" s="32" t="s">
        <v>4067</v>
      </c>
      <c r="AP4550" s="32">
        <v>0.33300000000000002</v>
      </c>
      <c r="AQ4550" s="32" t="s">
        <v>1522</v>
      </c>
      <c r="AU4550">
        <v>4549</v>
      </c>
    </row>
    <row r="4551" spans="1:47" x14ac:dyDescent="0.2">
      <c r="A4551" s="133">
        <v>6755</v>
      </c>
      <c r="B4551" s="39" t="s">
        <v>85</v>
      </c>
      <c r="C4551" s="39">
        <v>55</v>
      </c>
      <c r="D4551" s="29" t="b">
        <v>0</v>
      </c>
      <c r="E4551" s="39" t="s">
        <v>3909</v>
      </c>
      <c r="F4551" s="47" t="s">
        <v>4092</v>
      </c>
      <c r="G4551" s="47" t="s">
        <v>274</v>
      </c>
      <c r="H4551"/>
      <c r="I4551" s="47" t="b">
        <v>0</v>
      </c>
      <c r="J4551" s="47" t="b">
        <v>1</v>
      </c>
      <c r="K4551" s="47">
        <v>2364</v>
      </c>
      <c r="L4551" s="48">
        <v>11</v>
      </c>
      <c r="M4551" s="47">
        <v>0</v>
      </c>
      <c r="N4551" s="47">
        <v>1</v>
      </c>
      <c r="O4551" s="47">
        <v>0</v>
      </c>
      <c r="P4551" s="47">
        <v>0</v>
      </c>
      <c r="Q4551" s="47">
        <v>0</v>
      </c>
      <c r="R4551" s="47">
        <v>0</v>
      </c>
      <c r="S4551" s="48">
        <v>10</v>
      </c>
      <c r="T4551" s="47">
        <v>0</v>
      </c>
      <c r="U4551" s="47">
        <v>0</v>
      </c>
      <c r="V4551" s="47">
        <v>0</v>
      </c>
      <c r="W4551" s="47">
        <v>13000</v>
      </c>
      <c r="X4551" s="47">
        <v>634</v>
      </c>
      <c r="Y4551" s="47" t="s">
        <v>120</v>
      </c>
      <c r="Z4551" s="47" t="s">
        <v>3618</v>
      </c>
      <c r="AA4551" s="49">
        <v>0.25694444444444448</v>
      </c>
      <c r="AB4551" s="49">
        <v>0.43055555555555558</v>
      </c>
      <c r="AC4551" s="49">
        <f>AVERAGE(AA4551:AB4551)</f>
        <v>0.34375</v>
      </c>
      <c r="AD4551" s="50">
        <f>(AB4551-AA4551)*24</f>
        <v>4.1666666666666661</v>
      </c>
      <c r="AE4551" s="47" t="s">
        <v>5433</v>
      </c>
      <c r="AF4551" s="47">
        <v>190</v>
      </c>
      <c r="AG4551"/>
      <c r="AH4551"/>
      <c r="AI4551"/>
      <c r="AJ4551"/>
      <c r="AK4551">
        <v>34</v>
      </c>
      <c r="AL4551"/>
      <c r="AM4551"/>
      <c r="AN4551"/>
      <c r="AO4551"/>
      <c r="AP4551"/>
      <c r="AQ4551" t="s">
        <v>5434</v>
      </c>
      <c r="AU4551">
        <v>4550</v>
      </c>
    </row>
    <row r="4552" spans="1:47" x14ac:dyDescent="0.2">
      <c r="A4552" s="133">
        <v>6755</v>
      </c>
      <c r="B4552" s="39" t="s">
        <v>45</v>
      </c>
      <c r="C4552" s="57" t="s">
        <v>142</v>
      </c>
      <c r="D4552" s="29"/>
      <c r="E4552" s="39" t="s">
        <v>5768</v>
      </c>
      <c r="F4552" s="47" t="s">
        <v>5769</v>
      </c>
      <c r="G4552" s="47" t="s">
        <v>69</v>
      </c>
      <c r="H4552"/>
      <c r="I4552" s="47" t="b">
        <v>1</v>
      </c>
      <c r="J4552" s="47" t="b">
        <v>1</v>
      </c>
      <c r="K4552" s="47">
        <f>1270*2.2</f>
        <v>2794</v>
      </c>
      <c r="L4552" s="48">
        <f>5+1</f>
        <v>6</v>
      </c>
      <c r="M4552" s="47"/>
      <c r="N4552" s="47"/>
      <c r="O4552" s="47"/>
      <c r="P4552" s="47"/>
      <c r="Q4552" s="47"/>
      <c r="R4552" s="47"/>
      <c r="S4552" s="48">
        <f>5+1</f>
        <v>6</v>
      </c>
      <c r="T4552" s="47">
        <v>0</v>
      </c>
      <c r="U4552" s="47">
        <v>0</v>
      </c>
      <c r="V4552" s="47">
        <v>0</v>
      </c>
      <c r="W4552" s="47"/>
      <c r="X4552" s="47"/>
      <c r="Y4552" s="47" t="s">
        <v>51</v>
      </c>
      <c r="Z4552" s="31" t="s">
        <v>3855</v>
      </c>
      <c r="AA4552" s="49"/>
      <c r="AB4552" s="49"/>
      <c r="AC4552" s="49"/>
      <c r="AD4552" s="50"/>
      <c r="AE4552" s="47" t="s">
        <v>4217</v>
      </c>
      <c r="AF4552" s="47"/>
      <c r="AG4552"/>
      <c r="AH4552"/>
      <c r="AI4552"/>
      <c r="AJ4552"/>
      <c r="AK4552">
        <f>27+8+2+18</f>
        <v>55</v>
      </c>
      <c r="AL4552"/>
      <c r="AM4552"/>
      <c r="AN4552"/>
      <c r="AO4552"/>
      <c r="AP4552"/>
      <c r="AQ4552" t="s">
        <v>5742</v>
      </c>
      <c r="AR4552" s="32" t="s">
        <v>5770</v>
      </c>
      <c r="AU4552">
        <v>4551</v>
      </c>
    </row>
    <row r="4553" spans="1:47" x14ac:dyDescent="0.2">
      <c r="A4553" s="13">
        <v>6755</v>
      </c>
      <c r="B4553" s="39" t="s">
        <v>45</v>
      </c>
      <c r="C4553" s="57" t="s">
        <v>142</v>
      </c>
      <c r="D4553" s="29"/>
      <c r="E4553" s="57" t="s">
        <v>5703</v>
      </c>
      <c r="F4553" s="31" t="s">
        <v>76</v>
      </c>
      <c r="G4553" s="31" t="s">
        <v>49</v>
      </c>
      <c r="I4553" s="47" t="b">
        <v>0</v>
      </c>
      <c r="J4553" s="47" t="b">
        <v>0</v>
      </c>
      <c r="K4553" s="31">
        <v>440</v>
      </c>
      <c r="S4553" s="33">
        <v>1</v>
      </c>
      <c r="Z4553" s="31" t="s">
        <v>3855</v>
      </c>
      <c r="AE4553" s="47" t="s">
        <v>4217</v>
      </c>
      <c r="AF4553" s="31">
        <v>65</v>
      </c>
      <c r="AQ4553" s="32" t="s">
        <v>5607</v>
      </c>
      <c r="AR4553" s="32" t="s">
        <v>5771</v>
      </c>
      <c r="AU4553">
        <v>4552</v>
      </c>
    </row>
    <row r="4554" spans="1:47" x14ac:dyDescent="0.2">
      <c r="A4554" s="13">
        <v>6755</v>
      </c>
      <c r="B4554" s="39" t="s">
        <v>45</v>
      </c>
      <c r="C4554" s="57" t="s">
        <v>142</v>
      </c>
      <c r="D4554" s="29"/>
      <c r="E4554" s="57" t="s">
        <v>3885</v>
      </c>
      <c r="F4554" s="31" t="s">
        <v>76</v>
      </c>
      <c r="G4554" s="31" t="s">
        <v>49</v>
      </c>
      <c r="I4554" s="47" t="b">
        <v>0</v>
      </c>
      <c r="J4554" s="47" t="b">
        <v>0</v>
      </c>
      <c r="K4554" s="31">
        <v>451</v>
      </c>
      <c r="S4554" s="33">
        <v>1</v>
      </c>
      <c r="Z4554" s="31" t="s">
        <v>3855</v>
      </c>
      <c r="AE4554" s="47" t="s">
        <v>4217</v>
      </c>
      <c r="AF4554" s="31">
        <v>55</v>
      </c>
      <c r="AQ4554" s="32" t="s">
        <v>5607</v>
      </c>
      <c r="AR4554" s="32" t="s">
        <v>5771</v>
      </c>
      <c r="AU4554">
        <v>4553</v>
      </c>
    </row>
    <row r="4555" spans="1:47" x14ac:dyDescent="0.2">
      <c r="A4555" s="13">
        <v>6755</v>
      </c>
      <c r="B4555" s="39" t="s">
        <v>45</v>
      </c>
      <c r="C4555" s="57" t="s">
        <v>142</v>
      </c>
      <c r="D4555" s="29"/>
      <c r="E4555" s="57" t="s">
        <v>3895</v>
      </c>
      <c r="F4555" s="31" t="s">
        <v>76</v>
      </c>
      <c r="G4555" s="31" t="s">
        <v>49</v>
      </c>
      <c r="I4555" s="47" t="b">
        <v>0</v>
      </c>
      <c r="J4555" s="47" t="b">
        <v>0</v>
      </c>
      <c r="K4555" s="31">
        <v>539</v>
      </c>
      <c r="S4555" s="33">
        <v>1</v>
      </c>
      <c r="Z4555" s="31" t="s">
        <v>3855</v>
      </c>
      <c r="AE4555" s="47" t="s">
        <v>4217</v>
      </c>
      <c r="AF4555" s="31">
        <v>70</v>
      </c>
      <c r="AQ4555" s="32" t="s">
        <v>5607</v>
      </c>
      <c r="AR4555" s="32" t="s">
        <v>5771</v>
      </c>
      <c r="AU4555">
        <v>4554</v>
      </c>
    </row>
    <row r="4556" spans="1:47" x14ac:dyDescent="0.2">
      <c r="A4556" s="13">
        <v>6755</v>
      </c>
      <c r="B4556" s="39" t="s">
        <v>45</v>
      </c>
      <c r="C4556" s="57" t="s">
        <v>142</v>
      </c>
      <c r="D4556" s="29"/>
      <c r="E4556" s="57" t="s">
        <v>5559</v>
      </c>
      <c r="F4556" s="31" t="s">
        <v>76</v>
      </c>
      <c r="G4556" s="31" t="s">
        <v>49</v>
      </c>
      <c r="I4556" s="47" t="b">
        <v>0</v>
      </c>
      <c r="J4556" s="47" t="b">
        <v>0</v>
      </c>
      <c r="K4556" s="31">
        <v>682</v>
      </c>
      <c r="S4556" s="33">
        <v>1</v>
      </c>
      <c r="Z4556" s="31" t="s">
        <v>3855</v>
      </c>
      <c r="AE4556" s="47" t="s">
        <v>4217</v>
      </c>
      <c r="AF4556" s="31">
        <v>60</v>
      </c>
      <c r="AQ4556" s="32" t="s">
        <v>5607</v>
      </c>
      <c r="AR4556" s="32" t="s">
        <v>5771</v>
      </c>
      <c r="AU4556">
        <v>4555</v>
      </c>
    </row>
    <row r="4557" spans="1:47" x14ac:dyDescent="0.2">
      <c r="A4557" s="13">
        <v>6755</v>
      </c>
      <c r="B4557" s="39" t="s">
        <v>45</v>
      </c>
      <c r="C4557" s="57" t="s">
        <v>142</v>
      </c>
      <c r="D4557" s="29"/>
      <c r="E4557" s="57" t="s">
        <v>5772</v>
      </c>
      <c r="F4557" s="31" t="s">
        <v>76</v>
      </c>
      <c r="G4557" s="31" t="s">
        <v>49</v>
      </c>
      <c r="I4557" s="47" t="b">
        <v>0</v>
      </c>
      <c r="J4557" s="47" t="b">
        <v>0</v>
      </c>
      <c r="K4557" s="31">
        <v>682</v>
      </c>
      <c r="S4557" s="33">
        <v>1</v>
      </c>
      <c r="Z4557" s="31" t="s">
        <v>3855</v>
      </c>
      <c r="AE4557" s="47" t="s">
        <v>4217</v>
      </c>
      <c r="AF4557" s="31">
        <v>75</v>
      </c>
      <c r="AQ4557" s="32" t="s">
        <v>5607</v>
      </c>
      <c r="AR4557" s="32" t="s">
        <v>5771</v>
      </c>
      <c r="AU4557">
        <v>4556</v>
      </c>
    </row>
    <row r="4558" spans="1:47" x14ac:dyDescent="0.2">
      <c r="A4558" s="133">
        <v>6755</v>
      </c>
      <c r="B4558" s="39" t="s">
        <v>45</v>
      </c>
      <c r="C4558" s="39">
        <v>100</v>
      </c>
      <c r="D4558" s="29" t="b">
        <v>0</v>
      </c>
      <c r="E4558" s="39" t="s">
        <v>5773</v>
      </c>
      <c r="F4558" s="47" t="s">
        <v>5774</v>
      </c>
      <c r="G4558" s="47" t="s">
        <v>205</v>
      </c>
      <c r="H4558"/>
      <c r="I4558" s="47" t="b">
        <v>1</v>
      </c>
      <c r="J4558" s="47" t="b">
        <v>1</v>
      </c>
      <c r="K4558" s="47">
        <v>3804</v>
      </c>
      <c r="L4558" s="48">
        <v>12</v>
      </c>
      <c r="M4558" s="47">
        <v>0</v>
      </c>
      <c r="N4558" s="47">
        <v>0</v>
      </c>
      <c r="O4558" s="47">
        <v>0</v>
      </c>
      <c r="P4558" s="47">
        <v>0</v>
      </c>
      <c r="Q4558" s="47">
        <v>0</v>
      </c>
      <c r="R4558" s="47">
        <v>0</v>
      </c>
      <c r="S4558" s="48">
        <v>12</v>
      </c>
      <c r="T4558" s="47">
        <v>0</v>
      </c>
      <c r="U4558" s="47">
        <v>0</v>
      </c>
      <c r="V4558" s="47">
        <v>0</v>
      </c>
      <c r="W4558" s="47"/>
      <c r="X4558" s="47">
        <v>628</v>
      </c>
      <c r="Y4558" s="47"/>
      <c r="Z4558" s="47" t="s">
        <v>2524</v>
      </c>
      <c r="AA4558" s="49"/>
      <c r="AB4558" s="49"/>
      <c r="AC4558" s="49"/>
      <c r="AD4558" s="50"/>
      <c r="AE4558" s="47" t="s">
        <v>1312</v>
      </c>
      <c r="AF4558" s="47">
        <v>75</v>
      </c>
      <c r="AG4558"/>
      <c r="AH4558"/>
      <c r="AI4558"/>
      <c r="AJ4558"/>
      <c r="AK4558"/>
      <c r="AL4558"/>
      <c r="AM4558"/>
      <c r="AN4558"/>
      <c r="AO4558"/>
      <c r="AP4558"/>
      <c r="AQ4558" t="s">
        <v>2526</v>
      </c>
      <c r="AU4558">
        <v>4557</v>
      </c>
    </row>
    <row r="4559" spans="1:47" x14ac:dyDescent="0.2">
      <c r="A4559" s="133">
        <v>6755</v>
      </c>
      <c r="B4559" s="39" t="s">
        <v>45</v>
      </c>
      <c r="C4559" s="39">
        <v>100</v>
      </c>
      <c r="D4559" s="29" t="b">
        <v>0</v>
      </c>
      <c r="E4559" s="39" t="s">
        <v>5707</v>
      </c>
      <c r="F4559" s="47" t="s">
        <v>529</v>
      </c>
      <c r="G4559" s="47" t="s">
        <v>205</v>
      </c>
      <c r="H4559"/>
      <c r="I4559" s="47" t="b">
        <v>0</v>
      </c>
      <c r="J4559" s="47" t="b">
        <v>0</v>
      </c>
      <c r="K4559" s="47">
        <v>310</v>
      </c>
      <c r="L4559" s="48">
        <v>12</v>
      </c>
      <c r="M4559" s="47">
        <v>0</v>
      </c>
      <c r="N4559" s="47">
        <v>0</v>
      </c>
      <c r="O4559" s="47">
        <v>0</v>
      </c>
      <c r="P4559" s="47">
        <v>0</v>
      </c>
      <c r="Q4559" s="47">
        <v>0</v>
      </c>
      <c r="R4559" s="47">
        <v>0</v>
      </c>
      <c r="S4559" s="48">
        <v>1</v>
      </c>
      <c r="T4559" s="47">
        <v>0</v>
      </c>
      <c r="U4559" s="47">
        <v>0</v>
      </c>
      <c r="V4559" s="47">
        <v>0</v>
      </c>
      <c r="W4559" s="47"/>
      <c r="X4559" s="47">
        <v>630</v>
      </c>
      <c r="Y4559" s="47"/>
      <c r="Z4559" s="47" t="s">
        <v>2524</v>
      </c>
      <c r="AA4559" s="49"/>
      <c r="AB4559" s="49"/>
      <c r="AC4559" s="49"/>
      <c r="AD4559" s="50"/>
      <c r="AE4559" s="47" t="s">
        <v>1312</v>
      </c>
      <c r="AF4559" s="47">
        <v>75</v>
      </c>
      <c r="AG4559"/>
      <c r="AH4559"/>
      <c r="AI4559"/>
      <c r="AJ4559"/>
      <c r="AK4559"/>
      <c r="AL4559"/>
      <c r="AM4559"/>
      <c r="AN4559"/>
      <c r="AO4559"/>
      <c r="AP4559"/>
      <c r="AQ4559" t="s">
        <v>2526</v>
      </c>
      <c r="AU4559">
        <v>4558</v>
      </c>
    </row>
    <row r="4560" spans="1:47" x14ac:dyDescent="0.2">
      <c r="A4560" s="133">
        <v>6755</v>
      </c>
      <c r="B4560" s="39" t="s">
        <v>45</v>
      </c>
      <c r="C4560" s="39">
        <v>100</v>
      </c>
      <c r="D4560" s="29" t="b">
        <v>0</v>
      </c>
      <c r="E4560" s="39" t="s">
        <v>5775</v>
      </c>
      <c r="F4560" s="47" t="s">
        <v>2617</v>
      </c>
      <c r="G4560" s="47" t="s">
        <v>49</v>
      </c>
      <c r="H4560"/>
      <c r="I4560" s="47" t="b">
        <v>0</v>
      </c>
      <c r="J4560" s="47" t="b">
        <v>0</v>
      </c>
      <c r="K4560" s="47">
        <v>212</v>
      </c>
      <c r="L4560" s="48">
        <v>12</v>
      </c>
      <c r="M4560" s="47">
        <v>0</v>
      </c>
      <c r="N4560" s="47">
        <v>0</v>
      </c>
      <c r="O4560" s="47">
        <v>0</v>
      </c>
      <c r="P4560" s="47">
        <v>0</v>
      </c>
      <c r="Q4560" s="47">
        <v>0</v>
      </c>
      <c r="R4560" s="47">
        <v>0</v>
      </c>
      <c r="S4560" s="48">
        <v>1</v>
      </c>
      <c r="T4560" s="47">
        <v>0</v>
      </c>
      <c r="U4560" s="47">
        <v>0</v>
      </c>
      <c r="V4560" s="47">
        <v>0</v>
      </c>
      <c r="W4560" s="47"/>
      <c r="X4560" s="47">
        <v>631</v>
      </c>
      <c r="Y4560" s="47"/>
      <c r="Z4560" s="47" t="s">
        <v>2524</v>
      </c>
      <c r="AA4560" s="49"/>
      <c r="AB4560" s="49"/>
      <c r="AC4560" s="49"/>
      <c r="AD4560" s="50"/>
      <c r="AE4560" s="47" t="s">
        <v>1312</v>
      </c>
      <c r="AF4560" s="47">
        <v>60</v>
      </c>
      <c r="AG4560"/>
      <c r="AH4560"/>
      <c r="AI4560"/>
      <c r="AJ4560"/>
      <c r="AK4560"/>
      <c r="AL4560"/>
      <c r="AM4560"/>
      <c r="AN4560"/>
      <c r="AO4560"/>
      <c r="AP4560"/>
      <c r="AQ4560" t="s">
        <v>2526</v>
      </c>
      <c r="AU4560">
        <v>4559</v>
      </c>
    </row>
    <row r="4561" spans="1:47" x14ac:dyDescent="0.2">
      <c r="A4561" s="133">
        <v>6755</v>
      </c>
      <c r="B4561" s="39" t="s">
        <v>45</v>
      </c>
      <c r="C4561" s="39">
        <v>100</v>
      </c>
      <c r="D4561" s="29" t="b">
        <v>0</v>
      </c>
      <c r="E4561" s="39" t="s">
        <v>881</v>
      </c>
      <c r="F4561" s="47" t="s">
        <v>1717</v>
      </c>
      <c r="G4561" s="47" t="s">
        <v>73</v>
      </c>
      <c r="H4561"/>
      <c r="I4561" s="47" t="b">
        <v>0</v>
      </c>
      <c r="J4561" s="47" t="b">
        <v>0</v>
      </c>
      <c r="K4561" s="47">
        <v>175</v>
      </c>
      <c r="L4561" s="48">
        <v>12</v>
      </c>
      <c r="M4561" s="47">
        <v>0</v>
      </c>
      <c r="N4561" s="47">
        <v>0</v>
      </c>
      <c r="O4561" s="47">
        <v>0</v>
      </c>
      <c r="P4561" s="47">
        <v>0</v>
      </c>
      <c r="Q4561" s="47">
        <v>0</v>
      </c>
      <c r="R4561" s="47">
        <v>0</v>
      </c>
      <c r="S4561" s="48">
        <v>1</v>
      </c>
      <c r="T4561" s="47">
        <v>0</v>
      </c>
      <c r="U4561" s="47">
        <v>0</v>
      </c>
      <c r="V4561" s="47">
        <v>0</v>
      </c>
      <c r="W4561" s="47"/>
      <c r="X4561" s="47">
        <v>632</v>
      </c>
      <c r="Y4561" s="47"/>
      <c r="Z4561" s="47" t="s">
        <v>2524</v>
      </c>
      <c r="AA4561" s="49"/>
      <c r="AB4561" s="49"/>
      <c r="AC4561" s="49"/>
      <c r="AD4561" s="50"/>
      <c r="AE4561" s="47" t="s">
        <v>1312</v>
      </c>
      <c r="AF4561" s="47"/>
      <c r="AG4561"/>
      <c r="AH4561"/>
      <c r="AI4561"/>
      <c r="AJ4561"/>
      <c r="AK4561"/>
      <c r="AL4561"/>
      <c r="AM4561"/>
      <c r="AN4561"/>
      <c r="AO4561"/>
      <c r="AP4561"/>
      <c r="AQ4561" t="s">
        <v>2526</v>
      </c>
      <c r="AU4561">
        <v>4560</v>
      </c>
    </row>
    <row r="4562" spans="1:47" x14ac:dyDescent="0.2">
      <c r="A4562" s="133">
        <v>6755</v>
      </c>
      <c r="B4562" s="39" t="s">
        <v>45</v>
      </c>
      <c r="C4562" s="39">
        <v>100</v>
      </c>
      <c r="D4562" s="29" t="b">
        <v>0</v>
      </c>
      <c r="E4562" s="39" t="s">
        <v>649</v>
      </c>
      <c r="F4562" s="47" t="s">
        <v>529</v>
      </c>
      <c r="G4562" s="47" t="s">
        <v>205</v>
      </c>
      <c r="H4562"/>
      <c r="I4562" s="47" t="b">
        <v>0</v>
      </c>
      <c r="J4562" s="47" t="b">
        <v>0</v>
      </c>
      <c r="K4562" s="47">
        <v>2783</v>
      </c>
      <c r="L4562" s="48">
        <v>12</v>
      </c>
      <c r="M4562" s="47">
        <v>0</v>
      </c>
      <c r="N4562" s="47">
        <v>0</v>
      </c>
      <c r="O4562" s="47">
        <v>0</v>
      </c>
      <c r="P4562" s="47">
        <v>0</v>
      </c>
      <c r="Q4562" s="47">
        <v>0</v>
      </c>
      <c r="R4562" s="47">
        <v>0</v>
      </c>
      <c r="S4562" s="48">
        <v>8</v>
      </c>
      <c r="T4562" s="47">
        <v>0</v>
      </c>
      <c r="U4562" s="47">
        <v>0</v>
      </c>
      <c r="V4562" s="47">
        <v>0</v>
      </c>
      <c r="W4562" s="47"/>
      <c r="X4562" s="47">
        <v>635</v>
      </c>
      <c r="Y4562" s="47"/>
      <c r="Z4562" s="47" t="s">
        <v>2524</v>
      </c>
      <c r="AA4562" s="49"/>
      <c r="AB4562" s="49"/>
      <c r="AC4562" s="49"/>
      <c r="AD4562" s="50"/>
      <c r="AE4562" s="47" t="s">
        <v>1312</v>
      </c>
      <c r="AF4562" s="31">
        <v>55</v>
      </c>
      <c r="AG4562"/>
      <c r="AH4562"/>
      <c r="AI4562"/>
      <c r="AJ4562"/>
      <c r="AK4562"/>
      <c r="AL4562"/>
      <c r="AM4562"/>
      <c r="AN4562"/>
      <c r="AO4562"/>
      <c r="AP4562"/>
      <c r="AQ4562" t="s">
        <v>2526</v>
      </c>
      <c r="AU4562">
        <v>4561</v>
      </c>
    </row>
    <row r="4563" spans="1:47" x14ac:dyDescent="0.2">
      <c r="A4563" s="133">
        <v>6755</v>
      </c>
      <c r="B4563" s="39" t="s">
        <v>45</v>
      </c>
      <c r="C4563" s="39">
        <v>100</v>
      </c>
      <c r="D4563" s="29" t="b">
        <v>0</v>
      </c>
      <c r="E4563" s="39" t="s">
        <v>5776</v>
      </c>
      <c r="F4563" s="47" t="s">
        <v>5777</v>
      </c>
      <c r="G4563" s="47" t="s">
        <v>73</v>
      </c>
      <c r="H4563"/>
      <c r="I4563" s="47" t="b">
        <v>0</v>
      </c>
      <c r="J4563" s="47" t="b">
        <v>0</v>
      </c>
      <c r="K4563" s="47">
        <v>324</v>
      </c>
      <c r="L4563" s="48">
        <v>12</v>
      </c>
      <c r="M4563" s="47">
        <v>0</v>
      </c>
      <c r="N4563" s="47">
        <v>0</v>
      </c>
      <c r="O4563" s="47">
        <v>0</v>
      </c>
      <c r="P4563" s="47">
        <v>0</v>
      </c>
      <c r="Q4563" s="47">
        <v>0</v>
      </c>
      <c r="R4563" s="47">
        <v>0</v>
      </c>
      <c r="S4563" s="48">
        <v>1</v>
      </c>
      <c r="T4563" s="47">
        <v>0</v>
      </c>
      <c r="U4563" s="47">
        <v>0</v>
      </c>
      <c r="V4563" s="47">
        <v>0</v>
      </c>
      <c r="W4563" s="47"/>
      <c r="X4563" s="47">
        <v>636</v>
      </c>
      <c r="Y4563" s="47"/>
      <c r="Z4563" s="47" t="s">
        <v>2524</v>
      </c>
      <c r="AA4563" s="49"/>
      <c r="AB4563" s="49"/>
      <c r="AC4563" s="49"/>
      <c r="AD4563" s="50"/>
      <c r="AE4563" s="47" t="s">
        <v>1312</v>
      </c>
      <c r="AF4563" s="47">
        <v>70</v>
      </c>
      <c r="AG4563"/>
      <c r="AH4563"/>
      <c r="AI4563"/>
      <c r="AJ4563"/>
      <c r="AK4563"/>
      <c r="AL4563"/>
      <c r="AM4563"/>
      <c r="AN4563"/>
      <c r="AO4563"/>
      <c r="AP4563"/>
      <c r="AQ4563" t="s">
        <v>2526</v>
      </c>
      <c r="AU4563">
        <v>4562</v>
      </c>
    </row>
    <row r="4564" spans="1:47" x14ac:dyDescent="0.2">
      <c r="A4564" s="133">
        <v>6755</v>
      </c>
      <c r="B4564" s="39" t="s">
        <v>45</v>
      </c>
      <c r="C4564" s="39">
        <v>216</v>
      </c>
      <c r="D4564" s="29" t="b">
        <v>0</v>
      </c>
      <c r="E4564" s="39" t="s">
        <v>5778</v>
      </c>
      <c r="F4564" s="47" t="s">
        <v>5779</v>
      </c>
      <c r="G4564" s="47" t="s">
        <v>49</v>
      </c>
      <c r="H4564"/>
      <c r="I4564" s="47" t="b">
        <v>1</v>
      </c>
      <c r="J4564" s="47" t="b">
        <v>1</v>
      </c>
      <c r="K4564" s="47">
        <v>7952</v>
      </c>
      <c r="L4564" s="48">
        <v>7</v>
      </c>
      <c r="M4564" s="47">
        <v>0</v>
      </c>
      <c r="N4564" s="47">
        <v>1</v>
      </c>
      <c r="O4564" s="47">
        <v>0</v>
      </c>
      <c r="P4564" s="47">
        <v>5</v>
      </c>
      <c r="Q4564" s="47">
        <v>0</v>
      </c>
      <c r="R4564" s="47">
        <v>0</v>
      </c>
      <c r="S4564" s="48">
        <v>6</v>
      </c>
      <c r="T4564" s="47">
        <v>0</v>
      </c>
      <c r="U4564" s="47">
        <v>0</v>
      </c>
      <c r="V4564" s="47">
        <v>0</v>
      </c>
      <c r="W4564" s="47"/>
      <c r="X4564" s="47">
        <v>633</v>
      </c>
      <c r="Y4564" s="47"/>
      <c r="Z4564" s="47" t="s">
        <v>2466</v>
      </c>
      <c r="AA4564" s="49"/>
      <c r="AB4564" s="49"/>
      <c r="AC4564" s="49"/>
      <c r="AD4564" s="50"/>
      <c r="AE4564" s="47" t="s">
        <v>1312</v>
      </c>
      <c r="AF4564" s="47">
        <v>210</v>
      </c>
      <c r="AG4564"/>
      <c r="AH4564"/>
      <c r="AI4564"/>
      <c r="AJ4564"/>
      <c r="AK4564"/>
      <c r="AL4564"/>
      <c r="AM4564"/>
      <c r="AN4564"/>
      <c r="AO4564"/>
      <c r="AP4564"/>
      <c r="AQ4564" t="s">
        <v>2526</v>
      </c>
      <c r="AU4564">
        <v>4563</v>
      </c>
    </row>
    <row r="4565" spans="1:47" x14ac:dyDescent="0.2">
      <c r="A4565" s="133">
        <v>6755</v>
      </c>
      <c r="B4565" s="39" t="s">
        <v>45</v>
      </c>
      <c r="C4565" s="39">
        <v>216</v>
      </c>
      <c r="D4565" s="29" t="b">
        <v>0</v>
      </c>
      <c r="E4565" s="39" t="s">
        <v>3909</v>
      </c>
      <c r="F4565" s="47" t="s">
        <v>626</v>
      </c>
      <c r="G4565" s="47" t="s">
        <v>274</v>
      </c>
      <c r="H4565"/>
      <c r="I4565" s="47" t="b">
        <v>0</v>
      </c>
      <c r="J4565" s="47" t="b">
        <v>0</v>
      </c>
      <c r="K4565" s="47">
        <v>1344</v>
      </c>
      <c r="L4565" s="48">
        <v>7</v>
      </c>
      <c r="M4565" s="47">
        <v>0</v>
      </c>
      <c r="N4565" s="47">
        <v>1</v>
      </c>
      <c r="O4565" s="47">
        <v>0</v>
      </c>
      <c r="P4565" s="47">
        <v>5</v>
      </c>
      <c r="Q4565" s="47">
        <v>0</v>
      </c>
      <c r="R4565" s="47">
        <v>0</v>
      </c>
      <c r="S4565" s="48">
        <v>1</v>
      </c>
      <c r="T4565" s="47">
        <v>0</v>
      </c>
      <c r="U4565" s="47">
        <v>0</v>
      </c>
      <c r="V4565" s="47">
        <v>0</v>
      </c>
      <c r="W4565" s="47"/>
      <c r="X4565" s="47">
        <v>626</v>
      </c>
      <c r="Y4565" s="47"/>
      <c r="Z4565" s="47" t="s">
        <v>2466</v>
      </c>
      <c r="AA4565" s="49"/>
      <c r="AB4565" s="49"/>
      <c r="AC4565" s="49"/>
      <c r="AD4565" s="50"/>
      <c r="AE4565" s="47" t="s">
        <v>1312</v>
      </c>
      <c r="AF4565" s="47">
        <v>210</v>
      </c>
      <c r="AG4565"/>
      <c r="AH4565"/>
      <c r="AI4565"/>
      <c r="AJ4565"/>
      <c r="AK4565"/>
      <c r="AL4565"/>
      <c r="AM4565"/>
      <c r="AN4565"/>
      <c r="AO4565"/>
      <c r="AP4565"/>
      <c r="AQ4565" t="s">
        <v>2526</v>
      </c>
      <c r="AU4565">
        <v>4564</v>
      </c>
    </row>
    <row r="4566" spans="1:47" x14ac:dyDescent="0.2">
      <c r="A4566" s="133">
        <v>6755</v>
      </c>
      <c r="B4566" s="39" t="s">
        <v>45</v>
      </c>
      <c r="C4566" s="39">
        <v>216</v>
      </c>
      <c r="D4566" s="29" t="b">
        <v>0</v>
      </c>
      <c r="E4566" s="39" t="s">
        <v>1764</v>
      </c>
      <c r="F4566" s="47" t="s">
        <v>5780</v>
      </c>
      <c r="G4566" s="47" t="s">
        <v>49</v>
      </c>
      <c r="H4566"/>
      <c r="I4566" s="47" t="b">
        <v>0</v>
      </c>
      <c r="J4566" s="47" t="b">
        <v>0</v>
      </c>
      <c r="K4566" s="47">
        <v>5264</v>
      </c>
      <c r="L4566" s="48">
        <v>7</v>
      </c>
      <c r="M4566" s="47">
        <v>0</v>
      </c>
      <c r="N4566" s="47">
        <v>1</v>
      </c>
      <c r="O4566" s="47">
        <v>0</v>
      </c>
      <c r="P4566" s="47">
        <v>5</v>
      </c>
      <c r="Q4566" s="47">
        <v>0</v>
      </c>
      <c r="R4566" s="47">
        <v>0</v>
      </c>
      <c r="S4566" s="48">
        <v>5</v>
      </c>
      <c r="T4566" s="47">
        <v>0</v>
      </c>
      <c r="U4566" s="47">
        <v>0</v>
      </c>
      <c r="V4566" s="47">
        <v>0</v>
      </c>
      <c r="W4566" s="47"/>
      <c r="X4566" s="47">
        <v>627</v>
      </c>
      <c r="Y4566" s="47"/>
      <c r="Z4566" s="47" t="s">
        <v>2466</v>
      </c>
      <c r="AA4566" s="49"/>
      <c r="AB4566" s="49"/>
      <c r="AC4566" s="49"/>
      <c r="AD4566" s="50"/>
      <c r="AE4566" s="47" t="s">
        <v>1312</v>
      </c>
      <c r="AF4566" s="31">
        <v>85</v>
      </c>
      <c r="AG4566"/>
      <c r="AH4566"/>
      <c r="AI4566"/>
      <c r="AJ4566"/>
      <c r="AK4566"/>
      <c r="AL4566"/>
      <c r="AM4566"/>
      <c r="AN4566"/>
      <c r="AO4566"/>
      <c r="AP4566"/>
      <c r="AQ4566" t="s">
        <v>2526</v>
      </c>
      <c r="AU4566">
        <v>4565</v>
      </c>
    </row>
    <row r="4567" spans="1:47" x14ac:dyDescent="0.2">
      <c r="A4567" s="133">
        <v>6755</v>
      </c>
      <c r="B4567" s="39" t="s">
        <v>45</v>
      </c>
      <c r="C4567" s="39">
        <v>216</v>
      </c>
      <c r="D4567" s="29" t="b">
        <v>0</v>
      </c>
      <c r="E4567" s="39" t="s">
        <v>1168</v>
      </c>
      <c r="F4567" s="47" t="s">
        <v>5439</v>
      </c>
      <c r="G4567" s="47" t="s">
        <v>49</v>
      </c>
      <c r="H4567"/>
      <c r="I4567" s="47" t="b">
        <v>0</v>
      </c>
      <c r="J4567" s="47" t="b">
        <v>0</v>
      </c>
      <c r="K4567" s="47">
        <v>1344</v>
      </c>
      <c r="L4567" s="48">
        <v>7</v>
      </c>
      <c r="M4567" s="47">
        <v>0</v>
      </c>
      <c r="N4567" s="47">
        <v>1</v>
      </c>
      <c r="O4567" s="47">
        <v>0</v>
      </c>
      <c r="P4567" s="47">
        <v>5</v>
      </c>
      <c r="Q4567" s="47">
        <v>0</v>
      </c>
      <c r="R4567" s="47">
        <v>0</v>
      </c>
      <c r="S4567" s="48">
        <v>1</v>
      </c>
      <c r="T4567" s="47">
        <v>0</v>
      </c>
      <c r="U4567" s="47">
        <v>0</v>
      </c>
      <c r="V4567" s="47">
        <v>0</v>
      </c>
      <c r="W4567" s="47"/>
      <c r="X4567" s="47">
        <v>629</v>
      </c>
      <c r="Y4567" s="47"/>
      <c r="Z4567" s="47" t="s">
        <v>2466</v>
      </c>
      <c r="AA4567" s="49"/>
      <c r="AB4567" s="49"/>
      <c r="AC4567" s="49"/>
      <c r="AD4567" s="50"/>
      <c r="AE4567" s="47" t="s">
        <v>1312</v>
      </c>
      <c r="AF4567" s="47">
        <v>60</v>
      </c>
      <c r="AG4567"/>
      <c r="AH4567"/>
      <c r="AI4567"/>
      <c r="AJ4567"/>
      <c r="AK4567"/>
      <c r="AL4567"/>
      <c r="AM4567"/>
      <c r="AN4567"/>
      <c r="AO4567"/>
      <c r="AP4567"/>
      <c r="AQ4567" t="s">
        <v>2526</v>
      </c>
      <c r="AU4567">
        <v>4566</v>
      </c>
    </row>
    <row r="4568" spans="1:47" x14ac:dyDescent="0.2">
      <c r="A4568" s="13">
        <v>6755</v>
      </c>
      <c r="B4568" s="57" t="s">
        <v>45</v>
      </c>
      <c r="C4568" s="57" t="s">
        <v>1367</v>
      </c>
      <c r="D4568" s="29"/>
      <c r="E4568" s="57" t="s">
        <v>5781</v>
      </c>
      <c r="F4568" s="31" t="s">
        <v>76</v>
      </c>
      <c r="G4568" s="47" t="s">
        <v>49</v>
      </c>
      <c r="K4568" s="31">
        <v>440</v>
      </c>
      <c r="S4568" s="33">
        <v>1</v>
      </c>
      <c r="AE4568" s="31" t="s">
        <v>4756</v>
      </c>
      <c r="AF4568" s="31">
        <v>100</v>
      </c>
      <c r="AQ4568" s="32" t="s">
        <v>5607</v>
      </c>
      <c r="AU4568">
        <v>4567</v>
      </c>
    </row>
    <row r="4569" spans="1:47" x14ac:dyDescent="0.2">
      <c r="A4569" s="13">
        <v>6755</v>
      </c>
      <c r="B4569" s="57" t="s">
        <v>45</v>
      </c>
      <c r="C4569" s="57" t="s">
        <v>1367</v>
      </c>
      <c r="D4569" s="29"/>
      <c r="E4569" s="57" t="s">
        <v>3816</v>
      </c>
      <c r="F4569" s="31" t="s">
        <v>76</v>
      </c>
      <c r="G4569" s="47" t="s">
        <v>49</v>
      </c>
      <c r="K4569" s="31">
        <v>1320</v>
      </c>
      <c r="S4569" s="33">
        <v>1</v>
      </c>
      <c r="AE4569" s="31" t="s">
        <v>4756</v>
      </c>
      <c r="AF4569" s="31">
        <v>110</v>
      </c>
      <c r="AQ4569" s="32" t="s">
        <v>5607</v>
      </c>
      <c r="AU4569">
        <v>4568</v>
      </c>
    </row>
    <row r="4570" spans="1:47" x14ac:dyDescent="0.2">
      <c r="A4570" s="13">
        <v>6755</v>
      </c>
      <c r="B4570" s="57" t="s">
        <v>45</v>
      </c>
      <c r="C4570" s="57" t="s">
        <v>1367</v>
      </c>
      <c r="D4570" s="29"/>
      <c r="E4570" s="57" t="s">
        <v>5353</v>
      </c>
      <c r="F4570" s="31" t="s">
        <v>76</v>
      </c>
      <c r="G4570" s="47" t="s">
        <v>49</v>
      </c>
      <c r="K4570" s="31">
        <v>2950.2</v>
      </c>
      <c r="S4570" s="33">
        <v>3</v>
      </c>
      <c r="AE4570" s="31" t="s">
        <v>4756</v>
      </c>
      <c r="AF4570" s="31">
        <v>60</v>
      </c>
      <c r="AQ4570" s="32" t="s">
        <v>5607</v>
      </c>
      <c r="AU4570">
        <v>4569</v>
      </c>
    </row>
    <row r="4571" spans="1:47" x14ac:dyDescent="0.2">
      <c r="A4571" s="13">
        <v>6755</v>
      </c>
      <c r="B4571" s="57" t="s">
        <v>45</v>
      </c>
      <c r="C4571" s="57" t="s">
        <v>4456</v>
      </c>
      <c r="D4571" s="29"/>
      <c r="E4571" s="57" t="s">
        <v>5711</v>
      </c>
      <c r="F4571" s="31" t="s">
        <v>76</v>
      </c>
      <c r="G4571" s="47" t="s">
        <v>49</v>
      </c>
      <c r="I4571" s="31" t="s">
        <v>5782</v>
      </c>
      <c r="K4571" s="31">
        <v>968</v>
      </c>
      <c r="L4571" s="33">
        <v>1</v>
      </c>
      <c r="S4571" s="33">
        <v>1</v>
      </c>
      <c r="T4571" s="47">
        <v>0</v>
      </c>
      <c r="U4571" s="47">
        <v>0</v>
      </c>
      <c r="V4571" s="47">
        <v>0</v>
      </c>
      <c r="W4571" s="47">
        <f>2500*39.37/12</f>
        <v>8202.0833333333339</v>
      </c>
      <c r="X4571" s="47"/>
      <c r="Y4571" s="31" t="s">
        <v>51</v>
      </c>
      <c r="Z4571" s="31" t="s">
        <v>1846</v>
      </c>
      <c r="AA4571" s="49">
        <v>0.95486111111111116</v>
      </c>
      <c r="AB4571" s="49">
        <v>1.0659722222222221</v>
      </c>
      <c r="AC4571" s="49">
        <f>AVERAGE(AA4571:AB4571)</f>
        <v>1.0104166666666665</v>
      </c>
      <c r="AD4571" s="35">
        <v>2.67</v>
      </c>
      <c r="AE4571" s="31" t="s">
        <v>4756</v>
      </c>
      <c r="AF4571" s="31">
        <v>105</v>
      </c>
      <c r="AK4571" s="136">
        <v>9</v>
      </c>
      <c r="AQ4571" s="32" t="s">
        <v>5748</v>
      </c>
      <c r="AU4571">
        <v>4570</v>
      </c>
    </row>
    <row r="4572" spans="1:47" x14ac:dyDescent="0.2">
      <c r="A4572" s="13">
        <v>6755</v>
      </c>
      <c r="B4572" s="57" t="s">
        <v>45</v>
      </c>
      <c r="C4572" s="57" t="s">
        <v>4456</v>
      </c>
      <c r="D4572" s="29"/>
      <c r="E4572" s="57" t="s">
        <v>5419</v>
      </c>
      <c r="F4572" s="31" t="s">
        <v>76</v>
      </c>
      <c r="G4572" s="47" t="s">
        <v>49</v>
      </c>
      <c r="I4572" s="31" t="s">
        <v>5783</v>
      </c>
      <c r="K4572" s="135">
        <f>4488*3/5</f>
        <v>2692.8</v>
      </c>
      <c r="L4572" s="33">
        <v>3</v>
      </c>
      <c r="S4572" s="33">
        <v>3</v>
      </c>
      <c r="T4572" s="47">
        <v>0</v>
      </c>
      <c r="U4572" s="47">
        <v>0</v>
      </c>
      <c r="V4572" s="47">
        <v>0</v>
      </c>
      <c r="W4572" s="47">
        <f>((2400+2200+1800)/3)*39.37/12</f>
        <v>6999.1111111111104</v>
      </c>
      <c r="X4572" s="47"/>
      <c r="Y4572" s="31" t="s">
        <v>51</v>
      </c>
      <c r="Z4572" s="31" t="s">
        <v>1846</v>
      </c>
      <c r="AA4572" s="49">
        <v>0.96875</v>
      </c>
      <c r="AB4572" s="49">
        <v>1.0625</v>
      </c>
      <c r="AC4572" s="49">
        <f>AVERAGE(AA4572:AB4572)</f>
        <v>1.015625</v>
      </c>
      <c r="AD4572" s="35">
        <f>1+55/60</f>
        <v>1.9166666666666665</v>
      </c>
      <c r="AE4572" s="31" t="s">
        <v>4756</v>
      </c>
      <c r="AF4572" s="31">
        <v>70</v>
      </c>
      <c r="AK4572" s="136">
        <f>3*9</f>
        <v>27</v>
      </c>
      <c r="AQ4572" s="32" t="s">
        <v>5748</v>
      </c>
      <c r="AU4572">
        <v>4571</v>
      </c>
    </row>
    <row r="4573" spans="1:47" x14ac:dyDescent="0.2">
      <c r="A4573" s="13">
        <v>6755</v>
      </c>
      <c r="B4573" s="57" t="s">
        <v>45</v>
      </c>
      <c r="C4573" s="57" t="s">
        <v>5765</v>
      </c>
      <c r="D4573" s="29"/>
      <c r="E4573" s="57" t="s">
        <v>5419</v>
      </c>
      <c r="F4573" s="31" t="s">
        <v>76</v>
      </c>
      <c r="G4573" s="47" t="s">
        <v>49</v>
      </c>
      <c r="I4573" s="31" t="s">
        <v>5784</v>
      </c>
      <c r="K4573" s="135">
        <f>4488*2/5</f>
        <v>1795.2</v>
      </c>
      <c r="S4573" s="33">
        <f>5-3</f>
        <v>2</v>
      </c>
      <c r="Z4573" s="31" t="s">
        <v>1846</v>
      </c>
      <c r="AE4573" s="31" t="s">
        <v>4756</v>
      </c>
      <c r="AF4573" s="31">
        <v>70</v>
      </c>
      <c r="AK4573" s="136">
        <f>2*9</f>
        <v>18</v>
      </c>
      <c r="AQ4573" s="32" t="s">
        <v>5607</v>
      </c>
      <c r="AU4573">
        <v>4572</v>
      </c>
    </row>
    <row r="4574" spans="1:47" x14ac:dyDescent="0.2">
      <c r="A4574" s="26">
        <v>6755</v>
      </c>
      <c r="B4574" s="27">
        <v>0.3611111111111111</v>
      </c>
      <c r="C4574" s="28"/>
      <c r="D4574" s="29"/>
      <c r="E4574" s="30" t="s">
        <v>631</v>
      </c>
      <c r="H4574" s="32">
        <v>0</v>
      </c>
      <c r="I4574" s="32" t="s">
        <v>837</v>
      </c>
      <c r="AG4574" s="32">
        <v>0</v>
      </c>
      <c r="AH4574" s="32">
        <v>0</v>
      </c>
      <c r="AI4574" s="32">
        <v>0</v>
      </c>
      <c r="AK4574" s="32">
        <v>0</v>
      </c>
      <c r="AL4574" s="32">
        <f>25/60</f>
        <v>0.41666666666666669</v>
      </c>
      <c r="AP4574" s="32">
        <f>25/60</f>
        <v>0.41666666666666669</v>
      </c>
      <c r="AQ4574" s="32">
        <v>464</v>
      </c>
      <c r="AU4574">
        <v>4573</v>
      </c>
    </row>
    <row r="4575" spans="1:47" x14ac:dyDescent="0.2">
      <c r="A4575" s="26">
        <v>6755</v>
      </c>
      <c r="B4575" s="27">
        <v>0.39374999999999999</v>
      </c>
      <c r="C4575" s="28"/>
      <c r="D4575" s="29"/>
      <c r="E4575" s="30" t="s">
        <v>3155</v>
      </c>
      <c r="H4575" s="32">
        <v>0</v>
      </c>
      <c r="I4575" s="32" t="s">
        <v>3156</v>
      </c>
      <c r="AG4575" s="32">
        <v>0</v>
      </c>
      <c r="AH4575" s="32">
        <v>0</v>
      </c>
      <c r="AI4575" s="32">
        <v>0</v>
      </c>
      <c r="AK4575" s="32">
        <v>0</v>
      </c>
      <c r="AP4575" s="32">
        <f>2/60</f>
        <v>3.3333333333333333E-2</v>
      </c>
      <c r="AQ4575" s="32" t="s">
        <v>1101</v>
      </c>
      <c r="AU4575">
        <v>4574</v>
      </c>
    </row>
    <row r="4576" spans="1:47" x14ac:dyDescent="0.2">
      <c r="A4576" s="26">
        <v>6755</v>
      </c>
      <c r="B4576" s="27">
        <v>0.9375</v>
      </c>
      <c r="C4576" s="28"/>
      <c r="D4576" s="29"/>
      <c r="E4576" s="30" t="s">
        <v>1282</v>
      </c>
      <c r="H4576" s="32">
        <v>0</v>
      </c>
      <c r="I4576" s="32" t="s">
        <v>5785</v>
      </c>
      <c r="AG4576" s="32">
        <v>0</v>
      </c>
      <c r="AH4576" s="32">
        <v>0</v>
      </c>
      <c r="AI4576" s="32">
        <v>0</v>
      </c>
      <c r="AK4576" s="32">
        <v>0</v>
      </c>
      <c r="AL4576" s="32">
        <f>5+5/60</f>
        <v>5.083333333333333</v>
      </c>
      <c r="AP4576" s="32">
        <f>5+5/60</f>
        <v>5.083333333333333</v>
      </c>
      <c r="AQ4576" s="32" t="s">
        <v>1101</v>
      </c>
      <c r="AU4576">
        <v>4575</v>
      </c>
    </row>
    <row r="4577" spans="1:47" x14ac:dyDescent="0.2">
      <c r="A4577" s="26">
        <v>6755</v>
      </c>
      <c r="B4577" s="27">
        <v>0.96875</v>
      </c>
      <c r="C4577" s="28"/>
      <c r="D4577" s="29"/>
      <c r="E4577" s="30" t="s">
        <v>464</v>
      </c>
      <c r="H4577" s="32">
        <v>1</v>
      </c>
      <c r="I4577" s="32" t="s">
        <v>5786</v>
      </c>
      <c r="AG4577" s="32">
        <v>0</v>
      </c>
      <c r="AH4577" s="32">
        <v>0</v>
      </c>
      <c r="AK4577" s="32">
        <v>12</v>
      </c>
      <c r="AL4577" s="32">
        <v>2</v>
      </c>
      <c r="AO4577" s="32" t="s">
        <v>5587</v>
      </c>
      <c r="AP4577" s="32">
        <v>2</v>
      </c>
      <c r="AQ4577" s="32" t="s">
        <v>5503</v>
      </c>
      <c r="AU4577">
        <v>4576</v>
      </c>
    </row>
    <row r="4578" spans="1:47" x14ac:dyDescent="0.2">
      <c r="A4578" s="26">
        <v>6755</v>
      </c>
      <c r="B4578" s="27">
        <v>0.99652777777777779</v>
      </c>
      <c r="C4578" s="28"/>
      <c r="D4578" s="29"/>
      <c r="E4578" s="30" t="s">
        <v>3737</v>
      </c>
      <c r="H4578" s="32">
        <v>0</v>
      </c>
      <c r="I4578" s="32" t="s">
        <v>4926</v>
      </c>
      <c r="AG4578" s="32">
        <v>0</v>
      </c>
      <c r="AH4578" s="32">
        <v>0</v>
      </c>
      <c r="AI4578" s="32">
        <v>0</v>
      </c>
      <c r="AK4578" s="32">
        <v>0</v>
      </c>
      <c r="AM4578" s="74"/>
      <c r="AQ4578" s="32" t="s">
        <v>1101</v>
      </c>
      <c r="AU4578">
        <v>4577</v>
      </c>
    </row>
    <row r="4579" spans="1:47" x14ac:dyDescent="0.2">
      <c r="A4579" s="26">
        <v>6755</v>
      </c>
      <c r="B4579" s="27" t="s">
        <v>85</v>
      </c>
      <c r="C4579" s="28"/>
      <c r="D4579" s="29"/>
      <c r="E4579" s="30" t="s">
        <v>3909</v>
      </c>
      <c r="H4579" s="32">
        <v>1</v>
      </c>
      <c r="I4579" s="32" t="s">
        <v>5787</v>
      </c>
      <c r="AG4579" s="32">
        <v>5</v>
      </c>
      <c r="AH4579" s="32">
        <v>16</v>
      </c>
      <c r="AI4579" s="32">
        <v>151000</v>
      </c>
      <c r="AK4579" s="32">
        <v>11</v>
      </c>
      <c r="AM4579" s="74"/>
      <c r="AQ4579" s="32" t="s">
        <v>5788</v>
      </c>
      <c r="AU4579">
        <v>4578</v>
      </c>
    </row>
    <row r="4580" spans="1:47" x14ac:dyDescent="0.2">
      <c r="A4580" s="26">
        <v>6755</v>
      </c>
      <c r="B4580" s="27" t="s">
        <v>45</v>
      </c>
      <c r="C4580" s="28"/>
      <c r="D4580" s="29"/>
      <c r="E4580" s="30" t="s">
        <v>626</v>
      </c>
      <c r="H4580" s="32">
        <v>1</v>
      </c>
      <c r="I4580" s="32" t="s">
        <v>5789</v>
      </c>
      <c r="AI4580" s="32">
        <f>50000+130000</f>
        <v>180000</v>
      </c>
      <c r="AK4580" s="32">
        <v>3</v>
      </c>
      <c r="AO4580" s="32" t="s">
        <v>5729</v>
      </c>
      <c r="AQ4580" s="32" t="s">
        <v>5207</v>
      </c>
      <c r="AU4580">
        <v>4579</v>
      </c>
    </row>
    <row r="4581" spans="1:47" x14ac:dyDescent="0.2">
      <c r="A4581" s="26">
        <v>6755</v>
      </c>
      <c r="B4581" s="27"/>
      <c r="C4581" s="28"/>
      <c r="D4581" s="29"/>
      <c r="E4581" s="30" t="s">
        <v>75</v>
      </c>
      <c r="H4581" s="32">
        <v>1</v>
      </c>
      <c r="I4581" s="32" t="s">
        <v>4433</v>
      </c>
      <c r="AG4581" s="32">
        <v>0</v>
      </c>
      <c r="AH4581" s="32">
        <v>0</v>
      </c>
      <c r="AI4581" s="32">
        <v>200</v>
      </c>
      <c r="AL4581" s="32">
        <v>0</v>
      </c>
      <c r="AQ4581" s="32">
        <v>413</v>
      </c>
      <c r="AU4581">
        <v>4580</v>
      </c>
    </row>
    <row r="4582" spans="1:47" x14ac:dyDescent="0.2">
      <c r="A4582" s="26">
        <v>6755</v>
      </c>
      <c r="B4582" s="27"/>
      <c r="C4582" s="28"/>
      <c r="D4582" s="29"/>
      <c r="E4582" s="30" t="s">
        <v>4666</v>
      </c>
      <c r="H4582" s="32">
        <v>0</v>
      </c>
      <c r="I4582" s="32" t="s">
        <v>5790</v>
      </c>
      <c r="AG4582" s="32">
        <v>0</v>
      </c>
      <c r="AH4582" s="32">
        <v>0</v>
      </c>
      <c r="AI4582" s="32">
        <v>0</v>
      </c>
      <c r="AK4582" s="32">
        <v>0</v>
      </c>
      <c r="AO4582" s="32" t="s">
        <v>4668</v>
      </c>
      <c r="AQ4582" s="32">
        <v>409</v>
      </c>
      <c r="AU4582">
        <v>4581</v>
      </c>
    </row>
    <row r="4583" spans="1:47" x14ac:dyDescent="0.2">
      <c r="A4583" s="133">
        <v>6756</v>
      </c>
      <c r="B4583" s="39" t="s">
        <v>85</v>
      </c>
      <c r="C4583" s="39">
        <v>55</v>
      </c>
      <c r="D4583" s="29" t="b">
        <v>0</v>
      </c>
      <c r="E4583" s="39" t="s">
        <v>5791</v>
      </c>
      <c r="F4583" s="47" t="s">
        <v>529</v>
      </c>
      <c r="G4583" s="47" t="s">
        <v>205</v>
      </c>
      <c r="H4583"/>
      <c r="I4583" s="47" t="b">
        <v>0</v>
      </c>
      <c r="J4583" s="47" t="b">
        <v>1</v>
      </c>
      <c r="K4583" s="47">
        <v>1854</v>
      </c>
      <c r="L4583" s="48">
        <v>-1</v>
      </c>
      <c r="M4583" s="47">
        <v>0</v>
      </c>
      <c r="N4583" s="47">
        <v>0</v>
      </c>
      <c r="O4583" s="47">
        <v>0</v>
      </c>
      <c r="P4583" s="47">
        <v>0</v>
      </c>
      <c r="Q4583" s="47">
        <v>0</v>
      </c>
      <c r="R4583" s="47">
        <v>0</v>
      </c>
      <c r="S4583" s="48">
        <v>8</v>
      </c>
      <c r="T4583" s="47">
        <v>0</v>
      </c>
      <c r="U4583" s="47">
        <v>0</v>
      </c>
      <c r="V4583" s="47">
        <v>0</v>
      </c>
      <c r="W4583" s="47">
        <v>15000</v>
      </c>
      <c r="X4583" s="47">
        <v>637</v>
      </c>
      <c r="Y4583" s="47" t="s">
        <v>51</v>
      </c>
      <c r="Z4583" s="47" t="s">
        <v>3618</v>
      </c>
      <c r="AA4583" s="49">
        <v>0.19444444444444445</v>
      </c>
      <c r="AB4583" s="49">
        <v>0.35069444444444442</v>
      </c>
      <c r="AC4583" s="49">
        <f>AVERAGE(AA4583:AB4583)</f>
        <v>0.27256944444444442</v>
      </c>
      <c r="AD4583" s="50">
        <f>(AB4583-AA4583)*24</f>
        <v>3.7499999999999991</v>
      </c>
      <c r="AE4583" s="47" t="s">
        <v>5433</v>
      </c>
      <c r="AF4583" s="47">
        <v>115</v>
      </c>
      <c r="AG4583"/>
      <c r="AH4583"/>
      <c r="AI4583"/>
      <c r="AJ4583"/>
      <c r="AK4583">
        <v>23</v>
      </c>
      <c r="AL4583"/>
      <c r="AM4583"/>
      <c r="AN4583"/>
      <c r="AO4583"/>
      <c r="AP4583"/>
      <c r="AQ4583" t="s">
        <v>5434</v>
      </c>
      <c r="AU4583">
        <v>4582</v>
      </c>
    </row>
    <row r="4584" spans="1:47" x14ac:dyDescent="0.2">
      <c r="A4584" s="133">
        <v>6756</v>
      </c>
      <c r="B4584" s="39" t="s">
        <v>85</v>
      </c>
      <c r="C4584" s="39">
        <v>99</v>
      </c>
      <c r="D4584" s="29" t="b">
        <v>0</v>
      </c>
      <c r="E4584" s="39" t="s">
        <v>5791</v>
      </c>
      <c r="F4584" s="47" t="s">
        <v>529</v>
      </c>
      <c r="G4584" s="47" t="s">
        <v>205</v>
      </c>
      <c r="H4584"/>
      <c r="I4584" s="47" t="b">
        <v>0</v>
      </c>
      <c r="J4584" s="47" t="b">
        <v>1</v>
      </c>
      <c r="K4584" s="47">
        <v>1362</v>
      </c>
      <c r="L4584" s="48">
        <v>-1</v>
      </c>
      <c r="M4584" s="47">
        <v>0</v>
      </c>
      <c r="N4584" s="47">
        <v>0</v>
      </c>
      <c r="O4584" s="47">
        <v>0</v>
      </c>
      <c r="P4584" s="47">
        <v>0</v>
      </c>
      <c r="Q4584" s="47">
        <v>0</v>
      </c>
      <c r="R4584" s="47">
        <v>0</v>
      </c>
      <c r="S4584" s="48">
        <v>6</v>
      </c>
      <c r="T4584" s="47">
        <v>0</v>
      </c>
      <c r="U4584" s="47">
        <v>0</v>
      </c>
      <c r="V4584" s="47">
        <v>0</v>
      </c>
      <c r="W4584" s="47">
        <v>13800</v>
      </c>
      <c r="X4584" s="47">
        <v>638</v>
      </c>
      <c r="Y4584" s="47" t="s">
        <v>120</v>
      </c>
      <c r="Z4584" s="47" t="s">
        <v>5139</v>
      </c>
      <c r="AA4584" s="49">
        <v>0.19444444444444445</v>
      </c>
      <c r="AB4584" s="49">
        <v>0.35416666666666669</v>
      </c>
      <c r="AC4584" s="49">
        <f>AVERAGE(AA4584:AB4584)</f>
        <v>0.27430555555555558</v>
      </c>
      <c r="AD4584" s="50">
        <f>(AB4584-AA4584)*24</f>
        <v>3.8333333333333339</v>
      </c>
      <c r="AE4584" s="47" t="s">
        <v>5433</v>
      </c>
      <c r="AF4584" s="47">
        <v>115</v>
      </c>
      <c r="AG4584"/>
      <c r="AH4584"/>
      <c r="AI4584"/>
      <c r="AJ4584"/>
      <c r="AK4584">
        <v>9</v>
      </c>
      <c r="AL4584"/>
      <c r="AM4584"/>
      <c r="AN4584"/>
      <c r="AO4584"/>
      <c r="AP4584"/>
      <c r="AQ4584" t="s">
        <v>2526</v>
      </c>
      <c r="AU4584">
        <v>4583</v>
      </c>
    </row>
    <row r="4585" spans="1:47" x14ac:dyDescent="0.2">
      <c r="A4585" s="133">
        <v>6756</v>
      </c>
      <c r="B4585" s="39" t="s">
        <v>85</v>
      </c>
      <c r="C4585" s="39">
        <v>104</v>
      </c>
      <c r="D4585" s="29" t="b">
        <v>0</v>
      </c>
      <c r="E4585" s="39" t="s">
        <v>5112</v>
      </c>
      <c r="F4585" s="47" t="s">
        <v>5792</v>
      </c>
      <c r="G4585" s="47" t="s">
        <v>49</v>
      </c>
      <c r="H4585"/>
      <c r="I4585" s="47" t="b">
        <v>0</v>
      </c>
      <c r="J4585" s="47" t="b">
        <v>1</v>
      </c>
      <c r="K4585" s="47">
        <v>2046</v>
      </c>
      <c r="L4585" s="48">
        <v>11</v>
      </c>
      <c r="M4585" s="47">
        <v>0</v>
      </c>
      <c r="N4585" s="47">
        <v>2</v>
      </c>
      <c r="O4585" s="47">
        <v>0</v>
      </c>
      <c r="P4585" s="47">
        <v>0</v>
      </c>
      <c r="Q4585" s="47">
        <v>0</v>
      </c>
      <c r="R4585" s="47">
        <v>0</v>
      </c>
      <c r="S4585" s="48">
        <v>9</v>
      </c>
      <c r="T4585" s="47">
        <v>1</v>
      </c>
      <c r="U4585" s="47">
        <v>0</v>
      </c>
      <c r="V4585" s="47">
        <v>0</v>
      </c>
      <c r="W4585" s="47">
        <v>13000</v>
      </c>
      <c r="X4585" s="47">
        <v>639</v>
      </c>
      <c r="Y4585" s="47" t="s">
        <v>120</v>
      </c>
      <c r="Z4585" s="47" t="s">
        <v>5139</v>
      </c>
      <c r="AA4585" s="49">
        <v>0.20486111111111113</v>
      </c>
      <c r="AB4585" s="49">
        <v>0.375</v>
      </c>
      <c r="AC4585" s="49">
        <f>AVERAGE(AA4585:AB4585)</f>
        <v>0.28993055555555558</v>
      </c>
      <c r="AD4585" s="50">
        <f>(AB4585-AA4585)*24</f>
        <v>4.083333333333333</v>
      </c>
      <c r="AE4585" s="47" t="s">
        <v>5433</v>
      </c>
      <c r="AF4585" s="47">
        <v>150</v>
      </c>
      <c r="AG4585"/>
      <c r="AH4585"/>
      <c r="AI4585"/>
      <c r="AJ4585"/>
      <c r="AK4585">
        <v>13</v>
      </c>
      <c r="AL4585"/>
      <c r="AM4585"/>
      <c r="AN4585"/>
      <c r="AO4585"/>
      <c r="AP4585"/>
      <c r="AQ4585" t="s">
        <v>5485</v>
      </c>
      <c r="AR4585" s="32" t="s">
        <v>5793</v>
      </c>
      <c r="AU4585">
        <v>4584</v>
      </c>
    </row>
    <row r="4586" spans="1:47" x14ac:dyDescent="0.2">
      <c r="A4586" s="133">
        <v>6756</v>
      </c>
      <c r="B4586" s="39" t="s">
        <v>45</v>
      </c>
      <c r="C4586" s="57" t="s">
        <v>142</v>
      </c>
      <c r="D4586" s="29"/>
      <c r="E4586" s="39" t="s">
        <v>5794</v>
      </c>
      <c r="F4586" s="47" t="s">
        <v>5610</v>
      </c>
      <c r="G4586" s="47" t="s">
        <v>69</v>
      </c>
      <c r="H4586"/>
      <c r="I4586" s="47" t="b">
        <v>1</v>
      </c>
      <c r="J4586" s="47" t="b">
        <v>1</v>
      </c>
      <c r="K4586" s="47">
        <f>830*2.2</f>
        <v>1826.0000000000002</v>
      </c>
      <c r="L4586" s="48">
        <f>4+1</f>
        <v>5</v>
      </c>
      <c r="M4586" s="47"/>
      <c r="N4586" s="47"/>
      <c r="O4586" s="47"/>
      <c r="P4586" s="47"/>
      <c r="Q4586" s="47"/>
      <c r="R4586" s="47"/>
      <c r="S4586" s="48">
        <f>4+1</f>
        <v>5</v>
      </c>
      <c r="T4586" s="47">
        <v>0</v>
      </c>
      <c r="U4586" s="47">
        <v>0</v>
      </c>
      <c r="V4586" s="47">
        <v>0</v>
      </c>
      <c r="W4586" s="47"/>
      <c r="X4586" s="47"/>
      <c r="Y4586" s="47" t="s">
        <v>51</v>
      </c>
      <c r="Z4586" s="31" t="s">
        <v>3855</v>
      </c>
      <c r="AA4586" s="49"/>
      <c r="AB4586" s="49"/>
      <c r="AC4586" s="49"/>
      <c r="AD4586" s="50"/>
      <c r="AE4586" s="47" t="s">
        <v>4217</v>
      </c>
      <c r="AF4586" s="47"/>
      <c r="AG4586"/>
      <c r="AH4586"/>
      <c r="AI4586"/>
      <c r="AJ4586"/>
      <c r="AK4586">
        <f>20+6</f>
        <v>26</v>
      </c>
      <c r="AL4586"/>
      <c r="AM4586"/>
      <c r="AN4586"/>
      <c r="AO4586"/>
      <c r="AP4586"/>
      <c r="AQ4586" t="s">
        <v>5795</v>
      </c>
      <c r="AR4586" s="32" t="s">
        <v>5796</v>
      </c>
      <c r="AU4586">
        <v>4585</v>
      </c>
    </row>
    <row r="4587" spans="1:47" x14ac:dyDescent="0.2">
      <c r="A4587" s="13">
        <v>6756</v>
      </c>
      <c r="B4587" s="39" t="s">
        <v>45</v>
      </c>
      <c r="C4587" s="57" t="s">
        <v>142</v>
      </c>
      <c r="D4587" s="29"/>
      <c r="E4587" s="57" t="s">
        <v>3885</v>
      </c>
      <c r="F4587" s="31" t="s">
        <v>76</v>
      </c>
      <c r="G4587" s="31" t="s">
        <v>49</v>
      </c>
      <c r="I4587" s="47" t="b">
        <v>0</v>
      </c>
      <c r="J4587" s="47" t="b">
        <v>0</v>
      </c>
      <c r="K4587" s="31">
        <v>396</v>
      </c>
      <c r="S4587" s="33">
        <v>1</v>
      </c>
      <c r="Z4587" s="31" t="s">
        <v>3855</v>
      </c>
      <c r="AE4587" s="47" t="s">
        <v>4217</v>
      </c>
      <c r="AF4587" s="31">
        <v>55</v>
      </c>
      <c r="AQ4587" s="32" t="s">
        <v>5607</v>
      </c>
      <c r="AR4587" s="32" t="s">
        <v>5797</v>
      </c>
      <c r="AU4587">
        <v>4586</v>
      </c>
    </row>
    <row r="4588" spans="1:47" x14ac:dyDescent="0.2">
      <c r="A4588" s="13">
        <v>6756</v>
      </c>
      <c r="B4588" s="39" t="s">
        <v>45</v>
      </c>
      <c r="C4588" s="57" t="s">
        <v>142</v>
      </c>
      <c r="D4588" s="29"/>
      <c r="E4588" s="57" t="s">
        <v>5798</v>
      </c>
      <c r="F4588" s="31" t="s">
        <v>76</v>
      </c>
      <c r="G4588" s="31" t="s">
        <v>49</v>
      </c>
      <c r="I4588" s="47" t="b">
        <v>0</v>
      </c>
      <c r="J4588" s="47" t="b">
        <v>0</v>
      </c>
      <c r="K4588" s="31">
        <v>440</v>
      </c>
      <c r="S4588" s="33">
        <v>1</v>
      </c>
      <c r="Z4588" s="31" t="s">
        <v>3855</v>
      </c>
      <c r="AE4588" s="47" t="s">
        <v>4217</v>
      </c>
      <c r="AQ4588" s="32" t="s">
        <v>5607</v>
      </c>
      <c r="AR4588" s="32" t="s">
        <v>5797</v>
      </c>
      <c r="AU4588">
        <v>4587</v>
      </c>
    </row>
    <row r="4589" spans="1:47" x14ac:dyDescent="0.2">
      <c r="A4589" s="13">
        <v>6756</v>
      </c>
      <c r="B4589" s="39" t="s">
        <v>45</v>
      </c>
      <c r="C4589" s="57" t="s">
        <v>142</v>
      </c>
      <c r="D4589" s="29"/>
      <c r="E4589" s="57" t="s">
        <v>5253</v>
      </c>
      <c r="F4589" s="31" t="s">
        <v>76</v>
      </c>
      <c r="G4589" s="31" t="s">
        <v>49</v>
      </c>
      <c r="I4589" s="47" t="b">
        <v>0</v>
      </c>
      <c r="J4589" s="47" t="b">
        <v>0</v>
      </c>
      <c r="K4589" s="31">
        <v>528</v>
      </c>
      <c r="S4589" s="33">
        <v>1</v>
      </c>
      <c r="Z4589" s="31" t="s">
        <v>3855</v>
      </c>
      <c r="AE4589" s="47" t="s">
        <v>4217</v>
      </c>
      <c r="AF4589" s="31">
        <v>70</v>
      </c>
      <c r="AQ4589" s="32" t="s">
        <v>5607</v>
      </c>
      <c r="AR4589" s="32" t="s">
        <v>5797</v>
      </c>
      <c r="AU4589">
        <v>4588</v>
      </c>
    </row>
    <row r="4590" spans="1:47" x14ac:dyDescent="0.2">
      <c r="A4590" s="13">
        <v>6756</v>
      </c>
      <c r="B4590" s="39" t="s">
        <v>45</v>
      </c>
      <c r="C4590" s="57" t="s">
        <v>142</v>
      </c>
      <c r="D4590" s="29"/>
      <c r="E4590" s="57" t="s">
        <v>1078</v>
      </c>
      <c r="F4590" s="31" t="s">
        <v>76</v>
      </c>
      <c r="G4590" s="31" t="s">
        <v>49</v>
      </c>
      <c r="I4590" s="47" t="b">
        <v>0</v>
      </c>
      <c r="J4590" s="47" t="b">
        <v>0</v>
      </c>
      <c r="K4590" s="31">
        <v>528</v>
      </c>
      <c r="S4590" s="33">
        <v>1</v>
      </c>
      <c r="Z4590" s="31" t="s">
        <v>3855</v>
      </c>
      <c r="AE4590" s="47" t="s">
        <v>4217</v>
      </c>
      <c r="AF4590" s="31">
        <v>70</v>
      </c>
      <c r="AQ4590" s="32" t="s">
        <v>5607</v>
      </c>
      <c r="AR4590" s="32" t="s">
        <v>5797</v>
      </c>
      <c r="AU4590">
        <v>4589</v>
      </c>
    </row>
    <row r="4591" spans="1:47" x14ac:dyDescent="0.2">
      <c r="A4591" s="133">
        <v>6756</v>
      </c>
      <c r="B4591" s="39" t="s">
        <v>45</v>
      </c>
      <c r="C4591" s="39">
        <v>100</v>
      </c>
      <c r="D4591" s="29" t="b">
        <v>0</v>
      </c>
      <c r="E4591" s="39" t="s">
        <v>5799</v>
      </c>
      <c r="F4591" s="47" t="s">
        <v>5800</v>
      </c>
      <c r="G4591" s="47" t="s">
        <v>205</v>
      </c>
      <c r="H4591"/>
      <c r="I4591" s="47" t="b">
        <v>1</v>
      </c>
      <c r="J4591" s="47" t="b">
        <v>1</v>
      </c>
      <c r="K4591" s="47">
        <v>3944</v>
      </c>
      <c r="L4591" s="48">
        <v>-1</v>
      </c>
      <c r="M4591" s="47">
        <v>0</v>
      </c>
      <c r="N4591" s="47">
        <v>0</v>
      </c>
      <c r="O4591" s="47">
        <v>0</v>
      </c>
      <c r="P4591" s="47">
        <v>0</v>
      </c>
      <c r="Q4591" s="47">
        <v>0</v>
      </c>
      <c r="R4591" s="47">
        <v>0</v>
      </c>
      <c r="S4591" s="48">
        <v>14</v>
      </c>
      <c r="T4591" s="47">
        <v>0</v>
      </c>
      <c r="U4591" s="47">
        <v>0</v>
      </c>
      <c r="V4591" s="47">
        <v>0</v>
      </c>
      <c r="W4591" s="47"/>
      <c r="X4591" s="47">
        <v>640</v>
      </c>
      <c r="Y4591" s="47"/>
      <c r="Z4591" s="47" t="s">
        <v>2524</v>
      </c>
      <c r="AA4591" s="49"/>
      <c r="AB4591" s="49"/>
      <c r="AC4591" s="49"/>
      <c r="AD4591" s="50"/>
      <c r="AE4591" s="47" t="s">
        <v>1312</v>
      </c>
      <c r="AF4591" s="47">
        <v>85</v>
      </c>
      <c r="AG4591"/>
      <c r="AH4591"/>
      <c r="AI4591"/>
      <c r="AJ4591"/>
      <c r="AK4591"/>
      <c r="AL4591"/>
      <c r="AM4591"/>
      <c r="AN4591"/>
      <c r="AO4591"/>
      <c r="AP4591"/>
      <c r="AQ4591" t="s">
        <v>2526</v>
      </c>
      <c r="AU4591">
        <v>4590</v>
      </c>
    </row>
    <row r="4592" spans="1:47" x14ac:dyDescent="0.2">
      <c r="A4592" s="133">
        <v>6756</v>
      </c>
      <c r="B4592" s="39" t="s">
        <v>45</v>
      </c>
      <c r="C4592" s="39">
        <v>100</v>
      </c>
      <c r="D4592" s="29" t="b">
        <v>0</v>
      </c>
      <c r="E4592" s="39" t="s">
        <v>5707</v>
      </c>
      <c r="F4592" s="47" t="s">
        <v>529</v>
      </c>
      <c r="G4592" s="47" t="s">
        <v>205</v>
      </c>
      <c r="H4592"/>
      <c r="I4592" s="47" t="b">
        <v>0</v>
      </c>
      <c r="J4592" s="47" t="b">
        <v>0</v>
      </c>
      <c r="K4592" s="47">
        <v>3070</v>
      </c>
      <c r="L4592" s="48">
        <v>-1</v>
      </c>
      <c r="M4592" s="47">
        <v>0</v>
      </c>
      <c r="N4592" s="47">
        <v>0</v>
      </c>
      <c r="O4592" s="47">
        <v>0</v>
      </c>
      <c r="P4592" s="47">
        <v>0</v>
      </c>
      <c r="Q4592" s="47">
        <v>0</v>
      </c>
      <c r="R4592" s="47">
        <v>0</v>
      </c>
      <c r="S4592" s="48">
        <v>10</v>
      </c>
      <c r="T4592" s="47">
        <v>0</v>
      </c>
      <c r="U4592" s="47">
        <v>0</v>
      </c>
      <c r="V4592" s="47">
        <v>0</v>
      </c>
      <c r="W4592" s="47"/>
      <c r="X4592" s="47">
        <v>641</v>
      </c>
      <c r="Y4592" s="47"/>
      <c r="Z4592" s="47" t="s">
        <v>2524</v>
      </c>
      <c r="AA4592" s="49"/>
      <c r="AB4592" s="49"/>
      <c r="AC4592" s="49"/>
      <c r="AD4592" s="50"/>
      <c r="AE4592" s="47" t="s">
        <v>1312</v>
      </c>
      <c r="AF4592" s="47">
        <v>75</v>
      </c>
      <c r="AG4592"/>
      <c r="AH4592"/>
      <c r="AI4592"/>
      <c r="AJ4592"/>
      <c r="AK4592"/>
      <c r="AL4592"/>
      <c r="AM4592"/>
      <c r="AN4592"/>
      <c r="AO4592"/>
      <c r="AP4592"/>
      <c r="AQ4592" t="s">
        <v>2526</v>
      </c>
      <c r="AU4592">
        <v>4591</v>
      </c>
    </row>
    <row r="4593" spans="1:47" x14ac:dyDescent="0.2">
      <c r="A4593" s="133">
        <v>6756</v>
      </c>
      <c r="B4593" s="39" t="s">
        <v>45</v>
      </c>
      <c r="C4593" s="39">
        <v>100</v>
      </c>
      <c r="D4593" s="29" t="b">
        <v>0</v>
      </c>
      <c r="E4593" s="39" t="s">
        <v>1764</v>
      </c>
      <c r="F4593" s="47" t="s">
        <v>5801</v>
      </c>
      <c r="G4593" s="47" t="s">
        <v>49</v>
      </c>
      <c r="H4593"/>
      <c r="I4593" s="47" t="b">
        <v>0</v>
      </c>
      <c r="J4593" s="47" t="b">
        <v>0</v>
      </c>
      <c r="K4593" s="47">
        <v>500</v>
      </c>
      <c r="L4593" s="48">
        <v>-1</v>
      </c>
      <c r="M4593" s="47">
        <v>0</v>
      </c>
      <c r="N4593" s="47">
        <v>0</v>
      </c>
      <c r="O4593" s="47">
        <v>0</v>
      </c>
      <c r="P4593" s="47">
        <v>0</v>
      </c>
      <c r="Q4593" s="47">
        <v>0</v>
      </c>
      <c r="R4593" s="47">
        <v>0</v>
      </c>
      <c r="S4593" s="48">
        <v>2</v>
      </c>
      <c r="T4593" s="47">
        <v>0</v>
      </c>
      <c r="U4593" s="47">
        <v>0</v>
      </c>
      <c r="V4593" s="47">
        <v>0</v>
      </c>
      <c r="W4593" s="47"/>
      <c r="X4593" s="47">
        <v>642</v>
      </c>
      <c r="Y4593" s="47"/>
      <c r="Z4593" s="47" t="s">
        <v>2524</v>
      </c>
      <c r="AA4593" s="49"/>
      <c r="AB4593" s="49"/>
      <c r="AC4593" s="49"/>
      <c r="AD4593" s="50"/>
      <c r="AE4593" s="47" t="s">
        <v>1312</v>
      </c>
      <c r="AF4593" s="31">
        <v>85</v>
      </c>
      <c r="AG4593"/>
      <c r="AH4593"/>
      <c r="AI4593"/>
      <c r="AJ4593"/>
      <c r="AK4593"/>
      <c r="AL4593"/>
      <c r="AM4593"/>
      <c r="AN4593"/>
      <c r="AO4593"/>
      <c r="AP4593"/>
      <c r="AQ4593" t="s">
        <v>2526</v>
      </c>
      <c r="AU4593">
        <v>4592</v>
      </c>
    </row>
    <row r="4594" spans="1:47" x14ac:dyDescent="0.2">
      <c r="A4594" s="133">
        <v>6756</v>
      </c>
      <c r="B4594" s="39" t="s">
        <v>45</v>
      </c>
      <c r="C4594" s="39">
        <v>100</v>
      </c>
      <c r="D4594" s="29" t="b">
        <v>0</v>
      </c>
      <c r="E4594" s="39" t="s">
        <v>5802</v>
      </c>
      <c r="F4594" s="47" t="s">
        <v>5803</v>
      </c>
      <c r="G4594" s="47" t="s">
        <v>49</v>
      </c>
      <c r="H4594"/>
      <c r="I4594" s="47" t="b">
        <v>0</v>
      </c>
      <c r="J4594" s="47" t="b">
        <v>0</v>
      </c>
      <c r="K4594" s="47">
        <v>374</v>
      </c>
      <c r="L4594" s="48">
        <v>-1</v>
      </c>
      <c r="M4594" s="47">
        <v>0</v>
      </c>
      <c r="N4594" s="47">
        <v>0</v>
      </c>
      <c r="O4594" s="47">
        <v>0</v>
      </c>
      <c r="P4594" s="47">
        <v>0</v>
      </c>
      <c r="Q4594" s="47">
        <v>0</v>
      </c>
      <c r="R4594" s="47">
        <v>0</v>
      </c>
      <c r="S4594" s="48">
        <v>2</v>
      </c>
      <c r="T4594" s="47">
        <v>0</v>
      </c>
      <c r="U4594" s="47">
        <v>0</v>
      </c>
      <c r="V4594" s="47">
        <v>0</v>
      </c>
      <c r="W4594" s="47"/>
      <c r="X4594" s="47">
        <v>643</v>
      </c>
      <c r="Y4594" s="47"/>
      <c r="Z4594" s="47" t="s">
        <v>2524</v>
      </c>
      <c r="AA4594" s="49"/>
      <c r="AB4594" s="49"/>
      <c r="AC4594" s="49"/>
      <c r="AD4594" s="50"/>
      <c r="AE4594" s="47" t="s">
        <v>1312</v>
      </c>
      <c r="AF4594" s="47">
        <v>55</v>
      </c>
      <c r="AG4594"/>
      <c r="AH4594"/>
      <c r="AI4594"/>
      <c r="AJ4594"/>
      <c r="AK4594"/>
      <c r="AL4594"/>
      <c r="AM4594"/>
      <c r="AN4594"/>
      <c r="AO4594"/>
      <c r="AP4594"/>
      <c r="AQ4594" t="s">
        <v>2526</v>
      </c>
      <c r="AU4594">
        <v>4593</v>
      </c>
    </row>
    <row r="4595" spans="1:47" x14ac:dyDescent="0.2">
      <c r="A4595" s="133">
        <v>6756</v>
      </c>
      <c r="B4595" s="39" t="s">
        <v>45</v>
      </c>
      <c r="C4595" s="39">
        <v>216</v>
      </c>
      <c r="D4595" s="29" t="b">
        <v>0</v>
      </c>
      <c r="E4595" s="39" t="s">
        <v>5804</v>
      </c>
      <c r="F4595" s="47" t="s">
        <v>5805</v>
      </c>
      <c r="G4595" s="47" t="s">
        <v>49</v>
      </c>
      <c r="H4595"/>
      <c r="I4595" s="47" t="b">
        <v>1</v>
      </c>
      <c r="J4595" s="47" t="b">
        <v>1</v>
      </c>
      <c r="K4595" s="47">
        <v>9408</v>
      </c>
      <c r="L4595" s="48">
        <v>8</v>
      </c>
      <c r="M4595" s="47">
        <v>0</v>
      </c>
      <c r="N4595" s="47">
        <v>1</v>
      </c>
      <c r="O4595" s="47">
        <v>0</v>
      </c>
      <c r="P4595" s="47">
        <v>6</v>
      </c>
      <c r="Q4595" s="47">
        <v>0</v>
      </c>
      <c r="R4595" s="47">
        <v>0</v>
      </c>
      <c r="S4595" s="48">
        <v>7</v>
      </c>
      <c r="T4595" s="47">
        <v>0</v>
      </c>
      <c r="U4595" s="47">
        <v>0</v>
      </c>
      <c r="V4595" s="47">
        <v>0</v>
      </c>
      <c r="W4595" s="47">
        <v>6750</v>
      </c>
      <c r="X4595" s="47">
        <v>644</v>
      </c>
      <c r="Y4595" s="47"/>
      <c r="Z4595" s="47" t="s">
        <v>2466</v>
      </c>
      <c r="AA4595" s="49"/>
      <c r="AB4595" s="49"/>
      <c r="AC4595" s="49"/>
      <c r="AD4595" s="50"/>
      <c r="AE4595" s="47" t="s">
        <v>1312</v>
      </c>
      <c r="AF4595" s="47">
        <v>210</v>
      </c>
      <c r="AG4595"/>
      <c r="AH4595"/>
      <c r="AI4595"/>
      <c r="AJ4595"/>
      <c r="AK4595"/>
      <c r="AL4595"/>
      <c r="AM4595"/>
      <c r="AN4595"/>
      <c r="AO4595"/>
      <c r="AP4595"/>
      <c r="AQ4595" t="s">
        <v>2526</v>
      </c>
      <c r="AU4595">
        <v>4594</v>
      </c>
    </row>
    <row r="4596" spans="1:47" x14ac:dyDescent="0.2">
      <c r="A4596" s="133">
        <v>6756</v>
      </c>
      <c r="B4596" s="39" t="s">
        <v>45</v>
      </c>
      <c r="C4596" s="39">
        <v>216</v>
      </c>
      <c r="D4596" s="29" t="b">
        <v>0</v>
      </c>
      <c r="E4596" s="39" t="s">
        <v>3909</v>
      </c>
      <c r="F4596" s="47" t="s">
        <v>626</v>
      </c>
      <c r="G4596" s="47" t="s">
        <v>274</v>
      </c>
      <c r="H4596"/>
      <c r="I4596" s="47" t="b">
        <v>0</v>
      </c>
      <c r="J4596" s="47" t="b">
        <v>0</v>
      </c>
      <c r="K4596" s="47">
        <v>1344</v>
      </c>
      <c r="L4596" s="48">
        <v>8</v>
      </c>
      <c r="M4596" s="47">
        <v>0</v>
      </c>
      <c r="N4596" s="47">
        <v>1</v>
      </c>
      <c r="O4596" s="47">
        <v>0</v>
      </c>
      <c r="P4596" s="47">
        <v>6</v>
      </c>
      <c r="Q4596" s="47">
        <v>0</v>
      </c>
      <c r="R4596" s="47">
        <v>0</v>
      </c>
      <c r="S4596" s="48">
        <v>1</v>
      </c>
      <c r="T4596" s="47">
        <v>0</v>
      </c>
      <c r="U4596" s="47">
        <v>0</v>
      </c>
      <c r="V4596" s="47">
        <v>0</v>
      </c>
      <c r="W4596" s="47">
        <v>6750</v>
      </c>
      <c r="X4596" s="47">
        <v>645</v>
      </c>
      <c r="Y4596" s="47"/>
      <c r="Z4596" s="47" t="s">
        <v>2466</v>
      </c>
      <c r="AA4596" s="49"/>
      <c r="AB4596" s="49"/>
      <c r="AC4596" s="49"/>
      <c r="AD4596" s="50"/>
      <c r="AE4596" s="47" t="s">
        <v>1312</v>
      </c>
      <c r="AF4596" s="47">
        <v>210</v>
      </c>
      <c r="AG4596"/>
      <c r="AH4596"/>
      <c r="AI4596"/>
      <c r="AJ4596"/>
      <c r="AK4596"/>
      <c r="AL4596"/>
      <c r="AM4596"/>
      <c r="AN4596"/>
      <c r="AO4596"/>
      <c r="AP4596"/>
      <c r="AQ4596" t="s">
        <v>2526</v>
      </c>
      <c r="AU4596">
        <v>4595</v>
      </c>
    </row>
    <row r="4597" spans="1:47" x14ac:dyDescent="0.2">
      <c r="A4597" s="133">
        <v>6756</v>
      </c>
      <c r="B4597" s="39" t="s">
        <v>45</v>
      </c>
      <c r="C4597" s="39">
        <v>216</v>
      </c>
      <c r="D4597" s="29" t="b">
        <v>0</v>
      </c>
      <c r="E4597" s="39" t="s">
        <v>5112</v>
      </c>
      <c r="F4597" s="47" t="s">
        <v>1743</v>
      </c>
      <c r="G4597" s="47" t="s">
        <v>49</v>
      </c>
      <c r="H4597"/>
      <c r="I4597" s="47" t="b">
        <v>0</v>
      </c>
      <c r="J4597" s="47" t="b">
        <v>0</v>
      </c>
      <c r="K4597" s="47">
        <v>1344</v>
      </c>
      <c r="L4597" s="48">
        <v>8</v>
      </c>
      <c r="M4597" s="47">
        <v>0</v>
      </c>
      <c r="N4597" s="47">
        <v>1</v>
      </c>
      <c r="O4597" s="47">
        <v>0</v>
      </c>
      <c r="P4597" s="47">
        <v>6</v>
      </c>
      <c r="Q4597" s="47">
        <v>0</v>
      </c>
      <c r="R4597" s="47">
        <v>0</v>
      </c>
      <c r="S4597" s="48">
        <v>1</v>
      </c>
      <c r="T4597" s="47">
        <v>0</v>
      </c>
      <c r="U4597" s="47">
        <v>0</v>
      </c>
      <c r="V4597" s="47">
        <v>0</v>
      </c>
      <c r="W4597" s="47">
        <v>6750</v>
      </c>
      <c r="X4597" s="47">
        <v>646</v>
      </c>
      <c r="Y4597" s="47"/>
      <c r="Z4597" s="47" t="s">
        <v>2466</v>
      </c>
      <c r="AA4597" s="49"/>
      <c r="AB4597" s="49"/>
      <c r="AC4597" s="49"/>
      <c r="AD4597" s="50"/>
      <c r="AE4597" s="47" t="s">
        <v>1312</v>
      </c>
      <c r="AF4597" s="47">
        <v>170</v>
      </c>
      <c r="AG4597"/>
      <c r="AH4597"/>
      <c r="AI4597"/>
      <c r="AJ4597"/>
      <c r="AK4597"/>
      <c r="AL4597"/>
      <c r="AM4597"/>
      <c r="AN4597"/>
      <c r="AO4597"/>
      <c r="AP4597"/>
      <c r="AQ4597" t="s">
        <v>2526</v>
      </c>
      <c r="AU4597">
        <v>4596</v>
      </c>
    </row>
    <row r="4598" spans="1:47" x14ac:dyDescent="0.2">
      <c r="A4598" s="133">
        <v>6756</v>
      </c>
      <c r="B4598" s="39" t="s">
        <v>45</v>
      </c>
      <c r="C4598" s="39">
        <v>216</v>
      </c>
      <c r="D4598" s="29" t="b">
        <v>0</v>
      </c>
      <c r="E4598" s="39" t="s">
        <v>869</v>
      </c>
      <c r="F4598" s="47" t="s">
        <v>1743</v>
      </c>
      <c r="G4598" s="47" t="s">
        <v>49</v>
      </c>
      <c r="H4598"/>
      <c r="I4598" s="47" t="b">
        <v>0</v>
      </c>
      <c r="J4598" s="47" t="b">
        <v>0</v>
      </c>
      <c r="K4598" s="47">
        <v>1344</v>
      </c>
      <c r="L4598" s="48">
        <v>8</v>
      </c>
      <c r="M4598" s="47">
        <v>0</v>
      </c>
      <c r="N4598" s="47">
        <v>1</v>
      </c>
      <c r="O4598" s="47">
        <v>0</v>
      </c>
      <c r="P4598" s="47">
        <v>6</v>
      </c>
      <c r="Q4598" s="47">
        <v>0</v>
      </c>
      <c r="R4598" s="47">
        <v>0</v>
      </c>
      <c r="S4598" s="48">
        <v>1</v>
      </c>
      <c r="T4598" s="47">
        <v>0</v>
      </c>
      <c r="U4598" s="47">
        <v>0</v>
      </c>
      <c r="V4598" s="47">
        <v>0</v>
      </c>
      <c r="W4598" s="47">
        <v>6750</v>
      </c>
      <c r="X4598" s="47">
        <v>647</v>
      </c>
      <c r="Y4598" s="47"/>
      <c r="Z4598" s="47" t="s">
        <v>2466</v>
      </c>
      <c r="AA4598" s="49"/>
      <c r="AB4598" s="49"/>
      <c r="AC4598" s="49"/>
      <c r="AD4598" s="50"/>
      <c r="AE4598" s="47" t="s">
        <v>1312</v>
      </c>
      <c r="AF4598" s="47">
        <v>125</v>
      </c>
      <c r="AG4598"/>
      <c r="AH4598"/>
      <c r="AI4598"/>
      <c r="AJ4598"/>
      <c r="AK4598"/>
      <c r="AL4598"/>
      <c r="AM4598"/>
      <c r="AN4598"/>
      <c r="AO4598"/>
      <c r="AP4598"/>
      <c r="AQ4598" t="s">
        <v>2526</v>
      </c>
      <c r="AU4598">
        <v>4597</v>
      </c>
    </row>
    <row r="4599" spans="1:47" x14ac:dyDescent="0.2">
      <c r="A4599" s="133">
        <v>6756</v>
      </c>
      <c r="B4599" s="39" t="s">
        <v>45</v>
      </c>
      <c r="C4599" s="39">
        <v>216</v>
      </c>
      <c r="D4599" s="29" t="b">
        <v>0</v>
      </c>
      <c r="E4599" s="39" t="s">
        <v>858</v>
      </c>
      <c r="F4599" s="47" t="s">
        <v>5806</v>
      </c>
      <c r="G4599" s="47" t="s">
        <v>49</v>
      </c>
      <c r="H4599"/>
      <c r="I4599" s="47" t="b">
        <v>0</v>
      </c>
      <c r="J4599" s="47" t="b">
        <v>0</v>
      </c>
      <c r="K4599" s="47">
        <v>1344</v>
      </c>
      <c r="L4599" s="48">
        <v>8</v>
      </c>
      <c r="M4599" s="47">
        <v>0</v>
      </c>
      <c r="N4599" s="47">
        <v>1</v>
      </c>
      <c r="O4599" s="47">
        <v>0</v>
      </c>
      <c r="P4599" s="47">
        <v>6</v>
      </c>
      <c r="Q4599" s="47">
        <v>0</v>
      </c>
      <c r="R4599" s="47">
        <v>0</v>
      </c>
      <c r="S4599" s="48">
        <v>1</v>
      </c>
      <c r="T4599" s="47">
        <v>0</v>
      </c>
      <c r="U4599" s="47">
        <v>0</v>
      </c>
      <c r="V4599" s="47">
        <v>0</v>
      </c>
      <c r="W4599" s="47">
        <v>6750</v>
      </c>
      <c r="X4599" s="47">
        <v>648</v>
      </c>
      <c r="Y4599" s="47"/>
      <c r="Z4599" s="47" t="s">
        <v>2466</v>
      </c>
      <c r="AA4599" s="49"/>
      <c r="AB4599" s="49"/>
      <c r="AC4599" s="49"/>
      <c r="AD4599" s="50"/>
      <c r="AE4599" s="47" t="s">
        <v>1312</v>
      </c>
      <c r="AF4599" s="47">
        <v>105</v>
      </c>
      <c r="AG4599"/>
      <c r="AH4599"/>
      <c r="AI4599"/>
      <c r="AJ4599"/>
      <c r="AK4599"/>
      <c r="AL4599"/>
      <c r="AM4599"/>
      <c r="AN4599"/>
      <c r="AO4599"/>
      <c r="AP4599"/>
      <c r="AQ4599" t="s">
        <v>2526</v>
      </c>
      <c r="AU4599">
        <v>4598</v>
      </c>
    </row>
    <row r="4600" spans="1:47" x14ac:dyDescent="0.2">
      <c r="A4600" s="133">
        <v>6756</v>
      </c>
      <c r="B4600" s="39" t="s">
        <v>45</v>
      </c>
      <c r="C4600" s="39">
        <v>216</v>
      </c>
      <c r="D4600" s="29" t="b">
        <v>0</v>
      </c>
      <c r="E4600" s="39" t="s">
        <v>5807</v>
      </c>
      <c r="F4600" s="47" t="s">
        <v>5808</v>
      </c>
      <c r="G4600" s="47" t="s">
        <v>459</v>
      </c>
      <c r="H4600"/>
      <c r="I4600" s="47" t="b">
        <v>0</v>
      </c>
      <c r="J4600" s="47" t="b">
        <v>0</v>
      </c>
      <c r="K4600" s="47">
        <v>1344</v>
      </c>
      <c r="L4600" s="48">
        <v>8</v>
      </c>
      <c r="M4600" s="47">
        <v>0</v>
      </c>
      <c r="N4600" s="47">
        <v>1</v>
      </c>
      <c r="O4600" s="47">
        <v>0</v>
      </c>
      <c r="P4600" s="47">
        <v>6</v>
      </c>
      <c r="Q4600" s="47">
        <v>0</v>
      </c>
      <c r="R4600" s="47">
        <v>0</v>
      </c>
      <c r="S4600" s="48">
        <v>1</v>
      </c>
      <c r="T4600" s="47">
        <v>0</v>
      </c>
      <c r="U4600" s="47">
        <v>0</v>
      </c>
      <c r="V4600" s="47">
        <v>0</v>
      </c>
      <c r="W4600" s="47">
        <v>6750</v>
      </c>
      <c r="X4600" s="47">
        <v>649</v>
      </c>
      <c r="Y4600" s="47"/>
      <c r="Z4600" s="47" t="s">
        <v>2466</v>
      </c>
      <c r="AA4600" s="49"/>
      <c r="AB4600" s="49"/>
      <c r="AC4600" s="49"/>
      <c r="AD4600" s="50"/>
      <c r="AE4600" s="47" t="s">
        <v>1312</v>
      </c>
      <c r="AF4600" s="47">
        <v>95</v>
      </c>
      <c r="AG4600"/>
      <c r="AH4600"/>
      <c r="AI4600"/>
      <c r="AJ4600"/>
      <c r="AK4600"/>
      <c r="AL4600"/>
      <c r="AM4600"/>
      <c r="AN4600"/>
      <c r="AO4600"/>
      <c r="AP4600"/>
      <c r="AQ4600" t="s">
        <v>2526</v>
      </c>
      <c r="AU4600">
        <v>4599</v>
      </c>
    </row>
    <row r="4601" spans="1:47" x14ac:dyDescent="0.2">
      <c r="A4601" s="133">
        <v>6756</v>
      </c>
      <c r="B4601" s="39" t="s">
        <v>45</v>
      </c>
      <c r="C4601" s="39">
        <v>216</v>
      </c>
      <c r="D4601" s="29" t="b">
        <v>0</v>
      </c>
      <c r="E4601" s="39" t="s">
        <v>5809</v>
      </c>
      <c r="F4601" s="47" t="s">
        <v>5810</v>
      </c>
      <c r="G4601" s="47" t="s">
        <v>49</v>
      </c>
      <c r="H4601"/>
      <c r="I4601" s="47" t="b">
        <v>0</v>
      </c>
      <c r="J4601" s="47" t="b">
        <v>0</v>
      </c>
      <c r="K4601" s="47">
        <v>1344</v>
      </c>
      <c r="L4601" s="48">
        <v>8</v>
      </c>
      <c r="M4601" s="47">
        <v>0</v>
      </c>
      <c r="N4601" s="47">
        <v>1</v>
      </c>
      <c r="O4601" s="47">
        <v>0</v>
      </c>
      <c r="P4601" s="47">
        <v>6</v>
      </c>
      <c r="Q4601" s="47">
        <v>0</v>
      </c>
      <c r="R4601" s="47">
        <v>0</v>
      </c>
      <c r="S4601" s="48">
        <v>1</v>
      </c>
      <c r="T4601" s="47">
        <v>0</v>
      </c>
      <c r="U4601" s="47">
        <v>0</v>
      </c>
      <c r="V4601" s="47">
        <v>0</v>
      </c>
      <c r="W4601" s="47">
        <v>6750</v>
      </c>
      <c r="X4601" s="47">
        <v>650</v>
      </c>
      <c r="Y4601" s="47"/>
      <c r="Z4601" s="47" t="s">
        <v>2466</v>
      </c>
      <c r="AA4601" s="49"/>
      <c r="AB4601" s="49"/>
      <c r="AC4601" s="49"/>
      <c r="AD4601" s="50"/>
      <c r="AE4601" s="47" t="s">
        <v>1312</v>
      </c>
      <c r="AF4601" s="31">
        <v>85</v>
      </c>
      <c r="AG4601"/>
      <c r="AH4601"/>
      <c r="AI4601"/>
      <c r="AJ4601"/>
      <c r="AK4601"/>
      <c r="AL4601"/>
      <c r="AM4601"/>
      <c r="AN4601"/>
      <c r="AO4601"/>
      <c r="AP4601"/>
      <c r="AQ4601" t="s">
        <v>2526</v>
      </c>
      <c r="AU4601">
        <v>4600</v>
      </c>
    </row>
    <row r="4602" spans="1:47" x14ac:dyDescent="0.2">
      <c r="A4602" s="133">
        <v>6756</v>
      </c>
      <c r="B4602" s="39" t="s">
        <v>45</v>
      </c>
      <c r="C4602" s="39">
        <v>216</v>
      </c>
      <c r="D4602" s="29" t="b">
        <v>0</v>
      </c>
      <c r="E4602" s="39" t="s">
        <v>1168</v>
      </c>
      <c r="F4602" s="47" t="s">
        <v>5439</v>
      </c>
      <c r="G4602" s="47" t="s">
        <v>49</v>
      </c>
      <c r="H4602"/>
      <c r="I4602" s="47" t="b">
        <v>0</v>
      </c>
      <c r="J4602" s="47" t="b">
        <v>0</v>
      </c>
      <c r="K4602" s="47">
        <v>1344</v>
      </c>
      <c r="L4602" s="48">
        <v>8</v>
      </c>
      <c r="M4602" s="47">
        <v>0</v>
      </c>
      <c r="N4602" s="47">
        <v>1</v>
      </c>
      <c r="O4602" s="47">
        <v>0</v>
      </c>
      <c r="P4602" s="47">
        <v>6</v>
      </c>
      <c r="Q4602" s="47">
        <v>0</v>
      </c>
      <c r="R4602" s="47">
        <v>0</v>
      </c>
      <c r="S4602" s="48">
        <v>1</v>
      </c>
      <c r="T4602" s="47">
        <v>0</v>
      </c>
      <c r="U4602" s="47">
        <v>0</v>
      </c>
      <c r="V4602" s="47">
        <v>0</v>
      </c>
      <c r="W4602" s="47">
        <v>6750</v>
      </c>
      <c r="X4602" s="47">
        <v>651</v>
      </c>
      <c r="Y4602" s="47"/>
      <c r="Z4602" s="47" t="s">
        <v>2466</v>
      </c>
      <c r="AA4602" s="49"/>
      <c r="AB4602" s="49"/>
      <c r="AC4602" s="49"/>
      <c r="AD4602" s="50"/>
      <c r="AE4602" s="47" t="s">
        <v>1312</v>
      </c>
      <c r="AF4602" s="47">
        <v>60</v>
      </c>
      <c r="AG4602"/>
      <c r="AH4602"/>
      <c r="AI4602"/>
      <c r="AJ4602"/>
      <c r="AK4602"/>
      <c r="AL4602"/>
      <c r="AM4602"/>
      <c r="AN4602"/>
      <c r="AO4602"/>
      <c r="AP4602"/>
      <c r="AQ4602" t="s">
        <v>2526</v>
      </c>
      <c r="AU4602">
        <v>4601</v>
      </c>
    </row>
    <row r="4603" spans="1:47" x14ac:dyDescent="0.2">
      <c r="A4603" s="13">
        <v>6756</v>
      </c>
      <c r="B4603" s="57" t="s">
        <v>45</v>
      </c>
      <c r="C4603" s="57" t="s">
        <v>1367</v>
      </c>
      <c r="D4603" s="29"/>
      <c r="E4603" s="57" t="s">
        <v>3816</v>
      </c>
      <c r="F4603" s="31" t="s">
        <v>76</v>
      </c>
      <c r="G4603" s="47" t="s">
        <v>49</v>
      </c>
      <c r="K4603" s="31">
        <v>880</v>
      </c>
      <c r="S4603" s="33">
        <v>1</v>
      </c>
      <c r="AE4603" s="31" t="s">
        <v>4756</v>
      </c>
      <c r="AF4603" s="31">
        <v>110</v>
      </c>
      <c r="AQ4603" s="32" t="s">
        <v>5607</v>
      </c>
      <c r="AU4603">
        <v>4602</v>
      </c>
    </row>
    <row r="4604" spans="1:47" x14ac:dyDescent="0.2">
      <c r="A4604" s="13">
        <v>6756</v>
      </c>
      <c r="B4604" s="57" t="s">
        <v>45</v>
      </c>
      <c r="C4604" s="57" t="s">
        <v>1367</v>
      </c>
      <c r="D4604" s="29"/>
      <c r="E4604" s="57" t="s">
        <v>3884</v>
      </c>
      <c r="F4604" s="31" t="s">
        <v>76</v>
      </c>
      <c r="G4604" s="47" t="s">
        <v>49</v>
      </c>
      <c r="K4604" s="31">
        <v>880</v>
      </c>
      <c r="S4604" s="33">
        <v>1</v>
      </c>
      <c r="AE4604" s="31" t="s">
        <v>4756</v>
      </c>
      <c r="AF4604" s="31">
        <v>85</v>
      </c>
      <c r="AQ4604" s="32" t="s">
        <v>5607</v>
      </c>
      <c r="AU4604">
        <v>4603</v>
      </c>
    </row>
    <row r="4605" spans="1:47" x14ac:dyDescent="0.2">
      <c r="A4605" s="13">
        <v>6756</v>
      </c>
      <c r="B4605" s="57" t="s">
        <v>45</v>
      </c>
      <c r="C4605" s="57" t="s">
        <v>1367</v>
      </c>
      <c r="D4605" s="29"/>
      <c r="E4605" s="57" t="s">
        <v>5811</v>
      </c>
      <c r="F4605" s="144" t="s">
        <v>76</v>
      </c>
      <c r="G4605" s="47" t="s">
        <v>49</v>
      </c>
      <c r="I4605" s="31" t="s">
        <v>5812</v>
      </c>
      <c r="K4605" s="31">
        <v>968</v>
      </c>
      <c r="S4605" s="33">
        <v>1</v>
      </c>
      <c r="AE4605" s="31" t="s">
        <v>4756</v>
      </c>
      <c r="AF4605" s="31">
        <v>70</v>
      </c>
      <c r="AQ4605" s="32" t="s">
        <v>5607</v>
      </c>
      <c r="AU4605">
        <v>4604</v>
      </c>
    </row>
    <row r="4606" spans="1:47" x14ac:dyDescent="0.2">
      <c r="A4606" s="13">
        <v>6756</v>
      </c>
      <c r="B4606" s="57" t="s">
        <v>45</v>
      </c>
      <c r="C4606" s="57" t="s">
        <v>1367</v>
      </c>
      <c r="D4606" s="29"/>
      <c r="E4606" s="57" t="s">
        <v>5813</v>
      </c>
      <c r="F4606" s="31" t="s">
        <v>76</v>
      </c>
      <c r="G4606" s="47" t="s">
        <v>49</v>
      </c>
      <c r="K4606" s="31">
        <v>2950.2</v>
      </c>
      <c r="S4606" s="33">
        <v>3</v>
      </c>
      <c r="AE4606" s="31" t="s">
        <v>4756</v>
      </c>
      <c r="AF4606" s="31">
        <v>50</v>
      </c>
      <c r="AQ4606" s="32" t="s">
        <v>5607</v>
      </c>
      <c r="AU4606">
        <v>4605</v>
      </c>
    </row>
    <row r="4607" spans="1:47" x14ac:dyDescent="0.2">
      <c r="A4607" s="13">
        <v>6756</v>
      </c>
      <c r="B4607" s="57" t="s">
        <v>45</v>
      </c>
      <c r="C4607" s="57" t="s">
        <v>4456</v>
      </c>
      <c r="D4607" s="29"/>
      <c r="E4607" s="57" t="s">
        <v>5711</v>
      </c>
      <c r="F4607" s="31" t="s">
        <v>76</v>
      </c>
      <c r="G4607" s="47" t="s">
        <v>49</v>
      </c>
      <c r="I4607" s="31" t="s">
        <v>5814</v>
      </c>
      <c r="K4607" s="31">
        <v>968</v>
      </c>
      <c r="L4607" s="33">
        <v>1</v>
      </c>
      <c r="S4607" s="33">
        <v>1</v>
      </c>
      <c r="T4607" s="47">
        <v>0</v>
      </c>
      <c r="U4607" s="47">
        <v>0</v>
      </c>
      <c r="V4607" s="47">
        <v>0</v>
      </c>
      <c r="W4607" s="47">
        <f>2500*39.37/12</f>
        <v>8202.0833333333339</v>
      </c>
      <c r="X4607" s="47"/>
      <c r="Y4607" s="31" t="s">
        <v>51</v>
      </c>
      <c r="Z4607" s="31" t="s">
        <v>1846</v>
      </c>
      <c r="AA4607" s="49">
        <v>0.93402777777777779</v>
      </c>
      <c r="AB4607" s="49">
        <v>1.0416666666666667</v>
      </c>
      <c r="AC4607" s="49">
        <f>AVERAGE(AA4607:AB4607)</f>
        <v>0.98784722222222232</v>
      </c>
      <c r="AD4607" s="35">
        <f>2+35/60</f>
        <v>2.5833333333333335</v>
      </c>
      <c r="AE4607" s="31" t="s">
        <v>4756</v>
      </c>
      <c r="AF4607" s="31">
        <v>105</v>
      </c>
      <c r="AK4607" s="136">
        <v>9</v>
      </c>
      <c r="AQ4607" s="32" t="s">
        <v>5815</v>
      </c>
      <c r="AU4607">
        <v>4606</v>
      </c>
    </row>
    <row r="4608" spans="1:47" x14ac:dyDescent="0.2">
      <c r="A4608" s="13">
        <v>6756</v>
      </c>
      <c r="B4608" s="57" t="s">
        <v>45</v>
      </c>
      <c r="C4608" s="57" t="s">
        <v>4456</v>
      </c>
      <c r="D4608" s="29"/>
      <c r="E4608" s="57" t="s">
        <v>5419</v>
      </c>
      <c r="F4608" s="31" t="s">
        <v>76</v>
      </c>
      <c r="G4608" s="47" t="s">
        <v>49</v>
      </c>
      <c r="I4608" s="31" t="s">
        <v>5816</v>
      </c>
      <c r="K4608" s="135">
        <f>3696*3/4</f>
        <v>2772</v>
      </c>
      <c r="L4608" s="33">
        <v>3</v>
      </c>
      <c r="S4608" s="33">
        <v>3</v>
      </c>
      <c r="T4608" s="47">
        <v>0</v>
      </c>
      <c r="U4608" s="47">
        <v>0</v>
      </c>
      <c r="V4608" s="47">
        <v>0</v>
      </c>
      <c r="W4608" s="47">
        <f>((2300+2100+1000)/3)*39.37/12</f>
        <v>5905.5</v>
      </c>
      <c r="X4608" s="47"/>
      <c r="Y4608" s="31" t="s">
        <v>51</v>
      </c>
      <c r="Z4608" s="31" t="s">
        <v>1846</v>
      </c>
      <c r="AA4608" s="49">
        <v>0.92708333333333337</v>
      </c>
      <c r="AB4608" s="49">
        <v>1.0243055555555556</v>
      </c>
      <c r="AC4608" s="49">
        <f>AVERAGE(AA4608:AB4608)</f>
        <v>0.97569444444444442</v>
      </c>
      <c r="AD4608" s="35">
        <v>2</v>
      </c>
      <c r="AE4608" s="31" t="s">
        <v>4756</v>
      </c>
      <c r="AF4608" s="31">
        <v>70</v>
      </c>
      <c r="AK4608" s="136">
        <f>3*9</f>
        <v>27</v>
      </c>
      <c r="AQ4608" s="32" t="s">
        <v>5815</v>
      </c>
      <c r="AU4608">
        <v>4607</v>
      </c>
    </row>
    <row r="4609" spans="1:47" x14ac:dyDescent="0.2">
      <c r="A4609" s="13">
        <v>6756</v>
      </c>
      <c r="B4609" s="57" t="s">
        <v>45</v>
      </c>
      <c r="C4609" s="57" t="s">
        <v>5714</v>
      </c>
      <c r="D4609" s="29"/>
      <c r="E4609" s="57" t="s">
        <v>5419</v>
      </c>
      <c r="F4609" s="31" t="s">
        <v>76</v>
      </c>
      <c r="G4609" s="47" t="s">
        <v>49</v>
      </c>
      <c r="I4609" s="31" t="s">
        <v>5817</v>
      </c>
      <c r="K4609" s="135">
        <f>3696/4</f>
        <v>924</v>
      </c>
      <c r="S4609" s="33">
        <f>4-3</f>
        <v>1</v>
      </c>
      <c r="Z4609" s="31" t="s">
        <v>1846</v>
      </c>
      <c r="AE4609" s="31" t="s">
        <v>4756</v>
      </c>
      <c r="AF4609" s="31">
        <v>70</v>
      </c>
      <c r="AK4609" s="136">
        <v>9</v>
      </c>
      <c r="AQ4609" s="32" t="s">
        <v>5607</v>
      </c>
      <c r="AU4609">
        <v>4608</v>
      </c>
    </row>
    <row r="4610" spans="1:47" x14ac:dyDescent="0.2">
      <c r="A4610" s="26">
        <v>6756</v>
      </c>
      <c r="B4610" s="27">
        <v>2.7777777777777776E-2</v>
      </c>
      <c r="C4610" s="28"/>
      <c r="D4610" s="29"/>
      <c r="E4610" s="30" t="s">
        <v>4219</v>
      </c>
      <c r="H4610" s="32">
        <v>0</v>
      </c>
      <c r="I4610" s="32" t="s">
        <v>5818</v>
      </c>
      <c r="AG4610" s="32">
        <v>0</v>
      </c>
      <c r="AH4610" s="32">
        <v>0</v>
      </c>
      <c r="AI4610" s="32">
        <v>0</v>
      </c>
      <c r="AK4610" s="32">
        <v>0</v>
      </c>
      <c r="AL4610" s="32">
        <v>0.33300000000000002</v>
      </c>
      <c r="AO4610" s="32" t="s">
        <v>858</v>
      </c>
      <c r="AP4610" s="32">
        <v>0.33300000000000002</v>
      </c>
      <c r="AQ4610" s="32" t="s">
        <v>1101</v>
      </c>
      <c r="AU4610">
        <v>4609</v>
      </c>
    </row>
    <row r="4611" spans="1:47" x14ac:dyDescent="0.2">
      <c r="A4611" s="26">
        <v>6756</v>
      </c>
      <c r="B4611" s="27">
        <v>3.6111111111111115E-2</v>
      </c>
      <c r="C4611" s="28"/>
      <c r="D4611" s="29"/>
      <c r="E4611" s="30" t="s">
        <v>3737</v>
      </c>
      <c r="H4611" s="32">
        <v>0</v>
      </c>
      <c r="I4611" s="32" t="s">
        <v>4926</v>
      </c>
      <c r="AG4611" s="32">
        <v>0</v>
      </c>
      <c r="AH4611" s="32">
        <v>0</v>
      </c>
      <c r="AI4611" s="32">
        <v>0</v>
      </c>
      <c r="AK4611" s="32">
        <v>0</v>
      </c>
      <c r="AM4611" s="74"/>
      <c r="AQ4611" s="32" t="s">
        <v>1101</v>
      </c>
      <c r="AU4611">
        <v>4610</v>
      </c>
    </row>
    <row r="4612" spans="1:47" x14ac:dyDescent="0.2">
      <c r="A4612" s="26">
        <v>6756</v>
      </c>
      <c r="B4612" s="27">
        <v>0.125</v>
      </c>
      <c r="C4612" s="28"/>
      <c r="D4612" s="29"/>
      <c r="E4612" s="30" t="s">
        <v>1124</v>
      </c>
      <c r="H4612" s="32">
        <v>1</v>
      </c>
      <c r="I4612" s="32" t="s">
        <v>1534</v>
      </c>
      <c r="AG4612" s="32">
        <v>1</v>
      </c>
      <c r="AH4612" s="32">
        <v>0</v>
      </c>
      <c r="AK4612" s="32">
        <v>5</v>
      </c>
      <c r="AL4612" s="32">
        <v>0.5</v>
      </c>
      <c r="AO4612" s="46" t="s">
        <v>1126</v>
      </c>
      <c r="AP4612" s="32">
        <v>0.5</v>
      </c>
      <c r="AQ4612" s="32" t="s">
        <v>589</v>
      </c>
      <c r="AU4612">
        <v>4611</v>
      </c>
    </row>
    <row r="4613" spans="1:47" x14ac:dyDescent="0.2">
      <c r="A4613" s="26">
        <v>6756</v>
      </c>
      <c r="B4613" s="27">
        <v>0.33333333333333331</v>
      </c>
      <c r="C4613" s="28"/>
      <c r="D4613" s="29"/>
      <c r="E4613" s="30" t="s">
        <v>3737</v>
      </c>
      <c r="H4613" s="32">
        <v>0</v>
      </c>
      <c r="I4613" s="32" t="s">
        <v>4926</v>
      </c>
      <c r="AG4613" s="32">
        <v>0</v>
      </c>
      <c r="AH4613" s="32">
        <v>0</v>
      </c>
      <c r="AI4613" s="32">
        <v>0</v>
      </c>
      <c r="AK4613" s="32">
        <v>0</v>
      </c>
      <c r="AM4613" s="74"/>
      <c r="AQ4613" s="32" t="s">
        <v>1101</v>
      </c>
      <c r="AU4613">
        <v>4612</v>
      </c>
    </row>
    <row r="4614" spans="1:47" x14ac:dyDescent="0.2">
      <c r="A4614" s="26">
        <v>6756</v>
      </c>
      <c r="B4614" s="27">
        <v>0.35833333333333334</v>
      </c>
      <c r="C4614" s="28"/>
      <c r="D4614" s="29"/>
      <c r="E4614" s="30" t="s">
        <v>5112</v>
      </c>
      <c r="H4614" s="32">
        <v>1</v>
      </c>
      <c r="I4614" s="32" t="s">
        <v>5819</v>
      </c>
      <c r="AG4614" s="32">
        <v>0</v>
      </c>
      <c r="AH4614" s="32">
        <v>0</v>
      </c>
      <c r="AK4614" s="32">
        <v>6</v>
      </c>
      <c r="AP4614" s="32">
        <v>0.5</v>
      </c>
      <c r="AQ4614" s="32" t="s">
        <v>5133</v>
      </c>
      <c r="AU4614">
        <v>4613</v>
      </c>
    </row>
    <row r="4615" spans="1:47" x14ac:dyDescent="0.2">
      <c r="A4615" s="26">
        <v>6756</v>
      </c>
      <c r="B4615" s="27">
        <v>0.3611111111111111</v>
      </c>
      <c r="C4615" s="28"/>
      <c r="D4615" s="29"/>
      <c r="E4615" s="30" t="s">
        <v>631</v>
      </c>
      <c r="H4615" s="32">
        <v>0</v>
      </c>
      <c r="I4615" s="32" t="s">
        <v>837</v>
      </c>
      <c r="AG4615" s="32">
        <v>0</v>
      </c>
      <c r="AH4615" s="32">
        <v>0</v>
      </c>
      <c r="AI4615" s="32">
        <v>0</v>
      </c>
      <c r="AK4615" s="32">
        <v>0</v>
      </c>
      <c r="AL4615" s="32">
        <v>0.5</v>
      </c>
      <c r="AP4615" s="32">
        <v>0.5</v>
      </c>
      <c r="AQ4615" s="32">
        <v>464</v>
      </c>
      <c r="AU4615">
        <v>4614</v>
      </c>
    </row>
    <row r="4616" spans="1:47" x14ac:dyDescent="0.2">
      <c r="A4616" s="26">
        <v>6756</v>
      </c>
      <c r="B4616" s="27">
        <v>0.36875000000000002</v>
      </c>
      <c r="C4616" s="28"/>
      <c r="D4616" s="29"/>
      <c r="E4616" s="30" t="s">
        <v>3155</v>
      </c>
      <c r="H4616" s="32">
        <v>0</v>
      </c>
      <c r="I4616" s="32" t="s">
        <v>3156</v>
      </c>
      <c r="AG4616" s="32">
        <v>0</v>
      </c>
      <c r="AH4616" s="32">
        <v>0</v>
      </c>
      <c r="AI4616" s="32">
        <v>0</v>
      </c>
      <c r="AK4616" s="32">
        <v>0</v>
      </c>
      <c r="AP4616" s="32">
        <f>66/60</f>
        <v>1.1000000000000001</v>
      </c>
      <c r="AQ4616" s="32" t="s">
        <v>1101</v>
      </c>
      <c r="AU4616">
        <v>4615</v>
      </c>
    </row>
    <row r="4617" spans="1:47" x14ac:dyDescent="0.2">
      <c r="A4617" s="26">
        <v>6756</v>
      </c>
      <c r="B4617" s="27">
        <v>0.55555555555555558</v>
      </c>
      <c r="C4617" s="28"/>
      <c r="D4617" s="29"/>
      <c r="E4617" s="30" t="s">
        <v>631</v>
      </c>
      <c r="H4617" s="32">
        <v>1</v>
      </c>
      <c r="I4617" s="32" t="s">
        <v>5820</v>
      </c>
      <c r="AG4617" s="32">
        <v>4</v>
      </c>
      <c r="AH4617" s="32">
        <v>4</v>
      </c>
      <c r="AK4617" s="32">
        <v>10</v>
      </c>
      <c r="AL4617" s="32">
        <v>0.5</v>
      </c>
      <c r="AO4617" s="32" t="s">
        <v>633</v>
      </c>
      <c r="AP4617" s="32">
        <v>0.5</v>
      </c>
      <c r="AQ4617" s="32">
        <v>464</v>
      </c>
      <c r="AU4617">
        <v>4616</v>
      </c>
    </row>
    <row r="4618" spans="1:47" x14ac:dyDescent="0.2">
      <c r="A4618" s="26">
        <v>6756</v>
      </c>
      <c r="B4618" s="27">
        <v>0.95138888888888884</v>
      </c>
      <c r="C4618" s="28"/>
      <c r="D4618" s="29"/>
      <c r="E4618" s="30" t="s">
        <v>464</v>
      </c>
      <c r="H4618" s="32">
        <v>0</v>
      </c>
      <c r="I4618" s="32" t="s">
        <v>5821</v>
      </c>
      <c r="AG4618" s="32">
        <v>0</v>
      </c>
      <c r="AH4618" s="32">
        <v>0</v>
      </c>
      <c r="AL4618" s="32">
        <v>2.6669999999999998</v>
      </c>
      <c r="AO4618" s="32" t="s">
        <v>4067</v>
      </c>
      <c r="AP4618" s="32">
        <v>2.6669999999999998</v>
      </c>
      <c r="AQ4618" s="32" t="s">
        <v>1522</v>
      </c>
      <c r="AU4618">
        <v>4617</v>
      </c>
    </row>
    <row r="4619" spans="1:47" x14ac:dyDescent="0.2">
      <c r="A4619" s="26">
        <v>6756</v>
      </c>
      <c r="B4619" s="27" t="s">
        <v>85</v>
      </c>
      <c r="C4619" s="28"/>
      <c r="D4619" s="29"/>
      <c r="E4619" s="30" t="s">
        <v>586</v>
      </c>
      <c r="H4619" s="32">
        <v>1</v>
      </c>
      <c r="I4619" s="32" t="s">
        <v>5822</v>
      </c>
      <c r="AI4619" s="32">
        <v>400</v>
      </c>
      <c r="AO4619" s="46" t="s">
        <v>588</v>
      </c>
      <c r="AQ4619" s="32" t="s">
        <v>589</v>
      </c>
      <c r="AU4619">
        <v>4618</v>
      </c>
    </row>
    <row r="4620" spans="1:47" x14ac:dyDescent="0.2">
      <c r="A4620" s="26">
        <v>6756</v>
      </c>
      <c r="B4620" s="27" t="s">
        <v>85</v>
      </c>
      <c r="C4620" s="28"/>
      <c r="D4620" s="29"/>
      <c r="E4620" s="30" t="s">
        <v>1531</v>
      </c>
      <c r="H4620" s="32">
        <v>0</v>
      </c>
      <c r="I4620" s="32" t="s">
        <v>5823</v>
      </c>
      <c r="AG4620" s="32">
        <v>0</v>
      </c>
      <c r="AH4620" s="32">
        <v>0</v>
      </c>
      <c r="AI4620" s="32">
        <v>0</v>
      </c>
      <c r="AK4620" s="32">
        <v>0</v>
      </c>
      <c r="AM4620" s="32">
        <f>498*19</f>
        <v>9462</v>
      </c>
      <c r="AO4620" s="32" t="s">
        <v>1533</v>
      </c>
      <c r="AQ4620" s="32" t="s">
        <v>1101</v>
      </c>
      <c r="AU4620">
        <v>4619</v>
      </c>
    </row>
    <row r="4621" spans="1:47" x14ac:dyDescent="0.2">
      <c r="A4621" s="26">
        <v>6756</v>
      </c>
      <c r="B4621" s="27" t="s">
        <v>45</v>
      </c>
      <c r="C4621" s="28"/>
      <c r="D4621" s="29"/>
      <c r="E4621" s="30" t="s">
        <v>626</v>
      </c>
      <c r="H4621" s="32">
        <v>1</v>
      </c>
      <c r="I4621" s="32" t="s">
        <v>5824</v>
      </c>
      <c r="AI4621" s="32">
        <v>117500</v>
      </c>
      <c r="AK4621" s="32">
        <v>6</v>
      </c>
      <c r="AO4621" s="32" t="s">
        <v>631</v>
      </c>
      <c r="AQ4621" s="32" t="s">
        <v>5825</v>
      </c>
      <c r="AU4621">
        <v>4620</v>
      </c>
    </row>
    <row r="4622" spans="1:47" x14ac:dyDescent="0.2">
      <c r="A4622" s="26">
        <v>6756</v>
      </c>
      <c r="B4622" s="27" t="s">
        <v>45</v>
      </c>
      <c r="C4622" s="28"/>
      <c r="D4622" s="29"/>
      <c r="E4622" s="30" t="s">
        <v>364</v>
      </c>
      <c r="H4622" s="32">
        <v>1</v>
      </c>
      <c r="I4622" s="32" t="s">
        <v>5826</v>
      </c>
      <c r="AG4622" s="32">
        <v>1</v>
      </c>
      <c r="AK4622" s="32">
        <v>4</v>
      </c>
      <c r="AQ4622" s="32" t="s">
        <v>5827</v>
      </c>
      <c r="AU4622">
        <v>4621</v>
      </c>
    </row>
    <row r="4623" spans="1:47" x14ac:dyDescent="0.2">
      <c r="A4623" s="26">
        <v>6756</v>
      </c>
      <c r="B4623" s="27" t="s">
        <v>45</v>
      </c>
      <c r="C4623" s="28"/>
      <c r="D4623" s="29"/>
      <c r="E4623" s="30" t="s">
        <v>1531</v>
      </c>
      <c r="H4623" s="32">
        <v>0</v>
      </c>
      <c r="I4623" s="32" t="s">
        <v>5828</v>
      </c>
      <c r="AG4623" s="32">
        <v>0</v>
      </c>
      <c r="AH4623" s="32">
        <v>0</v>
      </c>
      <c r="AI4623" s="32">
        <v>0</v>
      </c>
      <c r="AK4623" s="32">
        <v>0</v>
      </c>
      <c r="AM4623" s="32">
        <f>498*93</f>
        <v>46314</v>
      </c>
      <c r="AO4623" s="32" t="s">
        <v>1533</v>
      </c>
      <c r="AQ4623" s="32" t="s">
        <v>1101</v>
      </c>
      <c r="AU4623">
        <v>4622</v>
      </c>
    </row>
    <row r="4624" spans="1:47" x14ac:dyDescent="0.2">
      <c r="A4624" s="26">
        <v>6756</v>
      </c>
      <c r="B4624" s="27" t="s">
        <v>45</v>
      </c>
      <c r="C4624" s="28"/>
      <c r="D4624" s="29"/>
      <c r="E4624" s="150" t="s">
        <v>2286</v>
      </c>
      <c r="H4624" s="32">
        <v>0</v>
      </c>
      <c r="I4624" s="32" t="s">
        <v>1824</v>
      </c>
      <c r="AG4624" s="32">
        <v>0</v>
      </c>
      <c r="AH4624" s="32">
        <v>0</v>
      </c>
      <c r="AI4624" s="32">
        <v>0</v>
      </c>
      <c r="AK4624" s="32">
        <v>0</v>
      </c>
      <c r="AM4624" s="32">
        <v>6500</v>
      </c>
      <c r="AO4624" s="73" t="s">
        <v>75</v>
      </c>
      <c r="AQ4624" s="32" t="s">
        <v>589</v>
      </c>
      <c r="AU4624">
        <v>4623</v>
      </c>
    </row>
    <row r="4625" spans="1:47" x14ac:dyDescent="0.2">
      <c r="A4625" s="26">
        <v>6756</v>
      </c>
      <c r="B4625" s="27"/>
      <c r="C4625" s="28"/>
      <c r="D4625" s="29"/>
      <c r="E4625" s="30" t="s">
        <v>1988</v>
      </c>
      <c r="H4625" s="32">
        <v>1</v>
      </c>
      <c r="I4625" s="32" t="s">
        <v>5829</v>
      </c>
      <c r="AK4625" s="32">
        <v>10</v>
      </c>
      <c r="AQ4625" s="32" t="s">
        <v>1522</v>
      </c>
      <c r="AU4625">
        <v>4624</v>
      </c>
    </row>
    <row r="4626" spans="1:47" x14ac:dyDescent="0.2">
      <c r="A4626" s="26">
        <v>6756</v>
      </c>
      <c r="B4626" s="27"/>
      <c r="C4626" s="28"/>
      <c r="D4626" s="29"/>
      <c r="E4626" s="30" t="s">
        <v>4666</v>
      </c>
      <c r="H4626" s="32">
        <v>0</v>
      </c>
      <c r="I4626" s="32" t="s">
        <v>5830</v>
      </c>
      <c r="AG4626" s="32">
        <v>0</v>
      </c>
      <c r="AH4626" s="32">
        <v>0</v>
      </c>
      <c r="AI4626" s="32">
        <v>0</v>
      </c>
      <c r="AK4626" s="32">
        <v>0</v>
      </c>
      <c r="AO4626" s="32" t="s">
        <v>4668</v>
      </c>
      <c r="AQ4626" s="32">
        <v>409</v>
      </c>
      <c r="AU4626">
        <v>4625</v>
      </c>
    </row>
    <row r="4627" spans="1:47" x14ac:dyDescent="0.2">
      <c r="A4627" s="133">
        <v>6757</v>
      </c>
      <c r="B4627" s="39" t="s">
        <v>85</v>
      </c>
      <c r="C4627" s="39">
        <v>55</v>
      </c>
      <c r="D4627" s="29" t="b">
        <v>0</v>
      </c>
      <c r="E4627" s="39" t="s">
        <v>5831</v>
      </c>
      <c r="F4627" s="47" t="s">
        <v>5832</v>
      </c>
      <c r="G4627" s="47" t="s">
        <v>49</v>
      </c>
      <c r="H4627"/>
      <c r="I4627" s="47" t="b">
        <v>1</v>
      </c>
      <c r="J4627" s="47" t="b">
        <v>1</v>
      </c>
      <c r="K4627" s="47">
        <v>2420</v>
      </c>
      <c r="L4627" s="48">
        <v>12</v>
      </c>
      <c r="M4627" s="47">
        <v>0</v>
      </c>
      <c r="N4627" s="47">
        <v>1</v>
      </c>
      <c r="O4627" s="47">
        <v>0</v>
      </c>
      <c r="P4627" s="47">
        <v>0</v>
      </c>
      <c r="Q4627" s="47">
        <v>0</v>
      </c>
      <c r="R4627" s="47">
        <v>0</v>
      </c>
      <c r="S4627" s="48">
        <v>11</v>
      </c>
      <c r="T4627" s="47">
        <v>0</v>
      </c>
      <c r="U4627" s="47">
        <v>0</v>
      </c>
      <c r="V4627" s="47">
        <v>0</v>
      </c>
      <c r="W4627" s="47">
        <v>14545</v>
      </c>
      <c r="X4627" s="47">
        <v>652</v>
      </c>
      <c r="Y4627" s="47" t="s">
        <v>51</v>
      </c>
      <c r="Z4627" s="47" t="s">
        <v>3618</v>
      </c>
      <c r="AA4627" s="49">
        <v>0.19444444444444445</v>
      </c>
      <c r="AB4627" s="49">
        <v>0.375</v>
      </c>
      <c r="AC4627" s="49">
        <f>AVERAGE(AA4627:AB4627)</f>
        <v>0.28472222222222221</v>
      </c>
      <c r="AD4627" s="50">
        <f>(AB4627-AA4627)*24</f>
        <v>4.333333333333333</v>
      </c>
      <c r="AE4627" s="47" t="s">
        <v>5433</v>
      </c>
      <c r="AF4627" s="47">
        <v>125</v>
      </c>
      <c r="AG4627"/>
      <c r="AH4627"/>
      <c r="AI4627"/>
      <c r="AJ4627"/>
      <c r="AK4627">
        <v>27</v>
      </c>
      <c r="AL4627"/>
      <c r="AM4627"/>
      <c r="AN4627"/>
      <c r="AO4627"/>
      <c r="AP4627"/>
      <c r="AQ4627" t="s">
        <v>5434</v>
      </c>
      <c r="AU4627">
        <v>4626</v>
      </c>
    </row>
    <row r="4628" spans="1:47" x14ac:dyDescent="0.2">
      <c r="A4628" s="133">
        <v>6757</v>
      </c>
      <c r="B4628" s="39" t="s">
        <v>85</v>
      </c>
      <c r="C4628" s="39">
        <v>55</v>
      </c>
      <c r="D4628" s="29" t="b">
        <v>0</v>
      </c>
      <c r="E4628" s="39" t="s">
        <v>54</v>
      </c>
      <c r="F4628" s="47" t="s">
        <v>5833</v>
      </c>
      <c r="G4628" s="47" t="s">
        <v>49</v>
      </c>
      <c r="H4628"/>
      <c r="I4628" s="47" t="b">
        <v>0</v>
      </c>
      <c r="J4628" s="47" t="b">
        <v>0</v>
      </c>
      <c r="K4628" s="47">
        <v>1232</v>
      </c>
      <c r="L4628" s="48">
        <v>12</v>
      </c>
      <c r="M4628" s="47">
        <v>0</v>
      </c>
      <c r="N4628" s="47">
        <v>1</v>
      </c>
      <c r="O4628" s="47">
        <v>0</v>
      </c>
      <c r="P4628" s="47">
        <v>0</v>
      </c>
      <c r="Q4628" s="47">
        <v>0</v>
      </c>
      <c r="R4628" s="47">
        <v>0</v>
      </c>
      <c r="S4628" s="48">
        <v>6</v>
      </c>
      <c r="T4628" s="47">
        <v>0</v>
      </c>
      <c r="U4628" s="47">
        <v>0</v>
      </c>
      <c r="V4628" s="47">
        <v>0</v>
      </c>
      <c r="W4628" s="47">
        <v>15000</v>
      </c>
      <c r="X4628" s="47">
        <v>653</v>
      </c>
      <c r="Y4628" s="47" t="s">
        <v>51</v>
      </c>
      <c r="Z4628" s="47" t="s">
        <v>3618</v>
      </c>
      <c r="AA4628" s="49">
        <v>0.19444444444444445</v>
      </c>
      <c r="AB4628" s="49">
        <v>0.375</v>
      </c>
      <c r="AC4628" s="49">
        <f>AVERAGE(AA4628:AB4628)</f>
        <v>0.28472222222222221</v>
      </c>
      <c r="AD4628" s="50">
        <f>(AB4628-AA4628)*24</f>
        <v>4.333333333333333</v>
      </c>
      <c r="AE4628" s="47" t="s">
        <v>5433</v>
      </c>
      <c r="AF4628" s="47">
        <v>125</v>
      </c>
      <c r="AG4628"/>
      <c r="AH4628"/>
      <c r="AI4628"/>
      <c r="AJ4628"/>
      <c r="AK4628">
        <v>11</v>
      </c>
      <c r="AL4628"/>
      <c r="AM4628"/>
      <c r="AN4628"/>
      <c r="AO4628"/>
      <c r="AP4628"/>
      <c r="AQ4628" t="s">
        <v>5434</v>
      </c>
      <c r="AU4628">
        <v>4627</v>
      </c>
    </row>
    <row r="4629" spans="1:47" x14ac:dyDescent="0.2">
      <c r="A4629" s="133">
        <v>6757</v>
      </c>
      <c r="B4629" s="39" t="s">
        <v>85</v>
      </c>
      <c r="C4629" s="39">
        <v>55</v>
      </c>
      <c r="D4629" s="29" t="b">
        <v>0</v>
      </c>
      <c r="E4629" s="39" t="s">
        <v>1006</v>
      </c>
      <c r="F4629" s="47" t="s">
        <v>3801</v>
      </c>
      <c r="G4629" s="47" t="s">
        <v>49</v>
      </c>
      <c r="H4629"/>
      <c r="I4629" s="47" t="b">
        <v>0</v>
      </c>
      <c r="J4629" s="47" t="b">
        <v>0</v>
      </c>
      <c r="K4629" s="47">
        <v>1188</v>
      </c>
      <c r="L4629" s="48">
        <v>12</v>
      </c>
      <c r="M4629" s="47">
        <v>0</v>
      </c>
      <c r="N4629" s="47">
        <v>1</v>
      </c>
      <c r="O4629" s="47">
        <v>0</v>
      </c>
      <c r="P4629" s="47">
        <v>0</v>
      </c>
      <c r="Q4629" s="47">
        <v>0</v>
      </c>
      <c r="R4629" s="47">
        <v>0</v>
      </c>
      <c r="S4629" s="48">
        <v>5</v>
      </c>
      <c r="T4629" s="47">
        <v>0</v>
      </c>
      <c r="U4629" s="47">
        <v>0</v>
      </c>
      <c r="V4629" s="47">
        <v>0</v>
      </c>
      <c r="W4629" s="47">
        <v>14000</v>
      </c>
      <c r="X4629" s="47">
        <v>654</v>
      </c>
      <c r="Y4629" s="47" t="s">
        <v>51</v>
      </c>
      <c r="Z4629" s="47" t="s">
        <v>3618</v>
      </c>
      <c r="AA4629" s="49">
        <v>0.19444444444444445</v>
      </c>
      <c r="AB4629" s="49">
        <v>0.375</v>
      </c>
      <c r="AC4629" s="49">
        <f>AVERAGE(AA4629:AB4629)</f>
        <v>0.28472222222222221</v>
      </c>
      <c r="AD4629" s="50">
        <f>(AB4629-AA4629)*24</f>
        <v>4.333333333333333</v>
      </c>
      <c r="AE4629" s="47" t="s">
        <v>5433</v>
      </c>
      <c r="AF4629" s="47">
        <v>130</v>
      </c>
      <c r="AG4629"/>
      <c r="AH4629"/>
      <c r="AI4629"/>
      <c r="AJ4629"/>
      <c r="AK4629">
        <v>16</v>
      </c>
      <c r="AL4629"/>
      <c r="AM4629"/>
      <c r="AN4629"/>
      <c r="AO4629"/>
      <c r="AP4629"/>
      <c r="AQ4629" t="s">
        <v>5434</v>
      </c>
      <c r="AU4629">
        <v>4628</v>
      </c>
    </row>
    <row r="4630" spans="1:47" x14ac:dyDescent="0.2">
      <c r="A4630" s="133">
        <v>6757</v>
      </c>
      <c r="B4630" s="39" t="s">
        <v>85</v>
      </c>
      <c r="C4630" s="39">
        <v>99</v>
      </c>
      <c r="D4630" s="29" t="b">
        <v>0</v>
      </c>
      <c r="E4630" s="39" t="s">
        <v>54</v>
      </c>
      <c r="F4630" s="47" t="s">
        <v>5834</v>
      </c>
      <c r="G4630" s="47" t="s">
        <v>49</v>
      </c>
      <c r="H4630"/>
      <c r="I4630" s="47" t="b">
        <v>0</v>
      </c>
      <c r="J4630" s="47" t="b">
        <v>1</v>
      </c>
      <c r="K4630" s="47">
        <v>1356</v>
      </c>
      <c r="L4630" s="48">
        <v>10</v>
      </c>
      <c r="M4630" s="47">
        <v>0</v>
      </c>
      <c r="N4630" s="47">
        <v>1</v>
      </c>
      <c r="O4630" s="47">
        <v>3</v>
      </c>
      <c r="P4630" s="47">
        <v>0</v>
      </c>
      <c r="Q4630" s="47">
        <v>0</v>
      </c>
      <c r="R4630" s="47">
        <v>0</v>
      </c>
      <c r="S4630" s="48">
        <v>6</v>
      </c>
      <c r="T4630" s="47">
        <v>0</v>
      </c>
      <c r="U4630" s="47">
        <v>0</v>
      </c>
      <c r="V4630" s="47">
        <v>0</v>
      </c>
      <c r="W4630" s="47">
        <v>13500</v>
      </c>
      <c r="X4630" s="47">
        <v>655</v>
      </c>
      <c r="Y4630" s="47" t="s">
        <v>120</v>
      </c>
      <c r="Z4630" s="47" t="s">
        <v>5139</v>
      </c>
      <c r="AA4630" s="49">
        <v>0.20833333333333334</v>
      </c>
      <c r="AB4630" s="49">
        <v>0.36458333333333331</v>
      </c>
      <c r="AC4630" s="49">
        <f>AVERAGE(AA4630:AB4630)</f>
        <v>0.28645833333333331</v>
      </c>
      <c r="AD4630" s="50">
        <f>(AB4630-AA4630)*24</f>
        <v>3.7499999999999991</v>
      </c>
      <c r="AE4630" s="47" t="s">
        <v>5433</v>
      </c>
      <c r="AF4630" s="47">
        <v>125</v>
      </c>
      <c r="AG4630"/>
      <c r="AH4630"/>
      <c r="AI4630"/>
      <c r="AJ4630"/>
      <c r="AK4630">
        <v>10</v>
      </c>
      <c r="AL4630"/>
      <c r="AM4630"/>
      <c r="AN4630"/>
      <c r="AO4630"/>
      <c r="AP4630"/>
      <c r="AQ4630" t="s">
        <v>2526</v>
      </c>
      <c r="AU4630">
        <v>4629</v>
      </c>
    </row>
    <row r="4631" spans="1:47" x14ac:dyDescent="0.2">
      <c r="A4631" s="133">
        <v>6757</v>
      </c>
      <c r="B4631" s="39" t="s">
        <v>85</v>
      </c>
      <c r="C4631" s="39">
        <v>104</v>
      </c>
      <c r="D4631" s="29" t="b">
        <v>0</v>
      </c>
      <c r="E4631" s="39" t="s">
        <v>1168</v>
      </c>
      <c r="F4631" s="47" t="s">
        <v>3801</v>
      </c>
      <c r="G4631" s="47" t="s">
        <v>49</v>
      </c>
      <c r="H4631"/>
      <c r="I4631" s="47" t="b">
        <v>0</v>
      </c>
      <c r="J4631" s="47" t="b">
        <v>1</v>
      </c>
      <c r="K4631" s="47">
        <v>908</v>
      </c>
      <c r="L4631" s="48">
        <v>10</v>
      </c>
      <c r="M4631" s="47">
        <v>0</v>
      </c>
      <c r="N4631" s="47">
        <v>2</v>
      </c>
      <c r="O4631" s="47">
        <v>2</v>
      </c>
      <c r="P4631" s="47">
        <v>0</v>
      </c>
      <c r="Q4631" s="47">
        <v>0</v>
      </c>
      <c r="R4631" s="47">
        <v>0</v>
      </c>
      <c r="S4631" s="48">
        <v>4</v>
      </c>
      <c r="T4631" s="47">
        <v>2</v>
      </c>
      <c r="U4631" s="47">
        <v>0</v>
      </c>
      <c r="V4631" s="47">
        <v>0</v>
      </c>
      <c r="W4631" s="47">
        <v>14000</v>
      </c>
      <c r="X4631" s="47">
        <v>656</v>
      </c>
      <c r="Y4631" s="47" t="s">
        <v>120</v>
      </c>
      <c r="Z4631" s="47" t="s">
        <v>5139</v>
      </c>
      <c r="AA4631" s="49">
        <v>0.20833333333333334</v>
      </c>
      <c r="AB4631" s="49">
        <v>0.32291666666666669</v>
      </c>
      <c r="AC4631" s="49">
        <f>AVERAGE(AA4631:AB4631)</f>
        <v>0.265625</v>
      </c>
      <c r="AD4631" s="50">
        <f>(AB4631-AA4631)*24</f>
        <v>2.75</v>
      </c>
      <c r="AE4631" s="47" t="s">
        <v>5433</v>
      </c>
      <c r="AF4631" s="47">
        <v>55</v>
      </c>
      <c r="AG4631"/>
      <c r="AH4631"/>
      <c r="AI4631"/>
      <c r="AJ4631"/>
      <c r="AK4631">
        <v>6</v>
      </c>
      <c r="AL4631"/>
      <c r="AM4631"/>
      <c r="AN4631"/>
      <c r="AO4631"/>
      <c r="AP4631"/>
      <c r="AQ4631" t="s">
        <v>5485</v>
      </c>
      <c r="AU4631">
        <v>4630</v>
      </c>
    </row>
    <row r="4632" spans="1:47" x14ac:dyDescent="0.2">
      <c r="A4632" s="133">
        <v>6757</v>
      </c>
      <c r="B4632" s="39" t="s">
        <v>45</v>
      </c>
      <c r="C4632" s="39">
        <v>100</v>
      </c>
      <c r="D4632" s="29" t="b">
        <v>0</v>
      </c>
      <c r="E4632" s="39" t="s">
        <v>5835</v>
      </c>
      <c r="F4632" s="47" t="s">
        <v>5836</v>
      </c>
      <c r="G4632" s="47" t="s">
        <v>205</v>
      </c>
      <c r="H4632"/>
      <c r="I4632" s="47" t="b">
        <v>1</v>
      </c>
      <c r="J4632" s="47" t="b">
        <v>1</v>
      </c>
      <c r="K4632" s="47">
        <v>3292</v>
      </c>
      <c r="L4632" s="48">
        <v>-1</v>
      </c>
      <c r="M4632" s="47">
        <v>0</v>
      </c>
      <c r="N4632" s="47">
        <v>0</v>
      </c>
      <c r="O4632" s="47">
        <v>0</v>
      </c>
      <c r="P4632" s="47">
        <v>0</v>
      </c>
      <c r="Q4632" s="47">
        <v>0</v>
      </c>
      <c r="R4632" s="47">
        <v>0</v>
      </c>
      <c r="S4632" s="48">
        <v>14</v>
      </c>
      <c r="T4632" s="47">
        <v>0</v>
      </c>
      <c r="U4632" s="47">
        <v>0</v>
      </c>
      <c r="V4632" s="47">
        <v>0</v>
      </c>
      <c r="W4632" s="47">
        <v>1800</v>
      </c>
      <c r="X4632" s="47">
        <v>657</v>
      </c>
      <c r="Y4632" s="47"/>
      <c r="Z4632" s="47" t="s">
        <v>2524</v>
      </c>
      <c r="AA4632" s="49"/>
      <c r="AB4632" s="49"/>
      <c r="AC4632" s="49"/>
      <c r="AD4632" s="50"/>
      <c r="AE4632" s="47" t="s">
        <v>1312</v>
      </c>
      <c r="AF4632" s="47">
        <v>75</v>
      </c>
      <c r="AG4632"/>
      <c r="AH4632"/>
      <c r="AI4632"/>
      <c r="AJ4632"/>
      <c r="AK4632"/>
      <c r="AL4632"/>
      <c r="AM4632"/>
      <c r="AN4632"/>
      <c r="AO4632"/>
      <c r="AP4632"/>
      <c r="AQ4632" t="s">
        <v>2526</v>
      </c>
      <c r="AU4632">
        <v>4631</v>
      </c>
    </row>
    <row r="4633" spans="1:47" x14ac:dyDescent="0.2">
      <c r="A4633" s="133">
        <v>6757</v>
      </c>
      <c r="B4633" s="39" t="s">
        <v>45</v>
      </c>
      <c r="C4633" s="39">
        <v>100</v>
      </c>
      <c r="D4633" s="29" t="b">
        <v>0</v>
      </c>
      <c r="E4633" s="39" t="s">
        <v>5707</v>
      </c>
      <c r="F4633" s="47" t="s">
        <v>529</v>
      </c>
      <c r="G4633" s="47" t="s">
        <v>205</v>
      </c>
      <c r="H4633"/>
      <c r="I4633" s="47" t="b">
        <v>0</v>
      </c>
      <c r="J4633" s="47" t="b">
        <v>0</v>
      </c>
      <c r="K4633" s="47">
        <v>3772</v>
      </c>
      <c r="L4633" s="48">
        <v>-1</v>
      </c>
      <c r="M4633" s="47">
        <v>0</v>
      </c>
      <c r="N4633" s="47">
        <v>0</v>
      </c>
      <c r="O4633" s="47">
        <v>0</v>
      </c>
      <c r="P4633" s="47">
        <v>0</v>
      </c>
      <c r="Q4633" s="47">
        <v>0</v>
      </c>
      <c r="R4633" s="47">
        <v>0</v>
      </c>
      <c r="S4633" s="48">
        <v>13</v>
      </c>
      <c r="T4633" s="47">
        <v>0</v>
      </c>
      <c r="U4633" s="47">
        <v>0</v>
      </c>
      <c r="V4633" s="47">
        <v>0</v>
      </c>
      <c r="W4633" s="47">
        <v>1800</v>
      </c>
      <c r="X4633" s="47">
        <v>658</v>
      </c>
      <c r="Y4633" s="47"/>
      <c r="Z4633" s="47" t="s">
        <v>2524</v>
      </c>
      <c r="AA4633" s="49"/>
      <c r="AB4633" s="49"/>
      <c r="AC4633" s="49"/>
      <c r="AD4633" s="50"/>
      <c r="AE4633" s="47" t="s">
        <v>1312</v>
      </c>
      <c r="AF4633" s="47">
        <v>75</v>
      </c>
      <c r="AG4633"/>
      <c r="AH4633"/>
      <c r="AI4633"/>
      <c r="AJ4633"/>
      <c r="AK4633"/>
      <c r="AL4633"/>
      <c r="AM4633"/>
      <c r="AN4633"/>
      <c r="AO4633"/>
      <c r="AP4633"/>
      <c r="AQ4633" t="s">
        <v>2526</v>
      </c>
      <c r="AU4633">
        <v>4632</v>
      </c>
    </row>
    <row r="4634" spans="1:47" x14ac:dyDescent="0.2">
      <c r="A4634" s="133">
        <v>6757</v>
      </c>
      <c r="B4634" s="39" t="s">
        <v>45</v>
      </c>
      <c r="C4634" s="39">
        <v>100</v>
      </c>
      <c r="D4634" s="29" t="b">
        <v>0</v>
      </c>
      <c r="E4634" s="39" t="s">
        <v>5837</v>
      </c>
      <c r="F4634" s="47" t="s">
        <v>5838</v>
      </c>
      <c r="G4634" s="47" t="s">
        <v>49</v>
      </c>
      <c r="H4634"/>
      <c r="I4634" s="47" t="b">
        <v>0</v>
      </c>
      <c r="J4634" s="47" t="b">
        <v>0</v>
      </c>
      <c r="K4634" s="47">
        <v>150</v>
      </c>
      <c r="L4634" s="48">
        <v>-1</v>
      </c>
      <c r="M4634" s="47">
        <v>0</v>
      </c>
      <c r="N4634" s="47">
        <v>0</v>
      </c>
      <c r="O4634" s="47">
        <v>0</v>
      </c>
      <c r="P4634" s="47">
        <v>0</v>
      </c>
      <c r="Q4634" s="47">
        <v>0</v>
      </c>
      <c r="R4634" s="47">
        <v>0</v>
      </c>
      <c r="S4634" s="48">
        <v>1</v>
      </c>
      <c r="T4634" s="47">
        <v>0</v>
      </c>
      <c r="U4634" s="47">
        <v>0</v>
      </c>
      <c r="V4634" s="47">
        <v>0</v>
      </c>
      <c r="W4634" s="47">
        <v>1800</v>
      </c>
      <c r="X4634" s="47">
        <v>659</v>
      </c>
      <c r="Y4634" s="47"/>
      <c r="Z4634" s="47" t="s">
        <v>2524</v>
      </c>
      <c r="AA4634" s="49"/>
      <c r="AB4634" s="49"/>
      <c r="AC4634" s="49"/>
      <c r="AD4634" s="50"/>
      <c r="AE4634" s="47" t="s">
        <v>1312</v>
      </c>
      <c r="AF4634" s="47">
        <v>80</v>
      </c>
      <c r="AG4634"/>
      <c r="AH4634"/>
      <c r="AI4634"/>
      <c r="AJ4634"/>
      <c r="AK4634"/>
      <c r="AL4634"/>
      <c r="AM4634"/>
      <c r="AN4634"/>
      <c r="AO4634"/>
      <c r="AP4634"/>
      <c r="AQ4634" t="s">
        <v>2526</v>
      </c>
      <c r="AU4634">
        <v>4633</v>
      </c>
    </row>
    <row r="4635" spans="1:47" x14ac:dyDescent="0.2">
      <c r="A4635" s="133">
        <v>6757</v>
      </c>
      <c r="B4635" s="39" t="s">
        <v>45</v>
      </c>
      <c r="C4635" s="39">
        <v>216</v>
      </c>
      <c r="D4635" s="29" t="b">
        <v>0</v>
      </c>
      <c r="E4635" s="39" t="s">
        <v>4090</v>
      </c>
      <c r="F4635" s="47" t="s">
        <v>5839</v>
      </c>
      <c r="G4635" s="47" t="s">
        <v>274</v>
      </c>
      <c r="H4635"/>
      <c r="I4635" s="47" t="b">
        <v>1</v>
      </c>
      <c r="J4635" s="47" t="b">
        <v>1</v>
      </c>
      <c r="K4635" s="47">
        <v>6720</v>
      </c>
      <c r="L4635" s="48">
        <v>6</v>
      </c>
      <c r="M4635" s="47">
        <v>0</v>
      </c>
      <c r="N4635" s="47">
        <v>1</v>
      </c>
      <c r="O4635" s="47">
        <v>0</v>
      </c>
      <c r="P4635" s="47">
        <v>0</v>
      </c>
      <c r="Q4635" s="47">
        <v>0</v>
      </c>
      <c r="R4635" s="47">
        <v>0</v>
      </c>
      <c r="S4635" s="48">
        <v>5</v>
      </c>
      <c r="T4635" s="47">
        <v>0</v>
      </c>
      <c r="U4635" s="47">
        <v>0</v>
      </c>
      <c r="V4635" s="47">
        <v>0</v>
      </c>
      <c r="W4635" s="47">
        <v>7000</v>
      </c>
      <c r="X4635" s="47">
        <v>660</v>
      </c>
      <c r="Y4635" s="47"/>
      <c r="Z4635" s="47" t="s">
        <v>2466</v>
      </c>
      <c r="AA4635" s="49"/>
      <c r="AB4635" s="49"/>
      <c r="AC4635" s="49"/>
      <c r="AD4635" s="50"/>
      <c r="AE4635" s="47" t="s">
        <v>1312</v>
      </c>
      <c r="AF4635" s="47">
        <v>210</v>
      </c>
      <c r="AG4635"/>
      <c r="AH4635"/>
      <c r="AI4635"/>
      <c r="AJ4635"/>
      <c r="AK4635"/>
      <c r="AL4635"/>
      <c r="AM4635"/>
      <c r="AN4635"/>
      <c r="AO4635"/>
      <c r="AP4635"/>
      <c r="AQ4635" t="s">
        <v>2526</v>
      </c>
      <c r="AU4635">
        <v>4634</v>
      </c>
    </row>
    <row r="4636" spans="1:47" x14ac:dyDescent="0.2">
      <c r="A4636" s="133">
        <v>6757</v>
      </c>
      <c r="B4636" s="39" t="s">
        <v>45</v>
      </c>
      <c r="C4636" s="39">
        <v>216</v>
      </c>
      <c r="D4636" s="29" t="b">
        <v>0</v>
      </c>
      <c r="E4636" s="39" t="s">
        <v>3909</v>
      </c>
      <c r="F4636" s="47" t="s">
        <v>5840</v>
      </c>
      <c r="G4636" s="47" t="s">
        <v>274</v>
      </c>
      <c r="H4636"/>
      <c r="I4636" s="47" t="b">
        <v>0</v>
      </c>
      <c r="J4636" s="47" t="b">
        <v>0</v>
      </c>
      <c r="K4636" s="47">
        <v>4032</v>
      </c>
      <c r="L4636" s="48">
        <v>6</v>
      </c>
      <c r="M4636" s="47">
        <v>0</v>
      </c>
      <c r="N4636" s="47">
        <v>1</v>
      </c>
      <c r="O4636" s="47">
        <v>0</v>
      </c>
      <c r="P4636" s="47">
        <v>0</v>
      </c>
      <c r="Q4636" s="47">
        <v>0</v>
      </c>
      <c r="R4636" s="47">
        <v>0</v>
      </c>
      <c r="S4636" s="48">
        <v>3</v>
      </c>
      <c r="T4636" s="47">
        <v>0</v>
      </c>
      <c r="U4636" s="47">
        <v>0</v>
      </c>
      <c r="V4636" s="47">
        <v>0</v>
      </c>
      <c r="W4636" s="47">
        <v>7000</v>
      </c>
      <c r="X4636" s="47">
        <v>661</v>
      </c>
      <c r="Y4636" s="47"/>
      <c r="Z4636" s="47" t="s">
        <v>2466</v>
      </c>
      <c r="AA4636" s="49"/>
      <c r="AB4636" s="49"/>
      <c r="AC4636" s="49"/>
      <c r="AD4636" s="50"/>
      <c r="AE4636" s="47" t="s">
        <v>1312</v>
      </c>
      <c r="AF4636" s="47">
        <v>210</v>
      </c>
      <c r="AG4636"/>
      <c r="AH4636"/>
      <c r="AI4636"/>
      <c r="AJ4636"/>
      <c r="AK4636"/>
      <c r="AL4636"/>
      <c r="AM4636"/>
      <c r="AN4636"/>
      <c r="AO4636"/>
      <c r="AP4636"/>
      <c r="AQ4636" t="s">
        <v>2526</v>
      </c>
      <c r="AU4636">
        <v>4635</v>
      </c>
    </row>
    <row r="4637" spans="1:47" x14ac:dyDescent="0.2">
      <c r="A4637" s="133">
        <v>6757</v>
      </c>
      <c r="B4637" s="39" t="s">
        <v>45</v>
      </c>
      <c r="C4637" s="39">
        <v>216</v>
      </c>
      <c r="D4637" s="29" t="b">
        <v>0</v>
      </c>
      <c r="E4637" s="39" t="s">
        <v>1764</v>
      </c>
      <c r="F4637" s="47" t="s">
        <v>5841</v>
      </c>
      <c r="G4637" s="47" t="s">
        <v>49</v>
      </c>
      <c r="H4637"/>
      <c r="I4637" s="47" t="b">
        <v>0</v>
      </c>
      <c r="J4637" s="47" t="b">
        <v>0</v>
      </c>
      <c r="K4637" s="47">
        <v>2688</v>
      </c>
      <c r="L4637" s="48">
        <v>6</v>
      </c>
      <c r="M4637" s="47">
        <v>0</v>
      </c>
      <c r="N4637" s="47">
        <v>1</v>
      </c>
      <c r="O4637" s="47">
        <v>0</v>
      </c>
      <c r="P4637" s="47">
        <v>0</v>
      </c>
      <c r="Q4637" s="47">
        <v>0</v>
      </c>
      <c r="R4637" s="47">
        <v>0</v>
      </c>
      <c r="S4637" s="48">
        <v>2</v>
      </c>
      <c r="T4637" s="47">
        <v>0</v>
      </c>
      <c r="U4637" s="47">
        <v>0</v>
      </c>
      <c r="V4637" s="47">
        <v>0</v>
      </c>
      <c r="W4637" s="47">
        <v>7000</v>
      </c>
      <c r="X4637" s="47">
        <v>662</v>
      </c>
      <c r="Y4637" s="47"/>
      <c r="Z4637" s="47" t="s">
        <v>2466</v>
      </c>
      <c r="AA4637" s="49"/>
      <c r="AB4637" s="49"/>
      <c r="AC4637" s="49"/>
      <c r="AD4637" s="50"/>
      <c r="AE4637" s="47" t="s">
        <v>1312</v>
      </c>
      <c r="AF4637" s="31">
        <v>85</v>
      </c>
      <c r="AG4637"/>
      <c r="AH4637"/>
      <c r="AI4637"/>
      <c r="AJ4637"/>
      <c r="AK4637"/>
      <c r="AL4637"/>
      <c r="AM4637"/>
      <c r="AN4637"/>
      <c r="AO4637"/>
      <c r="AP4637"/>
      <c r="AQ4637" t="s">
        <v>2526</v>
      </c>
      <c r="AU4637">
        <v>4636</v>
      </c>
    </row>
    <row r="4638" spans="1:47" x14ac:dyDescent="0.2">
      <c r="A4638" s="13">
        <v>6757</v>
      </c>
      <c r="B4638" s="57" t="s">
        <v>45</v>
      </c>
      <c r="C4638" s="57" t="s">
        <v>142</v>
      </c>
      <c r="D4638" s="29"/>
      <c r="E4638" s="57" t="s">
        <v>5842</v>
      </c>
      <c r="F4638" s="47" t="s">
        <v>5843</v>
      </c>
      <c r="G4638" s="47" t="s">
        <v>69</v>
      </c>
      <c r="H4638"/>
      <c r="I4638" s="47" t="b">
        <v>1</v>
      </c>
      <c r="J4638" s="47" t="b">
        <v>1</v>
      </c>
      <c r="K4638" s="47">
        <f>10560*2.2</f>
        <v>23232.000000000004</v>
      </c>
      <c r="L4638" s="48">
        <f>42+11+2*2</f>
        <v>57</v>
      </c>
      <c r="M4638" s="47"/>
      <c r="N4638" s="47">
        <v>4</v>
      </c>
      <c r="O4638" s="47"/>
      <c r="P4638" s="47"/>
      <c r="Q4638" s="47"/>
      <c r="R4638" s="47"/>
      <c r="S4638" s="48">
        <f>38+11+2*2</f>
        <v>53</v>
      </c>
      <c r="T4638" s="47">
        <v>0</v>
      </c>
      <c r="U4638" s="47">
        <v>0</v>
      </c>
      <c r="V4638" s="47">
        <v>0</v>
      </c>
      <c r="W4638" s="47"/>
      <c r="X4638" s="47"/>
      <c r="Y4638" s="47" t="s">
        <v>51</v>
      </c>
      <c r="Z4638" s="31" t="s">
        <v>3855</v>
      </c>
      <c r="AA4638" s="49"/>
      <c r="AB4638" s="49"/>
      <c r="AC4638" s="49"/>
      <c r="AD4638" s="50"/>
      <c r="AE4638" s="47" t="s">
        <v>4217</v>
      </c>
      <c r="AF4638" s="47"/>
      <c r="AG4638"/>
      <c r="AH4638"/>
      <c r="AI4638"/>
      <c r="AJ4638"/>
      <c r="AK4638">
        <f>248+120+21+24</f>
        <v>413</v>
      </c>
      <c r="AL4638"/>
      <c r="AM4638"/>
      <c r="AN4638"/>
      <c r="AO4638"/>
      <c r="AP4638"/>
      <c r="AQ4638" t="s">
        <v>5844</v>
      </c>
      <c r="AR4638" s="32" t="s">
        <v>5845</v>
      </c>
      <c r="AU4638">
        <v>4637</v>
      </c>
    </row>
    <row r="4639" spans="1:47" x14ac:dyDescent="0.2">
      <c r="A4639" s="13">
        <v>6757</v>
      </c>
      <c r="B4639" s="57" t="s">
        <v>45</v>
      </c>
      <c r="C4639" s="57" t="s">
        <v>142</v>
      </c>
      <c r="D4639" s="29"/>
      <c r="E4639" s="57" t="s">
        <v>5253</v>
      </c>
      <c r="F4639" s="31" t="s">
        <v>76</v>
      </c>
      <c r="G4639" s="31" t="s">
        <v>49</v>
      </c>
      <c r="I4639" s="47" t="b">
        <v>0</v>
      </c>
      <c r="J4639" s="47" t="b">
        <v>0</v>
      </c>
      <c r="K4639" s="31">
        <v>550</v>
      </c>
      <c r="S4639" s="33">
        <v>1</v>
      </c>
      <c r="Z4639" s="31" t="s">
        <v>3855</v>
      </c>
      <c r="AE4639" s="47" t="s">
        <v>4217</v>
      </c>
      <c r="AF4639" s="31">
        <v>70</v>
      </c>
      <c r="AQ4639" s="32" t="s">
        <v>5846</v>
      </c>
      <c r="AU4639">
        <v>4638</v>
      </c>
    </row>
    <row r="4640" spans="1:47" x14ac:dyDescent="0.2">
      <c r="A4640" s="13">
        <v>6757</v>
      </c>
      <c r="B4640" s="57" t="s">
        <v>45</v>
      </c>
      <c r="C4640" s="57" t="s">
        <v>142</v>
      </c>
      <c r="D4640" s="29"/>
      <c r="E4640" s="57" t="s">
        <v>3936</v>
      </c>
      <c r="F4640" s="31" t="s">
        <v>76</v>
      </c>
      <c r="G4640" s="31" t="s">
        <v>49</v>
      </c>
      <c r="I4640" s="47" t="b">
        <v>0</v>
      </c>
      <c r="J4640" s="47" t="b">
        <v>0</v>
      </c>
      <c r="K4640" s="31">
        <v>616</v>
      </c>
      <c r="S4640" s="33">
        <v>1</v>
      </c>
      <c r="Z4640" s="31" t="s">
        <v>3855</v>
      </c>
      <c r="AE4640" s="47" t="s">
        <v>4217</v>
      </c>
      <c r="AF4640" s="31">
        <v>65</v>
      </c>
      <c r="AQ4640" s="32" t="s">
        <v>5846</v>
      </c>
      <c r="AU4640">
        <v>4639</v>
      </c>
    </row>
    <row r="4641" spans="1:47" x14ac:dyDescent="0.2">
      <c r="A4641" s="13">
        <v>6757</v>
      </c>
      <c r="B4641" s="57" t="s">
        <v>45</v>
      </c>
      <c r="C4641" s="57" t="s">
        <v>142</v>
      </c>
      <c r="D4641" s="29"/>
      <c r="E4641" s="57" t="s">
        <v>5559</v>
      </c>
      <c r="F4641" s="31" t="s">
        <v>76</v>
      </c>
      <c r="G4641" s="31" t="s">
        <v>49</v>
      </c>
      <c r="I4641" s="47" t="b">
        <v>0</v>
      </c>
      <c r="J4641" s="47" t="b">
        <v>0</v>
      </c>
      <c r="K4641" s="31">
        <v>660</v>
      </c>
      <c r="S4641" s="33">
        <v>1</v>
      </c>
      <c r="Z4641" s="31" t="s">
        <v>3855</v>
      </c>
      <c r="AE4641" s="47" t="s">
        <v>4217</v>
      </c>
      <c r="AF4641" s="31">
        <v>60</v>
      </c>
      <c r="AQ4641" s="32" t="s">
        <v>5846</v>
      </c>
      <c r="AU4641">
        <v>4640</v>
      </c>
    </row>
    <row r="4642" spans="1:47" x14ac:dyDescent="0.2">
      <c r="A4642" s="13">
        <v>6757</v>
      </c>
      <c r="B4642" s="57" t="s">
        <v>45</v>
      </c>
      <c r="C4642" s="57" t="s">
        <v>142</v>
      </c>
      <c r="D4642" s="29"/>
      <c r="E4642" s="57" t="s">
        <v>5847</v>
      </c>
      <c r="F4642" s="31" t="s">
        <v>76</v>
      </c>
      <c r="G4642" s="31" t="s">
        <v>49</v>
      </c>
      <c r="I4642" s="47" t="b">
        <v>0</v>
      </c>
      <c r="J4642" s="47" t="b">
        <v>0</v>
      </c>
      <c r="K4642" s="31">
        <v>21406</v>
      </c>
      <c r="S4642" s="33">
        <v>35</v>
      </c>
      <c r="Z4642" s="31" t="s">
        <v>3855</v>
      </c>
      <c r="AE4642" s="47" t="s">
        <v>4217</v>
      </c>
      <c r="AF4642" s="31">
        <v>55</v>
      </c>
      <c r="AQ4642" s="32" t="s">
        <v>5846</v>
      </c>
      <c r="AU4642">
        <v>4641</v>
      </c>
    </row>
    <row r="4643" spans="1:47" x14ac:dyDescent="0.2">
      <c r="A4643" s="13">
        <v>6757</v>
      </c>
      <c r="B4643" s="57" t="s">
        <v>45</v>
      </c>
      <c r="C4643" s="57" t="s">
        <v>1367</v>
      </c>
      <c r="D4643" s="29"/>
      <c r="E4643" s="57" t="s">
        <v>5848</v>
      </c>
      <c r="F4643" s="31" t="s">
        <v>76</v>
      </c>
      <c r="G4643" s="31" t="s">
        <v>49</v>
      </c>
      <c r="K4643" s="31">
        <v>704</v>
      </c>
      <c r="S4643" s="33">
        <v>1</v>
      </c>
      <c r="Z4643" s="31" t="s">
        <v>1846</v>
      </c>
      <c r="AE4643" s="31" t="s">
        <v>4756</v>
      </c>
      <c r="AQ4643" s="32" t="s">
        <v>5846</v>
      </c>
      <c r="AU4643">
        <v>4642</v>
      </c>
    </row>
    <row r="4644" spans="1:47" x14ac:dyDescent="0.2">
      <c r="A4644" s="13">
        <v>6757</v>
      </c>
      <c r="B4644" s="57" t="s">
        <v>45</v>
      </c>
      <c r="C4644" s="57" t="s">
        <v>4456</v>
      </c>
      <c r="D4644" s="29"/>
      <c r="E4644" s="57" t="s">
        <v>4198</v>
      </c>
      <c r="F4644" s="31" t="s">
        <v>76</v>
      </c>
      <c r="G4644" s="31" t="s">
        <v>49</v>
      </c>
      <c r="I4644" s="31" t="s">
        <v>5849</v>
      </c>
      <c r="K4644" s="31">
        <v>704</v>
      </c>
      <c r="L4644" s="33">
        <v>1</v>
      </c>
      <c r="S4644" s="33">
        <v>1</v>
      </c>
      <c r="T4644" s="47">
        <v>0</v>
      </c>
      <c r="U4644" s="47">
        <v>0</v>
      </c>
      <c r="V4644" s="47">
        <v>0</v>
      </c>
      <c r="W4644" s="47">
        <f>1300*39.37/12</f>
        <v>4265.083333333333</v>
      </c>
      <c r="X4644" s="47"/>
      <c r="Y4644" s="31" t="s">
        <v>51</v>
      </c>
      <c r="Z4644" s="31" t="s">
        <v>1846</v>
      </c>
      <c r="AA4644" s="49">
        <v>0</v>
      </c>
      <c r="AB4644" s="49">
        <v>4.8611111111111112E-2</v>
      </c>
      <c r="AC4644" s="49">
        <f>AVERAGE(AA4644:AB4644)</f>
        <v>2.4305555555555556E-2</v>
      </c>
      <c r="AD4644" s="35">
        <f>1+1/6</f>
        <v>1.1666666666666667</v>
      </c>
      <c r="AE4644" s="31" t="s">
        <v>4756</v>
      </c>
      <c r="AF4644" s="31">
        <v>45</v>
      </c>
      <c r="AK4644" s="136">
        <v>8</v>
      </c>
      <c r="AQ4644" s="32" t="s">
        <v>5850</v>
      </c>
      <c r="AU4644">
        <v>4643</v>
      </c>
    </row>
    <row r="4645" spans="1:47" x14ac:dyDescent="0.2">
      <c r="A4645" s="13">
        <v>6757</v>
      </c>
      <c r="B4645" s="57" t="s">
        <v>45</v>
      </c>
      <c r="C4645" s="57" t="s">
        <v>4456</v>
      </c>
      <c r="D4645" s="29"/>
      <c r="E4645" s="57" t="s">
        <v>5711</v>
      </c>
      <c r="F4645" s="31" t="s">
        <v>76</v>
      </c>
      <c r="G4645" s="31" t="s">
        <v>49</v>
      </c>
      <c r="I4645" s="31" t="s">
        <v>5851</v>
      </c>
      <c r="K4645" s="31">
        <v>792</v>
      </c>
      <c r="L4645" s="33">
        <v>1</v>
      </c>
      <c r="S4645" s="33">
        <v>1</v>
      </c>
      <c r="T4645" s="47">
        <v>0</v>
      </c>
      <c r="U4645" s="47">
        <v>0</v>
      </c>
      <c r="V4645" s="47">
        <v>0</v>
      </c>
      <c r="W4645" s="47">
        <f>1800*39.37/12</f>
        <v>5905.5</v>
      </c>
      <c r="X4645" s="47"/>
      <c r="Y4645" s="31" t="s">
        <v>51</v>
      </c>
      <c r="Z4645" s="31" t="s">
        <v>1846</v>
      </c>
      <c r="AA4645" s="49">
        <v>0.94097222222222221</v>
      </c>
      <c r="AB4645" s="49">
        <v>1.0486111111111112</v>
      </c>
      <c r="AC4645" s="49">
        <f>AVERAGE(AA4645:AB4645)</f>
        <v>0.99479166666666674</v>
      </c>
      <c r="AD4645" s="35">
        <f>2+35/60</f>
        <v>2.5833333333333335</v>
      </c>
      <c r="AE4645" s="31" t="s">
        <v>4756</v>
      </c>
      <c r="AF4645" s="31">
        <v>105</v>
      </c>
      <c r="AK4645" s="136">
        <v>9</v>
      </c>
      <c r="AQ4645" s="32" t="s">
        <v>5850</v>
      </c>
      <c r="AU4645">
        <v>4644</v>
      </c>
    </row>
    <row r="4646" spans="1:47" x14ac:dyDescent="0.2">
      <c r="A4646" s="13">
        <v>6757</v>
      </c>
      <c r="B4646" s="57" t="s">
        <v>45</v>
      </c>
      <c r="C4646" s="57" t="s">
        <v>4456</v>
      </c>
      <c r="D4646" s="29"/>
      <c r="E4646" s="57" t="s">
        <v>3876</v>
      </c>
      <c r="F4646" s="31" t="s">
        <v>76</v>
      </c>
      <c r="G4646" s="31" t="s">
        <v>49</v>
      </c>
      <c r="I4646" s="31" t="s">
        <v>5852</v>
      </c>
      <c r="K4646" s="135">
        <f>5984*5/7</f>
        <v>4274.2857142857147</v>
      </c>
      <c r="L4646" s="33">
        <v>5</v>
      </c>
      <c r="S4646" s="33">
        <v>5</v>
      </c>
      <c r="T4646" s="47">
        <v>0</v>
      </c>
      <c r="U4646" s="47">
        <v>0</v>
      </c>
      <c r="V4646" s="47">
        <v>0</v>
      </c>
      <c r="W4646" s="47">
        <f>((2100+2000+2100+2800+2300)/5)*39.37/12</f>
        <v>7414.6833333333334</v>
      </c>
      <c r="X4646" s="47"/>
      <c r="Y4646" s="31" t="s">
        <v>51</v>
      </c>
      <c r="Z4646" s="31" t="s">
        <v>1846</v>
      </c>
      <c r="AA4646" s="49">
        <v>0.98263888888888884</v>
      </c>
      <c r="AB4646" s="49">
        <v>1.0833333333333333</v>
      </c>
      <c r="AC4646" s="49">
        <f>AVERAGE(AA4646:AB4646)</f>
        <v>1.0329861111111112</v>
      </c>
      <c r="AD4646" s="35">
        <v>2</v>
      </c>
      <c r="AE4646" s="31" t="s">
        <v>4756</v>
      </c>
      <c r="AF4646" s="31">
        <v>70</v>
      </c>
      <c r="AK4646" s="136">
        <f>5*9</f>
        <v>45</v>
      </c>
      <c r="AQ4646" s="32" t="s">
        <v>5850</v>
      </c>
      <c r="AU4646">
        <v>4645</v>
      </c>
    </row>
    <row r="4647" spans="1:47" x14ac:dyDescent="0.2">
      <c r="A4647" s="13">
        <v>6757</v>
      </c>
      <c r="B4647" s="57" t="s">
        <v>45</v>
      </c>
      <c r="C4647" s="57" t="s">
        <v>1367</v>
      </c>
      <c r="D4647" s="29"/>
      <c r="E4647" s="57" t="s">
        <v>3876</v>
      </c>
      <c r="F4647" s="31" t="s">
        <v>76</v>
      </c>
      <c r="G4647" s="31" t="s">
        <v>49</v>
      </c>
      <c r="I4647" s="31" t="s">
        <v>5853</v>
      </c>
      <c r="K4647" s="135">
        <f>5984*2/7</f>
        <v>1709.7142857142858</v>
      </c>
      <c r="S4647" s="33">
        <f>7-5</f>
        <v>2</v>
      </c>
      <c r="Z4647" s="31" t="s">
        <v>1846</v>
      </c>
      <c r="AE4647" s="31" t="s">
        <v>4756</v>
      </c>
      <c r="AF4647" s="31">
        <v>70</v>
      </c>
      <c r="AK4647" s="130">
        <f>2*9</f>
        <v>18</v>
      </c>
      <c r="AQ4647" s="32" t="s">
        <v>5846</v>
      </c>
      <c r="AU4647">
        <v>4646</v>
      </c>
    </row>
    <row r="4648" spans="1:47" x14ac:dyDescent="0.2">
      <c r="A4648" s="13">
        <v>6757</v>
      </c>
      <c r="B4648" s="57" t="s">
        <v>45</v>
      </c>
      <c r="C4648" s="57" t="s">
        <v>1367</v>
      </c>
      <c r="D4648" s="29"/>
      <c r="E4648" s="57" t="s">
        <v>3816</v>
      </c>
      <c r="F4648" s="31" t="s">
        <v>76</v>
      </c>
      <c r="G4648" s="31" t="s">
        <v>49</v>
      </c>
      <c r="K4648" s="31">
        <v>792</v>
      </c>
      <c r="S4648" s="33">
        <v>1</v>
      </c>
      <c r="Z4648" s="31" t="s">
        <v>1846</v>
      </c>
      <c r="AE4648" s="31" t="s">
        <v>4756</v>
      </c>
      <c r="AF4648" s="31">
        <v>110</v>
      </c>
      <c r="AQ4648" s="32" t="s">
        <v>5846</v>
      </c>
      <c r="AU4648">
        <v>4647</v>
      </c>
    </row>
    <row r="4649" spans="1:47" x14ac:dyDescent="0.2">
      <c r="A4649" s="13">
        <v>6757</v>
      </c>
      <c r="B4649" s="57" t="s">
        <v>45</v>
      </c>
      <c r="C4649" s="57" t="s">
        <v>5714</v>
      </c>
      <c r="D4649" s="29"/>
      <c r="E4649" s="57" t="s">
        <v>3876</v>
      </c>
      <c r="F4649" s="31" t="s">
        <v>76</v>
      </c>
      <c r="G4649" s="31" t="s">
        <v>49</v>
      </c>
      <c r="K4649" s="31">
        <v>3916</v>
      </c>
      <c r="S4649" s="33">
        <v>4</v>
      </c>
      <c r="Z4649" s="31" t="s">
        <v>1846</v>
      </c>
      <c r="AE4649" s="31" t="s">
        <v>4756</v>
      </c>
      <c r="AF4649" s="31">
        <v>70</v>
      </c>
      <c r="AQ4649" s="32" t="s">
        <v>5846</v>
      </c>
      <c r="AU4649">
        <v>4648</v>
      </c>
    </row>
    <row r="4650" spans="1:47" x14ac:dyDescent="0.2">
      <c r="A4650" s="13">
        <v>6757</v>
      </c>
      <c r="B4650" s="57" t="s">
        <v>45</v>
      </c>
      <c r="C4650" s="57" t="s">
        <v>4843</v>
      </c>
      <c r="D4650" s="29"/>
      <c r="E4650" s="57" t="s">
        <v>3875</v>
      </c>
      <c r="F4650" s="31" t="s">
        <v>76</v>
      </c>
      <c r="G4650" s="31" t="s">
        <v>49</v>
      </c>
      <c r="K4650" s="31">
        <v>5016</v>
      </c>
      <c r="S4650" s="33">
        <v>10</v>
      </c>
      <c r="Z4650" s="31" t="s">
        <v>3814</v>
      </c>
      <c r="AQ4650" s="32" t="s">
        <v>5846</v>
      </c>
      <c r="AU4650">
        <v>4649</v>
      </c>
    </row>
    <row r="4651" spans="1:47" x14ac:dyDescent="0.2">
      <c r="A4651" s="13">
        <v>6757</v>
      </c>
      <c r="B4651" s="57" t="s">
        <v>45</v>
      </c>
      <c r="C4651" s="57" t="s">
        <v>4843</v>
      </c>
      <c r="D4651" s="29"/>
      <c r="E4651" s="57" t="s">
        <v>5854</v>
      </c>
      <c r="F4651" s="31" t="s">
        <v>76</v>
      </c>
      <c r="G4651" s="31" t="s">
        <v>49</v>
      </c>
      <c r="K4651" s="31">
        <v>9746</v>
      </c>
      <c r="S4651" s="33">
        <v>19</v>
      </c>
      <c r="Z4651" s="31" t="s">
        <v>3814</v>
      </c>
      <c r="AQ4651" s="32" t="s">
        <v>5846</v>
      </c>
      <c r="AU4651">
        <v>4650</v>
      </c>
    </row>
    <row r="4652" spans="1:47" x14ac:dyDescent="0.2">
      <c r="A4652" s="13">
        <v>6757</v>
      </c>
      <c r="B4652" s="57" t="s">
        <v>45</v>
      </c>
      <c r="C4652" s="57" t="s">
        <v>4179</v>
      </c>
      <c r="D4652" s="29"/>
      <c r="E4652" s="57" t="s">
        <v>5855</v>
      </c>
      <c r="F4652" s="31" t="s">
        <v>83</v>
      </c>
      <c r="I4652" s="31" t="s">
        <v>5856</v>
      </c>
      <c r="K4652" s="63"/>
      <c r="Z4652" s="31" t="s">
        <v>3814</v>
      </c>
      <c r="AE4652" s="31" t="s">
        <v>5248</v>
      </c>
      <c r="AQ4652" s="32" t="s">
        <v>5857</v>
      </c>
      <c r="AU4652">
        <v>4651</v>
      </c>
    </row>
    <row r="4653" spans="1:47" x14ac:dyDescent="0.2">
      <c r="A4653" s="13">
        <v>6757</v>
      </c>
      <c r="B4653" s="57" t="s">
        <v>45</v>
      </c>
      <c r="C4653" s="57" t="s">
        <v>4179</v>
      </c>
      <c r="D4653" s="29"/>
      <c r="E4653" s="57" t="s">
        <v>5858</v>
      </c>
      <c r="F4653" s="31" t="s">
        <v>4215</v>
      </c>
      <c r="I4653" s="31" t="s">
        <v>5859</v>
      </c>
      <c r="K4653" s="63"/>
      <c r="Z4653" s="31" t="s">
        <v>3814</v>
      </c>
      <c r="AE4653" s="31" t="s">
        <v>5248</v>
      </c>
      <c r="AQ4653" s="32" t="s">
        <v>5857</v>
      </c>
      <c r="AU4653">
        <v>4652</v>
      </c>
    </row>
    <row r="4654" spans="1:47" x14ac:dyDescent="0.2">
      <c r="A4654" s="13">
        <v>6757</v>
      </c>
      <c r="B4654" s="57" t="s">
        <v>45</v>
      </c>
      <c r="C4654" s="57" t="s">
        <v>5860</v>
      </c>
      <c r="D4654" s="29"/>
      <c r="E4654" s="57" t="s">
        <v>1593</v>
      </c>
      <c r="F4654" s="31" t="s">
        <v>76</v>
      </c>
      <c r="I4654" s="31" t="s">
        <v>5861</v>
      </c>
      <c r="J4654" s="33"/>
      <c r="K4654" s="193"/>
      <c r="AQ4654" s="32" t="s">
        <v>5857</v>
      </c>
      <c r="AU4654">
        <v>4653</v>
      </c>
    </row>
    <row r="4655" spans="1:47" x14ac:dyDescent="0.2">
      <c r="A4655" s="13">
        <v>6757</v>
      </c>
      <c r="B4655" s="57" t="s">
        <v>45</v>
      </c>
      <c r="C4655" s="57" t="s">
        <v>5860</v>
      </c>
      <c r="D4655" s="29"/>
      <c r="E4655" s="57" t="s">
        <v>5862</v>
      </c>
      <c r="F4655" s="31" t="s">
        <v>204</v>
      </c>
      <c r="I4655" s="31" t="s">
        <v>5863</v>
      </c>
      <c r="K4655" s="63"/>
      <c r="AQ4655" s="32" t="s">
        <v>5857</v>
      </c>
      <c r="AU4655">
        <v>4654</v>
      </c>
    </row>
    <row r="4656" spans="1:47" x14ac:dyDescent="0.2">
      <c r="A4656" s="13">
        <v>6757</v>
      </c>
      <c r="B4656" s="57" t="s">
        <v>45</v>
      </c>
      <c r="C4656" s="57" t="s">
        <v>5860</v>
      </c>
      <c r="D4656" s="29"/>
      <c r="E4656" s="57" t="s">
        <v>2668</v>
      </c>
      <c r="F4656" s="31" t="s">
        <v>204</v>
      </c>
      <c r="K4656" s="31">
        <v>770</v>
      </c>
      <c r="AK4656" s="32">
        <v>3</v>
      </c>
      <c r="AQ4656" s="32" t="s">
        <v>5857</v>
      </c>
      <c r="AU4656">
        <v>4655</v>
      </c>
    </row>
    <row r="4657" spans="1:47" x14ac:dyDescent="0.2">
      <c r="A4657" s="26">
        <v>6757</v>
      </c>
      <c r="B4657" s="27">
        <v>0</v>
      </c>
      <c r="C4657" s="28"/>
      <c r="D4657" s="29"/>
      <c r="E4657" s="30" t="s">
        <v>1282</v>
      </c>
      <c r="H4657" s="32">
        <v>0</v>
      </c>
      <c r="I4657" s="32" t="s">
        <v>5864</v>
      </c>
      <c r="AG4657" s="32">
        <v>0</v>
      </c>
      <c r="AH4657" s="32">
        <v>0</v>
      </c>
      <c r="AI4657" s="32">
        <v>0</v>
      </c>
      <c r="AK4657" s="32">
        <v>0</v>
      </c>
      <c r="AL4657" s="32">
        <f>1+35/60</f>
        <v>1.5833333333333335</v>
      </c>
      <c r="AP4657" s="32">
        <f>1+35/60</f>
        <v>1.5833333333333335</v>
      </c>
      <c r="AQ4657" s="32" t="s">
        <v>1101</v>
      </c>
      <c r="AU4657">
        <v>4656</v>
      </c>
    </row>
    <row r="4658" spans="1:47" x14ac:dyDescent="0.2">
      <c r="A4658" s="26">
        <v>6757</v>
      </c>
      <c r="B4658" s="27">
        <v>2.0833333333333332E-2</v>
      </c>
      <c r="C4658" s="28"/>
      <c r="D4658" s="29"/>
      <c r="E4658" s="30" t="s">
        <v>4666</v>
      </c>
      <c r="H4658" s="32">
        <v>1</v>
      </c>
      <c r="I4658" s="32" t="s">
        <v>5865</v>
      </c>
      <c r="AG4658" s="32">
        <v>0</v>
      </c>
      <c r="AH4658" s="32">
        <v>0</v>
      </c>
      <c r="AI4658" s="32">
        <v>0</v>
      </c>
      <c r="AL4658" s="32">
        <v>2.25</v>
      </c>
      <c r="AO4658" s="32" t="s">
        <v>4668</v>
      </c>
      <c r="AP4658" s="32">
        <v>2.25</v>
      </c>
      <c r="AQ4658" s="32">
        <v>409</v>
      </c>
      <c r="AU4658">
        <v>4657</v>
      </c>
    </row>
    <row r="4659" spans="1:47" x14ac:dyDescent="0.2">
      <c r="A4659" s="26">
        <v>6757</v>
      </c>
      <c r="B4659" s="27">
        <v>2.0833333333333332E-2</v>
      </c>
      <c r="C4659" s="28"/>
      <c r="D4659" s="29"/>
      <c r="E4659" s="30" t="s">
        <v>2087</v>
      </c>
      <c r="H4659" s="32">
        <v>0</v>
      </c>
      <c r="I4659" s="32"/>
      <c r="AG4659" s="32">
        <v>0</v>
      </c>
      <c r="AH4659" s="32">
        <v>0</v>
      </c>
      <c r="AI4659" s="32">
        <v>0</v>
      </c>
      <c r="AK4659" s="32">
        <v>0</v>
      </c>
      <c r="AL4659" s="32">
        <v>0</v>
      </c>
      <c r="AP4659" s="32">
        <v>0.5</v>
      </c>
      <c r="AQ4659" s="32" t="s">
        <v>1101</v>
      </c>
      <c r="AU4659">
        <v>4658</v>
      </c>
    </row>
    <row r="4660" spans="1:47" x14ac:dyDescent="0.2">
      <c r="A4660" s="26">
        <v>6757</v>
      </c>
      <c r="B4660" s="27">
        <v>3.0555555555555555E-2</v>
      </c>
      <c r="C4660" s="28"/>
      <c r="D4660" s="29"/>
      <c r="E4660" s="30" t="s">
        <v>869</v>
      </c>
      <c r="H4660" s="32">
        <v>0</v>
      </c>
      <c r="I4660" s="32" t="s">
        <v>2344</v>
      </c>
      <c r="AG4660" s="32">
        <v>0</v>
      </c>
      <c r="AH4660" s="32">
        <v>0</v>
      </c>
      <c r="AI4660" s="32">
        <v>0</v>
      </c>
      <c r="AK4660" s="32">
        <v>0</v>
      </c>
      <c r="AL4660" s="32">
        <f>31/60</f>
        <v>0.51666666666666672</v>
      </c>
      <c r="AP4660" s="32">
        <f>31/60</f>
        <v>0.51666666666666672</v>
      </c>
      <c r="AQ4660" s="32" t="s">
        <v>589</v>
      </c>
      <c r="AU4660">
        <v>4659</v>
      </c>
    </row>
    <row r="4661" spans="1:47" x14ac:dyDescent="0.2">
      <c r="A4661" s="26">
        <v>6757</v>
      </c>
      <c r="B4661" s="27">
        <v>0.05</v>
      </c>
      <c r="C4661" s="28"/>
      <c r="D4661" s="29"/>
      <c r="E4661" s="30" t="s">
        <v>5112</v>
      </c>
      <c r="H4661" s="32">
        <v>1</v>
      </c>
      <c r="I4661" s="32" t="s">
        <v>5866</v>
      </c>
      <c r="AG4661" s="32">
        <v>0</v>
      </c>
      <c r="AH4661" s="32">
        <v>0</v>
      </c>
      <c r="AK4661" s="32">
        <v>6</v>
      </c>
      <c r="AP4661" s="32">
        <v>1.25</v>
      </c>
      <c r="AQ4661" s="32" t="s">
        <v>5867</v>
      </c>
      <c r="AU4661">
        <v>4660</v>
      </c>
    </row>
    <row r="4662" spans="1:47" x14ac:dyDescent="0.2">
      <c r="A4662" s="26">
        <v>6757</v>
      </c>
      <c r="B4662" s="27">
        <v>6.3194444444444442E-2</v>
      </c>
      <c r="C4662" s="28"/>
      <c r="D4662" s="29"/>
      <c r="E4662" s="30" t="s">
        <v>3155</v>
      </c>
      <c r="H4662" s="32">
        <v>0</v>
      </c>
      <c r="I4662" s="32" t="s">
        <v>3156</v>
      </c>
      <c r="AG4662" s="32">
        <v>0</v>
      </c>
      <c r="AH4662" s="32">
        <v>0</v>
      </c>
      <c r="AI4662" s="32">
        <v>0</v>
      </c>
      <c r="AK4662" s="32">
        <v>0</v>
      </c>
      <c r="AP4662" s="32">
        <f>54/60</f>
        <v>0.9</v>
      </c>
      <c r="AQ4662" s="32" t="s">
        <v>1101</v>
      </c>
      <c r="AU4662">
        <v>4661</v>
      </c>
    </row>
    <row r="4663" spans="1:47" x14ac:dyDescent="0.2">
      <c r="A4663" s="26">
        <v>6757</v>
      </c>
      <c r="B4663" s="27">
        <v>0.3125</v>
      </c>
      <c r="C4663" s="28"/>
      <c r="D4663" s="29"/>
      <c r="E4663" s="30" t="s">
        <v>4219</v>
      </c>
      <c r="H4663" s="32">
        <v>0</v>
      </c>
      <c r="I4663" s="32" t="s">
        <v>5868</v>
      </c>
      <c r="AG4663" s="32">
        <v>0</v>
      </c>
      <c r="AH4663" s="32">
        <v>0</v>
      </c>
      <c r="AI4663" s="32">
        <v>0</v>
      </c>
      <c r="AK4663" s="32">
        <v>0</v>
      </c>
      <c r="AL4663" s="32">
        <f>35/60</f>
        <v>0.58333333333333337</v>
      </c>
      <c r="AO4663" s="32" t="s">
        <v>858</v>
      </c>
      <c r="AP4663" s="32">
        <f>35/60</f>
        <v>0.58333333333333337</v>
      </c>
      <c r="AQ4663" s="32" t="s">
        <v>1101</v>
      </c>
      <c r="AU4663">
        <v>4662</v>
      </c>
    </row>
    <row r="4664" spans="1:47" x14ac:dyDescent="0.2">
      <c r="A4664" s="26">
        <v>6757</v>
      </c>
      <c r="B4664" s="27">
        <v>0.32291666666666669</v>
      </c>
      <c r="C4664" s="28"/>
      <c r="D4664" s="29"/>
      <c r="E4664" s="30" t="s">
        <v>1144</v>
      </c>
      <c r="H4664" s="32">
        <v>1</v>
      </c>
      <c r="I4664" s="32" t="s">
        <v>5869</v>
      </c>
      <c r="AG4664" s="32">
        <v>0</v>
      </c>
      <c r="AH4664" s="32">
        <v>0</v>
      </c>
      <c r="AI4664" s="32">
        <v>2028</v>
      </c>
      <c r="AK4664" s="32">
        <v>18</v>
      </c>
      <c r="AL4664" s="32">
        <f>7/6</f>
        <v>1.1666666666666667</v>
      </c>
      <c r="AO4664" s="32" t="s">
        <v>1006</v>
      </c>
      <c r="AP4664" s="32">
        <f>7/6</f>
        <v>1.1666666666666667</v>
      </c>
      <c r="AQ4664" s="32">
        <v>423</v>
      </c>
      <c r="AU4664">
        <v>4663</v>
      </c>
    </row>
    <row r="4665" spans="1:47" x14ac:dyDescent="0.2">
      <c r="A4665" s="26">
        <v>6757</v>
      </c>
      <c r="B4665" s="27">
        <v>0.32430555555555557</v>
      </c>
      <c r="C4665" s="28"/>
      <c r="D4665" s="29"/>
      <c r="E4665" s="30" t="s">
        <v>869</v>
      </c>
      <c r="H4665" s="32">
        <v>0</v>
      </c>
      <c r="I4665" s="32" t="s">
        <v>2344</v>
      </c>
      <c r="AG4665" s="32">
        <v>0</v>
      </c>
      <c r="AH4665" s="32">
        <v>0</v>
      </c>
      <c r="AI4665" s="32">
        <v>0</v>
      </c>
      <c r="AK4665" s="32">
        <v>0</v>
      </c>
      <c r="AL4665" s="32">
        <f>28/60</f>
        <v>0.46666666666666667</v>
      </c>
      <c r="AP4665" s="32">
        <f>28/60</f>
        <v>0.46666666666666667</v>
      </c>
      <c r="AQ4665" s="32" t="s">
        <v>589</v>
      </c>
      <c r="AU4665">
        <v>4664</v>
      </c>
    </row>
    <row r="4666" spans="1:47" x14ac:dyDescent="0.2">
      <c r="A4666" s="26">
        <v>6757</v>
      </c>
      <c r="B4666" s="27">
        <v>0.41666666666666669</v>
      </c>
      <c r="C4666" s="28"/>
      <c r="D4666" s="29"/>
      <c r="E4666" s="30" t="s">
        <v>5410</v>
      </c>
      <c r="H4666" s="32">
        <v>1</v>
      </c>
      <c r="I4666" s="32" t="s">
        <v>5870</v>
      </c>
      <c r="AG4666" s="32">
        <v>1</v>
      </c>
      <c r="AH4666" s="32">
        <v>0</v>
      </c>
      <c r="AI4666" s="32">
        <v>33076</v>
      </c>
      <c r="AK4666" s="32">
        <v>19</v>
      </c>
      <c r="AO4666" s="32" t="s">
        <v>5004</v>
      </c>
      <c r="AQ4666" s="32" t="s">
        <v>5476</v>
      </c>
      <c r="AU4666">
        <v>4665</v>
      </c>
    </row>
    <row r="4667" spans="1:47" x14ac:dyDescent="0.2">
      <c r="A4667" s="26">
        <v>6757</v>
      </c>
      <c r="B4667" s="27">
        <v>0.76041666666666663</v>
      </c>
      <c r="C4667" s="28"/>
      <c r="D4667" s="29"/>
      <c r="E4667" s="30" t="s">
        <v>464</v>
      </c>
      <c r="H4667" s="32">
        <v>0</v>
      </c>
      <c r="I4667" s="32" t="s">
        <v>4561</v>
      </c>
      <c r="AG4667" s="32">
        <v>0</v>
      </c>
      <c r="AH4667" s="32">
        <v>0</v>
      </c>
      <c r="AL4667" s="32">
        <v>0.25</v>
      </c>
      <c r="AO4667" s="32" t="s">
        <v>4067</v>
      </c>
      <c r="AP4667" s="32">
        <v>0.25</v>
      </c>
      <c r="AQ4667" s="32" t="s">
        <v>1522</v>
      </c>
      <c r="AU4667">
        <v>4666</v>
      </c>
    </row>
    <row r="4668" spans="1:47" x14ac:dyDescent="0.2">
      <c r="A4668" s="26">
        <v>6757</v>
      </c>
      <c r="B4668" s="27">
        <v>0.97916666666666663</v>
      </c>
      <c r="C4668" s="28"/>
      <c r="D4668" s="29"/>
      <c r="E4668" s="30" t="s">
        <v>5718</v>
      </c>
      <c r="H4668" s="32">
        <v>1</v>
      </c>
      <c r="I4668" s="32" t="s">
        <v>5871</v>
      </c>
      <c r="AG4668" s="32">
        <v>0</v>
      </c>
      <c r="AH4668" s="32">
        <v>0</v>
      </c>
      <c r="AI4668" s="32">
        <v>0</v>
      </c>
      <c r="AJ4668" s="32">
        <v>0</v>
      </c>
      <c r="AL4668" s="32">
        <v>0</v>
      </c>
      <c r="AM4668" s="32">
        <v>0</v>
      </c>
      <c r="AO4668" s="32" t="s">
        <v>5720</v>
      </c>
      <c r="AQ4668" s="32">
        <v>380</v>
      </c>
      <c r="AU4668">
        <v>4667</v>
      </c>
    </row>
    <row r="4669" spans="1:47" x14ac:dyDescent="0.2">
      <c r="A4669" s="26">
        <v>6757</v>
      </c>
      <c r="B4669" s="27">
        <v>0.98611111111111116</v>
      </c>
      <c r="C4669" s="28"/>
      <c r="D4669" s="29"/>
      <c r="E4669" s="30" t="s">
        <v>464</v>
      </c>
      <c r="H4669" s="32">
        <v>0</v>
      </c>
      <c r="I4669" s="32" t="s">
        <v>5872</v>
      </c>
      <c r="AG4669" s="32">
        <v>0</v>
      </c>
      <c r="AH4669" s="32">
        <v>0</v>
      </c>
      <c r="AL4669" s="32">
        <f>179/60</f>
        <v>2.9833333333333334</v>
      </c>
      <c r="AO4669" s="32" t="s">
        <v>4067</v>
      </c>
      <c r="AP4669" s="32">
        <f>179/60</f>
        <v>2.9833333333333334</v>
      </c>
      <c r="AQ4669" s="32" t="s">
        <v>1522</v>
      </c>
      <c r="AU4669">
        <v>4668</v>
      </c>
    </row>
    <row r="4670" spans="1:47" x14ac:dyDescent="0.2">
      <c r="A4670" s="26">
        <v>6757</v>
      </c>
      <c r="B4670" s="27" t="s">
        <v>85</v>
      </c>
      <c r="C4670" s="28"/>
      <c r="D4670" s="29"/>
      <c r="E4670" s="30" t="s">
        <v>858</v>
      </c>
      <c r="H4670" s="32">
        <v>1</v>
      </c>
      <c r="I4670" s="32"/>
      <c r="AG4670" s="32">
        <v>0</v>
      </c>
      <c r="AH4670" s="32">
        <v>0</v>
      </c>
      <c r="AI4670" s="32">
        <v>930000</v>
      </c>
      <c r="AQ4670" s="32">
        <v>438</v>
      </c>
      <c r="AU4670">
        <v>4669</v>
      </c>
    </row>
    <row r="4671" spans="1:47" x14ac:dyDescent="0.2">
      <c r="A4671" s="26">
        <v>6757</v>
      </c>
      <c r="B4671" s="27" t="s">
        <v>85</v>
      </c>
      <c r="C4671" s="28"/>
      <c r="D4671" s="29"/>
      <c r="E4671" s="30" t="s">
        <v>364</v>
      </c>
      <c r="H4671" s="32">
        <v>1</v>
      </c>
      <c r="I4671" s="32" t="s">
        <v>5873</v>
      </c>
      <c r="AI4671" s="32">
        <v>15000</v>
      </c>
      <c r="AQ4671" s="32" t="s">
        <v>5827</v>
      </c>
      <c r="AU4671">
        <v>4670</v>
      </c>
    </row>
    <row r="4672" spans="1:47" x14ac:dyDescent="0.2">
      <c r="A4672" s="26">
        <v>6757</v>
      </c>
      <c r="B4672" s="27" t="s">
        <v>85</v>
      </c>
      <c r="C4672" s="28"/>
      <c r="D4672" s="29"/>
      <c r="E4672" s="30" t="s">
        <v>1531</v>
      </c>
      <c r="H4672" s="32">
        <v>0</v>
      </c>
      <c r="I4672" s="32" t="s">
        <v>5874</v>
      </c>
      <c r="AG4672" s="32">
        <v>0</v>
      </c>
      <c r="AH4672" s="32">
        <v>0</v>
      </c>
      <c r="AI4672" s="32">
        <v>0</v>
      </c>
      <c r="AK4672" s="32">
        <v>0</v>
      </c>
      <c r="AM4672" s="32">
        <f>498*29</f>
        <v>14442</v>
      </c>
      <c r="AO4672" s="32" t="s">
        <v>1533</v>
      </c>
      <c r="AQ4672" s="32" t="s">
        <v>1101</v>
      </c>
      <c r="AU4672">
        <v>4671</v>
      </c>
    </row>
    <row r="4673" spans="1:47" x14ac:dyDescent="0.2">
      <c r="A4673" s="26">
        <v>6757</v>
      </c>
      <c r="B4673" s="27" t="s">
        <v>45</v>
      </c>
      <c r="C4673" s="28"/>
      <c r="D4673" s="29"/>
      <c r="E4673" s="30" t="s">
        <v>1531</v>
      </c>
      <c r="H4673" s="32">
        <v>0</v>
      </c>
      <c r="I4673" s="32" t="s">
        <v>5875</v>
      </c>
      <c r="AG4673" s="32">
        <v>0</v>
      </c>
      <c r="AH4673" s="32">
        <v>0</v>
      </c>
      <c r="AI4673" s="32">
        <v>0</v>
      </c>
      <c r="AK4673" s="32">
        <v>0</v>
      </c>
      <c r="AM4673" s="32">
        <f>498*50</f>
        <v>24900</v>
      </c>
      <c r="AO4673" s="32" t="s">
        <v>1533</v>
      </c>
      <c r="AQ4673" s="32" t="s">
        <v>1101</v>
      </c>
      <c r="AU4673">
        <v>4672</v>
      </c>
    </row>
    <row r="4674" spans="1:47" x14ac:dyDescent="0.2">
      <c r="A4674" s="26">
        <v>6757</v>
      </c>
      <c r="B4674" s="27" t="s">
        <v>45</v>
      </c>
      <c r="C4674" s="28"/>
      <c r="D4674" s="29"/>
      <c r="E4674" s="150" t="s">
        <v>2286</v>
      </c>
      <c r="H4674" s="32">
        <v>0</v>
      </c>
      <c r="I4674" s="32" t="s">
        <v>1824</v>
      </c>
      <c r="AG4674" s="32">
        <v>0</v>
      </c>
      <c r="AH4674" s="32">
        <v>0</v>
      </c>
      <c r="AI4674" s="32">
        <v>0</v>
      </c>
      <c r="AK4674" s="32">
        <v>0</v>
      </c>
      <c r="AM4674" s="32">
        <v>6000</v>
      </c>
      <c r="AO4674" s="73" t="s">
        <v>75</v>
      </c>
      <c r="AQ4674" s="32" t="s">
        <v>589</v>
      </c>
      <c r="AU4674">
        <v>4673</v>
      </c>
    </row>
    <row r="4675" spans="1:47" x14ac:dyDescent="0.2">
      <c r="A4675" s="26">
        <v>6757</v>
      </c>
      <c r="B4675" s="27"/>
      <c r="C4675" s="28"/>
      <c r="D4675" s="29"/>
      <c r="E4675" s="30" t="s">
        <v>75</v>
      </c>
      <c r="H4675" s="32">
        <v>1</v>
      </c>
      <c r="I4675" s="32" t="s">
        <v>5876</v>
      </c>
      <c r="AG4675" s="32">
        <v>0</v>
      </c>
      <c r="AH4675" s="32">
        <v>0</v>
      </c>
      <c r="AI4675" s="32">
        <v>15200</v>
      </c>
      <c r="AL4675" s="32">
        <v>47</v>
      </c>
      <c r="AQ4675" s="32">
        <v>413</v>
      </c>
      <c r="AU4675">
        <v>4674</v>
      </c>
    </row>
    <row r="4676" spans="1:47" x14ac:dyDescent="0.2">
      <c r="A4676" s="133">
        <v>6758</v>
      </c>
      <c r="B4676" s="39" t="s">
        <v>85</v>
      </c>
      <c r="C4676" s="39">
        <v>55</v>
      </c>
      <c r="D4676" s="29" t="b">
        <v>0</v>
      </c>
      <c r="E4676" s="39" t="s">
        <v>2964</v>
      </c>
      <c r="F4676" s="47" t="s">
        <v>5877</v>
      </c>
      <c r="G4676" s="47" t="s">
        <v>49</v>
      </c>
      <c r="H4676"/>
      <c r="I4676" s="47" t="b">
        <v>0</v>
      </c>
      <c r="J4676" s="47" t="b">
        <v>1</v>
      </c>
      <c r="K4676" s="47">
        <v>2302</v>
      </c>
      <c r="L4676" s="48">
        <v>12</v>
      </c>
      <c r="M4676" s="47">
        <v>0</v>
      </c>
      <c r="N4676" s="47">
        <v>3</v>
      </c>
      <c r="O4676" s="47">
        <v>0</v>
      </c>
      <c r="P4676" s="47">
        <v>0</v>
      </c>
      <c r="Q4676" s="47">
        <v>0</v>
      </c>
      <c r="R4676" s="47">
        <v>0</v>
      </c>
      <c r="S4676" s="48">
        <v>9</v>
      </c>
      <c r="T4676" s="47">
        <v>0</v>
      </c>
      <c r="U4676" s="47">
        <v>0</v>
      </c>
      <c r="V4676" s="47">
        <v>0</v>
      </c>
      <c r="W4676" s="47">
        <v>15000</v>
      </c>
      <c r="X4676" s="47">
        <v>663</v>
      </c>
      <c r="Y4676" s="47" t="s">
        <v>51</v>
      </c>
      <c r="Z4676" s="47" t="s">
        <v>3618</v>
      </c>
      <c r="AA4676" s="34">
        <v>0.30902777777777779</v>
      </c>
      <c r="AB4676" s="34">
        <v>0.51041666666666663</v>
      </c>
      <c r="AC4676" s="49">
        <f>AVERAGE(AA4676:AB4676)</f>
        <v>0.40972222222222221</v>
      </c>
      <c r="AD4676" s="50">
        <f>(AB4676-AA4676)*24</f>
        <v>4.8333333333333321</v>
      </c>
      <c r="AE4676" s="47" t="s">
        <v>5433</v>
      </c>
      <c r="AF4676" s="47">
        <f>140/0.62</f>
        <v>225.80645161290323</v>
      </c>
      <c r="AG4676"/>
      <c r="AH4676"/>
      <c r="AI4676"/>
      <c r="AJ4676"/>
      <c r="AK4676">
        <v>27</v>
      </c>
      <c r="AL4676"/>
      <c r="AM4676"/>
      <c r="AN4676"/>
      <c r="AO4676"/>
      <c r="AP4676"/>
      <c r="AQ4676" t="s">
        <v>5434</v>
      </c>
      <c r="AU4676">
        <v>4675</v>
      </c>
    </row>
    <row r="4677" spans="1:47" x14ac:dyDescent="0.2">
      <c r="A4677" s="133">
        <v>6758</v>
      </c>
      <c r="B4677" s="39" t="s">
        <v>85</v>
      </c>
      <c r="C4677" s="39">
        <v>99</v>
      </c>
      <c r="D4677" s="29" t="b">
        <v>0</v>
      </c>
      <c r="E4677" s="39" t="s">
        <v>1006</v>
      </c>
      <c r="F4677" s="47" t="s">
        <v>5345</v>
      </c>
      <c r="G4677" s="47" t="s">
        <v>49</v>
      </c>
      <c r="H4677"/>
      <c r="I4677" s="47" t="b">
        <v>0</v>
      </c>
      <c r="J4677" s="47" t="b">
        <v>1</v>
      </c>
      <c r="K4677" s="47">
        <v>1368</v>
      </c>
      <c r="L4677" s="48">
        <v>9</v>
      </c>
      <c r="M4677" s="47">
        <v>0</v>
      </c>
      <c r="N4677" s="47">
        <v>1</v>
      </c>
      <c r="O4677" s="47">
        <v>2</v>
      </c>
      <c r="P4677" s="47">
        <v>0</v>
      </c>
      <c r="Q4677" s="47">
        <v>0</v>
      </c>
      <c r="R4677" s="47">
        <v>0</v>
      </c>
      <c r="S4677" s="48">
        <v>6</v>
      </c>
      <c r="T4677" s="47">
        <v>0</v>
      </c>
      <c r="U4677" s="47">
        <v>0</v>
      </c>
      <c r="V4677" s="47">
        <v>0</v>
      </c>
      <c r="W4677" s="47">
        <v>13000</v>
      </c>
      <c r="X4677" s="47">
        <v>664</v>
      </c>
      <c r="Y4677" s="47" t="s">
        <v>120</v>
      </c>
      <c r="Z4677" s="47" t="s">
        <v>5139</v>
      </c>
      <c r="AA4677" s="49">
        <v>0.30902777777777779</v>
      </c>
      <c r="AB4677" s="49">
        <v>0.42708333333333331</v>
      </c>
      <c r="AC4677" s="49">
        <f>AVERAGE(AA4677:AB4677)</f>
        <v>0.36805555555555558</v>
      </c>
      <c r="AD4677" s="50">
        <f>(AB4677-AA4677)*24</f>
        <v>2.8333333333333326</v>
      </c>
      <c r="AE4677" s="47" t="s">
        <v>5433</v>
      </c>
      <c r="AF4677" s="47">
        <v>130</v>
      </c>
      <c r="AG4677"/>
      <c r="AH4677"/>
      <c r="AI4677"/>
      <c r="AJ4677"/>
      <c r="AK4677">
        <v>8</v>
      </c>
      <c r="AL4677"/>
      <c r="AM4677"/>
      <c r="AN4677"/>
      <c r="AO4677"/>
      <c r="AP4677"/>
      <c r="AQ4677" t="s">
        <v>2526</v>
      </c>
      <c r="AU4677">
        <v>4676</v>
      </c>
    </row>
    <row r="4678" spans="1:47" x14ac:dyDescent="0.2">
      <c r="A4678" s="13">
        <v>6758</v>
      </c>
      <c r="B4678" s="57" t="s">
        <v>45</v>
      </c>
      <c r="C4678" s="57" t="s">
        <v>142</v>
      </c>
      <c r="D4678" s="29"/>
      <c r="E4678" s="39" t="s">
        <v>5878</v>
      </c>
      <c r="F4678" s="47" t="s">
        <v>5879</v>
      </c>
      <c r="G4678" s="47" t="s">
        <v>49</v>
      </c>
      <c r="H4678"/>
      <c r="I4678" s="47" t="b">
        <v>1</v>
      </c>
      <c r="J4678" s="47" t="b">
        <v>1</v>
      </c>
      <c r="K4678" s="47">
        <f>6385*2.2</f>
        <v>14047.000000000002</v>
      </c>
      <c r="L4678" s="48">
        <f>24+2</f>
        <v>26</v>
      </c>
      <c r="M4678" s="47"/>
      <c r="N4678" s="47">
        <v>1</v>
      </c>
      <c r="O4678" s="47"/>
      <c r="P4678" s="47"/>
      <c r="Q4678" s="47"/>
      <c r="R4678" s="47"/>
      <c r="S4678" s="48">
        <f>23+2</f>
        <v>25</v>
      </c>
      <c r="T4678" s="47">
        <v>0</v>
      </c>
      <c r="U4678" s="47">
        <v>0</v>
      </c>
      <c r="V4678" s="47">
        <v>0</v>
      </c>
      <c r="W4678" s="47"/>
      <c r="X4678" s="47"/>
      <c r="Y4678" s="47" t="s">
        <v>51</v>
      </c>
      <c r="Z4678" s="31" t="s">
        <v>3855</v>
      </c>
      <c r="AA4678" s="49"/>
      <c r="AB4678" s="49"/>
      <c r="AC4678" s="49"/>
      <c r="AD4678" s="50"/>
      <c r="AE4678" s="47" t="s">
        <v>4217</v>
      </c>
      <c r="AF4678" s="47"/>
      <c r="AG4678"/>
      <c r="AH4678"/>
      <c r="AI4678"/>
      <c r="AJ4678"/>
      <c r="AK4678">
        <f>152+12+11+15</f>
        <v>190</v>
      </c>
      <c r="AL4678"/>
      <c r="AM4678"/>
      <c r="AN4678"/>
      <c r="AO4678"/>
      <c r="AP4678"/>
      <c r="AQ4678" t="s">
        <v>5844</v>
      </c>
      <c r="AR4678" s="32" t="s">
        <v>5880</v>
      </c>
      <c r="AU4678">
        <v>4677</v>
      </c>
    </row>
    <row r="4679" spans="1:47" x14ac:dyDescent="0.2">
      <c r="A4679" s="13">
        <v>6758</v>
      </c>
      <c r="B4679" s="57" t="s">
        <v>45</v>
      </c>
      <c r="C4679" s="57" t="s">
        <v>142</v>
      </c>
      <c r="D4679" s="29"/>
      <c r="E4679" s="57" t="s">
        <v>3875</v>
      </c>
      <c r="F4679" s="31" t="s">
        <v>76</v>
      </c>
      <c r="G4679" s="47" t="s">
        <v>49</v>
      </c>
      <c r="I4679" s="47" t="b">
        <v>0</v>
      </c>
      <c r="J4679" s="47" t="b">
        <v>0</v>
      </c>
      <c r="K4679" s="31">
        <v>506</v>
      </c>
      <c r="S4679" s="33">
        <v>1</v>
      </c>
      <c r="Z4679" s="31" t="s">
        <v>3855</v>
      </c>
      <c r="AE4679" s="47" t="s">
        <v>4217</v>
      </c>
      <c r="AF4679" s="31">
        <v>60</v>
      </c>
      <c r="AQ4679" s="32" t="s">
        <v>5846</v>
      </c>
      <c r="AU4679">
        <v>4678</v>
      </c>
    </row>
    <row r="4680" spans="1:47" x14ac:dyDescent="0.2">
      <c r="A4680" s="13">
        <v>6758</v>
      </c>
      <c r="B4680" s="57" t="s">
        <v>45</v>
      </c>
      <c r="C4680" s="57" t="s">
        <v>142</v>
      </c>
      <c r="D4680" s="29"/>
      <c r="E4680" s="57" t="s">
        <v>5881</v>
      </c>
      <c r="F4680" s="31" t="s">
        <v>76</v>
      </c>
      <c r="G4680" s="47" t="s">
        <v>49</v>
      </c>
      <c r="I4680" s="47" t="b">
        <v>0</v>
      </c>
      <c r="J4680" s="47" t="b">
        <v>0</v>
      </c>
      <c r="K4680" s="31">
        <v>8833</v>
      </c>
      <c r="S4680" s="33">
        <v>16</v>
      </c>
      <c r="Z4680" s="31" t="s">
        <v>3855</v>
      </c>
      <c r="AE4680" s="47" t="s">
        <v>4217</v>
      </c>
      <c r="AF4680" s="31">
        <v>60</v>
      </c>
      <c r="AQ4680" s="32" t="s">
        <v>5846</v>
      </c>
      <c r="AU4680">
        <v>4679</v>
      </c>
    </row>
    <row r="4681" spans="1:47" x14ac:dyDescent="0.2">
      <c r="A4681" s="13">
        <v>6758</v>
      </c>
      <c r="B4681" s="57" t="s">
        <v>45</v>
      </c>
      <c r="C4681" s="57" t="s">
        <v>142</v>
      </c>
      <c r="D4681" s="29"/>
      <c r="E4681" s="57" t="s">
        <v>5882</v>
      </c>
      <c r="F4681" s="31" t="s">
        <v>76</v>
      </c>
      <c r="G4681" s="47" t="s">
        <v>49</v>
      </c>
      <c r="I4681" s="47" t="b">
        <v>0</v>
      </c>
      <c r="J4681" s="47" t="b">
        <v>0</v>
      </c>
      <c r="K4681" s="31">
        <v>1232</v>
      </c>
      <c r="S4681" s="33">
        <v>2</v>
      </c>
      <c r="Z4681" s="31" t="s">
        <v>3855</v>
      </c>
      <c r="AE4681" s="47" t="s">
        <v>4217</v>
      </c>
      <c r="AF4681" s="31">
        <v>65</v>
      </c>
      <c r="AQ4681" s="32" t="s">
        <v>5846</v>
      </c>
      <c r="AU4681">
        <v>4680</v>
      </c>
    </row>
    <row r="4682" spans="1:47" x14ac:dyDescent="0.2">
      <c r="A4682" s="13">
        <v>6758</v>
      </c>
      <c r="B4682" s="57" t="s">
        <v>45</v>
      </c>
      <c r="C4682" s="57" t="s">
        <v>142</v>
      </c>
      <c r="D4682" s="29"/>
      <c r="E4682" s="57" t="s">
        <v>321</v>
      </c>
      <c r="F4682" s="31" t="s">
        <v>76</v>
      </c>
      <c r="G4682" s="47" t="s">
        <v>49</v>
      </c>
      <c r="I4682" s="47" t="b">
        <v>0</v>
      </c>
      <c r="J4682" s="47" t="b">
        <v>0</v>
      </c>
      <c r="K4682" s="31">
        <v>1628</v>
      </c>
      <c r="S4682" s="33">
        <v>3</v>
      </c>
      <c r="Z4682" s="31" t="s">
        <v>3855</v>
      </c>
      <c r="AE4682" s="47" t="s">
        <v>4217</v>
      </c>
      <c r="AF4682" s="31">
        <v>60</v>
      </c>
      <c r="AQ4682" s="32" t="s">
        <v>5846</v>
      </c>
      <c r="AU4682">
        <v>4681</v>
      </c>
    </row>
    <row r="4683" spans="1:47" x14ac:dyDescent="0.2">
      <c r="A4683" s="13">
        <v>6758</v>
      </c>
      <c r="B4683" s="57" t="s">
        <v>45</v>
      </c>
      <c r="C4683" s="57" t="s">
        <v>142</v>
      </c>
      <c r="D4683" s="29"/>
      <c r="E4683" s="57" t="s">
        <v>5883</v>
      </c>
      <c r="F4683" s="31" t="s">
        <v>5606</v>
      </c>
      <c r="G4683" s="31" t="s">
        <v>69</v>
      </c>
      <c r="I4683" s="47" t="b">
        <v>0</v>
      </c>
      <c r="J4683" s="47" t="b">
        <v>0</v>
      </c>
      <c r="K4683" s="31">
        <v>1848</v>
      </c>
      <c r="S4683" s="33">
        <v>3</v>
      </c>
      <c r="Z4683" s="31" t="s">
        <v>3855</v>
      </c>
      <c r="AE4683" s="47" t="s">
        <v>4217</v>
      </c>
      <c r="AF4683" s="31">
        <v>50</v>
      </c>
      <c r="AQ4683" s="32" t="s">
        <v>5846</v>
      </c>
      <c r="AU4683">
        <v>4682</v>
      </c>
    </row>
    <row r="4684" spans="1:47" x14ac:dyDescent="0.2">
      <c r="A4684" s="13">
        <v>6758</v>
      </c>
      <c r="B4684" s="57" t="s">
        <v>45</v>
      </c>
      <c r="C4684" s="57" t="s">
        <v>4843</v>
      </c>
      <c r="D4684" s="29"/>
      <c r="E4684" s="57" t="s">
        <v>5854</v>
      </c>
      <c r="F4684" s="31" t="s">
        <v>76</v>
      </c>
      <c r="G4684" s="31" t="s">
        <v>49</v>
      </c>
      <c r="K4684" s="31">
        <v>1760</v>
      </c>
      <c r="S4684" s="33">
        <v>3</v>
      </c>
      <c r="Z4684" s="31" t="s">
        <v>3814</v>
      </c>
      <c r="AQ4684" s="32" t="s">
        <v>5846</v>
      </c>
      <c r="AU4684">
        <v>4683</v>
      </c>
    </row>
    <row r="4685" spans="1:47" x14ac:dyDescent="0.2">
      <c r="A4685" s="13">
        <v>6758</v>
      </c>
      <c r="B4685" s="57" t="s">
        <v>45</v>
      </c>
      <c r="C4685" s="57" t="s">
        <v>4843</v>
      </c>
      <c r="D4685" s="29"/>
      <c r="E4685" s="57" t="s">
        <v>5883</v>
      </c>
      <c r="F4685" s="31" t="s">
        <v>5606</v>
      </c>
      <c r="G4685" s="31" t="s">
        <v>69</v>
      </c>
      <c r="K4685" s="31">
        <v>528</v>
      </c>
      <c r="S4685" s="33">
        <v>1</v>
      </c>
      <c r="Z4685" s="31" t="s">
        <v>3814</v>
      </c>
      <c r="AQ4685" s="32" t="s">
        <v>5846</v>
      </c>
      <c r="AU4685">
        <v>4684</v>
      </c>
    </row>
    <row r="4686" spans="1:47" x14ac:dyDescent="0.2">
      <c r="A4686" s="13">
        <v>6758</v>
      </c>
      <c r="B4686" s="57" t="s">
        <v>45</v>
      </c>
      <c r="C4686" s="57" t="s">
        <v>4843</v>
      </c>
      <c r="D4686" s="29"/>
      <c r="E4686" s="57" t="s">
        <v>3875</v>
      </c>
      <c r="F4686" s="31" t="s">
        <v>76</v>
      </c>
      <c r="G4686" s="31" t="s">
        <v>49</v>
      </c>
      <c r="K4686" s="31">
        <v>6952</v>
      </c>
      <c r="S4686" s="33">
        <v>15</v>
      </c>
      <c r="Z4686" s="31" t="s">
        <v>3814</v>
      </c>
      <c r="AQ4686" s="32" t="s">
        <v>5846</v>
      </c>
      <c r="AU4686">
        <v>4685</v>
      </c>
    </row>
    <row r="4687" spans="1:47" x14ac:dyDescent="0.2">
      <c r="A4687" s="13">
        <v>6758</v>
      </c>
      <c r="B4687" s="57" t="s">
        <v>45</v>
      </c>
      <c r="C4687" s="57" t="s">
        <v>4179</v>
      </c>
      <c r="D4687" s="29"/>
      <c r="E4687" s="57" t="s">
        <v>5855</v>
      </c>
      <c r="F4687" s="31" t="s">
        <v>83</v>
      </c>
      <c r="G4687" s="31" t="s">
        <v>69</v>
      </c>
      <c r="I4687" s="31" t="s">
        <v>5856</v>
      </c>
      <c r="K4687" s="63"/>
      <c r="Z4687" s="31" t="s">
        <v>3814</v>
      </c>
      <c r="AE4687" s="31" t="s">
        <v>5248</v>
      </c>
      <c r="AQ4687" s="32" t="s">
        <v>5857</v>
      </c>
      <c r="AU4687">
        <v>4686</v>
      </c>
    </row>
    <row r="4688" spans="1:47" x14ac:dyDescent="0.2">
      <c r="A4688" s="13">
        <v>6758</v>
      </c>
      <c r="B4688" s="57" t="s">
        <v>45</v>
      </c>
      <c r="C4688" s="57" t="s">
        <v>4179</v>
      </c>
      <c r="D4688" s="29"/>
      <c r="E4688" s="57" t="s">
        <v>5858</v>
      </c>
      <c r="F4688" s="31" t="s">
        <v>4215</v>
      </c>
      <c r="G4688" s="31" t="s">
        <v>205</v>
      </c>
      <c r="I4688" s="31" t="s">
        <v>5859</v>
      </c>
      <c r="K4688" s="63"/>
      <c r="Z4688" s="31" t="s">
        <v>3814</v>
      </c>
      <c r="AE4688" s="31" t="s">
        <v>5248</v>
      </c>
      <c r="AQ4688" s="32" t="s">
        <v>5857</v>
      </c>
      <c r="AU4688">
        <v>4687</v>
      </c>
    </row>
    <row r="4689" spans="1:47" x14ac:dyDescent="0.2">
      <c r="A4689" s="13">
        <v>6758</v>
      </c>
      <c r="B4689" s="57" t="s">
        <v>45</v>
      </c>
      <c r="C4689" s="57" t="s">
        <v>4179</v>
      </c>
      <c r="D4689" s="29"/>
      <c r="E4689" s="57" t="s">
        <v>4752</v>
      </c>
      <c r="F4689" s="31" t="s">
        <v>76</v>
      </c>
      <c r="G4689" s="31" t="s">
        <v>49</v>
      </c>
      <c r="I4689" s="31" t="s">
        <v>5884</v>
      </c>
      <c r="J4689" s="33"/>
      <c r="K4689" s="193"/>
      <c r="Z4689" s="31" t="s">
        <v>3814</v>
      </c>
      <c r="AE4689" s="31" t="s">
        <v>5248</v>
      </c>
      <c r="AF4689" s="31">
        <v>65</v>
      </c>
      <c r="AQ4689" s="32" t="s">
        <v>5857</v>
      </c>
      <c r="AU4689">
        <v>4688</v>
      </c>
    </row>
    <row r="4690" spans="1:47" x14ac:dyDescent="0.2">
      <c r="A4690" s="13">
        <v>6758</v>
      </c>
      <c r="B4690" s="57" t="s">
        <v>45</v>
      </c>
      <c r="C4690" s="57" t="s">
        <v>4179</v>
      </c>
      <c r="D4690" s="29"/>
      <c r="E4690" s="57" t="s">
        <v>5104</v>
      </c>
      <c r="F4690" s="31" t="s">
        <v>76</v>
      </c>
      <c r="G4690" s="31" t="s">
        <v>49</v>
      </c>
      <c r="I4690" s="31" t="s">
        <v>5885</v>
      </c>
      <c r="J4690" s="33"/>
      <c r="K4690" s="193"/>
      <c r="Z4690" s="31" t="s">
        <v>3814</v>
      </c>
      <c r="AE4690" s="31" t="s">
        <v>5248</v>
      </c>
      <c r="AF4690" s="31">
        <v>55</v>
      </c>
      <c r="AQ4690" s="32" t="s">
        <v>5857</v>
      </c>
      <c r="AU4690">
        <v>4689</v>
      </c>
    </row>
    <row r="4691" spans="1:47" x14ac:dyDescent="0.2">
      <c r="A4691" s="13">
        <v>6758</v>
      </c>
      <c r="B4691" s="57" t="s">
        <v>45</v>
      </c>
      <c r="C4691" s="57" t="s">
        <v>5860</v>
      </c>
      <c r="D4691" s="29"/>
      <c r="E4691" s="57" t="s">
        <v>5862</v>
      </c>
      <c r="F4691" s="31" t="s">
        <v>204</v>
      </c>
      <c r="G4691" s="31" t="s">
        <v>205</v>
      </c>
      <c r="I4691" s="31" t="s">
        <v>5863</v>
      </c>
      <c r="K4691" s="63"/>
      <c r="AQ4691" s="32" t="s">
        <v>5857</v>
      </c>
      <c r="AU4691">
        <v>4690</v>
      </c>
    </row>
    <row r="4692" spans="1:47" x14ac:dyDescent="0.2">
      <c r="A4692" s="26">
        <v>6758</v>
      </c>
      <c r="B4692" s="27">
        <v>1.3888888888888888E-2</v>
      </c>
      <c r="C4692" s="28"/>
      <c r="D4692" s="29"/>
      <c r="E4692" s="30" t="s">
        <v>1282</v>
      </c>
      <c r="H4692" s="32">
        <v>1</v>
      </c>
      <c r="I4692" s="32" t="s">
        <v>5886</v>
      </c>
      <c r="AG4692" s="32">
        <v>0</v>
      </c>
      <c r="AH4692" s="32">
        <v>0</v>
      </c>
      <c r="AL4692" s="32">
        <f>5/6</f>
        <v>0.83333333333333337</v>
      </c>
      <c r="AP4692" s="32">
        <f>5/6</f>
        <v>0.83333333333333337</v>
      </c>
      <c r="AQ4692" s="32" t="s">
        <v>1101</v>
      </c>
      <c r="AU4692">
        <v>4691</v>
      </c>
    </row>
    <row r="4693" spans="1:47" x14ac:dyDescent="0.2">
      <c r="A4693" s="26">
        <v>6758</v>
      </c>
      <c r="B4693" s="27">
        <v>2.0833333333333332E-2</v>
      </c>
      <c r="C4693" s="28"/>
      <c r="D4693" s="29"/>
      <c r="E4693" s="30" t="s">
        <v>2087</v>
      </c>
      <c r="H4693" s="32">
        <v>0</v>
      </c>
      <c r="I4693" s="32"/>
      <c r="AG4693" s="32">
        <v>0</v>
      </c>
      <c r="AH4693" s="32">
        <v>0</v>
      </c>
      <c r="AI4693" s="32">
        <v>0</v>
      </c>
      <c r="AK4693" s="32">
        <v>0</v>
      </c>
      <c r="AL4693" s="32">
        <v>0</v>
      </c>
      <c r="AP4693" s="32">
        <v>0.5</v>
      </c>
      <c r="AQ4693" s="32" t="s">
        <v>1101</v>
      </c>
      <c r="AU4693">
        <v>4692</v>
      </c>
    </row>
    <row r="4694" spans="1:47" x14ac:dyDescent="0.2">
      <c r="A4694" s="26">
        <v>6758</v>
      </c>
      <c r="B4694" s="27">
        <v>3.2638888888888891E-2</v>
      </c>
      <c r="C4694" s="28"/>
      <c r="D4694" s="29"/>
      <c r="E4694" s="30" t="s">
        <v>3737</v>
      </c>
      <c r="H4694" s="32">
        <v>1</v>
      </c>
      <c r="I4694" s="32" t="s">
        <v>5887</v>
      </c>
      <c r="AG4694" s="32">
        <v>0</v>
      </c>
      <c r="AH4694" s="32">
        <v>0</v>
      </c>
      <c r="AI4694" s="32">
        <v>500</v>
      </c>
      <c r="AK4694" s="32">
        <v>8</v>
      </c>
      <c r="AL4694" s="32">
        <f>70/60</f>
        <v>1.1666666666666667</v>
      </c>
      <c r="AP4694" s="32">
        <f>70/60</f>
        <v>1.1666666666666667</v>
      </c>
      <c r="AQ4694" s="32">
        <v>456</v>
      </c>
      <c r="AU4694">
        <v>4693</v>
      </c>
    </row>
    <row r="4695" spans="1:47" x14ac:dyDescent="0.2">
      <c r="A4695" s="26">
        <v>6758</v>
      </c>
      <c r="B4695" s="27">
        <v>7.2916666666666671E-2</v>
      </c>
      <c r="C4695" s="28"/>
      <c r="D4695" s="29"/>
      <c r="E4695" s="102" t="s">
        <v>1102</v>
      </c>
      <c r="H4695" s="32">
        <v>0</v>
      </c>
      <c r="I4695" s="32" t="s">
        <v>1103</v>
      </c>
      <c r="AG4695" s="32">
        <v>0</v>
      </c>
      <c r="AH4695" s="32">
        <v>0</v>
      </c>
      <c r="AI4695" s="32">
        <v>0</v>
      </c>
      <c r="AK4695" s="32">
        <v>0</v>
      </c>
      <c r="AL4695" s="32">
        <f>27/60</f>
        <v>0.45</v>
      </c>
      <c r="AO4695" s="73" t="s">
        <v>1006</v>
      </c>
      <c r="AP4695" s="32">
        <f>27/60</f>
        <v>0.45</v>
      </c>
      <c r="AQ4695" s="32" t="s">
        <v>589</v>
      </c>
      <c r="AU4695">
        <v>4694</v>
      </c>
    </row>
    <row r="4696" spans="1:47" x14ac:dyDescent="0.2">
      <c r="A4696" s="26">
        <v>6758</v>
      </c>
      <c r="B4696" s="27">
        <v>7.6388888888888895E-2</v>
      </c>
      <c r="C4696" s="28"/>
      <c r="D4696" s="29"/>
      <c r="E4696" s="30" t="s">
        <v>3155</v>
      </c>
      <c r="H4696" s="32">
        <v>0</v>
      </c>
      <c r="I4696" s="32" t="s">
        <v>3156</v>
      </c>
      <c r="AG4696" s="32">
        <v>0</v>
      </c>
      <c r="AH4696" s="32">
        <v>0</v>
      </c>
      <c r="AI4696" s="32">
        <v>0</v>
      </c>
      <c r="AK4696" s="32">
        <v>0</v>
      </c>
      <c r="AP4696" s="32">
        <f>49/60</f>
        <v>0.81666666666666665</v>
      </c>
      <c r="AQ4696" s="32" t="s">
        <v>1101</v>
      </c>
      <c r="AU4696">
        <v>4695</v>
      </c>
    </row>
    <row r="4697" spans="1:47" x14ac:dyDescent="0.2">
      <c r="A4697" s="26">
        <v>6758</v>
      </c>
      <c r="B4697" s="27">
        <v>0.125</v>
      </c>
      <c r="C4697" s="28"/>
      <c r="D4697" s="29"/>
      <c r="E4697" s="30" t="s">
        <v>4219</v>
      </c>
      <c r="H4697" s="32">
        <v>0</v>
      </c>
      <c r="I4697" s="32" t="s">
        <v>5888</v>
      </c>
      <c r="AG4697" s="32">
        <v>0</v>
      </c>
      <c r="AH4697" s="32">
        <v>0</v>
      </c>
      <c r="AI4697" s="32">
        <v>0</v>
      </c>
      <c r="AK4697" s="32">
        <v>0</v>
      </c>
      <c r="AL4697" s="32">
        <f>1/6</f>
        <v>0.16666666666666666</v>
      </c>
      <c r="AO4697" s="32" t="s">
        <v>858</v>
      </c>
      <c r="AP4697" s="32">
        <f>1/6</f>
        <v>0.16666666666666666</v>
      </c>
      <c r="AQ4697" s="32" t="s">
        <v>1101</v>
      </c>
      <c r="AU4697">
        <v>4696</v>
      </c>
    </row>
    <row r="4698" spans="1:47" x14ac:dyDescent="0.2">
      <c r="A4698" s="26">
        <v>6758</v>
      </c>
      <c r="B4698" s="27">
        <v>0.40625</v>
      </c>
      <c r="C4698" s="28"/>
      <c r="D4698" s="29"/>
      <c r="E4698" s="30" t="s">
        <v>464</v>
      </c>
      <c r="H4698" s="32">
        <v>0</v>
      </c>
      <c r="I4698" s="32" t="s">
        <v>4561</v>
      </c>
      <c r="AG4698" s="32">
        <v>0</v>
      </c>
      <c r="AH4698" s="32">
        <v>0</v>
      </c>
      <c r="AL4698" s="32">
        <v>0.5</v>
      </c>
      <c r="AO4698" s="32" t="s">
        <v>4067</v>
      </c>
      <c r="AP4698" s="32">
        <v>0.5</v>
      </c>
      <c r="AQ4698" s="32" t="s">
        <v>1522</v>
      </c>
      <c r="AU4698">
        <v>4697</v>
      </c>
    </row>
    <row r="4699" spans="1:47" x14ac:dyDescent="0.2">
      <c r="A4699" s="26">
        <v>6758</v>
      </c>
      <c r="B4699" s="27">
        <v>0.40972222222222227</v>
      </c>
      <c r="C4699" s="28"/>
      <c r="D4699" s="29"/>
      <c r="E4699" s="30" t="s">
        <v>5889</v>
      </c>
      <c r="H4699" s="32">
        <v>1</v>
      </c>
      <c r="I4699" s="32" t="s">
        <v>5890</v>
      </c>
      <c r="AG4699" s="32">
        <v>0</v>
      </c>
      <c r="AH4699" s="32">
        <v>0</v>
      </c>
      <c r="AI4699" s="32">
        <f>2421+500+4000</f>
        <v>6921</v>
      </c>
      <c r="AK4699" s="32">
        <f>8+2</f>
        <v>10</v>
      </c>
      <c r="AL4699" s="32">
        <v>1</v>
      </c>
      <c r="AM4699" s="32">
        <v>12000</v>
      </c>
      <c r="AO4699" s="32" t="s">
        <v>1006</v>
      </c>
      <c r="AP4699" s="32">
        <v>1</v>
      </c>
      <c r="AQ4699" s="32">
        <v>423</v>
      </c>
      <c r="AU4699">
        <v>4698</v>
      </c>
    </row>
    <row r="4700" spans="1:47" x14ac:dyDescent="0.2">
      <c r="A4700" s="26">
        <v>6758</v>
      </c>
      <c r="B4700" s="27">
        <v>0.4201388888888889</v>
      </c>
      <c r="C4700" s="28"/>
      <c r="D4700" s="29"/>
      <c r="E4700" s="30" t="s">
        <v>4219</v>
      </c>
      <c r="H4700" s="32">
        <v>1</v>
      </c>
      <c r="I4700" s="32" t="s">
        <v>5891</v>
      </c>
      <c r="AL4700" s="32">
        <f>35/60</f>
        <v>0.58333333333333337</v>
      </c>
      <c r="AO4700" s="32" t="s">
        <v>858</v>
      </c>
      <c r="AP4700" s="32">
        <f>35/60</f>
        <v>0.58333333333333337</v>
      </c>
      <c r="AQ4700" s="32" t="s">
        <v>1101</v>
      </c>
      <c r="AU4700">
        <v>4699</v>
      </c>
    </row>
    <row r="4701" spans="1:47" x14ac:dyDescent="0.2">
      <c r="A4701" s="26">
        <v>6758</v>
      </c>
      <c r="B4701" s="27">
        <v>0.44444444444444442</v>
      </c>
      <c r="C4701" s="28"/>
      <c r="D4701" s="29"/>
      <c r="E4701" s="30" t="s">
        <v>2964</v>
      </c>
      <c r="H4701" s="32">
        <v>1</v>
      </c>
      <c r="I4701" s="32" t="s">
        <v>5892</v>
      </c>
      <c r="AG4701" s="32">
        <v>1</v>
      </c>
      <c r="AH4701" s="32">
        <v>0</v>
      </c>
      <c r="AI4701" s="32">
        <f>3871+28000+13505</f>
        <v>45376</v>
      </c>
      <c r="AK4701" s="32">
        <v>20</v>
      </c>
      <c r="AL4701" s="32">
        <f>7/6</f>
        <v>1.1666666666666667</v>
      </c>
      <c r="AP4701" s="32">
        <f>7/6</f>
        <v>1.1666666666666667</v>
      </c>
      <c r="AQ4701" s="32">
        <v>478</v>
      </c>
      <c r="AU4701">
        <v>4700</v>
      </c>
    </row>
    <row r="4702" spans="1:47" x14ac:dyDescent="0.2">
      <c r="A4702" s="26">
        <v>6758</v>
      </c>
      <c r="B4702" s="27">
        <v>0.44791666666666669</v>
      </c>
      <c r="C4702" s="28"/>
      <c r="D4702" s="29"/>
      <c r="E4702" s="30" t="s">
        <v>3155</v>
      </c>
      <c r="H4702" s="32">
        <v>0</v>
      </c>
      <c r="I4702" s="32" t="s">
        <v>3156</v>
      </c>
      <c r="AG4702" s="32">
        <v>0</v>
      </c>
      <c r="AH4702" s="32">
        <v>0</v>
      </c>
      <c r="AI4702" s="32">
        <v>0</v>
      </c>
      <c r="AK4702" s="32">
        <v>0</v>
      </c>
      <c r="AP4702" s="32">
        <v>1.25</v>
      </c>
      <c r="AQ4702" s="32" t="s">
        <v>1101</v>
      </c>
      <c r="AU4702">
        <v>4701</v>
      </c>
    </row>
    <row r="4703" spans="1:47" x14ac:dyDescent="0.2">
      <c r="A4703" s="26">
        <v>6758</v>
      </c>
      <c r="B4703" s="27">
        <v>0.46527777777777773</v>
      </c>
      <c r="C4703" s="28"/>
      <c r="D4703" s="29"/>
      <c r="E4703" s="30" t="s">
        <v>4713</v>
      </c>
      <c r="H4703" s="32">
        <v>0</v>
      </c>
      <c r="I4703" s="32" t="s">
        <v>4714</v>
      </c>
      <c r="AG4703" s="32">
        <v>0</v>
      </c>
      <c r="AH4703" s="32">
        <v>0</v>
      </c>
      <c r="AI4703" s="32">
        <v>0</v>
      </c>
      <c r="AK4703" s="32">
        <v>0</v>
      </c>
      <c r="AL4703" s="32">
        <f>2/6</f>
        <v>0.33333333333333331</v>
      </c>
      <c r="AP4703" s="32">
        <f>2/6</f>
        <v>0.33333333333333331</v>
      </c>
      <c r="AQ4703" s="32" t="s">
        <v>1101</v>
      </c>
      <c r="AU4703">
        <v>4702</v>
      </c>
    </row>
    <row r="4704" spans="1:47" x14ac:dyDescent="0.2">
      <c r="A4704" s="26">
        <v>6758</v>
      </c>
      <c r="B4704" s="27">
        <v>0.46527777777777773</v>
      </c>
      <c r="C4704" s="28"/>
      <c r="D4704" s="29"/>
      <c r="E4704" s="30" t="s">
        <v>110</v>
      </c>
      <c r="H4704" s="32">
        <v>0</v>
      </c>
      <c r="I4704" s="32" t="s">
        <v>3587</v>
      </c>
      <c r="AG4704" s="32">
        <v>0</v>
      </c>
      <c r="AH4704" s="32">
        <v>0</v>
      </c>
      <c r="AI4704" s="32">
        <v>0</v>
      </c>
      <c r="AK4704" s="32">
        <v>0</v>
      </c>
      <c r="AL4704" s="32">
        <f>25/60</f>
        <v>0.41666666666666669</v>
      </c>
      <c r="AP4704" s="32">
        <f>25/60</f>
        <v>0.41666666666666669</v>
      </c>
      <c r="AQ4704" s="32" t="s">
        <v>1101</v>
      </c>
      <c r="AU4704">
        <v>4703</v>
      </c>
    </row>
    <row r="4705" spans="1:47" x14ac:dyDescent="0.2">
      <c r="A4705" s="26">
        <v>6758</v>
      </c>
      <c r="B4705" s="27">
        <v>0.46736111111111112</v>
      </c>
      <c r="C4705" s="28"/>
      <c r="D4705" s="29"/>
      <c r="E4705" s="102" t="s">
        <v>5200</v>
      </c>
      <c r="H4705" s="32">
        <v>0</v>
      </c>
      <c r="I4705" s="32" t="s">
        <v>5893</v>
      </c>
      <c r="AG4705" s="32">
        <v>0</v>
      </c>
      <c r="AH4705" s="32">
        <v>0</v>
      </c>
      <c r="AI4705" s="32">
        <v>0</v>
      </c>
      <c r="AK4705" s="32">
        <v>0</v>
      </c>
      <c r="AL4705" s="32">
        <f>25/60</f>
        <v>0.41666666666666669</v>
      </c>
      <c r="AO4705" s="73"/>
      <c r="AP4705" s="32">
        <f>25/60</f>
        <v>0.41666666666666669</v>
      </c>
      <c r="AQ4705" s="32" t="s">
        <v>589</v>
      </c>
      <c r="AU4705">
        <v>4704</v>
      </c>
    </row>
    <row r="4706" spans="1:47" x14ac:dyDescent="0.2">
      <c r="A4706" s="26">
        <v>6758</v>
      </c>
      <c r="B4706" s="27">
        <v>0.47222222222222227</v>
      </c>
      <c r="C4706" s="28"/>
      <c r="D4706" s="29"/>
      <c r="E4706" s="30" t="s">
        <v>5224</v>
      </c>
      <c r="H4706" s="32">
        <v>0</v>
      </c>
      <c r="I4706" s="32" t="s">
        <v>5225</v>
      </c>
      <c r="AG4706" s="32">
        <v>0</v>
      </c>
      <c r="AH4706" s="32">
        <v>0</v>
      </c>
      <c r="AI4706" s="32">
        <v>0</v>
      </c>
      <c r="AK4706" s="32">
        <v>0</v>
      </c>
      <c r="AL4706" s="32">
        <f>21/60</f>
        <v>0.35</v>
      </c>
      <c r="AP4706" s="32">
        <f>21/60</f>
        <v>0.35</v>
      </c>
      <c r="AQ4706" s="32" t="s">
        <v>1101</v>
      </c>
      <c r="AU4706">
        <v>4705</v>
      </c>
    </row>
    <row r="4707" spans="1:47" x14ac:dyDescent="0.2">
      <c r="A4707" s="26">
        <v>6758</v>
      </c>
      <c r="B4707" s="27">
        <v>0.47361111111111115</v>
      </c>
      <c r="C4707" s="28"/>
      <c r="D4707" s="29"/>
      <c r="E4707" s="30" t="s">
        <v>4709</v>
      </c>
      <c r="H4707" s="32">
        <v>0</v>
      </c>
      <c r="I4707" s="32" t="s">
        <v>4710</v>
      </c>
      <c r="AG4707" s="32">
        <v>0</v>
      </c>
      <c r="AH4707" s="32">
        <v>0</v>
      </c>
      <c r="AI4707" s="32">
        <v>0</v>
      </c>
      <c r="AK4707" s="32">
        <v>0</v>
      </c>
      <c r="AL4707" s="32">
        <f>14/60</f>
        <v>0.23333333333333334</v>
      </c>
      <c r="AM4707" s="32">
        <f>AL4707*(261300+974800)/18.75</f>
        <v>15382.577777777777</v>
      </c>
      <c r="AP4707" s="32">
        <f>14/60</f>
        <v>0.23333333333333334</v>
      </c>
      <c r="AQ4707" s="32" t="s">
        <v>589</v>
      </c>
      <c r="AU4707">
        <v>4706</v>
      </c>
    </row>
    <row r="4708" spans="1:47" x14ac:dyDescent="0.2">
      <c r="A4708" s="26">
        <v>6758</v>
      </c>
      <c r="B4708" s="27">
        <v>0.49305555555555558</v>
      </c>
      <c r="C4708" s="28"/>
      <c r="D4708" s="29"/>
      <c r="E4708" s="102" t="s">
        <v>1102</v>
      </c>
      <c r="H4708" s="32">
        <v>0</v>
      </c>
      <c r="I4708" s="32" t="s">
        <v>1103</v>
      </c>
      <c r="AG4708" s="32">
        <v>0</v>
      </c>
      <c r="AH4708" s="32">
        <v>0</v>
      </c>
      <c r="AI4708" s="32">
        <v>0</v>
      </c>
      <c r="AK4708" s="32">
        <v>0</v>
      </c>
      <c r="AL4708" s="32">
        <f>1/6</f>
        <v>0.16666666666666666</v>
      </c>
      <c r="AO4708" s="73" t="s">
        <v>1006</v>
      </c>
      <c r="AP4708" s="32">
        <f>1/6</f>
        <v>0.16666666666666666</v>
      </c>
      <c r="AQ4708" s="32" t="s">
        <v>589</v>
      </c>
      <c r="AU4708">
        <v>4707</v>
      </c>
    </row>
    <row r="4709" spans="1:47" x14ac:dyDescent="0.2">
      <c r="A4709" s="26">
        <v>6758</v>
      </c>
      <c r="B4709" s="27">
        <v>0.50694444444444442</v>
      </c>
      <c r="C4709" s="28"/>
      <c r="D4709" s="29"/>
      <c r="E4709" s="30" t="s">
        <v>4219</v>
      </c>
      <c r="H4709" s="32">
        <v>1</v>
      </c>
      <c r="I4709" s="32" t="s">
        <v>5894</v>
      </c>
      <c r="AL4709" s="32">
        <f>1/6</f>
        <v>0.16666666666666666</v>
      </c>
      <c r="AO4709" s="32" t="s">
        <v>858</v>
      </c>
      <c r="AP4709" s="32">
        <f>1/6</f>
        <v>0.16666666666666666</v>
      </c>
      <c r="AQ4709" s="32" t="s">
        <v>1101</v>
      </c>
      <c r="AU4709">
        <v>4708</v>
      </c>
    </row>
    <row r="4710" spans="1:47" x14ac:dyDescent="0.2">
      <c r="A4710" s="26">
        <v>6758</v>
      </c>
      <c r="B4710" s="27">
        <v>0.53402777777777777</v>
      </c>
      <c r="C4710" s="28"/>
      <c r="D4710" s="29"/>
      <c r="E4710" s="30" t="s">
        <v>869</v>
      </c>
      <c r="H4710" s="32">
        <v>0</v>
      </c>
      <c r="I4710" s="32" t="s">
        <v>5895</v>
      </c>
      <c r="AG4710" s="32">
        <v>0</v>
      </c>
      <c r="AH4710" s="32">
        <v>0</v>
      </c>
      <c r="AI4710" s="32">
        <v>0</v>
      </c>
      <c r="AK4710" s="32">
        <v>0</v>
      </c>
      <c r="AL4710" s="32">
        <f>58/60</f>
        <v>0.96666666666666667</v>
      </c>
      <c r="AP4710" s="32">
        <f>58/60</f>
        <v>0.96666666666666667</v>
      </c>
      <c r="AQ4710" s="32" t="s">
        <v>589</v>
      </c>
      <c r="AU4710">
        <v>4709</v>
      </c>
    </row>
    <row r="4711" spans="1:47" x14ac:dyDescent="0.2">
      <c r="A4711" s="26">
        <v>6758</v>
      </c>
      <c r="B4711" s="27">
        <v>0.53472222222222221</v>
      </c>
      <c r="C4711" s="28"/>
      <c r="D4711" s="29"/>
      <c r="E4711" s="30" t="s">
        <v>3737</v>
      </c>
      <c r="H4711" s="32">
        <v>0</v>
      </c>
      <c r="I4711" s="32" t="s">
        <v>4926</v>
      </c>
      <c r="AG4711" s="32">
        <v>0</v>
      </c>
      <c r="AH4711" s="32">
        <v>0</v>
      </c>
      <c r="AI4711" s="32">
        <v>0</v>
      </c>
      <c r="AK4711" s="32">
        <v>0</v>
      </c>
      <c r="AL4711" s="32">
        <f>73/60</f>
        <v>1.2166666666666666</v>
      </c>
      <c r="AM4711" s="33">
        <f>(3125+3691)*AL4711</f>
        <v>8292.7999999999993</v>
      </c>
      <c r="AP4711" s="32">
        <f>73/60</f>
        <v>1.2166666666666666</v>
      </c>
      <c r="AQ4711" s="32" t="s">
        <v>1101</v>
      </c>
      <c r="AU4711">
        <v>4710</v>
      </c>
    </row>
    <row r="4712" spans="1:47" x14ac:dyDescent="0.2">
      <c r="A4712" s="26">
        <v>6758</v>
      </c>
      <c r="B4712" s="27">
        <v>0.58333333333333337</v>
      </c>
      <c r="C4712" s="28"/>
      <c r="D4712" s="29"/>
      <c r="E4712" s="30" t="s">
        <v>1028</v>
      </c>
      <c r="H4712" s="32">
        <v>1</v>
      </c>
      <c r="I4712" s="32" t="s">
        <v>5896</v>
      </c>
      <c r="AG4712" s="32">
        <v>0</v>
      </c>
      <c r="AH4712" s="32">
        <v>0</v>
      </c>
      <c r="AI4712" s="32">
        <v>0</v>
      </c>
      <c r="AK4712" s="32">
        <v>6</v>
      </c>
      <c r="AL4712" s="32">
        <v>0</v>
      </c>
      <c r="AO4712" s="32" t="s">
        <v>1030</v>
      </c>
      <c r="AQ4712" s="32">
        <v>433</v>
      </c>
      <c r="AU4712">
        <v>4711</v>
      </c>
    </row>
    <row r="4713" spans="1:47" x14ac:dyDescent="0.2">
      <c r="A4713" s="26">
        <v>6758</v>
      </c>
      <c r="B4713" s="27">
        <v>0.92708333333333337</v>
      </c>
      <c r="C4713" s="28"/>
      <c r="D4713" s="29"/>
      <c r="E4713" s="30" t="s">
        <v>869</v>
      </c>
      <c r="H4713" s="32">
        <v>0</v>
      </c>
      <c r="I4713" s="32" t="s">
        <v>2344</v>
      </c>
      <c r="AG4713" s="32">
        <v>0</v>
      </c>
      <c r="AH4713" s="32">
        <v>0</v>
      </c>
      <c r="AI4713" s="32">
        <v>0</v>
      </c>
      <c r="AK4713" s="32">
        <v>0</v>
      </c>
      <c r="AL4713" s="32">
        <f>16/60</f>
        <v>0.26666666666666666</v>
      </c>
      <c r="AP4713" s="32">
        <f>16/60</f>
        <v>0.26666666666666666</v>
      </c>
      <c r="AQ4713" s="32" t="s">
        <v>589</v>
      </c>
      <c r="AU4713">
        <v>4712</v>
      </c>
    </row>
    <row r="4714" spans="1:47" x14ac:dyDescent="0.2">
      <c r="A4714" s="26">
        <v>6758</v>
      </c>
      <c r="B4714" s="27">
        <v>0.98263888888888884</v>
      </c>
      <c r="C4714" s="28"/>
      <c r="D4714" s="29"/>
      <c r="E4714" s="30" t="s">
        <v>5718</v>
      </c>
      <c r="H4714" s="32">
        <v>1</v>
      </c>
      <c r="I4714" s="32" t="s">
        <v>5897</v>
      </c>
      <c r="AG4714" s="32">
        <v>0</v>
      </c>
      <c r="AH4714" s="32">
        <v>0</v>
      </c>
      <c r="AI4714" s="32">
        <v>0</v>
      </c>
      <c r="AJ4714" s="32">
        <v>0</v>
      </c>
      <c r="AL4714" s="32">
        <v>0</v>
      </c>
      <c r="AM4714" s="32">
        <v>0</v>
      </c>
      <c r="AO4714" s="32" t="s">
        <v>5720</v>
      </c>
      <c r="AQ4714" s="32">
        <v>380</v>
      </c>
      <c r="AU4714">
        <v>4713</v>
      </c>
    </row>
    <row r="4715" spans="1:47" x14ac:dyDescent="0.2">
      <c r="A4715" s="26">
        <v>6758</v>
      </c>
      <c r="B4715" s="27" t="s">
        <v>85</v>
      </c>
      <c r="C4715" s="28"/>
      <c r="D4715" s="29"/>
      <c r="E4715" s="30" t="s">
        <v>1531</v>
      </c>
      <c r="H4715" s="32">
        <v>0</v>
      </c>
      <c r="I4715" s="32" t="s">
        <v>1532</v>
      </c>
      <c r="AG4715" s="32">
        <v>0</v>
      </c>
      <c r="AH4715" s="32">
        <v>0</v>
      </c>
      <c r="AI4715" s="32">
        <v>0</v>
      </c>
      <c r="AK4715" s="32">
        <v>0</v>
      </c>
      <c r="AM4715" s="32">
        <f>498*11</f>
        <v>5478</v>
      </c>
      <c r="AO4715" s="32" t="s">
        <v>1533</v>
      </c>
      <c r="AQ4715" s="32" t="s">
        <v>1101</v>
      </c>
      <c r="AU4715">
        <v>4714</v>
      </c>
    </row>
    <row r="4716" spans="1:47" x14ac:dyDescent="0.2">
      <c r="A4716" s="26">
        <v>6758</v>
      </c>
      <c r="B4716" s="27"/>
      <c r="C4716" s="28"/>
      <c r="D4716" s="29"/>
      <c r="E4716" s="30" t="s">
        <v>4666</v>
      </c>
      <c r="H4716" s="32">
        <v>1</v>
      </c>
      <c r="I4716" s="32" t="s">
        <v>5898</v>
      </c>
      <c r="AG4716" s="32">
        <v>0</v>
      </c>
      <c r="AH4716" s="32">
        <v>0</v>
      </c>
      <c r="AI4716" s="32">
        <v>0</v>
      </c>
      <c r="AL4716" s="32">
        <v>2.5</v>
      </c>
      <c r="AO4716" s="32" t="s">
        <v>4668</v>
      </c>
      <c r="AP4716" s="32">
        <v>2.5</v>
      </c>
      <c r="AQ4716" s="32">
        <v>409</v>
      </c>
      <c r="AU4716">
        <v>4715</v>
      </c>
    </row>
    <row r="4717" spans="1:47" x14ac:dyDescent="0.2">
      <c r="A4717" s="26">
        <v>6758</v>
      </c>
      <c r="B4717" s="27"/>
      <c r="C4717" s="28"/>
      <c r="D4717" s="29"/>
      <c r="E4717" s="30" t="s">
        <v>4469</v>
      </c>
      <c r="H4717" s="32">
        <v>0</v>
      </c>
      <c r="I4717" s="32" t="s">
        <v>5899</v>
      </c>
      <c r="AG4717" s="32">
        <v>0</v>
      </c>
      <c r="AH4717" s="32">
        <v>0</v>
      </c>
      <c r="AI4717" s="32">
        <v>0</v>
      </c>
      <c r="AK4717" s="32">
        <v>0</v>
      </c>
      <c r="AL4717" s="32">
        <f>37/60</f>
        <v>0.6166666666666667</v>
      </c>
      <c r="AO4717" s="32" t="s">
        <v>5210</v>
      </c>
      <c r="AP4717" s="32">
        <f>37/60</f>
        <v>0.6166666666666667</v>
      </c>
      <c r="AQ4717" s="32" t="s">
        <v>5211</v>
      </c>
      <c r="AU4717">
        <v>4716</v>
      </c>
    </row>
    <row r="4718" spans="1:47" x14ac:dyDescent="0.2">
      <c r="A4718" s="26">
        <v>6758</v>
      </c>
      <c r="B4718" s="27"/>
      <c r="C4718" s="125"/>
      <c r="D4718" s="126"/>
      <c r="E4718" s="30" t="s">
        <v>5900</v>
      </c>
      <c r="H4718" s="32"/>
      <c r="I4718" s="32" t="s">
        <v>5901</v>
      </c>
      <c r="AL4718" s="32">
        <f>2+1/6</f>
        <v>2.1666666666666665</v>
      </c>
      <c r="AO4718" s="32" t="s">
        <v>4493</v>
      </c>
      <c r="AQ4718" s="32">
        <v>470</v>
      </c>
      <c r="AU4718">
        <v>4717</v>
      </c>
    </row>
    <row r="4719" spans="1:47" x14ac:dyDescent="0.2">
      <c r="A4719" s="13">
        <v>6759</v>
      </c>
      <c r="B4719" s="57" t="s">
        <v>45</v>
      </c>
      <c r="C4719" s="57" t="s">
        <v>4179</v>
      </c>
      <c r="D4719" s="29"/>
      <c r="E4719" s="57" t="s">
        <v>5855</v>
      </c>
      <c r="F4719" s="31" t="s">
        <v>83</v>
      </c>
      <c r="G4719" s="31" t="s">
        <v>69</v>
      </c>
      <c r="I4719" s="31" t="s">
        <v>5856</v>
      </c>
      <c r="K4719" s="63"/>
      <c r="Z4719" s="31" t="s">
        <v>3814</v>
      </c>
      <c r="AE4719" s="31" t="s">
        <v>5248</v>
      </c>
      <c r="AQ4719" s="32" t="s">
        <v>5857</v>
      </c>
      <c r="AU4719">
        <v>4718</v>
      </c>
    </row>
    <row r="4720" spans="1:47" x14ac:dyDescent="0.2">
      <c r="A4720" s="13">
        <v>6759</v>
      </c>
      <c r="B4720" s="57" t="s">
        <v>45</v>
      </c>
      <c r="C4720" s="57" t="s">
        <v>4179</v>
      </c>
      <c r="D4720" s="29"/>
      <c r="E4720" s="57" t="s">
        <v>977</v>
      </c>
      <c r="F4720" s="31" t="s">
        <v>76</v>
      </c>
      <c r="G4720" s="31" t="s">
        <v>49</v>
      </c>
      <c r="I4720" s="31" t="s">
        <v>5902</v>
      </c>
      <c r="J4720" s="33"/>
      <c r="K4720" s="193"/>
      <c r="Z4720" s="31" t="s">
        <v>3814</v>
      </c>
      <c r="AE4720" s="31" t="s">
        <v>5248</v>
      </c>
      <c r="AF4720" s="31">
        <v>70</v>
      </c>
      <c r="AQ4720" s="32" t="s">
        <v>5857</v>
      </c>
      <c r="AU4720">
        <v>4719</v>
      </c>
    </row>
    <row r="4721" spans="1:47" x14ac:dyDescent="0.2">
      <c r="A4721" s="13">
        <v>6759</v>
      </c>
      <c r="B4721" s="57" t="s">
        <v>45</v>
      </c>
      <c r="C4721" s="57" t="s">
        <v>5860</v>
      </c>
      <c r="D4721" s="29"/>
      <c r="E4721" s="57" t="s">
        <v>1593</v>
      </c>
      <c r="F4721" s="31" t="s">
        <v>76</v>
      </c>
      <c r="G4721" s="31" t="s">
        <v>49</v>
      </c>
      <c r="I4721" s="31" t="s">
        <v>5861</v>
      </c>
      <c r="K4721" s="63"/>
      <c r="AQ4721" s="32" t="s">
        <v>5857</v>
      </c>
      <c r="AU4721">
        <v>4720</v>
      </c>
    </row>
    <row r="4722" spans="1:47" x14ac:dyDescent="0.2">
      <c r="A4722" s="13">
        <v>6759</v>
      </c>
      <c r="B4722" s="57" t="s">
        <v>45</v>
      </c>
      <c r="C4722" s="57" t="s">
        <v>5860</v>
      </c>
      <c r="D4722" s="29"/>
      <c r="E4722" s="57" t="s">
        <v>5903</v>
      </c>
      <c r="F4722" s="31" t="s">
        <v>5904</v>
      </c>
      <c r="G4722" s="31" t="s">
        <v>69</v>
      </c>
      <c r="I4722" s="31" t="s">
        <v>5905</v>
      </c>
      <c r="J4722" s="33"/>
      <c r="K4722" s="193"/>
      <c r="AQ4722" s="32" t="s">
        <v>5857</v>
      </c>
      <c r="AU4722">
        <v>4721</v>
      </c>
    </row>
    <row r="4723" spans="1:47" x14ac:dyDescent="0.2">
      <c r="A4723" s="13">
        <v>6759</v>
      </c>
      <c r="B4723" s="57" t="s">
        <v>45</v>
      </c>
      <c r="C4723" s="57" t="s">
        <v>5860</v>
      </c>
      <c r="D4723" s="29"/>
      <c r="E4723" s="57" t="s">
        <v>3419</v>
      </c>
      <c r="F4723" s="31" t="s">
        <v>83</v>
      </c>
      <c r="G4723" s="31" t="s">
        <v>69</v>
      </c>
      <c r="I4723" s="31" t="s">
        <v>5906</v>
      </c>
      <c r="K4723" s="63"/>
      <c r="AQ4723" s="32" t="s">
        <v>5857</v>
      </c>
      <c r="AU4723">
        <v>4722</v>
      </c>
    </row>
    <row r="4724" spans="1:47" x14ac:dyDescent="0.2">
      <c r="A4724" s="26">
        <v>6759</v>
      </c>
      <c r="B4724" s="27">
        <v>0.95833333333333337</v>
      </c>
      <c r="C4724" s="28"/>
      <c r="D4724" s="29"/>
      <c r="E4724" s="30" t="s">
        <v>1282</v>
      </c>
      <c r="H4724" s="32">
        <v>0</v>
      </c>
      <c r="I4724" s="32" t="s">
        <v>5907</v>
      </c>
      <c r="AG4724" s="32">
        <v>0</v>
      </c>
      <c r="AH4724" s="32">
        <v>0</v>
      </c>
      <c r="AI4724" s="32">
        <v>0</v>
      </c>
      <c r="AK4724" s="32">
        <v>0</v>
      </c>
      <c r="AL4724" s="32">
        <f>1/6</f>
        <v>0.16666666666666666</v>
      </c>
      <c r="AP4724" s="32">
        <f>1/6</f>
        <v>0.16666666666666666</v>
      </c>
      <c r="AQ4724" s="32" t="s">
        <v>1101</v>
      </c>
      <c r="AU4724">
        <v>4723</v>
      </c>
    </row>
    <row r="4725" spans="1:47" x14ac:dyDescent="0.2">
      <c r="A4725" s="44">
        <v>6760</v>
      </c>
      <c r="B4725" s="42" t="s">
        <v>45</v>
      </c>
      <c r="C4725" s="43" t="s">
        <v>142</v>
      </c>
      <c r="D4725" s="29"/>
      <c r="E4725" s="36" t="s">
        <v>5908</v>
      </c>
      <c r="F4725" s="31" t="s">
        <v>4729</v>
      </c>
      <c r="G4725" s="31" t="s">
        <v>49</v>
      </c>
      <c r="H4725" s="32"/>
      <c r="I4725" s="47" t="b">
        <v>1</v>
      </c>
      <c r="J4725" s="47" t="b">
        <v>1</v>
      </c>
      <c r="K4725" s="31">
        <f>6950*2.2</f>
        <v>15290.000000000002</v>
      </c>
      <c r="L4725" s="33">
        <f>29+3</f>
        <v>32</v>
      </c>
      <c r="M4725" s="31">
        <v>1</v>
      </c>
      <c r="N4725" s="31">
        <v>4</v>
      </c>
      <c r="S4725" s="33">
        <f>24+3</f>
        <v>27</v>
      </c>
      <c r="T4725" s="31">
        <v>0</v>
      </c>
      <c r="U4725" s="31">
        <v>0</v>
      </c>
      <c r="V4725" s="31">
        <v>0</v>
      </c>
      <c r="Y4725" s="31" t="s">
        <v>51</v>
      </c>
      <c r="Z4725" s="31" t="s">
        <v>3855</v>
      </c>
      <c r="AE4725" s="47" t="s">
        <v>4217</v>
      </c>
      <c r="AK4725" s="32">
        <f>164+16+24</f>
        <v>204</v>
      </c>
      <c r="AQ4725" s="32" t="s">
        <v>5909</v>
      </c>
      <c r="AR4725" s="32" t="s">
        <v>5910</v>
      </c>
      <c r="AU4725">
        <v>4724</v>
      </c>
    </row>
    <row r="4726" spans="1:47" x14ac:dyDescent="0.2">
      <c r="A4726" s="13">
        <v>6760</v>
      </c>
      <c r="B4726" s="57" t="s">
        <v>45</v>
      </c>
      <c r="C4726" s="57" t="s">
        <v>142</v>
      </c>
      <c r="D4726" s="29"/>
      <c r="E4726" s="57" t="s">
        <v>5911</v>
      </c>
      <c r="F4726" s="31" t="s">
        <v>76</v>
      </c>
      <c r="G4726" s="31" t="s">
        <v>49</v>
      </c>
      <c r="I4726" s="47" t="b">
        <v>0</v>
      </c>
      <c r="J4726" s="47" t="b">
        <v>0</v>
      </c>
      <c r="K4726" s="31">
        <v>5159</v>
      </c>
      <c r="S4726" s="33">
        <v>10</v>
      </c>
      <c r="Z4726" s="31" t="s">
        <v>3855</v>
      </c>
      <c r="AE4726" s="47" t="s">
        <v>4217</v>
      </c>
      <c r="AQ4726" s="32" t="s">
        <v>5846</v>
      </c>
      <c r="AU4726">
        <v>4725</v>
      </c>
    </row>
    <row r="4727" spans="1:47" x14ac:dyDescent="0.2">
      <c r="A4727" s="13">
        <v>6760</v>
      </c>
      <c r="B4727" s="57" t="s">
        <v>45</v>
      </c>
      <c r="C4727" s="57" t="s">
        <v>142</v>
      </c>
      <c r="D4727" s="29"/>
      <c r="E4727" s="57" t="s">
        <v>5881</v>
      </c>
      <c r="F4727" s="31" t="s">
        <v>76</v>
      </c>
      <c r="G4727" s="31" t="s">
        <v>49</v>
      </c>
      <c r="I4727" s="47" t="b">
        <v>0</v>
      </c>
      <c r="J4727" s="47" t="b">
        <v>0</v>
      </c>
      <c r="K4727" s="31">
        <v>6875</v>
      </c>
      <c r="S4727" s="33">
        <v>10</v>
      </c>
      <c r="Z4727" s="31" t="s">
        <v>3855</v>
      </c>
      <c r="AE4727" s="47" t="s">
        <v>4217</v>
      </c>
      <c r="AF4727" s="31">
        <v>60</v>
      </c>
      <c r="AQ4727" s="32" t="s">
        <v>5846</v>
      </c>
      <c r="AU4727">
        <v>4726</v>
      </c>
    </row>
    <row r="4728" spans="1:47" x14ac:dyDescent="0.2">
      <c r="A4728" s="13">
        <v>6760</v>
      </c>
      <c r="B4728" s="57" t="s">
        <v>45</v>
      </c>
      <c r="C4728" s="57" t="s">
        <v>142</v>
      </c>
      <c r="D4728" s="29"/>
      <c r="E4728" s="57" t="s">
        <v>5912</v>
      </c>
      <c r="F4728" s="31" t="s">
        <v>5606</v>
      </c>
      <c r="G4728" s="31" t="s">
        <v>69</v>
      </c>
      <c r="I4728" s="47" t="b">
        <v>0</v>
      </c>
      <c r="J4728" s="47" t="b">
        <v>0</v>
      </c>
      <c r="K4728" s="31">
        <v>1254</v>
      </c>
      <c r="S4728" s="33">
        <v>2</v>
      </c>
      <c r="Z4728" s="31" t="s">
        <v>3855</v>
      </c>
      <c r="AE4728" s="47" t="s">
        <v>4217</v>
      </c>
      <c r="AF4728" s="31">
        <v>65</v>
      </c>
      <c r="AQ4728" s="32" t="s">
        <v>5846</v>
      </c>
      <c r="AU4728">
        <v>4727</v>
      </c>
    </row>
    <row r="4729" spans="1:47" x14ac:dyDescent="0.2">
      <c r="A4729" s="13">
        <v>6760</v>
      </c>
      <c r="B4729" s="57" t="s">
        <v>45</v>
      </c>
      <c r="C4729" s="57" t="s">
        <v>142</v>
      </c>
      <c r="D4729" s="29"/>
      <c r="E4729" s="57" t="s">
        <v>5253</v>
      </c>
      <c r="F4729" s="31" t="s">
        <v>76</v>
      </c>
      <c r="G4729" s="31" t="s">
        <v>49</v>
      </c>
      <c r="I4729" s="47" t="b">
        <v>0</v>
      </c>
      <c r="J4729" s="47" t="b">
        <v>0</v>
      </c>
      <c r="K4729" s="31">
        <v>638</v>
      </c>
      <c r="S4729" s="33">
        <v>1</v>
      </c>
      <c r="Z4729" s="31" t="s">
        <v>3855</v>
      </c>
      <c r="AE4729" s="47" t="s">
        <v>4217</v>
      </c>
      <c r="AF4729" s="31">
        <v>70</v>
      </c>
      <c r="AQ4729" s="32" t="s">
        <v>5846</v>
      </c>
      <c r="AU4729">
        <v>4728</v>
      </c>
    </row>
    <row r="4730" spans="1:47" x14ac:dyDescent="0.2">
      <c r="A4730" s="13">
        <v>6760</v>
      </c>
      <c r="B4730" s="57" t="s">
        <v>45</v>
      </c>
      <c r="C4730" s="57" t="s">
        <v>142</v>
      </c>
      <c r="D4730" s="29"/>
      <c r="E4730" s="57" t="s">
        <v>3895</v>
      </c>
      <c r="F4730" s="31" t="s">
        <v>76</v>
      </c>
      <c r="G4730" s="31" t="s">
        <v>49</v>
      </c>
      <c r="I4730" s="47" t="b">
        <v>0</v>
      </c>
      <c r="J4730" s="47" t="b">
        <v>0</v>
      </c>
      <c r="K4730" s="31">
        <v>660</v>
      </c>
      <c r="S4730" s="33">
        <v>1</v>
      </c>
      <c r="Z4730" s="31" t="s">
        <v>3855</v>
      </c>
      <c r="AE4730" s="47" t="s">
        <v>4217</v>
      </c>
      <c r="AF4730" s="31">
        <v>70</v>
      </c>
      <c r="AQ4730" s="32" t="s">
        <v>5846</v>
      </c>
      <c r="AU4730">
        <v>4729</v>
      </c>
    </row>
    <row r="4731" spans="1:47" x14ac:dyDescent="0.2">
      <c r="A4731" s="13">
        <v>6760</v>
      </c>
      <c r="B4731" s="57" t="s">
        <v>45</v>
      </c>
      <c r="C4731" s="57" t="s">
        <v>142</v>
      </c>
      <c r="D4731" s="29"/>
      <c r="E4731" s="57" t="s">
        <v>2747</v>
      </c>
      <c r="F4731" s="31" t="s">
        <v>76</v>
      </c>
      <c r="G4731" s="31" t="s">
        <v>49</v>
      </c>
      <c r="I4731" s="47" t="b">
        <v>0</v>
      </c>
      <c r="J4731" s="47" t="b">
        <v>0</v>
      </c>
      <c r="K4731" s="31">
        <v>704</v>
      </c>
      <c r="S4731" s="33">
        <v>1</v>
      </c>
      <c r="Z4731" s="31" t="s">
        <v>3855</v>
      </c>
      <c r="AE4731" s="47" t="s">
        <v>4217</v>
      </c>
      <c r="AF4731" s="31">
        <v>55</v>
      </c>
      <c r="AQ4731" s="32" t="s">
        <v>5846</v>
      </c>
      <c r="AU4731">
        <v>4730</v>
      </c>
    </row>
    <row r="4732" spans="1:47" x14ac:dyDescent="0.2">
      <c r="A4732" s="13">
        <v>6760</v>
      </c>
      <c r="B4732" s="57" t="s">
        <v>45</v>
      </c>
      <c r="C4732" s="57" t="s">
        <v>1367</v>
      </c>
      <c r="D4732" s="29"/>
      <c r="E4732" s="57" t="s">
        <v>3816</v>
      </c>
      <c r="F4732" s="31" t="s">
        <v>76</v>
      </c>
      <c r="G4732" s="31" t="s">
        <v>49</v>
      </c>
      <c r="K4732" s="31">
        <v>792</v>
      </c>
      <c r="S4732" s="33">
        <v>1</v>
      </c>
      <c r="Z4732" s="31" t="s">
        <v>1846</v>
      </c>
      <c r="AE4732" s="31" t="s">
        <v>4756</v>
      </c>
      <c r="AF4732" s="31">
        <v>110</v>
      </c>
      <c r="AQ4732" s="32" t="s">
        <v>5846</v>
      </c>
      <c r="AU4732">
        <v>4731</v>
      </c>
    </row>
    <row r="4733" spans="1:47" x14ac:dyDescent="0.2">
      <c r="A4733" s="13">
        <v>6760</v>
      </c>
      <c r="B4733" s="57" t="s">
        <v>45</v>
      </c>
      <c r="C4733" s="57" t="s">
        <v>1367</v>
      </c>
      <c r="D4733" s="29"/>
      <c r="E4733" s="57" t="s">
        <v>5711</v>
      </c>
      <c r="F4733" s="31" t="s">
        <v>76</v>
      </c>
      <c r="G4733" s="31" t="s">
        <v>49</v>
      </c>
      <c r="K4733" s="31">
        <v>792</v>
      </c>
      <c r="S4733" s="33">
        <v>1</v>
      </c>
      <c r="Z4733" s="31" t="s">
        <v>1846</v>
      </c>
      <c r="AE4733" s="31" t="s">
        <v>4756</v>
      </c>
      <c r="AF4733" s="31">
        <v>105</v>
      </c>
      <c r="AQ4733" s="32" t="s">
        <v>5846</v>
      </c>
      <c r="AU4733">
        <v>4732</v>
      </c>
    </row>
    <row r="4734" spans="1:47" x14ac:dyDescent="0.2">
      <c r="A4734" s="13">
        <v>6760</v>
      </c>
      <c r="B4734" s="57" t="s">
        <v>45</v>
      </c>
      <c r="C4734" s="57" t="s">
        <v>4456</v>
      </c>
      <c r="D4734" s="29"/>
      <c r="E4734" s="57" t="s">
        <v>3876</v>
      </c>
      <c r="F4734" s="31" t="s">
        <v>76</v>
      </c>
      <c r="G4734" s="31" t="s">
        <v>49</v>
      </c>
      <c r="I4734" s="31" t="s">
        <v>5913</v>
      </c>
      <c r="K4734" s="135">
        <f>6952*4/9</f>
        <v>3089.7777777777778</v>
      </c>
      <c r="L4734" s="33">
        <v>5</v>
      </c>
      <c r="N4734" s="31">
        <v>1</v>
      </c>
      <c r="S4734" s="33">
        <v>4</v>
      </c>
      <c r="T4734" s="47">
        <v>0</v>
      </c>
      <c r="U4734" s="47">
        <v>0</v>
      </c>
      <c r="V4734" s="47">
        <v>0</v>
      </c>
      <c r="W4734" s="47">
        <f>((2100+2500+2300+2400)/4)*39.37/12</f>
        <v>7627.9375</v>
      </c>
      <c r="X4734" s="47"/>
      <c r="Y4734" s="31" t="s">
        <v>51</v>
      </c>
      <c r="Z4734" s="31" t="s">
        <v>1846</v>
      </c>
      <c r="AA4734" s="49">
        <v>0.94444444444444453</v>
      </c>
      <c r="AB4734" s="49">
        <v>1.0625</v>
      </c>
      <c r="AC4734" s="49">
        <f>AVERAGE(AA4734:AB4734)</f>
        <v>1.0034722222222223</v>
      </c>
      <c r="AD4734" s="35">
        <v>2.25</v>
      </c>
      <c r="AE4734" s="31" t="s">
        <v>4756</v>
      </c>
      <c r="AF4734" s="31">
        <v>70</v>
      </c>
      <c r="AK4734" s="136">
        <f>4*8</f>
        <v>32</v>
      </c>
      <c r="AQ4734" s="32" t="s">
        <v>5914</v>
      </c>
      <c r="AU4734">
        <v>4733</v>
      </c>
    </row>
    <row r="4735" spans="1:47" x14ac:dyDescent="0.2">
      <c r="A4735" s="13">
        <v>6760</v>
      </c>
      <c r="B4735" s="57" t="s">
        <v>45</v>
      </c>
      <c r="C4735" s="57" t="s">
        <v>1367</v>
      </c>
      <c r="D4735" s="29"/>
      <c r="E4735" s="57" t="s">
        <v>3876</v>
      </c>
      <c r="F4735" s="31" t="s">
        <v>76</v>
      </c>
      <c r="G4735" s="31" t="s">
        <v>49</v>
      </c>
      <c r="I4735" s="31" t="s">
        <v>5915</v>
      </c>
      <c r="K4735" s="135">
        <f>6952*5/9</f>
        <v>3862.2222222222222</v>
      </c>
      <c r="S4735" s="33">
        <f>9-4</f>
        <v>5</v>
      </c>
      <c r="Z4735" s="31" t="s">
        <v>1846</v>
      </c>
      <c r="AE4735" s="31" t="s">
        <v>4756</v>
      </c>
      <c r="AF4735" s="31">
        <v>70</v>
      </c>
      <c r="AK4735" s="136">
        <f>5*8</f>
        <v>40</v>
      </c>
      <c r="AQ4735" s="32" t="s">
        <v>5846</v>
      </c>
      <c r="AU4735">
        <v>4734</v>
      </c>
    </row>
    <row r="4736" spans="1:47" x14ac:dyDescent="0.2">
      <c r="A4736" s="13">
        <v>6760</v>
      </c>
      <c r="B4736" s="57" t="s">
        <v>45</v>
      </c>
      <c r="C4736" s="57" t="s">
        <v>5714</v>
      </c>
      <c r="D4736" s="29"/>
      <c r="E4736" s="57" t="s">
        <v>3876</v>
      </c>
      <c r="F4736" s="31" t="s">
        <v>76</v>
      </c>
      <c r="G4736" s="31" t="s">
        <v>49</v>
      </c>
      <c r="K4736" s="31">
        <v>4001.8</v>
      </c>
      <c r="S4736" s="33">
        <v>4</v>
      </c>
      <c r="Z4736" s="31" t="s">
        <v>1846</v>
      </c>
      <c r="AE4736" s="31" t="s">
        <v>4756</v>
      </c>
      <c r="AF4736" s="31">
        <v>70</v>
      </c>
      <c r="AQ4736" s="32" t="s">
        <v>5846</v>
      </c>
      <c r="AU4736">
        <v>4735</v>
      </c>
    </row>
    <row r="4737" spans="1:47" x14ac:dyDescent="0.2">
      <c r="A4737" s="13">
        <v>6760</v>
      </c>
      <c r="B4737" s="57" t="s">
        <v>45</v>
      </c>
      <c r="C4737" s="57" t="s">
        <v>4843</v>
      </c>
      <c r="D4737" s="29"/>
      <c r="E4737" s="57" t="s">
        <v>3875</v>
      </c>
      <c r="F4737" s="31" t="s">
        <v>76</v>
      </c>
      <c r="G4737" s="31" t="s">
        <v>49</v>
      </c>
      <c r="K4737" s="31">
        <v>8712</v>
      </c>
      <c r="S4737" s="33">
        <v>19</v>
      </c>
      <c r="Z4737" s="31" t="s">
        <v>3814</v>
      </c>
      <c r="AQ4737" s="32" t="s">
        <v>5846</v>
      </c>
      <c r="AU4737">
        <v>4736</v>
      </c>
    </row>
    <row r="4738" spans="1:47" x14ac:dyDescent="0.2">
      <c r="A4738" s="13">
        <v>6760</v>
      </c>
      <c r="B4738" s="57" t="s">
        <v>45</v>
      </c>
      <c r="C4738" s="57" t="s">
        <v>4179</v>
      </c>
      <c r="D4738" s="29"/>
      <c r="E4738" s="57" t="s">
        <v>2648</v>
      </c>
      <c r="F4738" s="31" t="s">
        <v>76</v>
      </c>
      <c r="G4738" s="31" t="s">
        <v>49</v>
      </c>
      <c r="J4738" s="33"/>
      <c r="K4738" s="31">
        <v>220</v>
      </c>
      <c r="Z4738" s="31" t="s">
        <v>3814</v>
      </c>
      <c r="AE4738" s="31" t="s">
        <v>5248</v>
      </c>
      <c r="AF4738" s="31">
        <v>120</v>
      </c>
      <c r="AK4738" s="32">
        <v>2</v>
      </c>
      <c r="AQ4738" s="32" t="s">
        <v>5857</v>
      </c>
      <c r="AU4738">
        <v>4737</v>
      </c>
    </row>
    <row r="4739" spans="1:47" x14ac:dyDescent="0.2">
      <c r="A4739" s="13">
        <v>6760</v>
      </c>
      <c r="B4739" s="57" t="s">
        <v>45</v>
      </c>
      <c r="C4739" s="57" t="s">
        <v>4179</v>
      </c>
      <c r="D4739" s="29"/>
      <c r="E4739" s="57" t="s">
        <v>447</v>
      </c>
      <c r="F4739" s="31" t="s">
        <v>76</v>
      </c>
      <c r="G4739" s="31" t="s">
        <v>49</v>
      </c>
      <c r="J4739" s="33"/>
      <c r="K4739" s="31">
        <v>1232</v>
      </c>
      <c r="Z4739" s="31" t="s">
        <v>3814</v>
      </c>
      <c r="AE4739" s="31" t="s">
        <v>5248</v>
      </c>
      <c r="AF4739" s="31">
        <v>95</v>
      </c>
      <c r="AK4739" s="32">
        <v>12</v>
      </c>
      <c r="AQ4739" s="32" t="s">
        <v>5857</v>
      </c>
      <c r="AU4739">
        <v>4738</v>
      </c>
    </row>
    <row r="4740" spans="1:47" x14ac:dyDescent="0.2">
      <c r="A4740" s="13">
        <v>6760</v>
      </c>
      <c r="B4740" s="57" t="s">
        <v>45</v>
      </c>
      <c r="C4740" s="57" t="s">
        <v>4179</v>
      </c>
      <c r="D4740" s="29"/>
      <c r="E4740" s="57" t="s">
        <v>5916</v>
      </c>
      <c r="F4740" s="31" t="s">
        <v>4215</v>
      </c>
      <c r="G4740" s="31" t="s">
        <v>205</v>
      </c>
      <c r="I4740" s="31" t="s">
        <v>5859</v>
      </c>
      <c r="K4740" s="63"/>
      <c r="Z4740" s="31" t="s">
        <v>3814</v>
      </c>
      <c r="AE4740" s="31" t="s">
        <v>5248</v>
      </c>
      <c r="AQ4740" s="32" t="s">
        <v>5857</v>
      </c>
      <c r="AU4740">
        <v>4739</v>
      </c>
    </row>
    <row r="4741" spans="1:47" x14ac:dyDescent="0.2">
      <c r="A4741" s="13">
        <v>6760</v>
      </c>
      <c r="B4741" s="57" t="s">
        <v>45</v>
      </c>
      <c r="C4741" s="57" t="s">
        <v>4179</v>
      </c>
      <c r="D4741" s="29"/>
      <c r="E4741" s="57" t="s">
        <v>4752</v>
      </c>
      <c r="F4741" s="31" t="s">
        <v>76</v>
      </c>
      <c r="G4741" s="31" t="s">
        <v>49</v>
      </c>
      <c r="I4741" s="31" t="s">
        <v>5884</v>
      </c>
      <c r="J4741" s="33"/>
      <c r="K4741" s="193"/>
      <c r="Z4741" s="31" t="s">
        <v>3814</v>
      </c>
      <c r="AE4741" s="31" t="s">
        <v>5248</v>
      </c>
      <c r="AF4741" s="31">
        <v>65</v>
      </c>
      <c r="AQ4741" s="32" t="s">
        <v>5857</v>
      </c>
      <c r="AU4741">
        <v>4740</v>
      </c>
    </row>
    <row r="4742" spans="1:47" x14ac:dyDescent="0.2">
      <c r="A4742" s="13">
        <v>6760</v>
      </c>
      <c r="B4742" s="57" t="s">
        <v>45</v>
      </c>
      <c r="C4742" s="57" t="s">
        <v>4179</v>
      </c>
      <c r="D4742" s="29"/>
      <c r="E4742" s="57" t="s">
        <v>977</v>
      </c>
      <c r="F4742" s="31" t="s">
        <v>76</v>
      </c>
      <c r="G4742" s="31" t="s">
        <v>49</v>
      </c>
      <c r="I4742" s="31" t="s">
        <v>5902</v>
      </c>
      <c r="J4742" s="33"/>
      <c r="K4742" s="193"/>
      <c r="Z4742" s="31" t="s">
        <v>3814</v>
      </c>
      <c r="AE4742" s="31" t="s">
        <v>5248</v>
      </c>
      <c r="AF4742" s="31">
        <v>70</v>
      </c>
      <c r="AQ4742" s="32" t="s">
        <v>5857</v>
      </c>
      <c r="AU4742">
        <v>4741</v>
      </c>
    </row>
    <row r="4743" spans="1:47" x14ac:dyDescent="0.2">
      <c r="A4743" s="13">
        <v>6760</v>
      </c>
      <c r="B4743" s="57" t="s">
        <v>45</v>
      </c>
      <c r="C4743" s="57" t="s">
        <v>5860</v>
      </c>
      <c r="D4743" s="29"/>
      <c r="E4743" s="57" t="s">
        <v>1593</v>
      </c>
      <c r="F4743" s="31" t="s">
        <v>76</v>
      </c>
      <c r="G4743" s="31" t="s">
        <v>49</v>
      </c>
      <c r="I4743" s="31" t="s">
        <v>5861</v>
      </c>
      <c r="K4743" s="63"/>
      <c r="AQ4743" s="32" t="s">
        <v>5857</v>
      </c>
      <c r="AU4743">
        <v>4742</v>
      </c>
    </row>
    <row r="4744" spans="1:47" x14ac:dyDescent="0.2">
      <c r="A4744" s="13">
        <v>6760</v>
      </c>
      <c r="B4744" s="57" t="s">
        <v>45</v>
      </c>
      <c r="C4744" s="57" t="s">
        <v>5860</v>
      </c>
      <c r="D4744" s="29"/>
      <c r="E4744" s="57" t="s">
        <v>5862</v>
      </c>
      <c r="F4744" s="31" t="s">
        <v>204</v>
      </c>
      <c r="G4744" s="31" t="s">
        <v>205</v>
      </c>
      <c r="I4744" s="31" t="s">
        <v>5863</v>
      </c>
      <c r="K4744" s="63"/>
      <c r="AQ4744" s="32" t="s">
        <v>5857</v>
      </c>
      <c r="AU4744">
        <v>4743</v>
      </c>
    </row>
    <row r="4745" spans="1:47" x14ac:dyDescent="0.2">
      <c r="A4745" s="26">
        <v>6760</v>
      </c>
      <c r="B4745" s="27" t="s">
        <v>45</v>
      </c>
      <c r="C4745" s="28"/>
      <c r="D4745" s="29"/>
      <c r="E4745" s="150" t="s">
        <v>2286</v>
      </c>
      <c r="H4745" s="32">
        <v>0</v>
      </c>
      <c r="I4745" s="32" t="s">
        <v>1824</v>
      </c>
      <c r="AG4745" s="32">
        <v>0</v>
      </c>
      <c r="AH4745" s="32">
        <v>0</v>
      </c>
      <c r="AI4745" s="32">
        <v>0</v>
      </c>
      <c r="AK4745" s="32">
        <v>0</v>
      </c>
      <c r="AM4745" s="32">
        <v>5000</v>
      </c>
      <c r="AO4745" s="73" t="s">
        <v>75</v>
      </c>
      <c r="AQ4745" s="32" t="s">
        <v>589</v>
      </c>
      <c r="AU4745">
        <v>4744</v>
      </c>
    </row>
    <row r="4746" spans="1:47" x14ac:dyDescent="0.2">
      <c r="A4746" s="133">
        <v>6761</v>
      </c>
      <c r="B4746" s="39" t="s">
        <v>85</v>
      </c>
      <c r="C4746" s="39">
        <v>55</v>
      </c>
      <c r="D4746" s="29" t="b">
        <v>0</v>
      </c>
      <c r="E4746" s="39" t="s">
        <v>2964</v>
      </c>
      <c r="F4746" s="47" t="s">
        <v>5877</v>
      </c>
      <c r="G4746" s="47" t="s">
        <v>49</v>
      </c>
      <c r="H4746"/>
      <c r="I4746" s="47" t="b">
        <v>0</v>
      </c>
      <c r="J4746" s="47" t="b">
        <v>1</v>
      </c>
      <c r="K4746" s="47">
        <v>2610</v>
      </c>
      <c r="L4746" s="48">
        <v>12</v>
      </c>
      <c r="M4746" s="47">
        <v>0</v>
      </c>
      <c r="N4746" s="47">
        <v>0</v>
      </c>
      <c r="O4746" s="47">
        <v>1</v>
      </c>
      <c r="P4746" s="47">
        <v>0</v>
      </c>
      <c r="Q4746" s="47">
        <v>0</v>
      </c>
      <c r="R4746" s="47">
        <v>0</v>
      </c>
      <c r="S4746" s="48">
        <v>11</v>
      </c>
      <c r="T4746" s="47">
        <v>0</v>
      </c>
      <c r="U4746" s="47">
        <v>0</v>
      </c>
      <c r="V4746" s="47">
        <v>0</v>
      </c>
      <c r="W4746" s="47">
        <v>15000</v>
      </c>
      <c r="X4746" s="47">
        <v>665</v>
      </c>
      <c r="Y4746" s="47" t="s">
        <v>51</v>
      </c>
      <c r="Z4746" s="47" t="s">
        <v>3618</v>
      </c>
      <c r="AA4746" s="49">
        <v>0.19444444444444445</v>
      </c>
      <c r="AB4746" s="49">
        <v>0.3923611111111111</v>
      </c>
      <c r="AC4746" s="49">
        <f>AVERAGE(AA4746:AB4746)</f>
        <v>0.29340277777777779</v>
      </c>
      <c r="AD4746" s="50">
        <f>(AB4746-AA4746)*24</f>
        <v>4.75</v>
      </c>
      <c r="AE4746" s="47" t="s">
        <v>5433</v>
      </c>
      <c r="AF4746" s="47">
        <f>140/0.62</f>
        <v>225.80645161290323</v>
      </c>
      <c r="AG4746"/>
      <c r="AH4746"/>
      <c r="AI4746"/>
      <c r="AJ4746"/>
      <c r="AK4746">
        <v>42</v>
      </c>
      <c r="AL4746"/>
      <c r="AM4746"/>
      <c r="AN4746"/>
      <c r="AO4746"/>
      <c r="AP4746"/>
      <c r="AQ4746" t="s">
        <v>5434</v>
      </c>
      <c r="AU4746">
        <v>4745</v>
      </c>
    </row>
    <row r="4747" spans="1:47" x14ac:dyDescent="0.2">
      <c r="A4747" s="133">
        <v>6761</v>
      </c>
      <c r="B4747" s="39" t="s">
        <v>85</v>
      </c>
      <c r="C4747" s="39">
        <v>99</v>
      </c>
      <c r="D4747" s="29" t="b">
        <v>0</v>
      </c>
      <c r="E4747" s="39" t="s">
        <v>858</v>
      </c>
      <c r="F4747" s="47" t="s">
        <v>5917</v>
      </c>
      <c r="G4747" s="47" t="s">
        <v>481</v>
      </c>
      <c r="H4747"/>
      <c r="I4747" s="47" t="b">
        <v>0</v>
      </c>
      <c r="J4747" s="47" t="b">
        <v>1</v>
      </c>
      <c r="K4747" s="47">
        <v>1332</v>
      </c>
      <c r="L4747" s="48">
        <v>6</v>
      </c>
      <c r="M4747" s="47">
        <v>0</v>
      </c>
      <c r="N4747" s="47">
        <v>0</v>
      </c>
      <c r="O4747" s="47">
        <v>0</v>
      </c>
      <c r="P4747" s="47">
        <v>0</v>
      </c>
      <c r="Q4747" s="47">
        <v>0</v>
      </c>
      <c r="R4747" s="47">
        <v>0</v>
      </c>
      <c r="S4747" s="48">
        <v>6</v>
      </c>
      <c r="T4747" s="47">
        <v>0</v>
      </c>
      <c r="U4747" s="47">
        <v>0</v>
      </c>
      <c r="V4747" s="47">
        <v>0</v>
      </c>
      <c r="W4747" s="47">
        <v>14000</v>
      </c>
      <c r="X4747" s="47">
        <v>666</v>
      </c>
      <c r="Y4747" s="47" t="s">
        <v>120</v>
      </c>
      <c r="Z4747" s="47" t="s">
        <v>5139</v>
      </c>
      <c r="AA4747" s="49">
        <v>0.20138888888888887</v>
      </c>
      <c r="AB4747" s="49">
        <v>0.33680555555555558</v>
      </c>
      <c r="AC4747" s="49">
        <f>AVERAGE(AA4747:AB4747)</f>
        <v>0.26909722222222221</v>
      </c>
      <c r="AD4747" s="50">
        <f>(AB4747-AA4747)*24</f>
        <v>3.2500000000000009</v>
      </c>
      <c r="AE4747" s="47" t="s">
        <v>5433</v>
      </c>
      <c r="AF4747" s="47">
        <v>90</v>
      </c>
      <c r="AG4747"/>
      <c r="AH4747"/>
      <c r="AI4747"/>
      <c r="AJ4747"/>
      <c r="AK4747">
        <v>16</v>
      </c>
      <c r="AL4747"/>
      <c r="AM4747"/>
      <c r="AN4747"/>
      <c r="AO4747"/>
      <c r="AP4747"/>
      <c r="AQ4747" t="s">
        <v>2526</v>
      </c>
      <c r="AU4747">
        <v>4746</v>
      </c>
    </row>
    <row r="4748" spans="1:47" x14ac:dyDescent="0.2">
      <c r="A4748" s="133">
        <v>6761</v>
      </c>
      <c r="B4748" s="39" t="s">
        <v>85</v>
      </c>
      <c r="C4748" s="39">
        <v>104</v>
      </c>
      <c r="D4748" s="29" t="b">
        <v>0</v>
      </c>
      <c r="E4748" s="39" t="s">
        <v>5918</v>
      </c>
      <c r="F4748" s="47" t="s">
        <v>5919</v>
      </c>
      <c r="G4748" s="47" t="s">
        <v>459</v>
      </c>
      <c r="H4748"/>
      <c r="I4748" s="47" t="b">
        <v>0</v>
      </c>
      <c r="J4748" s="47" t="b">
        <v>1</v>
      </c>
      <c r="K4748" s="47">
        <v>908</v>
      </c>
      <c r="L4748" s="48">
        <v>6</v>
      </c>
      <c r="M4748" s="47">
        <v>0</v>
      </c>
      <c r="N4748" s="47">
        <v>2</v>
      </c>
      <c r="O4748" s="47">
        <v>0</v>
      </c>
      <c r="P4748" s="47">
        <v>0</v>
      </c>
      <c r="Q4748" s="47">
        <v>0</v>
      </c>
      <c r="R4748" s="47">
        <v>0</v>
      </c>
      <c r="S4748" s="48">
        <v>4</v>
      </c>
      <c r="T4748" s="47">
        <v>0</v>
      </c>
      <c r="U4748" s="47">
        <v>0</v>
      </c>
      <c r="V4748" s="47">
        <v>0</v>
      </c>
      <c r="W4748" s="47"/>
      <c r="X4748" s="47">
        <v>667</v>
      </c>
      <c r="Y4748" s="47" t="s">
        <v>51</v>
      </c>
      <c r="Z4748" s="47" t="s">
        <v>5139</v>
      </c>
      <c r="AA4748" s="49">
        <v>0.20486111111111113</v>
      </c>
      <c r="AB4748" s="49">
        <v>0.29166666666666669</v>
      </c>
      <c r="AC4748" s="49">
        <f>AVERAGE(AA4748:AB4748)</f>
        <v>0.2482638888888889</v>
      </c>
      <c r="AD4748" s="50">
        <f>(AB4748-AA4748)*24</f>
        <v>2.083333333333333</v>
      </c>
      <c r="AE4748" s="47" t="s">
        <v>5433</v>
      </c>
      <c r="AF4748" s="47">
        <v>45</v>
      </c>
      <c r="AG4748"/>
      <c r="AH4748"/>
      <c r="AI4748"/>
      <c r="AJ4748"/>
      <c r="AK4748">
        <v>6</v>
      </c>
      <c r="AL4748"/>
      <c r="AM4748"/>
      <c r="AN4748"/>
      <c r="AO4748"/>
      <c r="AP4748"/>
      <c r="AQ4748" t="s">
        <v>5485</v>
      </c>
      <c r="AR4748" s="32" t="s">
        <v>5920</v>
      </c>
      <c r="AU4748">
        <v>4747</v>
      </c>
    </row>
    <row r="4749" spans="1:47" x14ac:dyDescent="0.2">
      <c r="A4749" s="26">
        <v>6761</v>
      </c>
      <c r="B4749" s="27">
        <v>0.30902777777777779</v>
      </c>
      <c r="C4749" s="28"/>
      <c r="D4749" s="29"/>
      <c r="E4749" s="102" t="s">
        <v>1102</v>
      </c>
      <c r="H4749" s="32">
        <v>0</v>
      </c>
      <c r="I4749" s="32" t="s">
        <v>1103</v>
      </c>
      <c r="AG4749" s="32">
        <v>0</v>
      </c>
      <c r="AH4749" s="32">
        <v>0</v>
      </c>
      <c r="AI4749" s="32">
        <v>0</v>
      </c>
      <c r="AK4749" s="32">
        <v>0</v>
      </c>
      <c r="AL4749" s="32">
        <v>1.75</v>
      </c>
      <c r="AO4749" s="73" t="s">
        <v>1006</v>
      </c>
      <c r="AP4749" s="32">
        <v>1.75</v>
      </c>
      <c r="AQ4749" s="32" t="s">
        <v>589</v>
      </c>
      <c r="AU4749">
        <v>4748</v>
      </c>
    </row>
    <row r="4750" spans="1:47" x14ac:dyDescent="0.2">
      <c r="A4750" s="26">
        <v>6761</v>
      </c>
      <c r="B4750" s="27">
        <v>0.3215277777777778</v>
      </c>
      <c r="C4750" s="28"/>
      <c r="D4750" s="29"/>
      <c r="E4750" s="30" t="s">
        <v>2964</v>
      </c>
      <c r="H4750" s="32">
        <v>1</v>
      </c>
      <c r="I4750" s="32" t="s">
        <v>5921</v>
      </c>
      <c r="AG4750" s="32">
        <v>0</v>
      </c>
      <c r="AH4750" s="32">
        <v>8</v>
      </c>
      <c r="AI4750" s="32">
        <f>15000+158000+2400+1700</f>
        <v>177100</v>
      </c>
      <c r="AK4750" s="32">
        <v>6</v>
      </c>
      <c r="AL4750" s="32">
        <f>67/60</f>
        <v>1.1166666666666667</v>
      </c>
      <c r="AM4750" s="32">
        <v>188</v>
      </c>
      <c r="AP4750" s="32">
        <f>67/60</f>
        <v>1.1166666666666667</v>
      </c>
      <c r="AQ4750" s="32" t="s">
        <v>5922</v>
      </c>
      <c r="AU4750">
        <v>4749</v>
      </c>
    </row>
    <row r="4751" spans="1:47" x14ac:dyDescent="0.2">
      <c r="A4751" s="26">
        <v>6761</v>
      </c>
      <c r="B4751" s="27">
        <v>0.3298611111111111</v>
      </c>
      <c r="C4751" s="28"/>
      <c r="D4751" s="29"/>
      <c r="E4751" s="102" t="s">
        <v>5200</v>
      </c>
      <c r="H4751" s="32">
        <v>0</v>
      </c>
      <c r="I4751" s="32" t="s">
        <v>5893</v>
      </c>
      <c r="AG4751" s="32">
        <v>0</v>
      </c>
      <c r="AH4751" s="32">
        <v>0</v>
      </c>
      <c r="AI4751" s="32">
        <v>0</v>
      </c>
      <c r="AK4751" s="32">
        <v>0</v>
      </c>
      <c r="AL4751" s="32">
        <f>65/60</f>
        <v>1.0833333333333333</v>
      </c>
      <c r="AO4751" s="73"/>
      <c r="AP4751" s="32">
        <f>65/60</f>
        <v>1.0833333333333333</v>
      </c>
      <c r="AQ4751" s="32" t="s">
        <v>589</v>
      </c>
      <c r="AU4751">
        <v>4750</v>
      </c>
    </row>
    <row r="4752" spans="1:47" x14ac:dyDescent="0.2">
      <c r="A4752" s="26">
        <v>6761</v>
      </c>
      <c r="B4752" s="27">
        <v>0.3354166666666667</v>
      </c>
      <c r="C4752" s="28"/>
      <c r="D4752" s="29"/>
      <c r="E4752" s="30" t="s">
        <v>110</v>
      </c>
      <c r="H4752" s="32">
        <v>0</v>
      </c>
      <c r="I4752" s="32" t="s">
        <v>3587</v>
      </c>
      <c r="AG4752" s="32">
        <v>0</v>
      </c>
      <c r="AH4752" s="32">
        <v>0</v>
      </c>
      <c r="AI4752" s="32">
        <v>0</v>
      </c>
      <c r="AK4752" s="32">
        <v>0</v>
      </c>
      <c r="AL4752" s="32">
        <f>43/60</f>
        <v>0.71666666666666667</v>
      </c>
      <c r="AP4752" s="32">
        <f>43/60</f>
        <v>0.71666666666666667</v>
      </c>
      <c r="AQ4752" s="32" t="s">
        <v>1101</v>
      </c>
      <c r="AU4752">
        <v>4751</v>
      </c>
    </row>
    <row r="4753" spans="1:47" x14ac:dyDescent="0.2">
      <c r="A4753" s="26">
        <v>6761</v>
      </c>
      <c r="B4753" s="27">
        <v>0.33680555555555558</v>
      </c>
      <c r="C4753" s="28"/>
      <c r="D4753" s="29"/>
      <c r="E4753" s="30" t="s">
        <v>4709</v>
      </c>
      <c r="H4753" s="32">
        <v>0</v>
      </c>
      <c r="I4753" s="32" t="s">
        <v>4710</v>
      </c>
      <c r="AG4753" s="32">
        <v>0</v>
      </c>
      <c r="AH4753" s="32">
        <v>0</v>
      </c>
      <c r="AI4753" s="32">
        <v>0</v>
      </c>
      <c r="AK4753" s="32">
        <v>0</v>
      </c>
      <c r="AL4753" s="32">
        <f>55/60</f>
        <v>0.91666666666666663</v>
      </c>
      <c r="AM4753" s="32">
        <f>AL4753*(261300+974800)/18.75</f>
        <v>60431.555555555547</v>
      </c>
      <c r="AP4753" s="32">
        <f>55/60</f>
        <v>0.91666666666666663</v>
      </c>
      <c r="AQ4753" s="32" t="s">
        <v>589</v>
      </c>
      <c r="AU4753">
        <v>4752</v>
      </c>
    </row>
    <row r="4754" spans="1:47" x14ac:dyDescent="0.2">
      <c r="A4754" s="26">
        <v>6761</v>
      </c>
      <c r="B4754" s="27">
        <v>0.34027777777777773</v>
      </c>
      <c r="C4754" s="28"/>
      <c r="D4754" s="29"/>
      <c r="E4754" s="30" t="s">
        <v>4713</v>
      </c>
      <c r="H4754" s="32">
        <v>0</v>
      </c>
      <c r="I4754" s="32" t="s">
        <v>4714</v>
      </c>
      <c r="AG4754" s="32">
        <v>0</v>
      </c>
      <c r="AH4754" s="32">
        <v>0</v>
      </c>
      <c r="AI4754" s="32">
        <v>0</v>
      </c>
      <c r="AK4754" s="32">
        <v>0</v>
      </c>
      <c r="AL4754" s="32">
        <f>55/60</f>
        <v>0.91666666666666663</v>
      </c>
      <c r="AP4754" s="32">
        <f>55/60</f>
        <v>0.91666666666666663</v>
      </c>
      <c r="AQ4754" s="32" t="s">
        <v>1101</v>
      </c>
      <c r="AU4754">
        <v>4753</v>
      </c>
    </row>
    <row r="4755" spans="1:47" x14ac:dyDescent="0.2">
      <c r="A4755" s="26">
        <v>6761</v>
      </c>
      <c r="B4755" s="27">
        <v>0.34722222222222227</v>
      </c>
      <c r="C4755" s="28"/>
      <c r="D4755" s="29"/>
      <c r="E4755" s="30" t="s">
        <v>5224</v>
      </c>
      <c r="H4755" s="32">
        <v>0</v>
      </c>
      <c r="I4755" s="32" t="s">
        <v>5225</v>
      </c>
      <c r="AG4755" s="32">
        <v>0</v>
      </c>
      <c r="AH4755" s="32">
        <v>0</v>
      </c>
      <c r="AI4755" s="32">
        <v>0</v>
      </c>
      <c r="AK4755" s="32">
        <v>0</v>
      </c>
      <c r="AL4755" s="32">
        <f>38/60</f>
        <v>0.6333333333333333</v>
      </c>
      <c r="AP4755" s="32">
        <f>38/60</f>
        <v>0.6333333333333333</v>
      </c>
      <c r="AQ4755" s="32" t="s">
        <v>1101</v>
      </c>
      <c r="AU4755">
        <v>4754</v>
      </c>
    </row>
    <row r="4756" spans="1:47" x14ac:dyDescent="0.2">
      <c r="A4756" s="26">
        <v>6761</v>
      </c>
      <c r="B4756" s="27">
        <v>0.3527777777777778</v>
      </c>
      <c r="C4756" s="28"/>
      <c r="D4756" s="29"/>
      <c r="E4756" s="30" t="s">
        <v>3155</v>
      </c>
      <c r="H4756" s="32">
        <v>0</v>
      </c>
      <c r="I4756" s="32" t="s">
        <v>3156</v>
      </c>
      <c r="AG4756" s="32">
        <v>0</v>
      </c>
      <c r="AH4756" s="32">
        <v>0</v>
      </c>
      <c r="AI4756" s="32">
        <v>0</v>
      </c>
      <c r="AK4756" s="32">
        <v>0</v>
      </c>
      <c r="AP4756" s="32">
        <v>0.75</v>
      </c>
      <c r="AQ4756" s="32" t="s">
        <v>1101</v>
      </c>
      <c r="AU4756">
        <v>4755</v>
      </c>
    </row>
    <row r="4757" spans="1:47" x14ac:dyDescent="0.2">
      <c r="A4757" s="26">
        <v>6761</v>
      </c>
      <c r="B4757" s="27">
        <v>0.40625</v>
      </c>
      <c r="C4757" s="28"/>
      <c r="D4757" s="29"/>
      <c r="E4757" s="30" t="s">
        <v>4219</v>
      </c>
      <c r="H4757" s="32">
        <v>0</v>
      </c>
      <c r="I4757" s="32" t="s">
        <v>4249</v>
      </c>
      <c r="AG4757" s="32">
        <v>0</v>
      </c>
      <c r="AH4757" s="32">
        <v>0</v>
      </c>
      <c r="AI4757" s="32">
        <v>0</v>
      </c>
      <c r="AK4757" s="32">
        <v>0</v>
      </c>
      <c r="AL4757" s="32">
        <f>1/6</f>
        <v>0.16666666666666666</v>
      </c>
      <c r="AO4757" s="32" t="s">
        <v>858</v>
      </c>
      <c r="AP4757" s="32">
        <f>1/6</f>
        <v>0.16666666666666666</v>
      </c>
      <c r="AQ4757" s="32" t="s">
        <v>1101</v>
      </c>
      <c r="AU4757">
        <v>4756</v>
      </c>
    </row>
    <row r="4758" spans="1:47" x14ac:dyDescent="0.2">
      <c r="A4758" s="26">
        <v>6761</v>
      </c>
      <c r="B4758" s="27">
        <v>0.4826388888888889</v>
      </c>
      <c r="C4758" s="28"/>
      <c r="D4758" s="29"/>
      <c r="E4758" s="30" t="s">
        <v>3737</v>
      </c>
      <c r="H4758" s="32">
        <v>0</v>
      </c>
      <c r="I4758" s="32" t="s">
        <v>4926</v>
      </c>
      <c r="AG4758" s="32">
        <v>0</v>
      </c>
      <c r="AH4758" s="32">
        <v>0</v>
      </c>
      <c r="AI4758" s="32">
        <v>0</v>
      </c>
      <c r="AK4758" s="32">
        <v>0</v>
      </c>
      <c r="AL4758" s="32">
        <f>12/60</f>
        <v>0.2</v>
      </c>
      <c r="AM4758" s="33">
        <f>(3125+3691)*AL4758</f>
        <v>1363.2</v>
      </c>
      <c r="AP4758" s="32">
        <f>12/60</f>
        <v>0.2</v>
      </c>
      <c r="AQ4758" s="32" t="s">
        <v>1101</v>
      </c>
      <c r="AU4758">
        <v>4757</v>
      </c>
    </row>
    <row r="4759" spans="1:47" x14ac:dyDescent="0.2">
      <c r="A4759" s="26">
        <v>6761</v>
      </c>
      <c r="B4759" s="27">
        <v>0.84444444444444444</v>
      </c>
      <c r="C4759" s="28"/>
      <c r="D4759" s="29"/>
      <c r="E4759" s="30" t="s">
        <v>869</v>
      </c>
      <c r="H4759" s="32">
        <v>0</v>
      </c>
      <c r="I4759" s="32" t="s">
        <v>2344</v>
      </c>
      <c r="AG4759" s="32">
        <v>0</v>
      </c>
      <c r="AH4759" s="32">
        <v>0</v>
      </c>
      <c r="AI4759" s="32">
        <v>0</v>
      </c>
      <c r="AK4759" s="32">
        <v>0</v>
      </c>
      <c r="AL4759" s="32">
        <v>0.1</v>
      </c>
      <c r="AP4759" s="32">
        <v>0.1</v>
      </c>
      <c r="AQ4759" s="32" t="s">
        <v>589</v>
      </c>
      <c r="AU4759">
        <v>4758</v>
      </c>
    </row>
    <row r="4760" spans="1:47" x14ac:dyDescent="0.2">
      <c r="A4760" s="26">
        <v>6761</v>
      </c>
      <c r="B4760" s="27" t="s">
        <v>85</v>
      </c>
      <c r="C4760" s="28"/>
      <c r="D4760" s="29"/>
      <c r="E4760" s="30" t="s">
        <v>858</v>
      </c>
      <c r="H4760" s="32">
        <v>1</v>
      </c>
      <c r="I4760" s="32" t="s">
        <v>5923</v>
      </c>
      <c r="AG4760" s="32">
        <v>0</v>
      </c>
      <c r="AH4760" s="32">
        <v>0</v>
      </c>
      <c r="AI4760" s="32">
        <v>12000</v>
      </c>
      <c r="AK4760" s="32">
        <v>14</v>
      </c>
      <c r="AQ4760" s="32" t="s">
        <v>5924</v>
      </c>
      <c r="AU4760">
        <v>4759</v>
      </c>
    </row>
    <row r="4761" spans="1:47" x14ac:dyDescent="0.2">
      <c r="A4761" s="26">
        <v>6761</v>
      </c>
      <c r="B4761" s="27"/>
      <c r="C4761" s="28"/>
      <c r="D4761" s="29"/>
      <c r="E4761" s="30" t="s">
        <v>4666</v>
      </c>
      <c r="H4761" s="32">
        <v>0</v>
      </c>
      <c r="I4761" s="32" t="s">
        <v>5925</v>
      </c>
      <c r="AG4761" s="32">
        <v>0</v>
      </c>
      <c r="AH4761" s="32">
        <v>0</v>
      </c>
      <c r="AI4761" s="32">
        <v>0</v>
      </c>
      <c r="AO4761" s="32" t="s">
        <v>4668</v>
      </c>
      <c r="AQ4761" s="32">
        <v>409</v>
      </c>
      <c r="AU4761">
        <v>4760</v>
      </c>
    </row>
    <row r="4762" spans="1:47" x14ac:dyDescent="0.2">
      <c r="A4762" s="26">
        <v>6761</v>
      </c>
      <c r="B4762" s="27"/>
      <c r="C4762" s="28"/>
      <c r="D4762" s="29"/>
      <c r="E4762" s="30" t="s">
        <v>5102</v>
      </c>
      <c r="H4762" s="32">
        <v>0</v>
      </c>
      <c r="I4762" s="32" t="s">
        <v>5103</v>
      </c>
      <c r="AG4762" s="32">
        <v>0</v>
      </c>
      <c r="AH4762" s="32">
        <v>0</v>
      </c>
      <c r="AI4762" s="32">
        <v>0</v>
      </c>
      <c r="AK4762" s="32">
        <v>0</v>
      </c>
      <c r="AL4762" s="18">
        <v>1.5</v>
      </c>
      <c r="AM4762" s="18">
        <f>300000/11</f>
        <v>27272.727272727272</v>
      </c>
      <c r="AN4762" s="18"/>
      <c r="AO4762" s="18"/>
      <c r="AP4762" s="18">
        <v>1.5</v>
      </c>
      <c r="AQ4762" s="32" t="s">
        <v>589</v>
      </c>
      <c r="AU4762">
        <v>4761</v>
      </c>
    </row>
    <row r="4763" spans="1:47" x14ac:dyDescent="0.2">
      <c r="A4763" s="133">
        <v>6762</v>
      </c>
      <c r="B4763" s="39" t="s">
        <v>85</v>
      </c>
      <c r="C4763" s="39">
        <v>55</v>
      </c>
      <c r="D4763" s="29" t="b">
        <v>0</v>
      </c>
      <c r="E4763" s="39" t="s">
        <v>1168</v>
      </c>
      <c r="F4763" s="47" t="s">
        <v>2398</v>
      </c>
      <c r="G4763" s="47" t="s">
        <v>49</v>
      </c>
      <c r="H4763"/>
      <c r="I4763" s="47" t="b">
        <v>0</v>
      </c>
      <c r="J4763" s="47" t="b">
        <v>1</v>
      </c>
      <c r="K4763" s="47">
        <v>2774</v>
      </c>
      <c r="L4763" s="48">
        <v>12</v>
      </c>
      <c r="M4763" s="47">
        <v>0</v>
      </c>
      <c r="N4763" s="47">
        <v>0</v>
      </c>
      <c r="O4763" s="47">
        <v>0</v>
      </c>
      <c r="P4763" s="47">
        <v>12</v>
      </c>
      <c r="Q4763" s="47">
        <v>0</v>
      </c>
      <c r="R4763" s="47">
        <v>0</v>
      </c>
      <c r="S4763" s="48">
        <v>12</v>
      </c>
      <c r="T4763" s="47">
        <v>0</v>
      </c>
      <c r="U4763" s="47">
        <v>0</v>
      </c>
      <c r="V4763" s="47">
        <v>0</v>
      </c>
      <c r="W4763" s="47">
        <v>13000</v>
      </c>
      <c r="X4763" s="47">
        <v>668</v>
      </c>
      <c r="Y4763" s="47" t="s">
        <v>51</v>
      </c>
      <c r="Z4763" s="47" t="s">
        <v>3618</v>
      </c>
      <c r="AA4763" s="49">
        <v>0.79166666666666663</v>
      </c>
      <c r="AB4763" s="49">
        <v>0.88194444444444453</v>
      </c>
      <c r="AC4763" s="49">
        <f>AVERAGE(AA4763:AB4763)</f>
        <v>0.83680555555555558</v>
      </c>
      <c r="AD4763" s="50">
        <f>(AB4763-AA4763)*24</f>
        <v>2.1666666666666696</v>
      </c>
      <c r="AE4763" s="47" t="s">
        <v>5433</v>
      </c>
      <c r="AF4763" s="47">
        <v>55</v>
      </c>
      <c r="AG4763"/>
      <c r="AH4763"/>
      <c r="AI4763"/>
      <c r="AJ4763"/>
      <c r="AK4763">
        <v>27</v>
      </c>
      <c r="AL4763"/>
      <c r="AM4763"/>
      <c r="AN4763"/>
      <c r="AO4763"/>
      <c r="AP4763"/>
      <c r="AQ4763" t="s">
        <v>5434</v>
      </c>
      <c r="AU4763">
        <v>4762</v>
      </c>
    </row>
    <row r="4764" spans="1:47" x14ac:dyDescent="0.2">
      <c r="A4764" s="133">
        <v>6762</v>
      </c>
      <c r="B4764" s="39" t="s">
        <v>85</v>
      </c>
      <c r="C4764" s="39">
        <v>99</v>
      </c>
      <c r="D4764" s="29" t="b">
        <v>0</v>
      </c>
      <c r="E4764" s="39" t="s">
        <v>1168</v>
      </c>
      <c r="F4764" s="47" t="s">
        <v>2398</v>
      </c>
      <c r="G4764" s="47" t="s">
        <v>49</v>
      </c>
      <c r="H4764"/>
      <c r="I4764" s="47" t="b">
        <v>0</v>
      </c>
      <c r="J4764" s="47" t="b">
        <v>1</v>
      </c>
      <c r="K4764" s="47">
        <v>1362</v>
      </c>
      <c r="L4764" s="48">
        <v>6</v>
      </c>
      <c r="M4764" s="47">
        <v>0</v>
      </c>
      <c r="N4764" s="47">
        <v>0</v>
      </c>
      <c r="O4764" s="47">
        <v>0</v>
      </c>
      <c r="P4764" s="47">
        <v>6</v>
      </c>
      <c r="Q4764" s="47">
        <v>0</v>
      </c>
      <c r="R4764" s="47">
        <v>0</v>
      </c>
      <c r="S4764" s="48">
        <v>6</v>
      </c>
      <c r="T4764" s="47">
        <v>0</v>
      </c>
      <c r="U4764" s="47">
        <v>0</v>
      </c>
      <c r="V4764" s="47">
        <v>0</v>
      </c>
      <c r="W4764" s="47">
        <v>13000</v>
      </c>
      <c r="X4764" s="47">
        <v>669</v>
      </c>
      <c r="Y4764" s="47" t="s">
        <v>120</v>
      </c>
      <c r="Z4764" s="47" t="s">
        <v>5139</v>
      </c>
      <c r="AA4764" s="49">
        <v>0.76736111111111116</v>
      </c>
      <c r="AB4764" s="49">
        <v>0.87847222222222221</v>
      </c>
      <c r="AC4764" s="49">
        <f>AVERAGE(AA4764:AB4764)</f>
        <v>0.82291666666666674</v>
      </c>
      <c r="AD4764" s="50">
        <f>(AB4764-AA4764)*24</f>
        <v>2.6666666666666652</v>
      </c>
      <c r="AE4764" s="47" t="s">
        <v>5433</v>
      </c>
      <c r="AF4764" s="47">
        <v>55</v>
      </c>
      <c r="AG4764"/>
      <c r="AH4764"/>
      <c r="AI4764"/>
      <c r="AJ4764"/>
      <c r="AK4764">
        <v>9</v>
      </c>
      <c r="AL4764"/>
      <c r="AM4764"/>
      <c r="AN4764"/>
      <c r="AO4764"/>
      <c r="AP4764"/>
      <c r="AQ4764" t="s">
        <v>2526</v>
      </c>
      <c r="AU4764">
        <v>4763</v>
      </c>
    </row>
    <row r="4765" spans="1:47" x14ac:dyDescent="0.2">
      <c r="A4765" s="133">
        <v>6762</v>
      </c>
      <c r="B4765" s="39" t="s">
        <v>85</v>
      </c>
      <c r="C4765" s="39">
        <v>104</v>
      </c>
      <c r="D4765" s="29" t="b">
        <v>0</v>
      </c>
      <c r="E4765" s="39" t="s">
        <v>1168</v>
      </c>
      <c r="F4765" s="47" t="s">
        <v>5345</v>
      </c>
      <c r="G4765" s="47" t="s">
        <v>49</v>
      </c>
      <c r="H4765"/>
      <c r="I4765" s="47" t="b">
        <v>0</v>
      </c>
      <c r="J4765" s="47" t="b">
        <v>1</v>
      </c>
      <c r="K4765" s="47">
        <v>1362</v>
      </c>
      <c r="L4765" s="48">
        <v>6</v>
      </c>
      <c r="M4765" s="47">
        <v>0</v>
      </c>
      <c r="N4765" s="47">
        <v>0</v>
      </c>
      <c r="O4765" s="47">
        <v>0</v>
      </c>
      <c r="P4765" s="47">
        <v>6</v>
      </c>
      <c r="Q4765" s="47">
        <v>0</v>
      </c>
      <c r="R4765" s="47">
        <v>0</v>
      </c>
      <c r="S4765" s="48">
        <v>6</v>
      </c>
      <c r="T4765" s="47">
        <v>0</v>
      </c>
      <c r="U4765" s="47">
        <v>0</v>
      </c>
      <c r="V4765" s="47">
        <v>1</v>
      </c>
      <c r="W4765" s="47">
        <v>13000</v>
      </c>
      <c r="X4765" s="47">
        <v>670</v>
      </c>
      <c r="Y4765" s="47" t="s">
        <v>120</v>
      </c>
      <c r="Z4765" s="47" t="s">
        <v>5139</v>
      </c>
      <c r="AA4765" s="49">
        <v>0.77083333333333337</v>
      </c>
      <c r="AB4765" s="49">
        <v>0.87847222222222221</v>
      </c>
      <c r="AC4765" s="49">
        <v>0.86458333333333337</v>
      </c>
      <c r="AD4765" s="50">
        <f>(AB4765-AA4765)*24</f>
        <v>2.5833333333333321</v>
      </c>
      <c r="AE4765" s="47" t="s">
        <v>5433</v>
      </c>
      <c r="AF4765" s="47">
        <v>55</v>
      </c>
      <c r="AG4765"/>
      <c r="AH4765"/>
      <c r="AI4765"/>
      <c r="AJ4765"/>
      <c r="AK4765">
        <v>9</v>
      </c>
      <c r="AL4765"/>
      <c r="AM4765"/>
      <c r="AN4765"/>
      <c r="AO4765"/>
      <c r="AP4765"/>
      <c r="AQ4765" t="s">
        <v>5485</v>
      </c>
      <c r="AU4765">
        <v>4764</v>
      </c>
    </row>
    <row r="4766" spans="1:47" x14ac:dyDescent="0.2">
      <c r="A4766" s="133">
        <v>6762</v>
      </c>
      <c r="B4766" s="39" t="s">
        <v>45</v>
      </c>
      <c r="C4766" s="39">
        <v>100</v>
      </c>
      <c r="D4766" s="29" t="b">
        <v>0</v>
      </c>
      <c r="E4766" s="39" t="s">
        <v>5926</v>
      </c>
      <c r="F4766" s="47" t="s">
        <v>5927</v>
      </c>
      <c r="G4766" s="47" t="s">
        <v>49</v>
      </c>
      <c r="H4766"/>
      <c r="I4766" s="47" t="b">
        <v>1</v>
      </c>
      <c r="J4766" s="47" t="b">
        <v>1</v>
      </c>
      <c r="K4766" s="47">
        <v>2468</v>
      </c>
      <c r="L4766" s="48">
        <v>12</v>
      </c>
      <c r="M4766" s="47">
        <v>0</v>
      </c>
      <c r="N4766" s="47">
        <v>2</v>
      </c>
      <c r="O4766" s="47">
        <v>3</v>
      </c>
      <c r="P4766" s="47">
        <v>0</v>
      </c>
      <c r="Q4766" s="47">
        <v>0</v>
      </c>
      <c r="R4766" s="47">
        <v>0</v>
      </c>
      <c r="S4766" s="48">
        <v>9</v>
      </c>
      <c r="T4766" s="47">
        <v>0</v>
      </c>
      <c r="U4766" s="47">
        <v>0</v>
      </c>
      <c r="V4766" s="47">
        <v>0</v>
      </c>
      <c r="W4766" s="47"/>
      <c r="X4766" s="47">
        <v>671</v>
      </c>
      <c r="Y4766" s="47"/>
      <c r="Z4766" s="47" t="s">
        <v>2524</v>
      </c>
      <c r="AA4766" s="49"/>
      <c r="AB4766" s="49"/>
      <c r="AC4766" s="49"/>
      <c r="AD4766" s="50"/>
      <c r="AE4766" s="47" t="s">
        <v>1312</v>
      </c>
      <c r="AF4766" s="47">
        <v>120</v>
      </c>
      <c r="AG4766"/>
      <c r="AH4766"/>
      <c r="AI4766"/>
      <c r="AJ4766"/>
      <c r="AK4766"/>
      <c r="AL4766"/>
      <c r="AM4766"/>
      <c r="AN4766"/>
      <c r="AO4766"/>
      <c r="AP4766"/>
      <c r="AQ4766" t="s">
        <v>2526</v>
      </c>
      <c r="AU4766">
        <v>4765</v>
      </c>
    </row>
    <row r="4767" spans="1:47" x14ac:dyDescent="0.2">
      <c r="A4767" s="133">
        <v>6762</v>
      </c>
      <c r="B4767" s="39" t="s">
        <v>45</v>
      </c>
      <c r="C4767" s="39">
        <v>100</v>
      </c>
      <c r="D4767" s="29" t="b">
        <v>0</v>
      </c>
      <c r="E4767" s="39" t="s">
        <v>140</v>
      </c>
      <c r="F4767" s="47" t="s">
        <v>1743</v>
      </c>
      <c r="G4767" s="47" t="s">
        <v>49</v>
      </c>
      <c r="H4767"/>
      <c r="I4767" s="47" t="b">
        <v>0</v>
      </c>
      <c r="J4767" s="47" t="b">
        <v>0</v>
      </c>
      <c r="K4767" s="47">
        <v>1290</v>
      </c>
      <c r="L4767" s="48">
        <v>12</v>
      </c>
      <c r="M4767" s="47">
        <v>0</v>
      </c>
      <c r="N4767" s="47">
        <v>2</v>
      </c>
      <c r="O4767" s="47">
        <v>3</v>
      </c>
      <c r="P4767" s="47">
        <v>0</v>
      </c>
      <c r="Q4767" s="47">
        <v>0</v>
      </c>
      <c r="R4767" s="47">
        <v>0</v>
      </c>
      <c r="S4767" s="48">
        <v>5</v>
      </c>
      <c r="T4767" s="47">
        <v>0</v>
      </c>
      <c r="U4767" s="47">
        <v>0</v>
      </c>
      <c r="V4767" s="47">
        <v>0</v>
      </c>
      <c r="W4767" s="47"/>
      <c r="X4767" s="47">
        <v>672</v>
      </c>
      <c r="Y4767" s="47"/>
      <c r="Z4767" s="47" t="s">
        <v>2524</v>
      </c>
      <c r="AA4767" s="49"/>
      <c r="AB4767" s="49"/>
      <c r="AC4767" s="49"/>
      <c r="AD4767" s="50"/>
      <c r="AE4767" s="47" t="s">
        <v>1312</v>
      </c>
      <c r="AF4767" s="47">
        <v>120</v>
      </c>
      <c r="AG4767"/>
      <c r="AH4767"/>
      <c r="AI4767"/>
      <c r="AJ4767"/>
      <c r="AK4767"/>
      <c r="AL4767"/>
      <c r="AM4767"/>
      <c r="AN4767"/>
      <c r="AO4767"/>
      <c r="AP4767"/>
      <c r="AQ4767" t="s">
        <v>2526</v>
      </c>
      <c r="AU4767">
        <v>4766</v>
      </c>
    </row>
    <row r="4768" spans="1:47" x14ac:dyDescent="0.2">
      <c r="A4768" s="133">
        <v>6762</v>
      </c>
      <c r="B4768" s="39" t="s">
        <v>45</v>
      </c>
      <c r="C4768" s="39">
        <v>100</v>
      </c>
      <c r="D4768" s="29" t="b">
        <v>0</v>
      </c>
      <c r="E4768" s="39" t="s">
        <v>5928</v>
      </c>
      <c r="F4768" s="47" t="s">
        <v>5929</v>
      </c>
      <c r="G4768" s="47" t="s">
        <v>73</v>
      </c>
      <c r="H4768"/>
      <c r="I4768" s="47" t="b">
        <v>0</v>
      </c>
      <c r="J4768" s="47" t="b">
        <v>0</v>
      </c>
      <c r="K4768" s="47">
        <v>1178</v>
      </c>
      <c r="L4768" s="48">
        <v>12</v>
      </c>
      <c r="M4768" s="47">
        <v>0</v>
      </c>
      <c r="N4768" s="47">
        <v>2</v>
      </c>
      <c r="O4768" s="47">
        <v>3</v>
      </c>
      <c r="P4768" s="47">
        <v>0</v>
      </c>
      <c r="Q4768" s="47">
        <v>0</v>
      </c>
      <c r="R4768" s="47">
        <v>0</v>
      </c>
      <c r="S4768" s="48">
        <v>4</v>
      </c>
      <c r="T4768" s="47">
        <v>0</v>
      </c>
      <c r="U4768" s="47">
        <v>0</v>
      </c>
      <c r="V4768" s="47">
        <v>0</v>
      </c>
      <c r="W4768" s="47"/>
      <c r="X4768" s="47">
        <v>673</v>
      </c>
      <c r="Y4768" s="47"/>
      <c r="Z4768" s="47" t="s">
        <v>2524</v>
      </c>
      <c r="AA4768" s="49"/>
      <c r="AB4768" s="49"/>
      <c r="AC4768" s="49"/>
      <c r="AD4768" s="50"/>
      <c r="AE4768" s="47" t="s">
        <v>1312</v>
      </c>
      <c r="AF4768" s="47"/>
      <c r="AG4768"/>
      <c r="AH4768"/>
      <c r="AI4768"/>
      <c r="AJ4768"/>
      <c r="AK4768"/>
      <c r="AL4768"/>
      <c r="AM4768"/>
      <c r="AN4768"/>
      <c r="AO4768"/>
      <c r="AP4768"/>
      <c r="AQ4768" t="s">
        <v>2526</v>
      </c>
      <c r="AU4768">
        <v>4767</v>
      </c>
    </row>
    <row r="4769" spans="1:47" x14ac:dyDescent="0.2">
      <c r="A4769" s="133">
        <v>6762</v>
      </c>
      <c r="B4769" s="39" t="s">
        <v>45</v>
      </c>
      <c r="C4769" s="39">
        <v>216</v>
      </c>
      <c r="D4769" s="29" t="b">
        <v>0</v>
      </c>
      <c r="E4769" s="39" t="s">
        <v>1168</v>
      </c>
      <c r="F4769" s="47" t="s">
        <v>2398</v>
      </c>
      <c r="G4769" s="47" t="s">
        <v>49</v>
      </c>
      <c r="H4769"/>
      <c r="I4769" s="47" t="b">
        <v>0</v>
      </c>
      <c r="J4769" s="47" t="b">
        <v>1</v>
      </c>
      <c r="K4769" s="47">
        <v>4032</v>
      </c>
      <c r="L4769" s="48">
        <v>8</v>
      </c>
      <c r="M4769" s="47">
        <v>0</v>
      </c>
      <c r="N4769" s="47">
        <v>5</v>
      </c>
      <c r="O4769" s="47">
        <v>0</v>
      </c>
      <c r="P4769" s="47">
        <v>3</v>
      </c>
      <c r="Q4769" s="47">
        <v>0</v>
      </c>
      <c r="R4769" s="47">
        <v>0</v>
      </c>
      <c r="S4769" s="48">
        <v>3</v>
      </c>
      <c r="T4769" s="47">
        <v>0</v>
      </c>
      <c r="U4769" s="47">
        <v>0</v>
      </c>
      <c r="V4769" s="47">
        <v>0</v>
      </c>
      <c r="W4769" s="47"/>
      <c r="X4769" s="47">
        <v>674</v>
      </c>
      <c r="Y4769" s="47"/>
      <c r="Z4769" s="47" t="s">
        <v>2466</v>
      </c>
      <c r="AA4769" s="49"/>
      <c r="AB4769" s="49"/>
      <c r="AC4769" s="49"/>
      <c r="AD4769" s="50"/>
      <c r="AE4769" s="47" t="s">
        <v>1312</v>
      </c>
      <c r="AF4769" s="47">
        <v>60</v>
      </c>
      <c r="AG4769"/>
      <c r="AH4769"/>
      <c r="AI4769"/>
      <c r="AJ4769"/>
      <c r="AK4769"/>
      <c r="AL4769"/>
      <c r="AM4769"/>
      <c r="AN4769"/>
      <c r="AO4769"/>
      <c r="AP4769"/>
      <c r="AQ4769" t="s">
        <v>2526</v>
      </c>
      <c r="AU4769">
        <v>4768</v>
      </c>
    </row>
    <row r="4770" spans="1:47" x14ac:dyDescent="0.2">
      <c r="A4770" s="13">
        <v>6762</v>
      </c>
      <c r="B4770" s="42" t="s">
        <v>45</v>
      </c>
      <c r="C4770" s="43" t="s">
        <v>142</v>
      </c>
      <c r="D4770" s="29"/>
      <c r="E4770" s="36" t="s">
        <v>5930</v>
      </c>
      <c r="F4770" s="47" t="s">
        <v>5931</v>
      </c>
      <c r="G4770" s="47" t="s">
        <v>49</v>
      </c>
      <c r="H4770"/>
      <c r="I4770" s="47" t="b">
        <v>1</v>
      </c>
      <c r="J4770" s="47" t="b">
        <v>1</v>
      </c>
      <c r="K4770" s="47">
        <f>6330*2.2</f>
        <v>13926.000000000002</v>
      </c>
      <c r="L4770" s="48">
        <f>27+1</f>
        <v>28</v>
      </c>
      <c r="M4770" s="47"/>
      <c r="N4770" s="47">
        <v>3</v>
      </c>
      <c r="O4770" s="47"/>
      <c r="P4770" s="47"/>
      <c r="Q4770" s="47"/>
      <c r="R4770" s="47"/>
      <c r="S4770" s="48">
        <f>24+1</f>
        <v>25</v>
      </c>
      <c r="T4770" s="47">
        <v>0</v>
      </c>
      <c r="U4770" s="47">
        <v>0</v>
      </c>
      <c r="V4770" s="47">
        <v>1</v>
      </c>
      <c r="W4770" s="47"/>
      <c r="X4770" s="47"/>
      <c r="Y4770" s="47" t="s">
        <v>51</v>
      </c>
      <c r="Z4770" s="31" t="s">
        <v>3855</v>
      </c>
      <c r="AA4770" s="49"/>
      <c r="AB4770" s="49"/>
      <c r="AC4770" s="49"/>
      <c r="AD4770" s="50"/>
      <c r="AE4770" s="47" t="s">
        <v>4217</v>
      </c>
      <c r="AF4770" s="47"/>
      <c r="AG4770"/>
      <c r="AH4770"/>
      <c r="AI4770"/>
      <c r="AJ4770"/>
      <c r="AK4770">
        <f>150+9+17+14</f>
        <v>190</v>
      </c>
      <c r="AL4770"/>
      <c r="AM4770"/>
      <c r="AN4770"/>
      <c r="AO4770"/>
      <c r="AP4770"/>
      <c r="AQ4770" t="s">
        <v>5932</v>
      </c>
      <c r="AR4770" s="32" t="s">
        <v>5933</v>
      </c>
      <c r="AU4770">
        <v>4769</v>
      </c>
    </row>
    <row r="4771" spans="1:47" x14ac:dyDescent="0.2">
      <c r="A4771" s="13">
        <v>6762</v>
      </c>
      <c r="B4771" s="57" t="s">
        <v>45</v>
      </c>
      <c r="C4771" s="57" t="s">
        <v>142</v>
      </c>
      <c r="D4771" s="29"/>
      <c r="E4771" s="57" t="s">
        <v>5194</v>
      </c>
      <c r="F4771" s="31" t="s">
        <v>76</v>
      </c>
      <c r="G4771" s="31" t="s">
        <v>49</v>
      </c>
      <c r="I4771" s="47" t="b">
        <v>0</v>
      </c>
      <c r="J4771" s="47" t="b">
        <v>0</v>
      </c>
      <c r="K4771" s="31">
        <v>8217</v>
      </c>
      <c r="S4771" s="33">
        <v>17</v>
      </c>
      <c r="Z4771" s="31" t="s">
        <v>3855</v>
      </c>
      <c r="AE4771" s="47" t="s">
        <v>4217</v>
      </c>
      <c r="AF4771" s="31">
        <v>70</v>
      </c>
      <c r="AQ4771" s="32" t="s">
        <v>5846</v>
      </c>
      <c r="AU4771">
        <v>4770</v>
      </c>
    </row>
    <row r="4772" spans="1:47" x14ac:dyDescent="0.2">
      <c r="A4772" s="13">
        <v>6762</v>
      </c>
      <c r="B4772" s="57" t="s">
        <v>45</v>
      </c>
      <c r="C4772" s="57" t="s">
        <v>142</v>
      </c>
      <c r="D4772" s="29"/>
      <c r="E4772" s="57" t="s">
        <v>5934</v>
      </c>
      <c r="F4772" s="31" t="s">
        <v>5606</v>
      </c>
      <c r="G4772" s="31" t="s">
        <v>69</v>
      </c>
      <c r="I4772" s="47" t="b">
        <v>0</v>
      </c>
      <c r="J4772" s="47" t="b">
        <v>0</v>
      </c>
      <c r="K4772" s="31">
        <v>1463</v>
      </c>
      <c r="S4772" s="33">
        <v>3</v>
      </c>
      <c r="Z4772" s="31" t="s">
        <v>3855</v>
      </c>
      <c r="AE4772" s="47" t="s">
        <v>4217</v>
      </c>
      <c r="AQ4772" s="32" t="s">
        <v>5846</v>
      </c>
      <c r="AU4772">
        <v>4771</v>
      </c>
    </row>
    <row r="4773" spans="1:47" x14ac:dyDescent="0.2">
      <c r="A4773" s="13">
        <v>6762</v>
      </c>
      <c r="B4773" s="57" t="s">
        <v>45</v>
      </c>
      <c r="C4773" s="57" t="s">
        <v>142</v>
      </c>
      <c r="D4773" s="29"/>
      <c r="E4773" s="57" t="s">
        <v>5935</v>
      </c>
      <c r="F4773" s="31" t="s">
        <v>5606</v>
      </c>
      <c r="G4773" s="31" t="s">
        <v>69</v>
      </c>
      <c r="I4773" s="47" t="b">
        <v>0</v>
      </c>
      <c r="J4773" s="47" t="b">
        <v>0</v>
      </c>
      <c r="K4773" s="31">
        <v>1540</v>
      </c>
      <c r="S4773" s="33">
        <v>3</v>
      </c>
      <c r="Z4773" s="31" t="s">
        <v>3855</v>
      </c>
      <c r="AE4773" s="47" t="s">
        <v>4217</v>
      </c>
      <c r="AQ4773" s="32" t="s">
        <v>5846</v>
      </c>
      <c r="AU4773">
        <v>4772</v>
      </c>
    </row>
    <row r="4774" spans="1:47" x14ac:dyDescent="0.2">
      <c r="A4774" s="13">
        <v>6762</v>
      </c>
      <c r="B4774" s="57" t="s">
        <v>45</v>
      </c>
      <c r="C4774" s="57" t="s">
        <v>142</v>
      </c>
      <c r="D4774" s="29"/>
      <c r="E4774" s="57" t="s">
        <v>5936</v>
      </c>
      <c r="F4774" s="31" t="s">
        <v>5606</v>
      </c>
      <c r="G4774" s="31" t="s">
        <v>69</v>
      </c>
      <c r="I4774" s="47" t="b">
        <v>0</v>
      </c>
      <c r="J4774" s="47" t="b">
        <v>0</v>
      </c>
      <c r="K4774" s="31">
        <v>2200</v>
      </c>
      <c r="S4774" s="33">
        <v>5</v>
      </c>
      <c r="Z4774" s="31" t="s">
        <v>3855</v>
      </c>
      <c r="AE4774" s="47" t="s">
        <v>4217</v>
      </c>
      <c r="AF4774" s="31">
        <v>65</v>
      </c>
      <c r="AQ4774" s="32" t="s">
        <v>5846</v>
      </c>
      <c r="AU4774">
        <v>4773</v>
      </c>
    </row>
    <row r="4775" spans="1:47" x14ac:dyDescent="0.2">
      <c r="A4775" s="13">
        <v>6762</v>
      </c>
      <c r="B4775" s="57" t="s">
        <v>45</v>
      </c>
      <c r="C4775" s="57" t="s">
        <v>1367</v>
      </c>
      <c r="D4775" s="29"/>
      <c r="E4775" s="57" t="s">
        <v>5253</v>
      </c>
      <c r="F4775" s="31" t="s">
        <v>76</v>
      </c>
      <c r="G4775" s="31" t="s">
        <v>49</v>
      </c>
      <c r="K4775" s="31">
        <v>1144</v>
      </c>
      <c r="S4775" s="33">
        <v>2</v>
      </c>
      <c r="Z4775" s="31" t="s">
        <v>1846</v>
      </c>
      <c r="AE4775" s="31" t="s">
        <v>4756</v>
      </c>
      <c r="AF4775" s="31">
        <v>50</v>
      </c>
      <c r="AQ4775" s="32" t="s">
        <v>5846</v>
      </c>
      <c r="AU4775">
        <v>4774</v>
      </c>
    </row>
    <row r="4776" spans="1:47" x14ac:dyDescent="0.2">
      <c r="A4776" s="13">
        <v>6762</v>
      </c>
      <c r="B4776" s="57" t="s">
        <v>45</v>
      </c>
      <c r="C4776" s="57" t="s">
        <v>1367</v>
      </c>
      <c r="D4776" s="29"/>
      <c r="E4776" s="57" t="s">
        <v>5937</v>
      </c>
      <c r="F4776" s="31" t="s">
        <v>76</v>
      </c>
      <c r="G4776" s="31" t="s">
        <v>49</v>
      </c>
      <c r="K4776" s="31">
        <v>1144</v>
      </c>
      <c r="S4776" s="33">
        <v>2</v>
      </c>
      <c r="Z4776" s="31" t="s">
        <v>1846</v>
      </c>
      <c r="AE4776" s="31" t="s">
        <v>4756</v>
      </c>
      <c r="AF4776" s="31">
        <v>100</v>
      </c>
      <c r="AQ4776" s="32" t="s">
        <v>5846</v>
      </c>
      <c r="AU4776">
        <v>4775</v>
      </c>
    </row>
    <row r="4777" spans="1:47" x14ac:dyDescent="0.2">
      <c r="A4777" s="13">
        <v>6762</v>
      </c>
      <c r="B4777" s="57" t="s">
        <v>45</v>
      </c>
      <c r="C4777" s="57" t="s">
        <v>4456</v>
      </c>
      <c r="D4777" s="29"/>
      <c r="E4777" s="57" t="s">
        <v>3876</v>
      </c>
      <c r="F4777" s="31" t="s">
        <v>76</v>
      </c>
      <c r="G4777" s="31" t="s">
        <v>49</v>
      </c>
      <c r="I4777" s="31" t="s">
        <v>5938</v>
      </c>
      <c r="K4777" s="31">
        <v>968</v>
      </c>
      <c r="L4777" s="33">
        <v>1</v>
      </c>
      <c r="S4777" s="33">
        <v>1</v>
      </c>
      <c r="T4777" s="47">
        <v>0</v>
      </c>
      <c r="U4777" s="47">
        <v>0</v>
      </c>
      <c r="V4777" s="47">
        <v>0</v>
      </c>
      <c r="W4777" s="47">
        <f>1800*39.37/12</f>
        <v>5905.5</v>
      </c>
      <c r="X4777" s="47"/>
      <c r="Y4777" s="31" t="s">
        <v>51</v>
      </c>
      <c r="Z4777" s="31" t="s">
        <v>1846</v>
      </c>
      <c r="AA4777" s="49">
        <v>0.97222222222222221</v>
      </c>
      <c r="AB4777" s="49">
        <v>1.0694444444444444</v>
      </c>
      <c r="AC4777" s="49">
        <f>AVERAGE(AA4777:AB4777)</f>
        <v>1.0208333333333333</v>
      </c>
      <c r="AD4777" s="35">
        <v>2.5</v>
      </c>
      <c r="AE4777" s="31" t="s">
        <v>4756</v>
      </c>
      <c r="AF4777" s="31">
        <v>70</v>
      </c>
      <c r="AK4777" s="136">
        <v>9</v>
      </c>
      <c r="AQ4777" s="32" t="s">
        <v>5939</v>
      </c>
      <c r="AU4777">
        <v>4776</v>
      </c>
    </row>
    <row r="4778" spans="1:47" x14ac:dyDescent="0.2">
      <c r="A4778" s="13">
        <v>6762</v>
      </c>
      <c r="B4778" s="57" t="s">
        <v>45</v>
      </c>
      <c r="C4778" s="57" t="s">
        <v>4456</v>
      </c>
      <c r="D4778" s="29"/>
      <c r="E4778" s="57" t="s">
        <v>5940</v>
      </c>
      <c r="F4778" s="31" t="s">
        <v>76</v>
      </c>
      <c r="G4778" s="31" t="s">
        <v>49</v>
      </c>
      <c r="I4778" s="31" t="s">
        <v>5941</v>
      </c>
      <c r="K4778" s="31">
        <v>968</v>
      </c>
      <c r="L4778" s="33">
        <v>1</v>
      </c>
      <c r="S4778" s="33">
        <v>1</v>
      </c>
      <c r="T4778" s="47">
        <v>0</v>
      </c>
      <c r="U4778" s="47">
        <v>0</v>
      </c>
      <c r="V4778" s="47">
        <v>0</v>
      </c>
      <c r="W4778" s="47">
        <f>2200*39.37/12</f>
        <v>7217.833333333333</v>
      </c>
      <c r="X4778" s="47"/>
      <c r="Y4778" s="31" t="s">
        <v>51</v>
      </c>
      <c r="Z4778" s="31" t="s">
        <v>1846</v>
      </c>
      <c r="AA4778" s="49">
        <v>0.97222222222222221</v>
      </c>
      <c r="AB4778" s="49">
        <v>1.1076388888888888</v>
      </c>
      <c r="AC4778" s="49">
        <f>AVERAGE(AA4778:AB4778)</f>
        <v>1.0399305555555556</v>
      </c>
      <c r="AD4778" s="35">
        <v>3.25</v>
      </c>
      <c r="AE4778" s="31" t="s">
        <v>4756</v>
      </c>
      <c r="AF4778" s="31">
        <v>95</v>
      </c>
      <c r="AK4778" s="136">
        <v>9</v>
      </c>
      <c r="AQ4778" s="32" t="s">
        <v>5939</v>
      </c>
      <c r="AU4778">
        <v>4777</v>
      </c>
    </row>
    <row r="4779" spans="1:47" x14ac:dyDescent="0.2">
      <c r="A4779" s="13">
        <v>6762</v>
      </c>
      <c r="B4779" s="57" t="s">
        <v>45</v>
      </c>
      <c r="C4779" s="57" t="s">
        <v>4456</v>
      </c>
      <c r="D4779" s="45"/>
      <c r="E4779" s="144" t="s">
        <v>5942</v>
      </c>
      <c r="F4779" s="31" t="s">
        <v>5943</v>
      </c>
      <c r="G4779" s="31" t="s">
        <v>69</v>
      </c>
      <c r="I4779" s="31" t="s">
        <v>5944</v>
      </c>
      <c r="K4779" s="31">
        <f>14124*3/11</f>
        <v>3852</v>
      </c>
      <c r="L4779" s="33">
        <v>3</v>
      </c>
      <c r="S4779" s="33">
        <v>3</v>
      </c>
      <c r="T4779" s="47">
        <v>0</v>
      </c>
      <c r="U4779" s="47">
        <v>0</v>
      </c>
      <c r="V4779" s="47">
        <v>0</v>
      </c>
      <c r="W4779" s="47">
        <f>((2200+1800+1800)/3)*39.37/12</f>
        <v>6342.9444444444443</v>
      </c>
      <c r="X4779" s="47"/>
      <c r="Y4779" s="31" t="s">
        <v>51</v>
      </c>
      <c r="Z4779" s="31" t="s">
        <v>1846</v>
      </c>
      <c r="AA4779" s="49">
        <v>0.98958333333333337</v>
      </c>
      <c r="AB4779" s="49">
        <v>1.1041666666666667</v>
      </c>
      <c r="AC4779" s="49">
        <f>AVERAGE(AA4779:AB4779)</f>
        <v>1.046875</v>
      </c>
      <c r="AD4779" s="35">
        <v>1.33</v>
      </c>
      <c r="AE4779" s="31" t="s">
        <v>4756</v>
      </c>
      <c r="AF4779" s="31">
        <v>40</v>
      </c>
      <c r="AK4779" s="136">
        <f>3*9</f>
        <v>27</v>
      </c>
      <c r="AQ4779" s="32" t="s">
        <v>5939</v>
      </c>
      <c r="AU4779">
        <v>4778</v>
      </c>
    </row>
    <row r="4780" spans="1:47" x14ac:dyDescent="0.2">
      <c r="A4780" s="13">
        <v>6762</v>
      </c>
      <c r="B4780" s="57" t="s">
        <v>45</v>
      </c>
      <c r="C4780" s="57" t="s">
        <v>1367</v>
      </c>
      <c r="D4780" s="29"/>
      <c r="E4780" s="57" t="s">
        <v>5945</v>
      </c>
      <c r="F4780" s="31" t="s">
        <v>5606</v>
      </c>
      <c r="G4780" s="31" t="s">
        <v>69</v>
      </c>
      <c r="I4780" s="31" t="s">
        <v>5946</v>
      </c>
      <c r="K4780" s="31">
        <f>14124*8/11</f>
        <v>10272</v>
      </c>
      <c r="S4780" s="33">
        <f>11-3</f>
        <v>8</v>
      </c>
      <c r="Z4780" s="31" t="s">
        <v>1846</v>
      </c>
      <c r="AE4780" s="31" t="s">
        <v>4756</v>
      </c>
      <c r="AF4780" s="31">
        <v>40</v>
      </c>
      <c r="AQ4780" s="32" t="s">
        <v>5846</v>
      </c>
      <c r="AU4780">
        <v>4779</v>
      </c>
    </row>
    <row r="4781" spans="1:47" x14ac:dyDescent="0.2">
      <c r="A4781" s="13">
        <v>6762</v>
      </c>
      <c r="B4781" s="57" t="s">
        <v>45</v>
      </c>
      <c r="C4781" s="57" t="s">
        <v>5714</v>
      </c>
      <c r="D4781" s="29"/>
      <c r="E4781" s="57" t="s">
        <v>5312</v>
      </c>
      <c r="F4781" s="31" t="s">
        <v>76</v>
      </c>
      <c r="G4781" s="31" t="s">
        <v>49</v>
      </c>
      <c r="K4781" s="31">
        <v>3933.6</v>
      </c>
      <c r="S4781" s="33">
        <v>4</v>
      </c>
      <c r="Z4781" s="31" t="s">
        <v>1846</v>
      </c>
      <c r="AE4781" s="31" t="s">
        <v>4756</v>
      </c>
      <c r="AF4781" s="31">
        <v>50</v>
      </c>
      <c r="AQ4781" s="32" t="s">
        <v>5846</v>
      </c>
      <c r="AU4781">
        <v>4780</v>
      </c>
    </row>
    <row r="4782" spans="1:47" x14ac:dyDescent="0.2">
      <c r="A4782" s="13">
        <v>6762</v>
      </c>
      <c r="B4782" s="57" t="s">
        <v>45</v>
      </c>
      <c r="C4782" s="57" t="s">
        <v>4843</v>
      </c>
      <c r="D4782" s="29"/>
      <c r="E4782" s="57" t="s">
        <v>5947</v>
      </c>
      <c r="F4782" s="31" t="s">
        <v>76</v>
      </c>
      <c r="G4782" s="31" t="s">
        <v>49</v>
      </c>
      <c r="K4782" s="31">
        <v>6336</v>
      </c>
      <c r="S4782" s="33">
        <v>12</v>
      </c>
      <c r="Z4782" s="31" t="s">
        <v>3814</v>
      </c>
      <c r="AQ4782" s="32" t="s">
        <v>5846</v>
      </c>
      <c r="AU4782">
        <v>4781</v>
      </c>
    </row>
    <row r="4783" spans="1:47" x14ac:dyDescent="0.2">
      <c r="A4783" s="13">
        <v>6762</v>
      </c>
      <c r="B4783" s="57" t="s">
        <v>45</v>
      </c>
      <c r="C4783" s="57" t="s">
        <v>4843</v>
      </c>
      <c r="D4783" s="29"/>
      <c r="E4783" s="57" t="s">
        <v>3875</v>
      </c>
      <c r="F4783" s="31" t="s">
        <v>76</v>
      </c>
      <c r="G4783" s="31" t="s">
        <v>49</v>
      </c>
      <c r="K4783" s="31">
        <v>2266</v>
      </c>
      <c r="S4783" s="33">
        <v>4</v>
      </c>
      <c r="Z4783" s="31" t="s">
        <v>3814</v>
      </c>
      <c r="AQ4783" s="32" t="s">
        <v>5846</v>
      </c>
      <c r="AU4783">
        <v>4782</v>
      </c>
    </row>
    <row r="4784" spans="1:47" x14ac:dyDescent="0.2">
      <c r="A4784" s="13">
        <v>6762</v>
      </c>
      <c r="B4784" s="57" t="s">
        <v>45</v>
      </c>
      <c r="C4784" s="57" t="s">
        <v>4179</v>
      </c>
      <c r="D4784" s="29"/>
      <c r="E4784" s="57" t="s">
        <v>5855</v>
      </c>
      <c r="F4784" s="31" t="s">
        <v>83</v>
      </c>
      <c r="G4784" s="31" t="s">
        <v>69</v>
      </c>
      <c r="I4784" s="31" t="s">
        <v>5856</v>
      </c>
      <c r="K4784" s="63"/>
      <c r="Z4784" s="31" t="s">
        <v>3814</v>
      </c>
      <c r="AE4784" s="31" t="s">
        <v>5248</v>
      </c>
      <c r="AQ4784" s="32" t="s">
        <v>5857</v>
      </c>
      <c r="AU4784">
        <v>4783</v>
      </c>
    </row>
    <row r="4785" spans="1:47" x14ac:dyDescent="0.2">
      <c r="A4785" s="13">
        <v>6762</v>
      </c>
      <c r="B4785" s="57" t="s">
        <v>45</v>
      </c>
      <c r="C4785" s="57" t="s">
        <v>4179</v>
      </c>
      <c r="D4785" s="29"/>
      <c r="E4785" s="57" t="s">
        <v>5104</v>
      </c>
      <c r="F4785" s="31" t="s">
        <v>76</v>
      </c>
      <c r="G4785" s="31" t="s">
        <v>49</v>
      </c>
      <c r="I4785" s="31" t="s">
        <v>5885</v>
      </c>
      <c r="J4785" s="33"/>
      <c r="K4785" s="193"/>
      <c r="Z4785" s="31" t="s">
        <v>3814</v>
      </c>
      <c r="AE4785" s="31" t="s">
        <v>5248</v>
      </c>
      <c r="AF4785" s="31">
        <v>55</v>
      </c>
      <c r="AQ4785" s="32" t="s">
        <v>5857</v>
      </c>
      <c r="AU4785">
        <v>4784</v>
      </c>
    </row>
    <row r="4786" spans="1:47" x14ac:dyDescent="0.2">
      <c r="A4786" s="13">
        <v>6762</v>
      </c>
      <c r="B4786" s="57" t="s">
        <v>45</v>
      </c>
      <c r="C4786" s="57" t="s">
        <v>5860</v>
      </c>
      <c r="D4786" s="29"/>
      <c r="E4786" s="57" t="s">
        <v>5903</v>
      </c>
      <c r="F4786" s="31" t="s">
        <v>5904</v>
      </c>
      <c r="G4786" s="31" t="s">
        <v>69</v>
      </c>
      <c r="I4786" s="31" t="s">
        <v>5905</v>
      </c>
      <c r="J4786" s="33"/>
      <c r="K4786" s="193"/>
      <c r="AQ4786" s="32" t="s">
        <v>5857</v>
      </c>
      <c r="AU4786">
        <v>4785</v>
      </c>
    </row>
    <row r="4787" spans="1:47" x14ac:dyDescent="0.2">
      <c r="A4787" s="13">
        <v>6762</v>
      </c>
      <c r="B4787" s="57" t="s">
        <v>45</v>
      </c>
      <c r="C4787" s="57" t="s">
        <v>5860</v>
      </c>
      <c r="D4787" s="29"/>
      <c r="E4787" s="57" t="s">
        <v>3419</v>
      </c>
      <c r="F4787" s="31" t="s">
        <v>83</v>
      </c>
      <c r="G4787" s="31" t="s">
        <v>69</v>
      </c>
      <c r="I4787" s="31" t="s">
        <v>5906</v>
      </c>
      <c r="K4787" s="63"/>
      <c r="AQ4787" s="32" t="s">
        <v>5857</v>
      </c>
      <c r="AU4787">
        <v>4786</v>
      </c>
    </row>
    <row r="4788" spans="1:47" x14ac:dyDescent="0.2">
      <c r="A4788" s="26">
        <v>6762</v>
      </c>
      <c r="B4788" s="27">
        <v>0.55555555555555558</v>
      </c>
      <c r="C4788" s="28"/>
      <c r="D4788" s="29"/>
      <c r="E4788" s="30" t="s">
        <v>1282</v>
      </c>
      <c r="H4788" s="32">
        <v>0</v>
      </c>
      <c r="I4788" s="32" t="s">
        <v>5948</v>
      </c>
      <c r="AG4788" s="32">
        <v>0</v>
      </c>
      <c r="AH4788" s="32">
        <v>0</v>
      </c>
      <c r="AI4788" s="32">
        <v>0</v>
      </c>
      <c r="AK4788" s="32">
        <v>0</v>
      </c>
      <c r="AL4788" s="32">
        <f>8+10/60</f>
        <v>8.1666666666666661</v>
      </c>
      <c r="AP4788" s="32">
        <f>8+10/60</f>
        <v>8.1666666666666661</v>
      </c>
      <c r="AQ4788" s="32" t="s">
        <v>1101</v>
      </c>
      <c r="AU4788">
        <v>4787</v>
      </c>
    </row>
    <row r="4789" spans="1:47" x14ac:dyDescent="0.2">
      <c r="A4789" s="26">
        <v>6762</v>
      </c>
      <c r="B4789" s="27">
        <v>0.88541666666666663</v>
      </c>
      <c r="C4789" s="28"/>
      <c r="D4789" s="29"/>
      <c r="E4789" s="30" t="s">
        <v>464</v>
      </c>
      <c r="H4789" s="32">
        <v>0</v>
      </c>
      <c r="I4789" s="32" t="s">
        <v>5766</v>
      </c>
      <c r="AG4789" s="32">
        <v>0</v>
      </c>
      <c r="AH4789" s="32">
        <v>0</v>
      </c>
      <c r="AL4789" s="32">
        <v>0.33300000000000002</v>
      </c>
      <c r="AO4789" s="32" t="s">
        <v>4067</v>
      </c>
      <c r="AP4789" s="32">
        <v>0.33300000000000002</v>
      </c>
      <c r="AQ4789" s="32" t="s">
        <v>1522</v>
      </c>
      <c r="AU4789">
        <v>4788</v>
      </c>
    </row>
    <row r="4790" spans="1:47" x14ac:dyDescent="0.2">
      <c r="A4790" s="26">
        <v>6762</v>
      </c>
      <c r="B4790" s="27" t="s">
        <v>85</v>
      </c>
      <c r="C4790" s="28"/>
      <c r="D4790" s="29"/>
      <c r="E4790" s="30" t="s">
        <v>364</v>
      </c>
      <c r="H4790" s="32">
        <v>1</v>
      </c>
      <c r="I4790" s="32" t="s">
        <v>5949</v>
      </c>
      <c r="AO4790" s="46"/>
      <c r="AP4790" s="46"/>
      <c r="AQ4790" s="32" t="s">
        <v>5827</v>
      </c>
      <c r="AU4790">
        <v>4789</v>
      </c>
    </row>
    <row r="4791" spans="1:47" x14ac:dyDescent="0.2">
      <c r="A4791" s="26">
        <v>6762</v>
      </c>
      <c r="B4791" s="27" t="s">
        <v>45</v>
      </c>
      <c r="C4791" s="28"/>
      <c r="D4791" s="29"/>
      <c r="E4791" s="30" t="s">
        <v>364</v>
      </c>
      <c r="H4791" s="32">
        <v>1</v>
      </c>
      <c r="I4791" s="32" t="s">
        <v>5950</v>
      </c>
      <c r="AO4791" s="46"/>
      <c r="AP4791" s="46"/>
      <c r="AQ4791" s="32" t="s">
        <v>5827</v>
      </c>
      <c r="AU4791">
        <v>4790</v>
      </c>
    </row>
    <row r="4792" spans="1:47" x14ac:dyDescent="0.2">
      <c r="A4792" s="26">
        <v>6762</v>
      </c>
      <c r="B4792" s="27"/>
      <c r="C4792" s="28"/>
      <c r="D4792" s="29"/>
      <c r="E4792" s="30" t="s">
        <v>153</v>
      </c>
      <c r="H4792" s="32">
        <v>1</v>
      </c>
      <c r="I4792" s="32" t="s">
        <v>5951</v>
      </c>
      <c r="AG4792" s="32">
        <v>0</v>
      </c>
      <c r="AH4792" s="32">
        <v>0</v>
      </c>
      <c r="AJ4792" s="32">
        <v>7000</v>
      </c>
      <c r="AO4792" s="46" t="s">
        <v>155</v>
      </c>
      <c r="AP4792" s="46"/>
      <c r="AQ4792" s="32">
        <v>448</v>
      </c>
      <c r="AU4792">
        <v>4791</v>
      </c>
    </row>
    <row r="4793" spans="1:47" x14ac:dyDescent="0.2">
      <c r="A4793" s="133">
        <v>6763</v>
      </c>
      <c r="B4793" s="39" t="s">
        <v>85</v>
      </c>
      <c r="C4793" s="39">
        <v>99</v>
      </c>
      <c r="D4793" s="29" t="b">
        <v>0</v>
      </c>
      <c r="E4793" s="39" t="s">
        <v>4577</v>
      </c>
      <c r="F4793" s="47" t="s">
        <v>2398</v>
      </c>
      <c r="G4793" s="47" t="s">
        <v>49</v>
      </c>
      <c r="H4793"/>
      <c r="I4793" s="47" t="b">
        <v>0</v>
      </c>
      <c r="J4793" s="47" t="b">
        <v>1</v>
      </c>
      <c r="K4793" s="47">
        <v>1362</v>
      </c>
      <c r="L4793" s="48">
        <v>6</v>
      </c>
      <c r="M4793" s="47">
        <v>0</v>
      </c>
      <c r="N4793" s="47">
        <v>0</v>
      </c>
      <c r="O4793" s="47">
        <v>0</v>
      </c>
      <c r="P4793" s="47">
        <v>0</v>
      </c>
      <c r="Q4793" s="47">
        <v>0</v>
      </c>
      <c r="R4793" s="47">
        <v>0</v>
      </c>
      <c r="S4793" s="48">
        <v>6</v>
      </c>
      <c r="T4793" s="47">
        <v>0</v>
      </c>
      <c r="U4793" s="47">
        <v>0</v>
      </c>
      <c r="V4793" s="47">
        <v>0</v>
      </c>
      <c r="W4793" s="47">
        <v>13000</v>
      </c>
      <c r="X4793" s="47">
        <v>675</v>
      </c>
      <c r="Y4793" s="47" t="s">
        <v>120</v>
      </c>
      <c r="Z4793" s="47" t="s">
        <v>5139</v>
      </c>
      <c r="AA4793" s="49">
        <v>0.53819444444444442</v>
      </c>
      <c r="AB4793" s="49">
        <v>0.71180555555555547</v>
      </c>
      <c r="AC4793" s="49">
        <f>AVERAGE(AA4793:AB4793)</f>
        <v>0.625</v>
      </c>
      <c r="AD4793" s="50">
        <f>(AB4793-AA4793)*24</f>
        <v>4.1666666666666652</v>
      </c>
      <c r="AE4793" s="47" t="s">
        <v>5433</v>
      </c>
      <c r="AF4793" s="47">
        <v>145</v>
      </c>
      <c r="AG4793"/>
      <c r="AH4793"/>
      <c r="AI4793"/>
      <c r="AJ4793"/>
      <c r="AK4793">
        <v>9</v>
      </c>
      <c r="AL4793"/>
      <c r="AM4793"/>
      <c r="AN4793"/>
      <c r="AO4793"/>
      <c r="AP4793"/>
      <c r="AQ4793" t="s">
        <v>2526</v>
      </c>
      <c r="AU4793">
        <v>4792</v>
      </c>
    </row>
    <row r="4794" spans="1:47" x14ac:dyDescent="0.2">
      <c r="A4794" s="133">
        <v>6763</v>
      </c>
      <c r="B4794" s="39" t="s">
        <v>85</v>
      </c>
      <c r="C4794" s="39">
        <v>104</v>
      </c>
      <c r="D4794" s="29" t="b">
        <v>0</v>
      </c>
      <c r="E4794" s="39" t="s">
        <v>4577</v>
      </c>
      <c r="F4794" s="47" t="s">
        <v>4395</v>
      </c>
      <c r="G4794" s="47" t="s">
        <v>49</v>
      </c>
      <c r="H4794"/>
      <c r="I4794" s="47" t="b">
        <v>0</v>
      </c>
      <c r="J4794" s="47" t="b">
        <v>1</v>
      </c>
      <c r="K4794" s="47">
        <v>1132</v>
      </c>
      <c r="L4794" s="48">
        <v>6</v>
      </c>
      <c r="M4794" s="47">
        <v>0</v>
      </c>
      <c r="N4794" s="47">
        <v>0</v>
      </c>
      <c r="O4794" s="47">
        <v>1</v>
      </c>
      <c r="P4794" s="47">
        <v>0</v>
      </c>
      <c r="Q4794" s="47">
        <v>0</v>
      </c>
      <c r="R4794" s="47">
        <v>0</v>
      </c>
      <c r="S4794" s="48">
        <v>5</v>
      </c>
      <c r="T4794" s="47">
        <v>2</v>
      </c>
      <c r="U4794" s="47">
        <v>0</v>
      </c>
      <c r="V4794" s="47">
        <v>1</v>
      </c>
      <c r="W4794" s="47">
        <v>13500</v>
      </c>
      <c r="X4794" s="47">
        <v>676</v>
      </c>
      <c r="Y4794" s="47" t="s">
        <v>120</v>
      </c>
      <c r="Z4794" s="47" t="s">
        <v>5139</v>
      </c>
      <c r="AA4794" s="49">
        <v>0.53472222222222221</v>
      </c>
      <c r="AB4794" s="49">
        <v>0.71527777777777779</v>
      </c>
      <c r="AC4794" s="49">
        <v>0.57291666666666663</v>
      </c>
      <c r="AD4794" s="50">
        <f>(AB4794-AA4794)*24</f>
        <v>4.3333333333333339</v>
      </c>
      <c r="AE4794" s="47" t="s">
        <v>5433</v>
      </c>
      <c r="AF4794" s="47">
        <v>145</v>
      </c>
      <c r="AG4794"/>
      <c r="AH4794"/>
      <c r="AI4794"/>
      <c r="AJ4794"/>
      <c r="AK4794">
        <v>8</v>
      </c>
      <c r="AL4794"/>
      <c r="AM4794"/>
      <c r="AN4794"/>
      <c r="AO4794"/>
      <c r="AP4794"/>
      <c r="AQ4794" t="s">
        <v>5485</v>
      </c>
      <c r="AU4794">
        <v>4793</v>
      </c>
    </row>
    <row r="4795" spans="1:47" x14ac:dyDescent="0.2">
      <c r="A4795" s="133">
        <v>6763</v>
      </c>
      <c r="B4795" s="39" t="s">
        <v>85</v>
      </c>
      <c r="C4795" s="39" t="s">
        <v>5952</v>
      </c>
      <c r="D4795" s="29"/>
      <c r="E4795" s="39" t="s">
        <v>5953</v>
      </c>
      <c r="F4795" s="47" t="s">
        <v>170</v>
      </c>
      <c r="G4795" s="47" t="s">
        <v>69</v>
      </c>
      <c r="H4795"/>
      <c r="I4795" s="47"/>
      <c r="J4795" s="47"/>
      <c r="K4795" s="47">
        <f>2400*2.2</f>
        <v>5280</v>
      </c>
      <c r="L4795" s="48"/>
      <c r="M4795" s="47"/>
      <c r="N4795" s="47"/>
      <c r="O4795" s="47"/>
      <c r="P4795" s="47"/>
      <c r="Q4795" s="47"/>
      <c r="R4795" s="47"/>
      <c r="S4795" s="48"/>
      <c r="T4795" s="47">
        <v>0</v>
      </c>
      <c r="U4795" s="47"/>
      <c r="V4795" s="47"/>
      <c r="W4795" s="47"/>
      <c r="X4795" s="47"/>
      <c r="Y4795" s="47" t="s">
        <v>51</v>
      </c>
      <c r="Z4795" s="47" t="s">
        <v>3724</v>
      </c>
      <c r="AA4795" s="49"/>
      <c r="AB4795" s="49"/>
      <c r="AC4795" s="49">
        <v>0.75</v>
      </c>
      <c r="AD4795" s="50"/>
      <c r="AE4795" s="47" t="s">
        <v>5954</v>
      </c>
      <c r="AF4795" s="47">
        <v>55</v>
      </c>
      <c r="AG4795"/>
      <c r="AH4795"/>
      <c r="AI4795"/>
      <c r="AJ4795"/>
      <c r="AK4795"/>
      <c r="AL4795"/>
      <c r="AM4795"/>
      <c r="AN4795"/>
      <c r="AO4795"/>
      <c r="AP4795"/>
      <c r="AQ4795" t="s">
        <v>5955</v>
      </c>
      <c r="AU4795">
        <v>4794</v>
      </c>
    </row>
    <row r="4796" spans="1:47" x14ac:dyDescent="0.2">
      <c r="A4796" s="133">
        <v>6763</v>
      </c>
      <c r="B4796" s="42" t="s">
        <v>45</v>
      </c>
      <c r="C4796" s="43" t="s">
        <v>142</v>
      </c>
      <c r="D4796" s="29"/>
      <c r="E4796" s="36" t="s">
        <v>5956</v>
      </c>
      <c r="F4796" s="47" t="s">
        <v>5957</v>
      </c>
      <c r="G4796" s="47" t="s">
        <v>69</v>
      </c>
      <c r="H4796"/>
      <c r="I4796" s="47" t="b">
        <v>1</v>
      </c>
      <c r="J4796" s="47" t="b">
        <v>1</v>
      </c>
      <c r="K4796" s="47">
        <f>7655*2.2</f>
        <v>16841</v>
      </c>
      <c r="L4796" s="48">
        <f>31+5</f>
        <v>36</v>
      </c>
      <c r="M4796" s="47">
        <v>1</v>
      </c>
      <c r="N4796" s="47">
        <v>2</v>
      </c>
      <c r="O4796" s="47"/>
      <c r="P4796" s="47"/>
      <c r="Q4796" s="47"/>
      <c r="R4796" s="47"/>
      <c r="S4796" s="48">
        <f>28+5</f>
        <v>33</v>
      </c>
      <c r="T4796" s="47">
        <v>0</v>
      </c>
      <c r="U4796" s="47">
        <v>0</v>
      </c>
      <c r="V4796" s="47">
        <v>0</v>
      </c>
      <c r="W4796" s="47"/>
      <c r="X4796" s="47"/>
      <c r="Y4796" s="47" t="s">
        <v>51</v>
      </c>
      <c r="Z4796" s="31" t="s">
        <v>3855</v>
      </c>
      <c r="AA4796" s="49"/>
      <c r="AB4796" s="49"/>
      <c r="AC4796" s="49"/>
      <c r="AD4796" s="50"/>
      <c r="AE4796" s="47" t="s">
        <v>4217</v>
      </c>
      <c r="AF4796" s="47"/>
      <c r="AG4796"/>
      <c r="AH4796"/>
      <c r="AI4796"/>
      <c r="AJ4796"/>
      <c r="AK4796">
        <f>176+28+22+23</f>
        <v>249</v>
      </c>
      <c r="AL4796"/>
      <c r="AM4796"/>
      <c r="AN4796"/>
      <c r="AO4796"/>
      <c r="AP4796"/>
      <c r="AQ4796" t="s">
        <v>5958</v>
      </c>
      <c r="AU4796">
        <v>4795</v>
      </c>
    </row>
    <row r="4797" spans="1:47" x14ac:dyDescent="0.2">
      <c r="A4797" s="13">
        <v>6763</v>
      </c>
      <c r="B4797" s="57" t="s">
        <v>45</v>
      </c>
      <c r="C4797" s="57" t="s">
        <v>142</v>
      </c>
      <c r="D4797" s="29"/>
      <c r="E4797" s="57" t="s">
        <v>5959</v>
      </c>
      <c r="F4797" s="31" t="s">
        <v>5606</v>
      </c>
      <c r="G4797" s="31" t="s">
        <v>69</v>
      </c>
      <c r="I4797" s="47" t="b">
        <v>0</v>
      </c>
      <c r="J4797" s="47" t="b">
        <v>0</v>
      </c>
      <c r="K4797" s="31">
        <v>15664</v>
      </c>
      <c r="S4797" s="33">
        <v>27</v>
      </c>
      <c r="Z4797" s="31" t="s">
        <v>3855</v>
      </c>
      <c r="AE4797" s="47" t="s">
        <v>4217</v>
      </c>
      <c r="AF4797" s="31">
        <v>65</v>
      </c>
      <c r="AQ4797" s="32" t="s">
        <v>5846</v>
      </c>
      <c r="AU4797">
        <v>4796</v>
      </c>
    </row>
    <row r="4798" spans="1:47" x14ac:dyDescent="0.2">
      <c r="A4798" s="13">
        <v>6763</v>
      </c>
      <c r="B4798" s="57" t="s">
        <v>45</v>
      </c>
      <c r="C4798" s="57" t="s">
        <v>142</v>
      </c>
      <c r="D4798" s="29"/>
      <c r="E4798" s="57" t="s">
        <v>5960</v>
      </c>
      <c r="F4798" s="31" t="s">
        <v>5606</v>
      </c>
      <c r="G4798" s="31" t="s">
        <v>69</v>
      </c>
      <c r="I4798" s="47" t="b">
        <v>0</v>
      </c>
      <c r="J4798" s="47" t="b">
        <v>0</v>
      </c>
      <c r="K4798" s="31">
        <v>517</v>
      </c>
      <c r="S4798" s="33">
        <v>1</v>
      </c>
      <c r="Z4798" s="31" t="s">
        <v>3855</v>
      </c>
      <c r="AE4798" s="47" t="s">
        <v>4217</v>
      </c>
      <c r="AQ4798" s="32" t="s">
        <v>5846</v>
      </c>
      <c r="AU4798">
        <v>4797</v>
      </c>
    </row>
    <row r="4799" spans="1:47" x14ac:dyDescent="0.2">
      <c r="A4799" s="13">
        <v>6763</v>
      </c>
      <c r="B4799" s="57" t="s">
        <v>45</v>
      </c>
      <c r="C4799" s="57" t="s">
        <v>1367</v>
      </c>
      <c r="D4799" s="29"/>
      <c r="E4799" s="57" t="s">
        <v>5961</v>
      </c>
      <c r="F4799" s="31" t="s">
        <v>3183</v>
      </c>
      <c r="G4799" s="31" t="s">
        <v>49</v>
      </c>
      <c r="K4799" s="31">
        <v>1144</v>
      </c>
      <c r="S4799" s="33">
        <v>2</v>
      </c>
      <c r="Z4799" s="31" t="s">
        <v>1846</v>
      </c>
      <c r="AE4799" s="31" t="s">
        <v>4756</v>
      </c>
      <c r="AF4799" s="31">
        <v>110</v>
      </c>
      <c r="AQ4799" s="32" t="s">
        <v>5846</v>
      </c>
      <c r="AU4799">
        <v>4798</v>
      </c>
    </row>
    <row r="4800" spans="1:47" x14ac:dyDescent="0.2">
      <c r="A4800" s="13">
        <v>6763</v>
      </c>
      <c r="B4800" s="57" t="s">
        <v>45</v>
      </c>
      <c r="C4800" s="57" t="s">
        <v>4456</v>
      </c>
      <c r="D4800" s="29"/>
      <c r="E4800" s="57" t="s">
        <v>5962</v>
      </c>
      <c r="F4800" s="31" t="s">
        <v>3183</v>
      </c>
      <c r="G4800" s="31" t="s">
        <v>49</v>
      </c>
      <c r="I4800" s="31" t="s">
        <v>5963</v>
      </c>
      <c r="K4800" s="31">
        <v>792</v>
      </c>
      <c r="L4800" s="33">
        <v>1</v>
      </c>
      <c r="S4800" s="33">
        <v>1</v>
      </c>
      <c r="T4800" s="47">
        <v>0</v>
      </c>
      <c r="U4800" s="47">
        <v>0</v>
      </c>
      <c r="V4800" s="47">
        <v>0</v>
      </c>
      <c r="W4800" s="47">
        <f>1700*39.37/12</f>
        <v>5577.416666666667</v>
      </c>
      <c r="X4800" s="47"/>
      <c r="Y4800" s="31" t="s">
        <v>51</v>
      </c>
      <c r="Z4800" s="31" t="s">
        <v>1846</v>
      </c>
      <c r="AA4800" s="49">
        <v>0.97916666666666663</v>
      </c>
      <c r="AB4800" s="49">
        <v>1.0625</v>
      </c>
      <c r="AC4800" s="49">
        <f>AVERAGE(AA4800:AB4800)</f>
        <v>1.0208333333333333</v>
      </c>
      <c r="AD4800" s="35">
        <v>2</v>
      </c>
      <c r="AE4800" s="31" t="s">
        <v>4756</v>
      </c>
      <c r="AF4800" s="31">
        <v>70</v>
      </c>
      <c r="AQ4800" s="32" t="s">
        <v>5964</v>
      </c>
      <c r="AU4800">
        <v>4799</v>
      </c>
    </row>
    <row r="4801" spans="1:47" x14ac:dyDescent="0.2">
      <c r="A4801" s="13">
        <v>6763</v>
      </c>
      <c r="B4801" s="57" t="s">
        <v>45</v>
      </c>
      <c r="C4801" s="57" t="s">
        <v>4456</v>
      </c>
      <c r="D4801" s="29"/>
      <c r="E4801" s="57" t="s">
        <v>5942</v>
      </c>
      <c r="F4801" s="31" t="s">
        <v>5606</v>
      </c>
      <c r="G4801" s="31" t="s">
        <v>69</v>
      </c>
      <c r="I4801" s="31" t="s">
        <v>5965</v>
      </c>
      <c r="K4801" s="31">
        <v>1408</v>
      </c>
      <c r="L4801" s="33">
        <v>2</v>
      </c>
      <c r="S4801" s="33">
        <v>2</v>
      </c>
      <c r="T4801" s="47">
        <v>0</v>
      </c>
      <c r="U4801" s="47">
        <v>0</v>
      </c>
      <c r="V4801" s="47">
        <v>0</v>
      </c>
      <c r="W4801" s="47">
        <f>((1300+1400)/2)*39.37/12</f>
        <v>4429.125</v>
      </c>
      <c r="X4801" s="47"/>
      <c r="Y4801" s="31" t="s">
        <v>51</v>
      </c>
      <c r="Z4801" s="31" t="s">
        <v>1846</v>
      </c>
      <c r="AA4801" s="49">
        <v>0.97222222222222221</v>
      </c>
      <c r="AB4801" s="49">
        <v>1.0972222222222221</v>
      </c>
      <c r="AC4801" s="49">
        <f>AVERAGE(AA4801:AB4801)</f>
        <v>1.0347222222222221</v>
      </c>
      <c r="AD4801" s="35">
        <f>1+1/6</f>
        <v>1.1666666666666667</v>
      </c>
      <c r="AE4801" s="31" t="s">
        <v>4756</v>
      </c>
      <c r="AF4801" s="31">
        <v>40</v>
      </c>
      <c r="AQ4801" s="32" t="s">
        <v>5964</v>
      </c>
      <c r="AU4801">
        <v>4800</v>
      </c>
    </row>
    <row r="4802" spans="1:47" x14ac:dyDescent="0.2">
      <c r="A4802" s="13">
        <v>6763</v>
      </c>
      <c r="B4802" s="57" t="s">
        <v>45</v>
      </c>
      <c r="C4802" s="57" t="s">
        <v>4456</v>
      </c>
      <c r="D4802" s="29"/>
      <c r="E4802" s="57" t="s">
        <v>5966</v>
      </c>
      <c r="F4802" s="31" t="s">
        <v>5606</v>
      </c>
      <c r="G4802" s="31" t="s">
        <v>69</v>
      </c>
      <c r="I4802" s="31" t="s">
        <v>5967</v>
      </c>
      <c r="K4802" s="31">
        <v>1936</v>
      </c>
      <c r="L4802" s="33">
        <v>2</v>
      </c>
      <c r="S4802" s="33">
        <v>2</v>
      </c>
      <c r="T4802" s="47">
        <v>0</v>
      </c>
      <c r="U4802" s="47">
        <v>0</v>
      </c>
      <c r="V4802" s="47">
        <v>0</v>
      </c>
      <c r="W4802" s="47">
        <f>((1200+1800)/2)*39.37/12</f>
        <v>4921.2499999999991</v>
      </c>
      <c r="X4802" s="47"/>
      <c r="Y4802" s="31" t="s">
        <v>51</v>
      </c>
      <c r="Z4802" s="31" t="s">
        <v>1846</v>
      </c>
      <c r="AA4802" s="49">
        <v>0.97569444444444453</v>
      </c>
      <c r="AB4802" s="49">
        <v>1.1111111111111112</v>
      </c>
      <c r="AC4802" s="49">
        <f>AVERAGE(AA4802:AB4802)</f>
        <v>1.0434027777777779</v>
      </c>
      <c r="AD4802" s="35">
        <f>1+1/6</f>
        <v>1.1666666666666667</v>
      </c>
      <c r="AE4802" s="31" t="s">
        <v>4756</v>
      </c>
      <c r="AF4802" s="31">
        <v>40</v>
      </c>
      <c r="AQ4802" s="32" t="s">
        <v>5964</v>
      </c>
      <c r="AU4802">
        <v>4801</v>
      </c>
    </row>
    <row r="4803" spans="1:47" x14ac:dyDescent="0.2">
      <c r="A4803" s="13">
        <v>6763</v>
      </c>
      <c r="B4803" s="57" t="s">
        <v>45</v>
      </c>
      <c r="C4803" s="57" t="s">
        <v>4456</v>
      </c>
      <c r="D4803" s="29"/>
      <c r="E4803" s="57" t="s">
        <v>5968</v>
      </c>
      <c r="F4803" s="31" t="s">
        <v>5606</v>
      </c>
      <c r="G4803" s="31" t="s">
        <v>69</v>
      </c>
      <c r="I4803" s="31" t="s">
        <v>5969</v>
      </c>
      <c r="K4803" s="135">
        <f>7480/8</f>
        <v>935</v>
      </c>
      <c r="L4803" s="33">
        <v>1</v>
      </c>
      <c r="S4803" s="33">
        <v>1</v>
      </c>
      <c r="T4803" s="47">
        <v>0</v>
      </c>
      <c r="U4803" s="47">
        <v>0</v>
      </c>
      <c r="V4803" s="47">
        <v>0</v>
      </c>
      <c r="W4803" s="47">
        <f>1400*39.37/12</f>
        <v>4593.166666666667</v>
      </c>
      <c r="X4803" s="47"/>
      <c r="Y4803" s="31" t="s">
        <v>51</v>
      </c>
      <c r="Z4803" s="31" t="s">
        <v>1846</v>
      </c>
      <c r="AA4803" s="49">
        <v>0.97222222222222221</v>
      </c>
      <c r="AB4803" s="49">
        <v>1.0208333333333333</v>
      </c>
      <c r="AC4803" s="49">
        <f>AVERAGE(AA4803:AB4803)</f>
        <v>0.99652777777777768</v>
      </c>
      <c r="AD4803" s="35">
        <f>1+1/6</f>
        <v>1.1666666666666667</v>
      </c>
      <c r="AE4803" s="31" t="s">
        <v>4756</v>
      </c>
      <c r="AF4803" s="31">
        <v>50</v>
      </c>
      <c r="AQ4803" s="32" t="s">
        <v>5964</v>
      </c>
      <c r="AU4803">
        <v>4802</v>
      </c>
    </row>
    <row r="4804" spans="1:47" x14ac:dyDescent="0.2">
      <c r="A4804" s="13">
        <v>6763</v>
      </c>
      <c r="B4804" s="57" t="s">
        <v>45</v>
      </c>
      <c r="C4804" s="57" t="s">
        <v>1367</v>
      </c>
      <c r="D4804" s="29"/>
      <c r="E4804" s="57" t="s">
        <v>5968</v>
      </c>
      <c r="F4804" s="31" t="s">
        <v>5606</v>
      </c>
      <c r="G4804" s="31" t="s">
        <v>69</v>
      </c>
      <c r="I4804" s="31" t="s">
        <v>5970</v>
      </c>
      <c r="K4804" s="135">
        <f>7480*7/8</f>
        <v>6545</v>
      </c>
      <c r="S4804" s="33">
        <f>8-1</f>
        <v>7</v>
      </c>
      <c r="Z4804" s="31" t="s">
        <v>1846</v>
      </c>
      <c r="AE4804" s="31" t="s">
        <v>4756</v>
      </c>
      <c r="AF4804" s="31">
        <v>50</v>
      </c>
      <c r="AQ4804" s="32" t="s">
        <v>5846</v>
      </c>
      <c r="AU4804">
        <v>4803</v>
      </c>
    </row>
    <row r="4805" spans="1:47" x14ac:dyDescent="0.2">
      <c r="A4805" s="13">
        <v>6763</v>
      </c>
      <c r="B4805" s="57" t="s">
        <v>45</v>
      </c>
      <c r="C4805" s="57" t="s">
        <v>5714</v>
      </c>
      <c r="D4805" s="29"/>
      <c r="E4805" s="57" t="s">
        <v>5312</v>
      </c>
      <c r="F4805" s="31" t="s">
        <v>76</v>
      </c>
      <c r="G4805" s="31" t="s">
        <v>49</v>
      </c>
      <c r="K4805" s="31">
        <v>4983</v>
      </c>
      <c r="S4805" s="33">
        <v>5</v>
      </c>
      <c r="Z4805" s="31" t="s">
        <v>1846</v>
      </c>
      <c r="AE4805" s="31" t="s">
        <v>4756</v>
      </c>
      <c r="AF4805" s="31">
        <v>50</v>
      </c>
      <c r="AQ4805" s="32" t="s">
        <v>5846</v>
      </c>
      <c r="AU4805">
        <v>4804</v>
      </c>
    </row>
    <row r="4806" spans="1:47" x14ac:dyDescent="0.2">
      <c r="A4806" s="13">
        <v>6763</v>
      </c>
      <c r="B4806" s="57" t="s">
        <v>45</v>
      </c>
      <c r="C4806" s="57" t="s">
        <v>4843</v>
      </c>
      <c r="D4806" s="29"/>
      <c r="E4806" s="57" t="s">
        <v>5971</v>
      </c>
      <c r="F4806" s="31" t="s">
        <v>5606</v>
      </c>
      <c r="G4806" s="31" t="s">
        <v>69</v>
      </c>
      <c r="K4806" s="31">
        <v>5544</v>
      </c>
      <c r="S4806" s="33">
        <v>10</v>
      </c>
      <c r="Z4806" s="31" t="s">
        <v>3814</v>
      </c>
      <c r="AQ4806" s="32" t="s">
        <v>5846</v>
      </c>
      <c r="AU4806">
        <v>4805</v>
      </c>
    </row>
    <row r="4807" spans="1:47" x14ac:dyDescent="0.2">
      <c r="A4807" s="26">
        <v>6763</v>
      </c>
      <c r="B4807" s="27">
        <v>3.472222222222222E-3</v>
      </c>
      <c r="C4807" s="28"/>
      <c r="D4807" s="29"/>
      <c r="E4807" s="30" t="s">
        <v>1124</v>
      </c>
      <c r="H4807" s="32">
        <v>1</v>
      </c>
      <c r="I4807" s="32" t="s">
        <v>5636</v>
      </c>
      <c r="AG4807" s="32">
        <v>0</v>
      </c>
      <c r="AH4807" s="32">
        <v>0</v>
      </c>
      <c r="AK4807" s="32">
        <v>2</v>
      </c>
      <c r="AL4807" s="32">
        <v>0.25</v>
      </c>
      <c r="AO4807" s="46" t="s">
        <v>1126</v>
      </c>
      <c r="AP4807" s="32">
        <v>0.25</v>
      </c>
      <c r="AQ4807" s="32" t="s">
        <v>589</v>
      </c>
      <c r="AU4807">
        <v>4806</v>
      </c>
    </row>
    <row r="4808" spans="1:47" x14ac:dyDescent="0.2">
      <c r="A4808" s="26">
        <v>6763</v>
      </c>
      <c r="B4808" s="27">
        <v>0.10416666666666667</v>
      </c>
      <c r="C4808" s="28"/>
      <c r="D4808" s="29"/>
      <c r="E4808" s="30" t="s">
        <v>2964</v>
      </c>
      <c r="H4808" s="32">
        <v>0</v>
      </c>
      <c r="I4808" s="32" t="s">
        <v>5972</v>
      </c>
      <c r="AG4808" s="32">
        <v>0</v>
      </c>
      <c r="AH4808" s="32">
        <v>0</v>
      </c>
      <c r="AI4808" s="32">
        <v>0</v>
      </c>
      <c r="AK4808" s="32">
        <v>0</v>
      </c>
      <c r="AL4808" s="32">
        <f>64/60</f>
        <v>1.0666666666666667</v>
      </c>
      <c r="AP4808" s="32">
        <f>64/60</f>
        <v>1.0666666666666667</v>
      </c>
      <c r="AQ4808" s="32" t="s">
        <v>1101</v>
      </c>
      <c r="AU4808">
        <v>4807</v>
      </c>
    </row>
    <row r="4809" spans="1:47" x14ac:dyDescent="0.2">
      <c r="A4809" s="26">
        <v>6763</v>
      </c>
      <c r="B4809" s="27">
        <v>0.15972222222222224</v>
      </c>
      <c r="C4809" s="28"/>
      <c r="D4809" s="29"/>
      <c r="E4809" s="30" t="s">
        <v>1282</v>
      </c>
      <c r="H4809" s="32">
        <v>0</v>
      </c>
      <c r="I4809" s="32" t="s">
        <v>5973</v>
      </c>
      <c r="AG4809" s="32">
        <v>0</v>
      </c>
      <c r="AH4809" s="32">
        <v>0</v>
      </c>
      <c r="AI4809" s="32">
        <v>0</v>
      </c>
      <c r="AK4809" s="32">
        <v>0</v>
      </c>
      <c r="AL4809" s="32">
        <f>1/6</f>
        <v>0.16666666666666666</v>
      </c>
      <c r="AP4809" s="32">
        <f>1/6</f>
        <v>0.16666666666666666</v>
      </c>
      <c r="AQ4809" s="32" t="s">
        <v>1101</v>
      </c>
      <c r="AU4809">
        <v>4808</v>
      </c>
    </row>
    <row r="4810" spans="1:47" x14ac:dyDescent="0.2">
      <c r="A4810" s="26">
        <v>6763</v>
      </c>
      <c r="B4810" s="27">
        <v>0.66666666666666663</v>
      </c>
      <c r="C4810" s="28"/>
      <c r="D4810" s="29"/>
      <c r="E4810" s="30" t="s">
        <v>869</v>
      </c>
      <c r="H4810" s="32">
        <v>0</v>
      </c>
      <c r="I4810" s="32" t="s">
        <v>2344</v>
      </c>
      <c r="AG4810" s="32">
        <v>0</v>
      </c>
      <c r="AH4810" s="32">
        <v>0</v>
      </c>
      <c r="AI4810" s="32">
        <v>0</v>
      </c>
      <c r="AK4810" s="32">
        <v>0</v>
      </c>
      <c r="AL4810" s="32">
        <f>64/60</f>
        <v>1.0666666666666667</v>
      </c>
      <c r="AP4810" s="32">
        <f>64/60</f>
        <v>1.0666666666666667</v>
      </c>
      <c r="AQ4810" s="32" t="s">
        <v>589</v>
      </c>
      <c r="AU4810">
        <v>4809</v>
      </c>
    </row>
    <row r="4811" spans="1:47" x14ac:dyDescent="0.2">
      <c r="A4811" s="26">
        <v>6763</v>
      </c>
      <c r="B4811" s="27">
        <v>0.67569444444444438</v>
      </c>
      <c r="C4811" s="28"/>
      <c r="D4811" s="29"/>
      <c r="E4811" s="30" t="s">
        <v>3737</v>
      </c>
      <c r="H4811" s="32">
        <v>1</v>
      </c>
      <c r="I4811" s="32" t="s">
        <v>5974</v>
      </c>
      <c r="AG4811" s="32">
        <v>1</v>
      </c>
      <c r="AH4811" s="32">
        <v>3</v>
      </c>
      <c r="AI4811" s="32">
        <v>600000</v>
      </c>
      <c r="AK4811" s="32">
        <v>16</v>
      </c>
      <c r="AL4811" s="32">
        <v>1.0333333333333334</v>
      </c>
      <c r="AP4811" s="32">
        <v>1.0333333333333334</v>
      </c>
      <c r="AQ4811" s="32" t="s">
        <v>5975</v>
      </c>
      <c r="AU4811">
        <v>4810</v>
      </c>
    </row>
    <row r="4812" spans="1:47" x14ac:dyDescent="0.2">
      <c r="A4812" s="26">
        <v>6763</v>
      </c>
      <c r="B4812" s="27">
        <v>0.6875</v>
      </c>
      <c r="C4812" s="28"/>
      <c r="D4812" s="29"/>
      <c r="E4812" s="30" t="s">
        <v>631</v>
      </c>
      <c r="H4812" s="32">
        <v>0</v>
      </c>
      <c r="I4812" s="32" t="s">
        <v>837</v>
      </c>
      <c r="AG4812" s="32">
        <v>0</v>
      </c>
      <c r="AH4812" s="32">
        <v>0</v>
      </c>
      <c r="AI4812" s="32">
        <v>0</v>
      </c>
      <c r="AK4812" s="32">
        <v>0</v>
      </c>
      <c r="AL4812" s="32">
        <f>25/60</f>
        <v>0.41666666666666669</v>
      </c>
      <c r="AP4812" s="32">
        <f>25/60</f>
        <v>0.41666666666666669</v>
      </c>
      <c r="AQ4812" s="32">
        <v>464</v>
      </c>
      <c r="AU4812">
        <v>4811</v>
      </c>
    </row>
    <row r="4813" spans="1:47" x14ac:dyDescent="0.2">
      <c r="A4813" s="26">
        <v>6763</v>
      </c>
      <c r="B4813" s="27">
        <v>0.69236111111111109</v>
      </c>
      <c r="C4813" s="28"/>
      <c r="D4813" s="29"/>
      <c r="E4813" s="30" t="s">
        <v>3155</v>
      </c>
      <c r="H4813" s="32">
        <v>0</v>
      </c>
      <c r="I4813" s="32" t="s">
        <v>3156</v>
      </c>
      <c r="AG4813" s="32">
        <v>0</v>
      </c>
      <c r="AH4813" s="32">
        <v>0</v>
      </c>
      <c r="AI4813" s="32">
        <v>0</v>
      </c>
      <c r="AK4813" s="32">
        <v>0</v>
      </c>
      <c r="AP4813" s="32">
        <v>0.5</v>
      </c>
      <c r="AQ4813" s="32" t="s">
        <v>1101</v>
      </c>
      <c r="AU4813">
        <v>4812</v>
      </c>
    </row>
    <row r="4814" spans="1:47" x14ac:dyDescent="0.2">
      <c r="A4814" s="26">
        <v>6763</v>
      </c>
      <c r="B4814" s="27">
        <v>0.88541666666666663</v>
      </c>
      <c r="C4814" s="28"/>
      <c r="D4814" s="29"/>
      <c r="E4814" s="30" t="s">
        <v>1124</v>
      </c>
      <c r="H4814" s="32">
        <v>1</v>
      </c>
      <c r="I4814" s="32" t="s">
        <v>5636</v>
      </c>
      <c r="AG4814" s="32">
        <v>0</v>
      </c>
      <c r="AH4814" s="32">
        <v>0</v>
      </c>
      <c r="AK4814" s="32">
        <v>9</v>
      </c>
      <c r="AL4814" s="32">
        <f>35/60</f>
        <v>0.58333333333333337</v>
      </c>
      <c r="AO4814" s="46" t="s">
        <v>1126</v>
      </c>
      <c r="AP4814" s="32">
        <f>35/60</f>
        <v>0.58333333333333337</v>
      </c>
      <c r="AQ4814" s="32" t="s">
        <v>589</v>
      </c>
      <c r="AU4814">
        <v>4813</v>
      </c>
    </row>
    <row r="4815" spans="1:47" x14ac:dyDescent="0.2">
      <c r="A4815" s="26">
        <v>6763</v>
      </c>
      <c r="B4815" s="27" t="s">
        <v>45</v>
      </c>
      <c r="C4815" s="28"/>
      <c r="D4815" s="29"/>
      <c r="E4815" s="30" t="s">
        <v>1531</v>
      </c>
      <c r="H4815" s="32">
        <v>0</v>
      </c>
      <c r="I4815" s="32" t="s">
        <v>1532</v>
      </c>
      <c r="AG4815" s="32">
        <v>0</v>
      </c>
      <c r="AH4815" s="32">
        <v>0</v>
      </c>
      <c r="AI4815" s="32">
        <v>0</v>
      </c>
      <c r="AK4815" s="32">
        <v>0</v>
      </c>
      <c r="AM4815" s="32">
        <f>498*20</f>
        <v>9960</v>
      </c>
      <c r="AO4815" s="32" t="s">
        <v>1533</v>
      </c>
      <c r="AQ4815" s="32" t="s">
        <v>1101</v>
      </c>
      <c r="AU4815">
        <v>4814</v>
      </c>
    </row>
    <row r="4816" spans="1:47" x14ac:dyDescent="0.2">
      <c r="A4816" s="26">
        <v>6763</v>
      </c>
      <c r="B4816" s="27"/>
      <c r="C4816" s="28"/>
      <c r="D4816" s="29"/>
      <c r="E4816" s="30" t="s">
        <v>78</v>
      </c>
      <c r="H4816" s="32">
        <v>1</v>
      </c>
      <c r="I4816" s="32" t="s">
        <v>5976</v>
      </c>
      <c r="AG4816" s="32">
        <v>0</v>
      </c>
      <c r="AH4816" s="32">
        <v>13</v>
      </c>
      <c r="AJ4816" s="32">
        <v>58845</v>
      </c>
      <c r="AK4816" s="32">
        <v>10</v>
      </c>
      <c r="AO4816" s="32" t="s">
        <v>80</v>
      </c>
      <c r="AP4816" s="32">
        <f>13/60</f>
        <v>0.21666666666666667</v>
      </c>
      <c r="AQ4816" s="32" t="s">
        <v>1101</v>
      </c>
      <c r="AU4816">
        <v>4815</v>
      </c>
    </row>
    <row r="4817" spans="1:47" x14ac:dyDescent="0.2">
      <c r="A4817" s="26">
        <v>6763</v>
      </c>
      <c r="B4817" s="27"/>
      <c r="C4817" s="28"/>
      <c r="D4817" s="29"/>
      <c r="E4817" s="30" t="s">
        <v>4469</v>
      </c>
      <c r="H4817" s="32">
        <v>0</v>
      </c>
      <c r="I4817" s="32" t="s">
        <v>5977</v>
      </c>
      <c r="AG4817" s="32">
        <v>0</v>
      </c>
      <c r="AH4817" s="32">
        <v>0</v>
      </c>
      <c r="AI4817" s="32">
        <v>0</v>
      </c>
      <c r="AK4817" s="32">
        <v>0</v>
      </c>
      <c r="AL4817" s="32">
        <f>13/60</f>
        <v>0.21666666666666667</v>
      </c>
      <c r="AO4817" s="32" t="s">
        <v>5210</v>
      </c>
      <c r="AP4817" s="32">
        <f>13/60</f>
        <v>0.21666666666666667</v>
      </c>
      <c r="AQ4817" s="32" t="s">
        <v>5211</v>
      </c>
      <c r="AU4817">
        <v>4816</v>
      </c>
    </row>
    <row r="4818" spans="1:47" x14ac:dyDescent="0.2">
      <c r="A4818" s="133">
        <v>6764</v>
      </c>
      <c r="B4818" s="39" t="s">
        <v>85</v>
      </c>
      <c r="C4818" s="39">
        <v>55</v>
      </c>
      <c r="D4818" s="29" t="b">
        <v>0</v>
      </c>
      <c r="E4818" s="39" t="s">
        <v>5978</v>
      </c>
      <c r="F4818" s="47" t="s">
        <v>348</v>
      </c>
      <c r="G4818" s="47" t="s">
        <v>49</v>
      </c>
      <c r="H4818"/>
      <c r="I4818" s="47" t="b">
        <v>0</v>
      </c>
      <c r="J4818" s="47" t="b">
        <v>1</v>
      </c>
      <c r="K4818" s="47">
        <v>2784</v>
      </c>
      <c r="L4818" s="48">
        <v>12</v>
      </c>
      <c r="M4818" s="47">
        <v>0</v>
      </c>
      <c r="N4818" s="47">
        <v>0</v>
      </c>
      <c r="O4818" s="47">
        <v>0</v>
      </c>
      <c r="P4818" s="47">
        <v>12</v>
      </c>
      <c r="Q4818" s="47">
        <v>0</v>
      </c>
      <c r="R4818" s="47">
        <v>0</v>
      </c>
      <c r="S4818" s="48">
        <v>12</v>
      </c>
      <c r="T4818" s="47">
        <v>0</v>
      </c>
      <c r="U4818" s="47">
        <v>0</v>
      </c>
      <c r="V4818" s="47">
        <v>0</v>
      </c>
      <c r="W4818" s="47">
        <v>15000</v>
      </c>
      <c r="X4818" s="47">
        <v>677</v>
      </c>
      <c r="Y4818" s="47" t="s">
        <v>51</v>
      </c>
      <c r="Z4818" s="47" t="s">
        <v>3618</v>
      </c>
      <c r="AA4818" s="49">
        <v>0.21180555555555555</v>
      </c>
      <c r="AB4818" s="49">
        <v>0.38194444444444442</v>
      </c>
      <c r="AC4818" s="49">
        <f>AVERAGE(AA4818:AB4818)</f>
        <v>0.296875</v>
      </c>
      <c r="AD4818" s="50">
        <f>(AB4818-AA4818)*24</f>
        <v>4.083333333333333</v>
      </c>
      <c r="AE4818" s="47" t="s">
        <v>5433</v>
      </c>
      <c r="AF4818" s="47">
        <v>135</v>
      </c>
      <c r="AG4818"/>
      <c r="AH4818"/>
      <c r="AI4818"/>
      <c r="AJ4818"/>
      <c r="AK4818">
        <v>35</v>
      </c>
      <c r="AL4818"/>
      <c r="AM4818"/>
      <c r="AN4818"/>
      <c r="AO4818"/>
      <c r="AP4818"/>
      <c r="AQ4818" t="s">
        <v>5434</v>
      </c>
      <c r="AU4818">
        <v>4817</v>
      </c>
    </row>
    <row r="4819" spans="1:47" x14ac:dyDescent="0.2">
      <c r="A4819" s="133">
        <v>6764</v>
      </c>
      <c r="B4819" s="39" t="s">
        <v>85</v>
      </c>
      <c r="C4819" s="39">
        <v>99</v>
      </c>
      <c r="D4819" s="29" t="b">
        <v>0</v>
      </c>
      <c r="E4819" s="39" t="s">
        <v>3575</v>
      </c>
      <c r="F4819" s="47" t="s">
        <v>529</v>
      </c>
      <c r="G4819" s="47" t="s">
        <v>205</v>
      </c>
      <c r="H4819"/>
      <c r="I4819" s="47" t="b">
        <v>0</v>
      </c>
      <c r="J4819" s="47" t="b">
        <v>1</v>
      </c>
      <c r="K4819" s="47">
        <v>1272</v>
      </c>
      <c r="L4819" s="48">
        <v>-1</v>
      </c>
      <c r="M4819" s="47">
        <v>0</v>
      </c>
      <c r="N4819" s="47">
        <v>0</v>
      </c>
      <c r="O4819" s="47">
        <v>0</v>
      </c>
      <c r="P4819" s="47">
        <v>0</v>
      </c>
      <c r="Q4819" s="47">
        <v>0</v>
      </c>
      <c r="R4819" s="47">
        <v>0</v>
      </c>
      <c r="S4819" s="48">
        <v>6</v>
      </c>
      <c r="T4819" s="47">
        <v>0</v>
      </c>
      <c r="U4819" s="47">
        <v>0</v>
      </c>
      <c r="V4819" s="47">
        <v>0</v>
      </c>
      <c r="W4819" s="47">
        <v>12500</v>
      </c>
      <c r="X4819" s="47">
        <v>678</v>
      </c>
      <c r="Y4819" s="47" t="s">
        <v>51</v>
      </c>
      <c r="Z4819" s="47" t="s">
        <v>5139</v>
      </c>
      <c r="AA4819" s="49">
        <v>0.65972222222222221</v>
      </c>
      <c r="AB4819" s="49">
        <v>0.71527777777777779</v>
      </c>
      <c r="AC4819" s="49">
        <f>AVERAGE(AA4819:AB4819)</f>
        <v>0.6875</v>
      </c>
      <c r="AD4819" s="50">
        <f>(AB4819-AA4819)*24</f>
        <v>1.3333333333333339</v>
      </c>
      <c r="AE4819" s="47" t="s">
        <v>5433</v>
      </c>
      <c r="AF4819" s="47">
        <v>140</v>
      </c>
      <c r="AG4819"/>
      <c r="AH4819"/>
      <c r="AI4819"/>
      <c r="AJ4819"/>
      <c r="AK4819">
        <v>30</v>
      </c>
      <c r="AL4819"/>
      <c r="AM4819"/>
      <c r="AN4819"/>
      <c r="AO4819"/>
      <c r="AP4819"/>
      <c r="AQ4819" t="s">
        <v>2526</v>
      </c>
      <c r="AU4819">
        <v>4818</v>
      </c>
    </row>
    <row r="4820" spans="1:47" x14ac:dyDescent="0.2">
      <c r="A4820" s="133">
        <v>6764</v>
      </c>
      <c r="B4820" s="39" t="s">
        <v>85</v>
      </c>
      <c r="C4820" s="39">
        <v>104</v>
      </c>
      <c r="D4820" s="29" t="b">
        <v>0</v>
      </c>
      <c r="E4820" s="39" t="s">
        <v>3575</v>
      </c>
      <c r="F4820" s="47" t="s">
        <v>529</v>
      </c>
      <c r="G4820" s="47" t="s">
        <v>205</v>
      </c>
      <c r="H4820"/>
      <c r="I4820" s="47" t="b">
        <v>0</v>
      </c>
      <c r="J4820" s="47" t="b">
        <v>1</v>
      </c>
      <c r="K4820" s="47">
        <v>824</v>
      </c>
      <c r="L4820" s="48">
        <v>6</v>
      </c>
      <c r="M4820" s="47">
        <v>0</v>
      </c>
      <c r="N4820" s="47">
        <v>2</v>
      </c>
      <c r="O4820" s="47">
        <v>0</v>
      </c>
      <c r="P4820" s="47">
        <v>0</v>
      </c>
      <c r="Q4820" s="47">
        <v>0</v>
      </c>
      <c r="R4820" s="47">
        <v>0</v>
      </c>
      <c r="S4820" s="48">
        <v>4</v>
      </c>
      <c r="T4820" s="47">
        <v>0</v>
      </c>
      <c r="U4820" s="47">
        <v>0</v>
      </c>
      <c r="V4820" s="47">
        <v>0</v>
      </c>
      <c r="W4820" s="47">
        <v>12500</v>
      </c>
      <c r="X4820" s="47">
        <v>679</v>
      </c>
      <c r="Y4820" s="47" t="s">
        <v>51</v>
      </c>
      <c r="Z4820" s="47" t="s">
        <v>5139</v>
      </c>
      <c r="AA4820" s="49">
        <v>0.63541666666666663</v>
      </c>
      <c r="AB4820" s="49">
        <v>0.72222222222222221</v>
      </c>
      <c r="AC4820" s="49">
        <v>0.68402777777777779</v>
      </c>
      <c r="AD4820" s="50">
        <f>(AB4820-AA4820)*24</f>
        <v>2.0833333333333339</v>
      </c>
      <c r="AE4820" s="47" t="s">
        <v>5433</v>
      </c>
      <c r="AF4820" s="47">
        <v>140</v>
      </c>
      <c r="AG4820"/>
      <c r="AH4820"/>
      <c r="AI4820"/>
      <c r="AJ4820"/>
      <c r="AK4820">
        <v>26</v>
      </c>
      <c r="AL4820"/>
      <c r="AM4820"/>
      <c r="AN4820"/>
      <c r="AO4820"/>
      <c r="AP4820"/>
      <c r="AQ4820" t="s">
        <v>5485</v>
      </c>
      <c r="AU4820">
        <v>4819</v>
      </c>
    </row>
    <row r="4821" spans="1:47" x14ac:dyDescent="0.2">
      <c r="A4821" s="133">
        <v>6764</v>
      </c>
      <c r="B4821" s="39" t="s">
        <v>45</v>
      </c>
      <c r="C4821" s="39">
        <v>100</v>
      </c>
      <c r="D4821" s="29" t="b">
        <v>0</v>
      </c>
      <c r="E4821" s="39" t="s">
        <v>5979</v>
      </c>
      <c r="F4821" s="47" t="s">
        <v>5980</v>
      </c>
      <c r="G4821" s="47" t="s">
        <v>205</v>
      </c>
      <c r="H4821"/>
      <c r="I4821" s="47" t="b">
        <v>1</v>
      </c>
      <c r="J4821" s="47" t="b">
        <v>1</v>
      </c>
      <c r="K4821" s="47">
        <v>3132</v>
      </c>
      <c r="L4821" s="48">
        <v>-1</v>
      </c>
      <c r="M4821" s="47">
        <v>0</v>
      </c>
      <c r="N4821" s="47">
        <v>0</v>
      </c>
      <c r="O4821" s="47">
        <v>0</v>
      </c>
      <c r="P4821" s="47">
        <v>0</v>
      </c>
      <c r="Q4821" s="47">
        <v>0</v>
      </c>
      <c r="R4821" s="47">
        <v>0</v>
      </c>
      <c r="S4821" s="48">
        <v>11</v>
      </c>
      <c r="T4821" s="47">
        <v>0</v>
      </c>
      <c r="U4821" s="47">
        <v>0</v>
      </c>
      <c r="V4821" s="47">
        <v>0</v>
      </c>
      <c r="W4821" s="47">
        <v>1700</v>
      </c>
      <c r="X4821" s="47">
        <v>682</v>
      </c>
      <c r="Y4821" s="47"/>
      <c r="Z4821" s="47" t="s">
        <v>2524</v>
      </c>
      <c r="AA4821" s="49"/>
      <c r="AB4821" s="49"/>
      <c r="AC4821" s="49"/>
      <c r="AD4821" s="50"/>
      <c r="AE4821" s="47" t="s">
        <v>1312</v>
      </c>
      <c r="AF4821" s="47">
        <v>75</v>
      </c>
      <c r="AG4821"/>
      <c r="AH4821"/>
      <c r="AI4821"/>
      <c r="AJ4821"/>
      <c r="AK4821"/>
      <c r="AL4821"/>
      <c r="AM4821"/>
      <c r="AN4821"/>
      <c r="AO4821"/>
      <c r="AP4821"/>
      <c r="AQ4821" t="s">
        <v>2526</v>
      </c>
      <c r="AU4821">
        <v>4820</v>
      </c>
    </row>
    <row r="4822" spans="1:47" x14ac:dyDescent="0.2">
      <c r="A4822" s="133">
        <v>6764</v>
      </c>
      <c r="B4822" s="39" t="s">
        <v>45</v>
      </c>
      <c r="C4822" s="39">
        <v>100</v>
      </c>
      <c r="D4822" s="29" t="b">
        <v>0</v>
      </c>
      <c r="E4822" s="39" t="s">
        <v>5707</v>
      </c>
      <c r="F4822" s="47" t="s">
        <v>529</v>
      </c>
      <c r="G4822" s="47" t="s">
        <v>205</v>
      </c>
      <c r="H4822"/>
      <c r="I4822" s="47" t="b">
        <v>0</v>
      </c>
      <c r="J4822" s="47" t="b">
        <v>0</v>
      </c>
      <c r="K4822" s="47">
        <v>2812</v>
      </c>
      <c r="L4822" s="48">
        <v>-1</v>
      </c>
      <c r="M4822" s="47">
        <v>0</v>
      </c>
      <c r="N4822" s="47">
        <v>0</v>
      </c>
      <c r="O4822" s="47">
        <v>0</v>
      </c>
      <c r="P4822" s="47">
        <v>0</v>
      </c>
      <c r="Q4822" s="47">
        <v>0</v>
      </c>
      <c r="R4822" s="47">
        <v>0</v>
      </c>
      <c r="S4822" s="48">
        <v>10</v>
      </c>
      <c r="T4822" s="47">
        <v>0</v>
      </c>
      <c r="U4822" s="47">
        <v>0</v>
      </c>
      <c r="V4822" s="47">
        <v>0</v>
      </c>
      <c r="W4822" s="47">
        <v>1700</v>
      </c>
      <c r="X4822" s="47">
        <v>683</v>
      </c>
      <c r="Y4822" s="47"/>
      <c r="Z4822" s="47" t="s">
        <v>2524</v>
      </c>
      <c r="AA4822" s="49"/>
      <c r="AB4822" s="49"/>
      <c r="AC4822" s="49"/>
      <c r="AD4822" s="50"/>
      <c r="AE4822" s="47" t="s">
        <v>1312</v>
      </c>
      <c r="AF4822" s="47">
        <v>75</v>
      </c>
      <c r="AG4822"/>
      <c r="AH4822"/>
      <c r="AI4822"/>
      <c r="AJ4822"/>
      <c r="AK4822"/>
      <c r="AL4822"/>
      <c r="AM4822"/>
      <c r="AN4822"/>
      <c r="AO4822"/>
      <c r="AP4822"/>
      <c r="AQ4822" t="s">
        <v>2526</v>
      </c>
      <c r="AU4822">
        <v>4821</v>
      </c>
    </row>
    <row r="4823" spans="1:47" x14ac:dyDescent="0.2">
      <c r="A4823" s="133">
        <v>6764</v>
      </c>
      <c r="B4823" s="39" t="s">
        <v>45</v>
      </c>
      <c r="C4823" s="39">
        <v>100</v>
      </c>
      <c r="D4823" s="29" t="b">
        <v>0</v>
      </c>
      <c r="E4823" s="39" t="s">
        <v>5981</v>
      </c>
      <c r="F4823" s="47" t="s">
        <v>2617</v>
      </c>
      <c r="G4823" s="47" t="s">
        <v>49</v>
      </c>
      <c r="H4823"/>
      <c r="I4823" s="47" t="b">
        <v>0</v>
      </c>
      <c r="J4823" s="47" t="b">
        <v>0</v>
      </c>
      <c r="K4823" s="47">
        <v>200</v>
      </c>
      <c r="L4823" s="48">
        <v>-1</v>
      </c>
      <c r="M4823" s="47">
        <v>0</v>
      </c>
      <c r="N4823" s="47">
        <v>0</v>
      </c>
      <c r="O4823" s="47">
        <v>0</v>
      </c>
      <c r="P4823" s="47">
        <v>0</v>
      </c>
      <c r="Q4823" s="47">
        <v>0</v>
      </c>
      <c r="R4823" s="47">
        <v>0</v>
      </c>
      <c r="S4823" s="48">
        <v>1</v>
      </c>
      <c r="T4823" s="47">
        <v>0</v>
      </c>
      <c r="U4823" s="47">
        <v>0</v>
      </c>
      <c r="V4823" s="47">
        <v>0</v>
      </c>
      <c r="W4823" s="47">
        <v>1700</v>
      </c>
      <c r="X4823" s="47">
        <v>684</v>
      </c>
      <c r="Y4823" s="47"/>
      <c r="Z4823" s="47" t="s">
        <v>2524</v>
      </c>
      <c r="AA4823" s="49"/>
      <c r="AB4823" s="49"/>
      <c r="AC4823" s="49"/>
      <c r="AD4823" s="50"/>
      <c r="AE4823" s="47" t="s">
        <v>1312</v>
      </c>
      <c r="AF4823" s="47">
        <v>80</v>
      </c>
      <c r="AG4823"/>
      <c r="AH4823"/>
      <c r="AI4823"/>
      <c r="AJ4823"/>
      <c r="AK4823"/>
      <c r="AL4823"/>
      <c r="AM4823"/>
      <c r="AN4823"/>
      <c r="AO4823"/>
      <c r="AP4823"/>
      <c r="AQ4823" t="s">
        <v>2526</v>
      </c>
      <c r="AU4823">
        <v>4822</v>
      </c>
    </row>
    <row r="4824" spans="1:47" x14ac:dyDescent="0.2">
      <c r="A4824" s="133">
        <v>6764</v>
      </c>
      <c r="B4824" s="39" t="s">
        <v>45</v>
      </c>
      <c r="C4824" s="39">
        <v>100</v>
      </c>
      <c r="D4824" s="29" t="b">
        <v>0</v>
      </c>
      <c r="E4824" s="39" t="s">
        <v>5982</v>
      </c>
      <c r="F4824" s="47" t="s">
        <v>1717</v>
      </c>
      <c r="G4824" s="47" t="s">
        <v>73</v>
      </c>
      <c r="H4824"/>
      <c r="I4824" s="47" t="b">
        <v>0</v>
      </c>
      <c r="J4824" s="47" t="b">
        <v>0</v>
      </c>
      <c r="K4824" s="47">
        <v>50</v>
      </c>
      <c r="L4824" s="48">
        <v>-1</v>
      </c>
      <c r="M4824" s="47">
        <v>0</v>
      </c>
      <c r="N4824" s="47">
        <v>0</v>
      </c>
      <c r="O4824" s="47">
        <v>0</v>
      </c>
      <c r="P4824" s="47">
        <v>0</v>
      </c>
      <c r="Q4824" s="47">
        <v>0</v>
      </c>
      <c r="R4824" s="47">
        <v>0</v>
      </c>
      <c r="S4824" s="48">
        <v>1</v>
      </c>
      <c r="T4824" s="47">
        <v>0</v>
      </c>
      <c r="U4824" s="47">
        <v>0</v>
      </c>
      <c r="V4824" s="47">
        <v>0</v>
      </c>
      <c r="W4824" s="47">
        <v>1700</v>
      </c>
      <c r="X4824" s="47">
        <v>685</v>
      </c>
      <c r="Y4824" s="47"/>
      <c r="Z4824" s="47" t="s">
        <v>2524</v>
      </c>
      <c r="AA4824" s="49"/>
      <c r="AB4824" s="49"/>
      <c r="AC4824" s="49"/>
      <c r="AD4824" s="50"/>
      <c r="AE4824" s="47" t="s">
        <v>1312</v>
      </c>
      <c r="AF4824" s="47">
        <v>80</v>
      </c>
      <c r="AG4824"/>
      <c r="AH4824"/>
      <c r="AI4824"/>
      <c r="AJ4824"/>
      <c r="AK4824"/>
      <c r="AL4824"/>
      <c r="AM4824"/>
      <c r="AN4824"/>
      <c r="AO4824"/>
      <c r="AP4824"/>
      <c r="AQ4824" t="s">
        <v>2526</v>
      </c>
      <c r="AU4824">
        <v>4823</v>
      </c>
    </row>
    <row r="4825" spans="1:47" x14ac:dyDescent="0.2">
      <c r="A4825" s="133">
        <v>6764</v>
      </c>
      <c r="B4825" s="39" t="s">
        <v>45</v>
      </c>
      <c r="C4825" s="39">
        <v>216</v>
      </c>
      <c r="D4825" s="29" t="b">
        <v>0</v>
      </c>
      <c r="E4825" s="39" t="s">
        <v>5983</v>
      </c>
      <c r="F4825" s="47" t="s">
        <v>1969</v>
      </c>
      <c r="G4825" s="47" t="s">
        <v>205</v>
      </c>
      <c r="H4825"/>
      <c r="I4825" s="47" t="b">
        <v>1</v>
      </c>
      <c r="J4825" s="47" t="b">
        <v>1</v>
      </c>
      <c r="K4825" s="47">
        <v>3920</v>
      </c>
      <c r="L4825" s="48">
        <v>-1</v>
      </c>
      <c r="M4825" s="47">
        <v>0</v>
      </c>
      <c r="N4825" s="47">
        <v>0</v>
      </c>
      <c r="O4825" s="47">
        <v>0</v>
      </c>
      <c r="P4825" s="47">
        <v>0</v>
      </c>
      <c r="Q4825" s="47">
        <v>0</v>
      </c>
      <c r="R4825" s="47">
        <v>0</v>
      </c>
      <c r="S4825" s="48">
        <v>3</v>
      </c>
      <c r="T4825" s="47">
        <v>0</v>
      </c>
      <c r="U4825" s="47">
        <v>0</v>
      </c>
      <c r="V4825" s="47">
        <v>0</v>
      </c>
      <c r="W4825" s="47">
        <v>6000</v>
      </c>
      <c r="X4825" s="47">
        <v>686</v>
      </c>
      <c r="Y4825" s="47"/>
      <c r="Z4825" s="47" t="s">
        <v>2466</v>
      </c>
      <c r="AA4825" s="49"/>
      <c r="AB4825" s="49"/>
      <c r="AC4825" s="49"/>
      <c r="AD4825" s="50"/>
      <c r="AE4825" s="47" t="s">
        <v>1312</v>
      </c>
      <c r="AF4825" s="47">
        <v>85</v>
      </c>
      <c r="AG4825"/>
      <c r="AH4825"/>
      <c r="AI4825"/>
      <c r="AJ4825"/>
      <c r="AK4825"/>
      <c r="AL4825"/>
      <c r="AM4825"/>
      <c r="AN4825"/>
      <c r="AO4825"/>
      <c r="AP4825"/>
      <c r="AQ4825" t="s">
        <v>2526</v>
      </c>
      <c r="AU4825">
        <v>4824</v>
      </c>
    </row>
    <row r="4826" spans="1:47" x14ac:dyDescent="0.2">
      <c r="A4826" s="133">
        <v>6764</v>
      </c>
      <c r="B4826" s="39" t="s">
        <v>45</v>
      </c>
      <c r="C4826" s="39">
        <v>216</v>
      </c>
      <c r="D4826" s="29" t="b">
        <v>0</v>
      </c>
      <c r="E4826" s="39" t="s">
        <v>5984</v>
      </c>
      <c r="F4826" s="47" t="s">
        <v>529</v>
      </c>
      <c r="G4826" s="47" t="s">
        <v>205</v>
      </c>
      <c r="H4826"/>
      <c r="I4826" s="47" t="b">
        <v>0</v>
      </c>
      <c r="J4826" s="47" t="b">
        <v>0</v>
      </c>
      <c r="K4826" s="47">
        <v>2688</v>
      </c>
      <c r="L4826" s="48">
        <v>-1</v>
      </c>
      <c r="M4826" s="47">
        <v>0</v>
      </c>
      <c r="N4826" s="47">
        <v>0</v>
      </c>
      <c r="O4826" s="47">
        <v>0</v>
      </c>
      <c r="P4826" s="47">
        <v>0</v>
      </c>
      <c r="Q4826" s="47">
        <v>0</v>
      </c>
      <c r="R4826" s="47">
        <v>0</v>
      </c>
      <c r="S4826" s="48">
        <v>2</v>
      </c>
      <c r="T4826" s="47">
        <v>0</v>
      </c>
      <c r="U4826" s="47">
        <v>0</v>
      </c>
      <c r="V4826" s="47">
        <v>0</v>
      </c>
      <c r="W4826" s="47">
        <v>6000</v>
      </c>
      <c r="X4826" s="47">
        <v>687</v>
      </c>
      <c r="Y4826" s="47"/>
      <c r="Z4826" s="47" t="s">
        <v>2466</v>
      </c>
      <c r="AA4826" s="49"/>
      <c r="AB4826" s="49"/>
      <c r="AC4826" s="49"/>
      <c r="AD4826" s="50"/>
      <c r="AE4826" s="47" t="s">
        <v>1312</v>
      </c>
      <c r="AF4826" s="47">
        <v>85</v>
      </c>
      <c r="AG4826"/>
      <c r="AH4826"/>
      <c r="AI4826"/>
      <c r="AJ4826"/>
      <c r="AK4826"/>
      <c r="AL4826"/>
      <c r="AM4826"/>
      <c r="AN4826"/>
      <c r="AO4826"/>
      <c r="AP4826"/>
      <c r="AQ4826" t="s">
        <v>2526</v>
      </c>
      <c r="AU4826">
        <v>4825</v>
      </c>
    </row>
    <row r="4827" spans="1:47" x14ac:dyDescent="0.2">
      <c r="A4827" s="133">
        <v>6764</v>
      </c>
      <c r="B4827" s="39" t="s">
        <v>45</v>
      </c>
      <c r="C4827" s="39">
        <v>216</v>
      </c>
      <c r="D4827" s="29" t="b">
        <v>0</v>
      </c>
      <c r="E4827" s="39" t="s">
        <v>5707</v>
      </c>
      <c r="F4827" s="47" t="s">
        <v>529</v>
      </c>
      <c r="G4827" s="47" t="s">
        <v>205</v>
      </c>
      <c r="H4827"/>
      <c r="I4827" s="47" t="b">
        <v>0</v>
      </c>
      <c r="J4827" s="47" t="b">
        <v>0</v>
      </c>
      <c r="K4827" s="47">
        <v>1232</v>
      </c>
      <c r="L4827" s="48">
        <v>-1</v>
      </c>
      <c r="M4827" s="47">
        <v>0</v>
      </c>
      <c r="N4827" s="47">
        <v>0</v>
      </c>
      <c r="O4827" s="47">
        <v>0</v>
      </c>
      <c r="P4827" s="47">
        <v>0</v>
      </c>
      <c r="Q4827" s="47">
        <v>0</v>
      </c>
      <c r="R4827" s="47">
        <v>0</v>
      </c>
      <c r="S4827" s="48">
        <v>1</v>
      </c>
      <c r="T4827" s="47">
        <v>0</v>
      </c>
      <c r="U4827" s="47">
        <v>0</v>
      </c>
      <c r="V4827" s="47">
        <v>0</v>
      </c>
      <c r="W4827" s="47">
        <v>6000</v>
      </c>
      <c r="X4827" s="47">
        <v>688</v>
      </c>
      <c r="Y4827" s="47"/>
      <c r="Z4827" s="47" t="s">
        <v>2466</v>
      </c>
      <c r="AA4827" s="49"/>
      <c r="AB4827" s="49"/>
      <c r="AC4827" s="49"/>
      <c r="AD4827" s="50"/>
      <c r="AE4827" s="47" t="s">
        <v>1312</v>
      </c>
      <c r="AF4827" s="47">
        <v>75</v>
      </c>
      <c r="AG4827"/>
      <c r="AH4827"/>
      <c r="AI4827"/>
      <c r="AJ4827"/>
      <c r="AK4827"/>
      <c r="AL4827"/>
      <c r="AM4827"/>
      <c r="AN4827"/>
      <c r="AO4827"/>
      <c r="AP4827"/>
      <c r="AQ4827" t="s">
        <v>2526</v>
      </c>
      <c r="AU4827">
        <v>4826</v>
      </c>
    </row>
    <row r="4828" spans="1:47" x14ac:dyDescent="0.2">
      <c r="A4828" s="26">
        <v>6764</v>
      </c>
      <c r="B4828" s="27">
        <v>8.3333333333333329E-2</v>
      </c>
      <c r="C4828" s="28"/>
      <c r="D4828" s="29"/>
      <c r="E4828" s="30" t="s">
        <v>110</v>
      </c>
      <c r="H4828" s="32">
        <v>0</v>
      </c>
      <c r="I4828" s="32" t="s">
        <v>3587</v>
      </c>
      <c r="AG4828" s="32">
        <v>0</v>
      </c>
      <c r="AH4828" s="32">
        <v>0</v>
      </c>
      <c r="AI4828" s="32">
        <v>0</v>
      </c>
      <c r="AK4828" s="32">
        <v>0</v>
      </c>
      <c r="AL4828" s="32">
        <f>35/60</f>
        <v>0.58333333333333337</v>
      </c>
      <c r="AP4828" s="32">
        <f>35/60</f>
        <v>0.58333333333333337</v>
      </c>
      <c r="AQ4828" s="32" t="s">
        <v>1101</v>
      </c>
      <c r="AU4828">
        <v>4827</v>
      </c>
    </row>
    <row r="4829" spans="1:47" x14ac:dyDescent="0.2">
      <c r="A4829" s="26">
        <v>6764</v>
      </c>
      <c r="B4829" s="27">
        <v>8.3333333333333329E-2</v>
      </c>
      <c r="C4829" s="28"/>
      <c r="D4829" s="29"/>
      <c r="E4829" s="102" t="s">
        <v>5200</v>
      </c>
      <c r="H4829" s="32">
        <v>0</v>
      </c>
      <c r="I4829" s="32" t="s">
        <v>5985</v>
      </c>
      <c r="AG4829" s="32">
        <v>0</v>
      </c>
      <c r="AH4829" s="32">
        <v>0</v>
      </c>
      <c r="AI4829" s="32">
        <v>0</v>
      </c>
      <c r="AK4829" s="32">
        <v>0</v>
      </c>
      <c r="AL4829" s="32">
        <f>94/60</f>
        <v>1.5666666666666667</v>
      </c>
      <c r="AO4829" s="73"/>
      <c r="AP4829" s="32">
        <f>94/60</f>
        <v>1.5666666666666667</v>
      </c>
      <c r="AQ4829" s="32" t="s">
        <v>589</v>
      </c>
      <c r="AU4829">
        <v>4828</v>
      </c>
    </row>
    <row r="4830" spans="1:47" x14ac:dyDescent="0.2">
      <c r="A4830" s="26">
        <v>6764</v>
      </c>
      <c r="B4830" s="27">
        <v>9.0277777777777776E-2</v>
      </c>
      <c r="C4830" s="28"/>
      <c r="D4830" s="29"/>
      <c r="E4830" s="30" t="s">
        <v>4709</v>
      </c>
      <c r="H4830" s="32">
        <v>0</v>
      </c>
      <c r="I4830" s="32" t="s">
        <v>5986</v>
      </c>
      <c r="AG4830" s="32">
        <v>0</v>
      </c>
      <c r="AH4830" s="32">
        <v>0</v>
      </c>
      <c r="AI4830" s="32">
        <v>0</v>
      </c>
      <c r="AK4830" s="32">
        <v>0</v>
      </c>
      <c r="AL4830" s="32">
        <f>85/60</f>
        <v>1.4166666666666667</v>
      </c>
      <c r="AM4830" s="32">
        <f>AL4830*(261300+974800)/18.75</f>
        <v>93394.222222222234</v>
      </c>
      <c r="AP4830" s="32">
        <f>85/60</f>
        <v>1.4166666666666667</v>
      </c>
      <c r="AQ4830" s="32" t="s">
        <v>589</v>
      </c>
      <c r="AU4830">
        <v>4829</v>
      </c>
    </row>
    <row r="4831" spans="1:47" x14ac:dyDescent="0.2">
      <c r="A4831" s="26">
        <v>6764</v>
      </c>
      <c r="B4831" s="27">
        <v>0.12361111111111112</v>
      </c>
      <c r="C4831" s="28"/>
      <c r="D4831" s="29"/>
      <c r="E4831" s="30" t="s">
        <v>5224</v>
      </c>
      <c r="H4831" s="32">
        <v>0</v>
      </c>
      <c r="I4831" s="32" t="s">
        <v>5225</v>
      </c>
      <c r="AG4831" s="32">
        <v>0</v>
      </c>
      <c r="AH4831" s="32">
        <v>0</v>
      </c>
      <c r="AI4831" s="32">
        <v>0</v>
      </c>
      <c r="AK4831" s="32">
        <v>0</v>
      </c>
      <c r="AL4831" s="32">
        <f>47/60</f>
        <v>0.78333333333333333</v>
      </c>
      <c r="AP4831" s="32">
        <f>47/60</f>
        <v>0.78333333333333333</v>
      </c>
      <c r="AQ4831" s="32" t="s">
        <v>1101</v>
      </c>
      <c r="AU4831">
        <v>4830</v>
      </c>
    </row>
    <row r="4832" spans="1:47" x14ac:dyDescent="0.2">
      <c r="A4832" s="26">
        <v>6764</v>
      </c>
      <c r="B4832" s="27">
        <v>0.37152777777777773</v>
      </c>
      <c r="C4832" s="28"/>
      <c r="D4832" s="29"/>
      <c r="E4832" s="102" t="s">
        <v>1102</v>
      </c>
      <c r="H4832" s="32">
        <v>0</v>
      </c>
      <c r="I4832" s="32" t="s">
        <v>1103</v>
      </c>
      <c r="AG4832" s="32">
        <v>0</v>
      </c>
      <c r="AH4832" s="32">
        <v>0</v>
      </c>
      <c r="AI4832" s="32">
        <v>0</v>
      </c>
      <c r="AK4832" s="32">
        <v>0</v>
      </c>
      <c r="AL4832" s="32">
        <f>25/60</f>
        <v>0.41666666666666669</v>
      </c>
      <c r="AO4832" s="73" t="s">
        <v>1006</v>
      </c>
      <c r="AP4832" s="32">
        <f>25/60</f>
        <v>0.41666666666666669</v>
      </c>
      <c r="AQ4832" s="32" t="s">
        <v>589</v>
      </c>
      <c r="AU4832">
        <v>4831</v>
      </c>
    </row>
    <row r="4833" spans="1:47" x14ac:dyDescent="0.2">
      <c r="A4833" s="26">
        <v>6764</v>
      </c>
      <c r="B4833" s="27">
        <v>0.38541666666666669</v>
      </c>
      <c r="C4833" s="28"/>
      <c r="D4833" s="29"/>
      <c r="E4833" s="30" t="s">
        <v>4219</v>
      </c>
      <c r="H4833" s="32">
        <v>0</v>
      </c>
      <c r="I4833" s="32" t="s">
        <v>4249</v>
      </c>
      <c r="AG4833" s="32">
        <v>0</v>
      </c>
      <c r="AH4833" s="32">
        <v>0</v>
      </c>
      <c r="AI4833" s="32">
        <v>0</v>
      </c>
      <c r="AK4833" s="32">
        <v>0</v>
      </c>
      <c r="AL4833" s="32">
        <v>0.25</v>
      </c>
      <c r="AO4833" s="32" t="s">
        <v>858</v>
      </c>
      <c r="AP4833" s="32">
        <v>0.25</v>
      </c>
      <c r="AQ4833" s="32" t="s">
        <v>1101</v>
      </c>
      <c r="AU4833">
        <v>4832</v>
      </c>
    </row>
    <row r="4834" spans="1:47" x14ac:dyDescent="0.2">
      <c r="A4834" s="26">
        <v>6764</v>
      </c>
      <c r="B4834" s="27">
        <v>0.46875</v>
      </c>
      <c r="C4834" s="28"/>
      <c r="D4834" s="29"/>
      <c r="E4834" s="30" t="s">
        <v>5224</v>
      </c>
      <c r="H4834" s="32">
        <v>0</v>
      </c>
      <c r="I4834" s="32" t="s">
        <v>5225</v>
      </c>
      <c r="AG4834" s="32">
        <v>0</v>
      </c>
      <c r="AH4834" s="32">
        <v>0</v>
      </c>
      <c r="AI4834" s="32">
        <v>0</v>
      </c>
      <c r="AK4834" s="32">
        <v>0</v>
      </c>
      <c r="AL4834" s="32">
        <f>1/6</f>
        <v>0.16666666666666666</v>
      </c>
      <c r="AP4834" s="32">
        <f>1/6</f>
        <v>0.16666666666666666</v>
      </c>
      <c r="AQ4834" s="32" t="s">
        <v>1101</v>
      </c>
      <c r="AU4834">
        <v>4833</v>
      </c>
    </row>
    <row r="4835" spans="1:47" x14ac:dyDescent="0.2">
      <c r="A4835" s="26">
        <v>6764</v>
      </c>
      <c r="B4835" s="27">
        <v>0.66666666666666663</v>
      </c>
      <c r="C4835" s="28"/>
      <c r="D4835" s="29"/>
      <c r="E4835" s="30" t="s">
        <v>5987</v>
      </c>
      <c r="H4835" s="32">
        <v>1</v>
      </c>
      <c r="I4835" s="32" t="s">
        <v>5988</v>
      </c>
      <c r="AG4835" s="32">
        <v>0</v>
      </c>
      <c r="AH4835" s="32">
        <v>0</v>
      </c>
      <c r="AK4835" s="32">
        <v>45</v>
      </c>
      <c r="AP4835" s="32">
        <f>1/6</f>
        <v>0.16666666666666666</v>
      </c>
      <c r="AQ4835" s="32">
        <v>490</v>
      </c>
      <c r="AU4835">
        <v>4834</v>
      </c>
    </row>
    <row r="4836" spans="1:47" x14ac:dyDescent="0.2">
      <c r="A4836" s="26">
        <v>6764</v>
      </c>
      <c r="B4836" s="27">
        <v>0.99305555555555547</v>
      </c>
      <c r="C4836" s="28"/>
      <c r="D4836" s="29"/>
      <c r="E4836" s="30" t="s">
        <v>4219</v>
      </c>
      <c r="H4836" s="32">
        <v>1</v>
      </c>
      <c r="I4836" s="32" t="s">
        <v>5989</v>
      </c>
      <c r="AL4836" s="32">
        <f>85/60</f>
        <v>1.4166666666666667</v>
      </c>
      <c r="AO4836" s="32" t="s">
        <v>858</v>
      </c>
      <c r="AP4836" s="32">
        <f>85/60</f>
        <v>1.4166666666666667</v>
      </c>
      <c r="AQ4836" s="32" t="s">
        <v>1101</v>
      </c>
      <c r="AU4836">
        <v>4835</v>
      </c>
    </row>
    <row r="4837" spans="1:47" x14ac:dyDescent="0.2">
      <c r="A4837" s="26">
        <v>6765</v>
      </c>
      <c r="B4837" s="27">
        <v>2.7777777777777776E-2</v>
      </c>
      <c r="C4837" s="28"/>
      <c r="D4837" s="29"/>
      <c r="E4837" s="102" t="s">
        <v>1102</v>
      </c>
      <c r="H4837" s="32">
        <v>0</v>
      </c>
      <c r="I4837" s="32" t="s">
        <v>1103</v>
      </c>
      <c r="AG4837" s="32">
        <v>0</v>
      </c>
      <c r="AH4837" s="32">
        <v>0</v>
      </c>
      <c r="AI4837" s="32">
        <v>0</v>
      </c>
      <c r="AK4837" s="32">
        <v>0</v>
      </c>
      <c r="AL4837" s="32">
        <f>33/60</f>
        <v>0.55000000000000004</v>
      </c>
      <c r="AO4837" s="73" t="s">
        <v>1006</v>
      </c>
      <c r="AP4837" s="32">
        <f>33/60</f>
        <v>0.55000000000000004</v>
      </c>
      <c r="AQ4837" s="32" t="s">
        <v>589</v>
      </c>
      <c r="AU4837">
        <v>4836</v>
      </c>
    </row>
    <row r="4838" spans="1:47" x14ac:dyDescent="0.2">
      <c r="A4838" s="26">
        <v>6765</v>
      </c>
      <c r="B4838" s="27">
        <v>4.7916666666666663E-2</v>
      </c>
      <c r="C4838" s="28"/>
      <c r="D4838" s="29"/>
      <c r="E4838" s="30" t="s">
        <v>1282</v>
      </c>
      <c r="H4838" s="32">
        <v>0</v>
      </c>
      <c r="I4838" s="32" t="s">
        <v>5990</v>
      </c>
      <c r="AG4838" s="32">
        <v>0</v>
      </c>
      <c r="AH4838" s="32">
        <v>0</v>
      </c>
      <c r="AI4838" s="32">
        <v>0</v>
      </c>
      <c r="AK4838" s="32">
        <v>0</v>
      </c>
      <c r="AL4838" s="32">
        <f>1+1/60</f>
        <v>1.0166666666666666</v>
      </c>
      <c r="AP4838" s="32">
        <f>1+1/60</f>
        <v>1.0166666666666666</v>
      </c>
      <c r="AQ4838" s="32" t="s">
        <v>1101</v>
      </c>
      <c r="AU4838">
        <v>4837</v>
      </c>
    </row>
    <row r="4839" spans="1:47" x14ac:dyDescent="0.2">
      <c r="A4839" s="37">
        <v>6766</v>
      </c>
      <c r="B4839" s="38" t="s">
        <v>85</v>
      </c>
      <c r="C4839" s="39" t="s">
        <v>5533</v>
      </c>
      <c r="D4839" s="29"/>
      <c r="E4839" s="38" t="s">
        <v>5991</v>
      </c>
      <c r="H4839" s="32"/>
      <c r="I4839" s="32" t="s">
        <v>5992</v>
      </c>
      <c r="K4839" s="31">
        <v>0</v>
      </c>
      <c r="L4839" s="33">
        <v>6</v>
      </c>
      <c r="S4839" s="33">
        <v>0</v>
      </c>
      <c r="T4839" s="31">
        <v>6</v>
      </c>
      <c r="Z4839" s="31" t="s">
        <v>3724</v>
      </c>
      <c r="AA4839" s="34">
        <v>0.75347222222222221</v>
      </c>
      <c r="AE4839" s="47" t="s">
        <v>5536</v>
      </c>
      <c r="AU4839">
        <v>4838</v>
      </c>
    </row>
    <row r="4840" spans="1:47" x14ac:dyDescent="0.2">
      <c r="A4840" s="26">
        <v>6766</v>
      </c>
      <c r="B4840" s="27">
        <v>0.84722222222222221</v>
      </c>
      <c r="C4840" s="28"/>
      <c r="D4840" s="29"/>
      <c r="E4840" s="102" t="s">
        <v>1102</v>
      </c>
      <c r="H4840" s="32">
        <v>0</v>
      </c>
      <c r="I4840" s="32" t="s">
        <v>1103</v>
      </c>
      <c r="AG4840" s="32">
        <v>0</v>
      </c>
      <c r="AH4840" s="32">
        <v>0</v>
      </c>
      <c r="AI4840" s="32">
        <v>0</v>
      </c>
      <c r="AK4840" s="32">
        <v>0</v>
      </c>
      <c r="AL4840" s="32">
        <f>25/60</f>
        <v>0.41666666666666669</v>
      </c>
      <c r="AO4840" s="73" t="s">
        <v>1006</v>
      </c>
      <c r="AP4840" s="32">
        <f>25/60</f>
        <v>0.41666666666666669</v>
      </c>
      <c r="AQ4840" s="32" t="s">
        <v>589</v>
      </c>
      <c r="AU4840">
        <v>4839</v>
      </c>
    </row>
    <row r="4841" spans="1:47" x14ac:dyDescent="0.2">
      <c r="A4841" s="26">
        <v>6766</v>
      </c>
      <c r="B4841" s="27">
        <v>0.90208333333333324</v>
      </c>
      <c r="C4841" s="28"/>
      <c r="D4841" s="29"/>
      <c r="E4841" s="102" t="s">
        <v>5200</v>
      </c>
      <c r="H4841" s="32">
        <v>0</v>
      </c>
      <c r="I4841" s="32" t="s">
        <v>5893</v>
      </c>
      <c r="AG4841" s="32">
        <v>0</v>
      </c>
      <c r="AH4841" s="32">
        <v>0</v>
      </c>
      <c r="AI4841" s="32">
        <v>0</v>
      </c>
      <c r="AK4841" s="32">
        <v>0</v>
      </c>
      <c r="AL4841" s="32">
        <f>26/60</f>
        <v>0.43333333333333335</v>
      </c>
      <c r="AO4841" s="73"/>
      <c r="AP4841" s="32">
        <f>26/60</f>
        <v>0.43333333333333335</v>
      </c>
      <c r="AQ4841" s="32" t="s">
        <v>589</v>
      </c>
      <c r="AU4841">
        <v>4840</v>
      </c>
    </row>
    <row r="4842" spans="1:47" x14ac:dyDescent="0.2">
      <c r="A4842" s="26">
        <v>6766</v>
      </c>
      <c r="B4842" s="27" t="s">
        <v>45</v>
      </c>
      <c r="C4842" s="28"/>
      <c r="D4842" s="29"/>
      <c r="E4842" s="30" t="s">
        <v>1531</v>
      </c>
      <c r="H4842" s="32">
        <v>0</v>
      </c>
      <c r="I4842" s="32" t="s">
        <v>1532</v>
      </c>
      <c r="AG4842" s="32">
        <v>0</v>
      </c>
      <c r="AH4842" s="32">
        <v>0</v>
      </c>
      <c r="AI4842" s="32">
        <v>0</v>
      </c>
      <c r="AK4842" s="32">
        <v>0</v>
      </c>
      <c r="AM4842" s="32">
        <f>498*25</f>
        <v>12450</v>
      </c>
      <c r="AO4842" s="32" t="s">
        <v>1533</v>
      </c>
      <c r="AQ4842" s="32" t="s">
        <v>1101</v>
      </c>
      <c r="AU4842">
        <v>4841</v>
      </c>
    </row>
    <row r="4843" spans="1:47" x14ac:dyDescent="0.2">
      <c r="A4843" s="133">
        <v>6767</v>
      </c>
      <c r="B4843" s="39" t="s">
        <v>85</v>
      </c>
      <c r="C4843" s="39">
        <v>55</v>
      </c>
      <c r="D4843" s="29" t="b">
        <v>0</v>
      </c>
      <c r="E4843" s="39" t="s">
        <v>907</v>
      </c>
      <c r="F4843" s="47" t="s">
        <v>2398</v>
      </c>
      <c r="G4843" s="47" t="s">
        <v>49</v>
      </c>
      <c r="H4843"/>
      <c r="I4843" s="47" t="b">
        <v>0</v>
      </c>
      <c r="J4843" s="47" t="b">
        <v>1</v>
      </c>
      <c r="K4843" s="47">
        <v>2778</v>
      </c>
      <c r="L4843" s="48">
        <v>12</v>
      </c>
      <c r="M4843" s="47">
        <v>0</v>
      </c>
      <c r="N4843" s="47">
        <v>0</v>
      </c>
      <c r="O4843" s="47">
        <v>0</v>
      </c>
      <c r="P4843" s="47">
        <v>0</v>
      </c>
      <c r="Q4843" s="47">
        <v>0</v>
      </c>
      <c r="R4843" s="47">
        <v>0</v>
      </c>
      <c r="S4843" s="48">
        <v>12</v>
      </c>
      <c r="T4843" s="47">
        <v>0</v>
      </c>
      <c r="U4843" s="47">
        <v>0</v>
      </c>
      <c r="V4843" s="47">
        <v>0</v>
      </c>
      <c r="W4843" s="47">
        <v>13000</v>
      </c>
      <c r="X4843" s="47">
        <v>689</v>
      </c>
      <c r="Y4843" s="47" t="s">
        <v>51</v>
      </c>
      <c r="Z4843" s="47" t="s">
        <v>3618</v>
      </c>
      <c r="AA4843" s="49">
        <v>0.25</v>
      </c>
      <c r="AB4843" s="49">
        <v>0.39583333333333331</v>
      </c>
      <c r="AC4843" s="49">
        <f>AVERAGE(AA4843:AB4843)</f>
        <v>0.32291666666666663</v>
      </c>
      <c r="AD4843" s="50">
        <f>(AB4843-AA4843)*24</f>
        <v>3.4999999999999996</v>
      </c>
      <c r="AE4843" s="47" t="s">
        <v>5433</v>
      </c>
      <c r="AF4843" s="47">
        <v>125</v>
      </c>
      <c r="AG4843"/>
      <c r="AH4843"/>
      <c r="AI4843"/>
      <c r="AJ4843"/>
      <c r="AK4843">
        <v>36</v>
      </c>
      <c r="AL4843"/>
      <c r="AM4843"/>
      <c r="AN4843"/>
      <c r="AO4843"/>
      <c r="AP4843"/>
      <c r="AQ4843" t="s">
        <v>5434</v>
      </c>
      <c r="AU4843">
        <v>4842</v>
      </c>
    </row>
    <row r="4844" spans="1:47" x14ac:dyDescent="0.2">
      <c r="A4844" s="133">
        <v>6767</v>
      </c>
      <c r="B4844" s="39" t="s">
        <v>45</v>
      </c>
      <c r="C4844" s="39">
        <v>100</v>
      </c>
      <c r="D4844" s="29" t="b">
        <v>0</v>
      </c>
      <c r="E4844" s="39" t="s">
        <v>5993</v>
      </c>
      <c r="F4844" s="47" t="s">
        <v>5994</v>
      </c>
      <c r="G4844" s="47" t="s">
        <v>205</v>
      </c>
      <c r="H4844"/>
      <c r="I4844" s="47" t="b">
        <v>1</v>
      </c>
      <c r="J4844" s="47" t="b">
        <v>1</v>
      </c>
      <c r="K4844" s="47">
        <v>2503</v>
      </c>
      <c r="L4844" s="48">
        <v>-1</v>
      </c>
      <c r="M4844" s="47">
        <v>0</v>
      </c>
      <c r="N4844" s="47">
        <v>0</v>
      </c>
      <c r="O4844" s="47">
        <v>0</v>
      </c>
      <c r="P4844" s="47">
        <v>0</v>
      </c>
      <c r="Q4844" s="47">
        <v>0</v>
      </c>
      <c r="R4844" s="47">
        <v>0</v>
      </c>
      <c r="S4844" s="48">
        <v>10</v>
      </c>
      <c r="T4844" s="47">
        <v>0</v>
      </c>
      <c r="U4844" s="47">
        <v>0</v>
      </c>
      <c r="V4844" s="47">
        <v>1</v>
      </c>
      <c r="W4844" s="47"/>
      <c r="X4844" s="47">
        <v>690</v>
      </c>
      <c r="Y4844" s="47"/>
      <c r="Z4844" s="47" t="s">
        <v>2524</v>
      </c>
      <c r="AA4844" s="49"/>
      <c r="AB4844" s="49"/>
      <c r="AC4844" s="49"/>
      <c r="AD4844" s="50"/>
      <c r="AE4844" s="47" t="s">
        <v>1312</v>
      </c>
      <c r="AF4844" s="47">
        <v>75</v>
      </c>
      <c r="AG4844"/>
      <c r="AH4844"/>
      <c r="AI4844"/>
      <c r="AJ4844"/>
      <c r="AK4844"/>
      <c r="AL4844"/>
      <c r="AM4844"/>
      <c r="AN4844"/>
      <c r="AO4844"/>
      <c r="AP4844"/>
      <c r="AQ4844" t="s">
        <v>2526</v>
      </c>
      <c r="AU4844">
        <v>4843</v>
      </c>
    </row>
    <row r="4845" spans="1:47" x14ac:dyDescent="0.2">
      <c r="A4845" s="133">
        <v>6767</v>
      </c>
      <c r="B4845" s="39" t="s">
        <v>45</v>
      </c>
      <c r="C4845" s="39">
        <v>100</v>
      </c>
      <c r="D4845" s="29" t="b">
        <v>0</v>
      </c>
      <c r="E4845" s="39" t="s">
        <v>5707</v>
      </c>
      <c r="F4845" s="47" t="s">
        <v>529</v>
      </c>
      <c r="G4845" s="47" t="s">
        <v>205</v>
      </c>
      <c r="H4845"/>
      <c r="I4845" s="47" t="b">
        <v>0</v>
      </c>
      <c r="J4845" s="47" t="b">
        <v>0</v>
      </c>
      <c r="K4845" s="47">
        <v>2041</v>
      </c>
      <c r="L4845" s="48">
        <v>-1</v>
      </c>
      <c r="M4845" s="47">
        <v>0</v>
      </c>
      <c r="N4845" s="47">
        <v>0</v>
      </c>
      <c r="O4845" s="47">
        <v>0</v>
      </c>
      <c r="P4845" s="47">
        <v>0</v>
      </c>
      <c r="Q4845" s="47">
        <v>0</v>
      </c>
      <c r="R4845" s="47">
        <v>0</v>
      </c>
      <c r="S4845" s="48">
        <v>8</v>
      </c>
      <c r="T4845" s="47">
        <v>0</v>
      </c>
      <c r="U4845" s="47">
        <v>0</v>
      </c>
      <c r="V4845" s="47">
        <v>0</v>
      </c>
      <c r="W4845" s="47"/>
      <c r="X4845" s="47">
        <v>691</v>
      </c>
      <c r="Y4845" s="47"/>
      <c r="Z4845" s="47" t="s">
        <v>2524</v>
      </c>
      <c r="AA4845" s="49"/>
      <c r="AB4845" s="49"/>
      <c r="AC4845" s="49"/>
      <c r="AD4845" s="50"/>
      <c r="AE4845" s="47" t="s">
        <v>1312</v>
      </c>
      <c r="AF4845" s="47">
        <v>75</v>
      </c>
      <c r="AG4845"/>
      <c r="AH4845"/>
      <c r="AI4845"/>
      <c r="AJ4845"/>
      <c r="AK4845"/>
      <c r="AL4845"/>
      <c r="AM4845"/>
      <c r="AN4845"/>
      <c r="AO4845"/>
      <c r="AP4845"/>
      <c r="AQ4845" t="s">
        <v>2526</v>
      </c>
      <c r="AU4845">
        <v>4844</v>
      </c>
    </row>
    <row r="4846" spans="1:47" x14ac:dyDescent="0.2">
      <c r="A4846" s="133">
        <v>6767</v>
      </c>
      <c r="B4846" s="39" t="s">
        <v>45</v>
      </c>
      <c r="C4846" s="39">
        <v>100</v>
      </c>
      <c r="D4846" s="29" t="b">
        <v>0</v>
      </c>
      <c r="E4846" s="39" t="s">
        <v>5995</v>
      </c>
      <c r="F4846" s="47" t="s">
        <v>529</v>
      </c>
      <c r="G4846" s="47" t="s">
        <v>205</v>
      </c>
      <c r="H4846"/>
      <c r="I4846" s="47" t="b">
        <v>0</v>
      </c>
      <c r="J4846" s="47" t="b">
        <v>0</v>
      </c>
      <c r="K4846" s="47">
        <v>312</v>
      </c>
      <c r="L4846" s="48">
        <v>-1</v>
      </c>
      <c r="M4846" s="47">
        <v>0</v>
      </c>
      <c r="N4846" s="47">
        <v>0</v>
      </c>
      <c r="O4846" s="47">
        <v>0</v>
      </c>
      <c r="P4846" s="47">
        <v>0</v>
      </c>
      <c r="Q4846" s="47">
        <v>0</v>
      </c>
      <c r="R4846" s="47">
        <v>0</v>
      </c>
      <c r="S4846" s="48">
        <v>1</v>
      </c>
      <c r="T4846" s="47">
        <v>0</v>
      </c>
      <c r="U4846" s="47">
        <v>0</v>
      </c>
      <c r="V4846" s="47">
        <v>0</v>
      </c>
      <c r="W4846" s="47"/>
      <c r="X4846" s="47">
        <v>692</v>
      </c>
      <c r="Y4846" s="47"/>
      <c r="Z4846" s="47" t="s">
        <v>2524</v>
      </c>
      <c r="AA4846" s="49"/>
      <c r="AB4846" s="49"/>
      <c r="AC4846" s="49"/>
      <c r="AD4846" s="50"/>
      <c r="AE4846" s="47" t="s">
        <v>1312</v>
      </c>
      <c r="AF4846" s="47">
        <v>80</v>
      </c>
      <c r="AG4846"/>
      <c r="AH4846"/>
      <c r="AI4846"/>
      <c r="AJ4846"/>
      <c r="AK4846"/>
      <c r="AL4846"/>
      <c r="AM4846"/>
      <c r="AN4846"/>
      <c r="AO4846"/>
      <c r="AP4846"/>
      <c r="AQ4846" t="s">
        <v>2526</v>
      </c>
      <c r="AU4846">
        <v>4845</v>
      </c>
    </row>
    <row r="4847" spans="1:47" x14ac:dyDescent="0.2">
      <c r="A4847" s="133">
        <v>6767</v>
      </c>
      <c r="B4847" s="39" t="s">
        <v>45</v>
      </c>
      <c r="C4847" s="39">
        <v>100</v>
      </c>
      <c r="D4847" s="29" t="b">
        <v>0</v>
      </c>
      <c r="E4847" s="39" t="s">
        <v>5995</v>
      </c>
      <c r="F4847" s="47" t="s">
        <v>5996</v>
      </c>
      <c r="G4847" s="47" t="s">
        <v>73</v>
      </c>
      <c r="H4847"/>
      <c r="I4847" s="47" t="b">
        <v>0</v>
      </c>
      <c r="J4847" s="47" t="b">
        <v>0</v>
      </c>
      <c r="K4847" s="47">
        <v>150</v>
      </c>
      <c r="L4847" s="48">
        <v>-1</v>
      </c>
      <c r="M4847" s="47">
        <v>0</v>
      </c>
      <c r="N4847" s="47">
        <v>0</v>
      </c>
      <c r="O4847" s="47">
        <v>0</v>
      </c>
      <c r="P4847" s="47">
        <v>0</v>
      </c>
      <c r="Q4847" s="47">
        <v>0</v>
      </c>
      <c r="R4847" s="47">
        <v>0</v>
      </c>
      <c r="S4847" s="48">
        <v>1</v>
      </c>
      <c r="T4847" s="47">
        <v>0</v>
      </c>
      <c r="U4847" s="47">
        <v>0</v>
      </c>
      <c r="V4847" s="47">
        <v>0</v>
      </c>
      <c r="W4847" s="47"/>
      <c r="X4847" s="47">
        <v>693</v>
      </c>
      <c r="Y4847" s="47"/>
      <c r="Z4847" s="47" t="s">
        <v>2524</v>
      </c>
      <c r="AA4847" s="49"/>
      <c r="AB4847" s="49"/>
      <c r="AC4847" s="49"/>
      <c r="AD4847" s="50"/>
      <c r="AE4847" s="47" t="s">
        <v>1312</v>
      </c>
      <c r="AF4847" s="47">
        <v>80</v>
      </c>
      <c r="AG4847"/>
      <c r="AH4847"/>
      <c r="AI4847"/>
      <c r="AJ4847"/>
      <c r="AK4847"/>
      <c r="AL4847"/>
      <c r="AM4847"/>
      <c r="AN4847"/>
      <c r="AO4847"/>
      <c r="AP4847"/>
      <c r="AQ4847" t="s">
        <v>2526</v>
      </c>
      <c r="AU4847">
        <v>4846</v>
      </c>
    </row>
    <row r="4848" spans="1:47" x14ac:dyDescent="0.2">
      <c r="A4848" s="133">
        <v>6767</v>
      </c>
      <c r="B4848" s="39" t="s">
        <v>45</v>
      </c>
      <c r="C4848" s="39">
        <v>216</v>
      </c>
      <c r="D4848" s="29" t="b">
        <v>0</v>
      </c>
      <c r="E4848" s="39" t="s">
        <v>5997</v>
      </c>
      <c r="F4848" s="47" t="s">
        <v>1969</v>
      </c>
      <c r="G4848" s="47" t="s">
        <v>205</v>
      </c>
      <c r="H4848"/>
      <c r="I4848" s="47" t="b">
        <v>1</v>
      </c>
      <c r="J4848" s="47" t="b">
        <v>1</v>
      </c>
      <c r="K4848" s="47">
        <v>5376</v>
      </c>
      <c r="L4848" s="48">
        <v>-1</v>
      </c>
      <c r="M4848" s="47">
        <v>0</v>
      </c>
      <c r="N4848" s="47">
        <v>0</v>
      </c>
      <c r="O4848" s="47">
        <v>0</v>
      </c>
      <c r="P4848" s="47">
        <v>0</v>
      </c>
      <c r="Q4848" s="47">
        <v>0</v>
      </c>
      <c r="R4848" s="47">
        <v>0</v>
      </c>
      <c r="S4848" s="48">
        <v>4</v>
      </c>
      <c r="T4848" s="47">
        <v>0</v>
      </c>
      <c r="U4848" s="47">
        <v>0</v>
      </c>
      <c r="V4848" s="47">
        <v>0</v>
      </c>
      <c r="W4848" s="47"/>
      <c r="X4848" s="47">
        <v>694</v>
      </c>
      <c r="Y4848" s="47"/>
      <c r="Z4848" s="47" t="s">
        <v>2466</v>
      </c>
      <c r="AA4848" s="49"/>
      <c r="AB4848" s="49"/>
      <c r="AC4848" s="49"/>
      <c r="AD4848" s="50"/>
      <c r="AE4848" s="47" t="s">
        <v>1312</v>
      </c>
      <c r="AF4848" s="47">
        <v>85</v>
      </c>
      <c r="AG4848"/>
      <c r="AH4848"/>
      <c r="AI4848"/>
      <c r="AJ4848"/>
      <c r="AK4848"/>
      <c r="AL4848"/>
      <c r="AM4848"/>
      <c r="AN4848"/>
      <c r="AO4848"/>
      <c r="AP4848"/>
      <c r="AQ4848" t="s">
        <v>2526</v>
      </c>
      <c r="AU4848">
        <v>4847</v>
      </c>
    </row>
    <row r="4849" spans="1:47" x14ac:dyDescent="0.2">
      <c r="A4849" s="133">
        <v>6767</v>
      </c>
      <c r="B4849" s="39" t="s">
        <v>45</v>
      </c>
      <c r="C4849" s="39">
        <v>216</v>
      </c>
      <c r="D4849" s="29" t="b">
        <v>0</v>
      </c>
      <c r="E4849" s="39" t="s">
        <v>5984</v>
      </c>
      <c r="F4849" s="47" t="s">
        <v>529</v>
      </c>
      <c r="G4849" s="47" t="s">
        <v>205</v>
      </c>
      <c r="H4849"/>
      <c r="I4849" s="47" t="b">
        <v>0</v>
      </c>
      <c r="J4849" s="47" t="b">
        <v>0</v>
      </c>
      <c r="K4849" s="47">
        <v>2688</v>
      </c>
      <c r="L4849" s="48">
        <v>-1</v>
      </c>
      <c r="M4849" s="47">
        <v>0</v>
      </c>
      <c r="N4849" s="47">
        <v>0</v>
      </c>
      <c r="O4849" s="47">
        <v>0</v>
      </c>
      <c r="P4849" s="47">
        <v>0</v>
      </c>
      <c r="Q4849" s="47">
        <v>0</v>
      </c>
      <c r="R4849" s="47">
        <v>0</v>
      </c>
      <c r="S4849" s="48">
        <v>2</v>
      </c>
      <c r="T4849" s="47">
        <v>0</v>
      </c>
      <c r="U4849" s="47">
        <v>0</v>
      </c>
      <c r="V4849" s="47">
        <v>0</v>
      </c>
      <c r="W4849" s="47"/>
      <c r="X4849" s="47">
        <v>695</v>
      </c>
      <c r="Y4849" s="47"/>
      <c r="Z4849" s="47" t="s">
        <v>2466</v>
      </c>
      <c r="AA4849" s="49"/>
      <c r="AB4849" s="49"/>
      <c r="AC4849" s="49"/>
      <c r="AD4849" s="50"/>
      <c r="AE4849" s="47" t="s">
        <v>1312</v>
      </c>
      <c r="AF4849" s="47">
        <v>85</v>
      </c>
      <c r="AG4849"/>
      <c r="AH4849"/>
      <c r="AI4849"/>
      <c r="AJ4849"/>
      <c r="AK4849"/>
      <c r="AL4849"/>
      <c r="AM4849"/>
      <c r="AN4849"/>
      <c r="AO4849"/>
      <c r="AP4849"/>
      <c r="AQ4849" t="s">
        <v>2526</v>
      </c>
      <c r="AU4849">
        <v>4848</v>
      </c>
    </row>
    <row r="4850" spans="1:47" x14ac:dyDescent="0.2">
      <c r="A4850" s="133">
        <v>6767</v>
      </c>
      <c r="B4850" s="39" t="s">
        <v>45</v>
      </c>
      <c r="C4850" s="39">
        <v>216</v>
      </c>
      <c r="D4850" s="29" t="b">
        <v>0</v>
      </c>
      <c r="E4850" s="39" t="s">
        <v>5707</v>
      </c>
      <c r="F4850" s="47" t="s">
        <v>529</v>
      </c>
      <c r="G4850" s="47" t="s">
        <v>205</v>
      </c>
      <c r="H4850"/>
      <c r="I4850" s="47" t="b">
        <v>0</v>
      </c>
      <c r="J4850" s="47" t="b">
        <v>0</v>
      </c>
      <c r="K4850" s="47">
        <v>2688</v>
      </c>
      <c r="L4850" s="48">
        <v>-1</v>
      </c>
      <c r="M4850" s="47">
        <v>0</v>
      </c>
      <c r="N4850" s="47">
        <v>0</v>
      </c>
      <c r="O4850" s="47">
        <v>0</v>
      </c>
      <c r="P4850" s="47">
        <v>0</v>
      </c>
      <c r="Q4850" s="47">
        <v>0</v>
      </c>
      <c r="R4850" s="47">
        <v>0</v>
      </c>
      <c r="S4850" s="48">
        <v>2</v>
      </c>
      <c r="T4850" s="47">
        <v>0</v>
      </c>
      <c r="U4850" s="47">
        <v>0</v>
      </c>
      <c r="V4850" s="47">
        <v>0</v>
      </c>
      <c r="W4850" s="47"/>
      <c r="X4850" s="47">
        <v>696</v>
      </c>
      <c r="Y4850" s="47"/>
      <c r="Z4850" s="47" t="s">
        <v>2466</v>
      </c>
      <c r="AA4850" s="49"/>
      <c r="AB4850" s="49"/>
      <c r="AC4850" s="49"/>
      <c r="AD4850" s="50"/>
      <c r="AE4850" s="47" t="s">
        <v>1312</v>
      </c>
      <c r="AF4850" s="47">
        <v>75</v>
      </c>
      <c r="AG4850"/>
      <c r="AH4850"/>
      <c r="AI4850"/>
      <c r="AJ4850"/>
      <c r="AK4850"/>
      <c r="AL4850"/>
      <c r="AM4850"/>
      <c r="AN4850"/>
      <c r="AO4850"/>
      <c r="AP4850"/>
      <c r="AQ4850" t="s">
        <v>2526</v>
      </c>
      <c r="AU4850">
        <v>4849</v>
      </c>
    </row>
    <row r="4851" spans="1:47" x14ac:dyDescent="0.2">
      <c r="A4851" s="26">
        <v>6767</v>
      </c>
      <c r="B4851" s="27">
        <v>1.0416666666666666E-2</v>
      </c>
      <c r="C4851" s="28"/>
      <c r="D4851" s="29"/>
      <c r="E4851" s="30" t="s">
        <v>4219</v>
      </c>
      <c r="H4851" s="32">
        <v>0</v>
      </c>
      <c r="I4851" s="32" t="s">
        <v>5818</v>
      </c>
      <c r="AG4851" s="32">
        <v>0</v>
      </c>
      <c r="AH4851" s="32">
        <v>0</v>
      </c>
      <c r="AI4851" s="32">
        <v>0</v>
      </c>
      <c r="AK4851" s="32">
        <v>0</v>
      </c>
      <c r="AL4851" s="32">
        <v>0.75</v>
      </c>
      <c r="AO4851" s="32" t="s">
        <v>858</v>
      </c>
      <c r="AP4851" s="32">
        <v>0.75</v>
      </c>
      <c r="AQ4851" s="32" t="s">
        <v>1101</v>
      </c>
      <c r="AU4851">
        <v>4850</v>
      </c>
    </row>
    <row r="4852" spans="1:47" x14ac:dyDescent="0.2">
      <c r="A4852" s="26">
        <v>6767</v>
      </c>
      <c r="B4852" s="27">
        <v>0.25694444444444448</v>
      </c>
      <c r="C4852" s="28"/>
      <c r="D4852" s="29"/>
      <c r="E4852" s="30" t="s">
        <v>464</v>
      </c>
      <c r="H4852" s="32">
        <v>0</v>
      </c>
      <c r="I4852" s="32" t="s">
        <v>4561</v>
      </c>
      <c r="AG4852" s="32">
        <v>0</v>
      </c>
      <c r="AH4852" s="32">
        <v>0</v>
      </c>
      <c r="AL4852" s="32">
        <f>25/60</f>
        <v>0.41666666666666669</v>
      </c>
      <c r="AO4852" s="32" t="s">
        <v>4067</v>
      </c>
      <c r="AP4852" s="32">
        <f>25/60</f>
        <v>0.41666666666666669</v>
      </c>
      <c r="AQ4852" s="32" t="s">
        <v>1522</v>
      </c>
      <c r="AU4852">
        <v>4851</v>
      </c>
    </row>
    <row r="4853" spans="1:47" x14ac:dyDescent="0.2">
      <c r="A4853" s="26">
        <v>6767</v>
      </c>
      <c r="B4853" s="27">
        <v>0.99305555555555547</v>
      </c>
      <c r="C4853" s="28"/>
      <c r="D4853" s="29"/>
      <c r="E4853" s="30" t="s">
        <v>464</v>
      </c>
      <c r="H4853" s="32">
        <v>0</v>
      </c>
      <c r="I4853" s="32" t="s">
        <v>5998</v>
      </c>
      <c r="AG4853" s="32">
        <v>0</v>
      </c>
      <c r="AH4853" s="32">
        <v>0</v>
      </c>
      <c r="AL4853" s="32">
        <f>109/60</f>
        <v>1.8166666666666667</v>
      </c>
      <c r="AO4853" s="32" t="s">
        <v>4067</v>
      </c>
      <c r="AP4853" s="32">
        <f>109/60</f>
        <v>1.8166666666666667</v>
      </c>
      <c r="AQ4853" s="32" t="s">
        <v>1522</v>
      </c>
      <c r="AU4853">
        <v>4852</v>
      </c>
    </row>
    <row r="4854" spans="1:47" x14ac:dyDescent="0.2">
      <c r="A4854" s="133">
        <v>6768</v>
      </c>
      <c r="B4854" s="39" t="s">
        <v>85</v>
      </c>
      <c r="C4854" s="39">
        <v>55</v>
      </c>
      <c r="D4854" s="29" t="b">
        <v>0</v>
      </c>
      <c r="E4854" s="39" t="s">
        <v>5999</v>
      </c>
      <c r="F4854" s="47" t="s">
        <v>5877</v>
      </c>
      <c r="G4854" s="47" t="s">
        <v>49</v>
      </c>
      <c r="H4854"/>
      <c r="I4854" s="47" t="b">
        <v>0</v>
      </c>
      <c r="J4854" s="47" t="b">
        <v>1</v>
      </c>
      <c r="K4854" s="47">
        <v>2314</v>
      </c>
      <c r="L4854" s="48">
        <v>12</v>
      </c>
      <c r="M4854" s="47">
        <v>0</v>
      </c>
      <c r="N4854" s="47">
        <v>2</v>
      </c>
      <c r="O4854" s="47">
        <v>0</v>
      </c>
      <c r="P4854" s="47">
        <v>10</v>
      </c>
      <c r="Q4854" s="47">
        <v>0</v>
      </c>
      <c r="R4854" s="47">
        <v>0</v>
      </c>
      <c r="S4854" s="48">
        <v>10</v>
      </c>
      <c r="T4854" s="47">
        <v>0</v>
      </c>
      <c r="U4854" s="47">
        <v>0</v>
      </c>
      <c r="V4854" s="47">
        <v>0</v>
      </c>
      <c r="W4854" s="47">
        <v>14500</v>
      </c>
      <c r="X4854" s="47">
        <v>697</v>
      </c>
      <c r="Y4854" s="47" t="s">
        <v>120</v>
      </c>
      <c r="Z4854" s="47" t="s">
        <v>3618</v>
      </c>
      <c r="AA4854" s="49">
        <v>0.375</v>
      </c>
      <c r="AB4854" s="49">
        <v>0.50694444444444442</v>
      </c>
      <c r="AC4854" s="49">
        <f>AVERAGE(AA4854:AB4854)</f>
        <v>0.44097222222222221</v>
      </c>
      <c r="AD4854" s="50">
        <f>(AB4854-AA4854)*24</f>
        <v>3.1666666666666661</v>
      </c>
      <c r="AE4854" s="47" t="s">
        <v>5433</v>
      </c>
      <c r="AF4854" s="47">
        <v>115</v>
      </c>
      <c r="AG4854"/>
      <c r="AH4854"/>
      <c r="AI4854"/>
      <c r="AJ4854"/>
      <c r="AK4854">
        <v>25</v>
      </c>
      <c r="AL4854"/>
      <c r="AM4854"/>
      <c r="AN4854"/>
      <c r="AO4854"/>
      <c r="AP4854"/>
      <c r="AQ4854" t="s">
        <v>5434</v>
      </c>
      <c r="AU4854">
        <v>4853</v>
      </c>
    </row>
    <row r="4855" spans="1:47" x14ac:dyDescent="0.2">
      <c r="A4855" s="26">
        <v>6768</v>
      </c>
      <c r="B4855" s="27">
        <v>4.8611111111111112E-2</v>
      </c>
      <c r="C4855" s="28"/>
      <c r="D4855" s="29"/>
      <c r="E4855" s="30" t="s">
        <v>5718</v>
      </c>
      <c r="H4855" s="32">
        <v>1</v>
      </c>
      <c r="I4855" s="32" t="s">
        <v>6000</v>
      </c>
      <c r="AG4855" s="32">
        <v>0</v>
      </c>
      <c r="AH4855" s="32">
        <v>0</v>
      </c>
      <c r="AI4855" s="32">
        <v>0</v>
      </c>
      <c r="AJ4855" s="32">
        <v>0</v>
      </c>
      <c r="AL4855" s="32">
        <v>0</v>
      </c>
      <c r="AM4855" s="32">
        <v>0</v>
      </c>
      <c r="AO4855" s="32" t="s">
        <v>5720</v>
      </c>
      <c r="AQ4855" s="32">
        <v>380</v>
      </c>
      <c r="AU4855">
        <v>4854</v>
      </c>
    </row>
    <row r="4856" spans="1:47" x14ac:dyDescent="0.2">
      <c r="A4856" s="26">
        <v>6768</v>
      </c>
      <c r="B4856" s="27">
        <v>0.13819444444444443</v>
      </c>
      <c r="C4856" s="28"/>
      <c r="D4856" s="29"/>
      <c r="E4856" s="30" t="s">
        <v>1282</v>
      </c>
      <c r="H4856" s="32">
        <v>0</v>
      </c>
      <c r="I4856" s="32" t="s">
        <v>6001</v>
      </c>
      <c r="AG4856" s="32">
        <v>0</v>
      </c>
      <c r="AH4856" s="32">
        <v>0</v>
      </c>
      <c r="AI4856" s="32">
        <v>0</v>
      </c>
      <c r="AK4856" s="32">
        <v>0</v>
      </c>
      <c r="AL4856" s="32">
        <f>11/60</f>
        <v>0.18333333333333332</v>
      </c>
      <c r="AP4856" s="32">
        <f>11/60</f>
        <v>0.18333333333333332</v>
      </c>
      <c r="AQ4856" s="32" t="s">
        <v>1101</v>
      </c>
      <c r="AU4856">
        <v>4855</v>
      </c>
    </row>
    <row r="4857" spans="1:47" x14ac:dyDescent="0.2">
      <c r="A4857" s="26">
        <v>6768</v>
      </c>
      <c r="B4857" s="27">
        <v>0.1388888888888889</v>
      </c>
      <c r="C4857" s="28"/>
      <c r="D4857" s="29"/>
      <c r="E4857" s="30" t="s">
        <v>464</v>
      </c>
      <c r="H4857" s="32">
        <v>0</v>
      </c>
      <c r="I4857" s="32" t="s">
        <v>6002</v>
      </c>
      <c r="AG4857" s="32">
        <v>0</v>
      </c>
      <c r="AH4857" s="32">
        <v>0</v>
      </c>
      <c r="AL4857" s="32">
        <f>52/60</f>
        <v>0.8666666666666667</v>
      </c>
      <c r="AO4857" s="32" t="s">
        <v>4067</v>
      </c>
      <c r="AP4857" s="32">
        <f>52/60</f>
        <v>0.8666666666666667</v>
      </c>
      <c r="AQ4857" s="32" t="s">
        <v>1522</v>
      </c>
      <c r="AU4857">
        <v>4856</v>
      </c>
    </row>
    <row r="4858" spans="1:47" x14ac:dyDescent="0.2">
      <c r="A4858" s="26">
        <v>6768</v>
      </c>
      <c r="B4858" s="27">
        <v>0.4826388888888889</v>
      </c>
      <c r="C4858" s="28"/>
      <c r="D4858" s="29"/>
      <c r="E4858" s="30" t="s">
        <v>3737</v>
      </c>
      <c r="H4858" s="32">
        <v>0</v>
      </c>
      <c r="I4858" s="32" t="s">
        <v>4926</v>
      </c>
      <c r="AG4858" s="32">
        <v>0</v>
      </c>
      <c r="AH4858" s="32">
        <v>0</v>
      </c>
      <c r="AI4858" s="32">
        <v>0</v>
      </c>
      <c r="AK4858" s="32">
        <v>0</v>
      </c>
      <c r="AM4858" s="74"/>
      <c r="AQ4858" s="32" t="s">
        <v>1101</v>
      </c>
      <c r="AU4858">
        <v>4857</v>
      </c>
    </row>
    <row r="4859" spans="1:47" x14ac:dyDescent="0.2">
      <c r="A4859" s="26">
        <v>6768</v>
      </c>
      <c r="B4859" s="27">
        <v>0.5</v>
      </c>
      <c r="C4859" s="28"/>
      <c r="D4859" s="29"/>
      <c r="E4859" s="30" t="s">
        <v>6003</v>
      </c>
      <c r="H4859" s="32">
        <v>1</v>
      </c>
      <c r="I4859" s="32" t="s">
        <v>6004</v>
      </c>
      <c r="AG4859" s="32">
        <v>0</v>
      </c>
      <c r="AH4859" s="32">
        <v>0</v>
      </c>
      <c r="AI4859" s="32">
        <v>0</v>
      </c>
      <c r="AK4859" s="32">
        <v>15</v>
      </c>
      <c r="AO4859" s="32" t="s">
        <v>6005</v>
      </c>
      <c r="AQ4859" s="32">
        <v>449</v>
      </c>
      <c r="AU4859">
        <v>4858</v>
      </c>
    </row>
    <row r="4860" spans="1:47" x14ac:dyDescent="0.2">
      <c r="A4860" s="13">
        <v>6770</v>
      </c>
      <c r="B4860" s="57" t="s">
        <v>45</v>
      </c>
      <c r="C4860" s="57" t="s">
        <v>142</v>
      </c>
      <c r="D4860" s="29" t="s">
        <v>120</v>
      </c>
      <c r="E4860" s="57" t="s">
        <v>107</v>
      </c>
      <c r="H4860" s="32"/>
      <c r="I4860" s="32" t="s">
        <v>6006</v>
      </c>
      <c r="K4860" s="31">
        <v>0</v>
      </c>
      <c r="L4860" s="33">
        <v>2</v>
      </c>
      <c r="M4860" s="31">
        <v>2</v>
      </c>
      <c r="S4860" s="33">
        <v>0</v>
      </c>
      <c r="Z4860" s="31" t="s">
        <v>3855</v>
      </c>
      <c r="AE4860" s="47" t="s">
        <v>4217</v>
      </c>
      <c r="AK4860" s="32">
        <v>0</v>
      </c>
      <c r="AQ4860" s="32" t="s">
        <v>5958</v>
      </c>
      <c r="AU4860">
        <v>4859</v>
      </c>
    </row>
    <row r="4861" spans="1:47" x14ac:dyDescent="0.2">
      <c r="A4861" s="13">
        <v>6770</v>
      </c>
      <c r="B4861" s="57" t="s">
        <v>45</v>
      </c>
      <c r="C4861" s="57" t="s">
        <v>4843</v>
      </c>
      <c r="D4861" s="29"/>
      <c r="E4861" s="57" t="s">
        <v>6007</v>
      </c>
      <c r="F4861" s="31" t="s">
        <v>5606</v>
      </c>
      <c r="G4861" s="31" t="s">
        <v>69</v>
      </c>
      <c r="K4861" s="31">
        <v>2112</v>
      </c>
      <c r="S4861" s="33">
        <v>5</v>
      </c>
      <c r="Z4861" s="31" t="s">
        <v>3814</v>
      </c>
      <c r="AQ4861" s="32" t="s">
        <v>5846</v>
      </c>
      <c r="AU4861">
        <v>4860</v>
      </c>
    </row>
    <row r="4862" spans="1:47" x14ac:dyDescent="0.2">
      <c r="A4862" s="133">
        <v>6771</v>
      </c>
      <c r="B4862" s="39" t="s">
        <v>85</v>
      </c>
      <c r="C4862" s="39">
        <v>55</v>
      </c>
      <c r="D4862" s="29" t="b">
        <v>0</v>
      </c>
      <c r="E4862" s="39" t="s">
        <v>907</v>
      </c>
      <c r="F4862" s="47" t="s">
        <v>2398</v>
      </c>
      <c r="G4862" s="47" t="s">
        <v>49</v>
      </c>
      <c r="H4862"/>
      <c r="I4862" s="47" t="b">
        <v>0</v>
      </c>
      <c r="J4862" s="47" t="b">
        <v>1</v>
      </c>
      <c r="K4862" s="47">
        <v>2504</v>
      </c>
      <c r="L4862" s="48">
        <v>12</v>
      </c>
      <c r="M4862" s="47">
        <v>0</v>
      </c>
      <c r="N4862" s="47">
        <v>1</v>
      </c>
      <c r="O4862" s="47">
        <v>0</v>
      </c>
      <c r="P4862" s="47">
        <v>0</v>
      </c>
      <c r="Q4862" s="47">
        <v>0</v>
      </c>
      <c r="R4862" s="47">
        <v>0</v>
      </c>
      <c r="S4862" s="48">
        <v>11</v>
      </c>
      <c r="T4862" s="47">
        <v>0</v>
      </c>
      <c r="U4862" s="47">
        <v>0</v>
      </c>
      <c r="V4862" s="47">
        <v>0</v>
      </c>
      <c r="W4862" s="47">
        <v>13500</v>
      </c>
      <c r="X4862" s="47">
        <v>698</v>
      </c>
      <c r="Y4862" s="47" t="s">
        <v>120</v>
      </c>
      <c r="Z4862" s="47" t="s">
        <v>3618</v>
      </c>
      <c r="AA4862" s="49">
        <v>0.625</v>
      </c>
      <c r="AB4862" s="49">
        <v>0.76041666666666663</v>
      </c>
      <c r="AC4862" s="49">
        <f>AVERAGE(AA4862:AB4862)</f>
        <v>0.69270833333333326</v>
      </c>
      <c r="AD4862" s="50">
        <f>(AB4862-AA4862)*24</f>
        <v>3.2499999999999991</v>
      </c>
      <c r="AE4862" s="47" t="s">
        <v>5433</v>
      </c>
      <c r="AF4862" s="47">
        <v>125</v>
      </c>
      <c r="AG4862"/>
      <c r="AH4862"/>
      <c r="AI4862"/>
      <c r="AJ4862"/>
      <c r="AK4862">
        <v>25</v>
      </c>
      <c r="AL4862"/>
      <c r="AM4862"/>
      <c r="AN4862"/>
      <c r="AO4862"/>
      <c r="AP4862"/>
      <c r="AQ4862" t="s">
        <v>5434</v>
      </c>
      <c r="AU4862">
        <v>4861</v>
      </c>
    </row>
    <row r="4863" spans="1:47" x14ac:dyDescent="0.2">
      <c r="A4863" s="133">
        <v>6771</v>
      </c>
      <c r="B4863" s="39" t="s">
        <v>85</v>
      </c>
      <c r="C4863" s="39">
        <v>99</v>
      </c>
      <c r="D4863" s="29" t="b">
        <v>0</v>
      </c>
      <c r="E4863" s="39" t="s">
        <v>3575</v>
      </c>
      <c r="F4863" s="47" t="s">
        <v>529</v>
      </c>
      <c r="G4863" s="47" t="s">
        <v>205</v>
      </c>
      <c r="H4863"/>
      <c r="I4863" s="47" t="b">
        <v>0</v>
      </c>
      <c r="J4863" s="47" t="b">
        <v>1</v>
      </c>
      <c r="K4863" s="47">
        <v>1362</v>
      </c>
      <c r="L4863" s="48">
        <v>-1</v>
      </c>
      <c r="M4863" s="47">
        <v>0</v>
      </c>
      <c r="N4863" s="47">
        <v>0</v>
      </c>
      <c r="O4863" s="47">
        <v>0</v>
      </c>
      <c r="P4863" s="47">
        <v>0</v>
      </c>
      <c r="Q4863" s="47">
        <v>0</v>
      </c>
      <c r="R4863" s="47">
        <v>0</v>
      </c>
      <c r="S4863" s="48">
        <v>7</v>
      </c>
      <c r="T4863" s="47">
        <v>0</v>
      </c>
      <c r="U4863" s="47">
        <v>0</v>
      </c>
      <c r="V4863" s="47">
        <v>0</v>
      </c>
      <c r="W4863" s="47">
        <v>13500</v>
      </c>
      <c r="X4863" s="47">
        <v>699</v>
      </c>
      <c r="Y4863" s="47" t="s">
        <v>51</v>
      </c>
      <c r="Z4863" s="47" t="s">
        <v>5139</v>
      </c>
      <c r="AA4863" s="49">
        <v>0.19791666666666666</v>
      </c>
      <c r="AB4863" s="49">
        <v>0.30555555555555552</v>
      </c>
      <c r="AC4863" s="49">
        <f>AVERAGE(AA4863:AB4863)</f>
        <v>0.2517361111111111</v>
      </c>
      <c r="AD4863" s="50">
        <f>(AB4863-AA4863)*24</f>
        <v>2.583333333333333</v>
      </c>
      <c r="AE4863" s="47" t="s">
        <v>5433</v>
      </c>
      <c r="AF4863" s="47">
        <v>140</v>
      </c>
      <c r="AG4863"/>
      <c r="AH4863"/>
      <c r="AI4863"/>
      <c r="AJ4863"/>
      <c r="AK4863">
        <v>9</v>
      </c>
      <c r="AL4863"/>
      <c r="AM4863"/>
      <c r="AN4863"/>
      <c r="AO4863"/>
      <c r="AP4863"/>
      <c r="AQ4863" t="s">
        <v>2526</v>
      </c>
      <c r="AU4863">
        <v>4862</v>
      </c>
    </row>
    <row r="4864" spans="1:47" x14ac:dyDescent="0.2">
      <c r="A4864" s="133">
        <v>6771</v>
      </c>
      <c r="B4864" s="39" t="s">
        <v>85</v>
      </c>
      <c r="C4864" s="39" t="s">
        <v>4769</v>
      </c>
      <c r="D4864" s="29"/>
      <c r="E4864" s="39" t="s">
        <v>6008</v>
      </c>
      <c r="F4864" s="47" t="s">
        <v>6009</v>
      </c>
      <c r="G4864" s="47" t="s">
        <v>69</v>
      </c>
      <c r="H4864"/>
      <c r="I4864" s="47" t="s">
        <v>6010</v>
      </c>
      <c r="J4864" s="47"/>
      <c r="K4864" s="47">
        <f>17224*2.2</f>
        <v>37892.800000000003</v>
      </c>
      <c r="L4864" s="48">
        <v>88</v>
      </c>
      <c r="M4864" s="47"/>
      <c r="N4864" s="47"/>
      <c r="O4864" s="47"/>
      <c r="P4864" s="47"/>
      <c r="Q4864" s="47"/>
      <c r="R4864" s="47"/>
      <c r="S4864" s="48"/>
      <c r="T4864" s="47">
        <v>2</v>
      </c>
      <c r="U4864" s="47"/>
      <c r="V4864" s="47"/>
      <c r="W4864" s="47">
        <f>800*39.37/12</f>
        <v>2624.6666666666665</v>
      </c>
      <c r="X4864" s="47"/>
      <c r="Y4864" s="47" t="s">
        <v>120</v>
      </c>
      <c r="Z4864" s="47" t="s">
        <v>3724</v>
      </c>
      <c r="AA4864" s="49">
        <v>0.375</v>
      </c>
      <c r="AB4864" s="49"/>
      <c r="AC4864" s="34">
        <v>0.42708333333333331</v>
      </c>
      <c r="AD4864" s="50"/>
      <c r="AE4864" s="47"/>
      <c r="AF4864" s="47"/>
      <c r="AG4864"/>
      <c r="AH4864"/>
      <c r="AI4864"/>
      <c r="AJ4864"/>
      <c r="AK4864"/>
      <c r="AL4864"/>
      <c r="AM4864"/>
      <c r="AN4864"/>
      <c r="AO4864"/>
      <c r="AP4864"/>
      <c r="AQ4864" t="s">
        <v>6011</v>
      </c>
      <c r="AU4864">
        <v>4863</v>
      </c>
    </row>
    <row r="4865" spans="1:47" x14ac:dyDescent="0.2">
      <c r="A4865" s="133">
        <v>6771</v>
      </c>
      <c r="B4865" s="39" t="s">
        <v>85</v>
      </c>
      <c r="C4865" s="39" t="s">
        <v>4769</v>
      </c>
      <c r="D4865" s="29"/>
      <c r="E4865" s="39" t="s">
        <v>6012</v>
      </c>
      <c r="F4865" s="47" t="s">
        <v>6013</v>
      </c>
      <c r="G4865" s="47" t="s">
        <v>69</v>
      </c>
      <c r="H4865"/>
      <c r="I4865" s="47" t="s">
        <v>6014</v>
      </c>
      <c r="J4865" s="47"/>
      <c r="K4865" s="47">
        <f>18620*2.2</f>
        <v>40964</v>
      </c>
      <c r="M4865" s="47"/>
      <c r="N4865" s="47"/>
      <c r="O4865" s="47"/>
      <c r="P4865" s="47"/>
      <c r="Q4865" s="47"/>
      <c r="R4865" s="47"/>
      <c r="S4865" s="48">
        <v>74</v>
      </c>
      <c r="T4865" s="47">
        <v>2</v>
      </c>
      <c r="U4865" s="47"/>
      <c r="V4865" s="47"/>
      <c r="W4865" s="47"/>
      <c r="X4865" s="47"/>
      <c r="Y4865" s="47"/>
      <c r="Z4865" s="47" t="s">
        <v>3724</v>
      </c>
      <c r="AA4865" s="49">
        <v>0.66666666666666663</v>
      </c>
      <c r="AB4865" s="49"/>
      <c r="AC4865" s="34">
        <v>0.75694444444444453</v>
      </c>
      <c r="AD4865" s="50"/>
      <c r="AE4865" s="47"/>
      <c r="AF4865" s="47"/>
      <c r="AG4865"/>
      <c r="AH4865"/>
      <c r="AI4865"/>
      <c r="AJ4865"/>
      <c r="AK4865"/>
      <c r="AL4865"/>
      <c r="AM4865"/>
      <c r="AN4865"/>
      <c r="AO4865"/>
      <c r="AP4865"/>
      <c r="AQ4865" t="s">
        <v>6015</v>
      </c>
      <c r="AU4865">
        <v>4864</v>
      </c>
    </row>
    <row r="4866" spans="1:47" x14ac:dyDescent="0.2">
      <c r="A4866" s="133">
        <v>6771</v>
      </c>
      <c r="B4866" s="39" t="s">
        <v>85</v>
      </c>
      <c r="C4866" s="39" t="s">
        <v>6016</v>
      </c>
      <c r="D4866" s="29"/>
      <c r="E4866" s="39" t="s">
        <v>6012</v>
      </c>
      <c r="F4866" s="47" t="s">
        <v>6017</v>
      </c>
      <c r="G4866" s="47" t="s">
        <v>69</v>
      </c>
      <c r="I4866" s="31" t="s">
        <v>6018</v>
      </c>
      <c r="K4866" s="31">
        <f>9000*2.2</f>
        <v>19800</v>
      </c>
      <c r="L4866" s="33">
        <v>62</v>
      </c>
      <c r="AQ4866" t="s">
        <v>6015</v>
      </c>
      <c r="AU4866">
        <v>4865</v>
      </c>
    </row>
    <row r="4867" spans="1:47" x14ac:dyDescent="0.2">
      <c r="A4867" s="13">
        <v>6771</v>
      </c>
      <c r="B4867" s="57" t="s">
        <v>45</v>
      </c>
      <c r="C4867" s="57" t="s">
        <v>142</v>
      </c>
      <c r="D4867" s="29"/>
      <c r="E4867" s="39" t="s">
        <v>6019</v>
      </c>
      <c r="F4867" s="31" t="s">
        <v>5606</v>
      </c>
      <c r="G4867" s="47" t="s">
        <v>69</v>
      </c>
      <c r="I4867" s="47" t="b">
        <v>1</v>
      </c>
      <c r="J4867" s="47" t="b">
        <v>1</v>
      </c>
      <c r="K4867" s="31">
        <f>5735*2.2</f>
        <v>12617.000000000002</v>
      </c>
      <c r="L4867" s="33">
        <v>23</v>
      </c>
      <c r="N4867" s="31">
        <v>3</v>
      </c>
      <c r="S4867" s="33">
        <v>20</v>
      </c>
      <c r="T4867" s="31">
        <v>0</v>
      </c>
      <c r="U4867" s="31">
        <v>2</v>
      </c>
      <c r="V4867" s="31">
        <v>3</v>
      </c>
      <c r="Y4867" s="31" t="s">
        <v>51</v>
      </c>
      <c r="Z4867" s="31" t="s">
        <v>3855</v>
      </c>
      <c r="AE4867" s="47" t="s">
        <v>4217</v>
      </c>
      <c r="AK4867" s="32">
        <f>135+16+11+13</f>
        <v>175</v>
      </c>
      <c r="AQ4867" s="32" t="s">
        <v>6020</v>
      </c>
      <c r="AR4867" s="32" t="s">
        <v>6021</v>
      </c>
      <c r="AU4867">
        <v>4866</v>
      </c>
    </row>
    <row r="4868" spans="1:47" x14ac:dyDescent="0.2">
      <c r="A4868" s="13">
        <v>6771</v>
      </c>
      <c r="B4868" s="57" t="s">
        <v>45</v>
      </c>
      <c r="C4868" s="57" t="s">
        <v>142</v>
      </c>
      <c r="D4868" s="29"/>
      <c r="E4868" s="57" t="s">
        <v>5772</v>
      </c>
      <c r="F4868" s="31" t="s">
        <v>5606</v>
      </c>
      <c r="G4868" s="47" t="s">
        <v>69</v>
      </c>
      <c r="I4868" s="47" t="b">
        <v>0</v>
      </c>
      <c r="J4868" s="47" t="b">
        <v>0</v>
      </c>
      <c r="K4868" s="31">
        <v>132</v>
      </c>
      <c r="S4868" s="33">
        <v>1</v>
      </c>
      <c r="Z4868" s="31" t="s">
        <v>3855</v>
      </c>
      <c r="AE4868" s="47" t="s">
        <v>4217</v>
      </c>
      <c r="AF4868" s="31">
        <v>75</v>
      </c>
      <c r="AQ4868" s="32" t="s">
        <v>5846</v>
      </c>
      <c r="AU4868">
        <v>4867</v>
      </c>
    </row>
    <row r="4869" spans="1:47" x14ac:dyDescent="0.2">
      <c r="A4869" s="13">
        <v>6771</v>
      </c>
      <c r="B4869" s="57" t="s">
        <v>45</v>
      </c>
      <c r="C4869" s="57" t="s">
        <v>142</v>
      </c>
      <c r="D4869" s="29"/>
      <c r="E4869" s="57" t="s">
        <v>6022</v>
      </c>
      <c r="F4869" s="31" t="s">
        <v>5606</v>
      </c>
      <c r="G4869" s="47" t="s">
        <v>69</v>
      </c>
      <c r="I4869" s="47" t="b">
        <v>0</v>
      </c>
      <c r="J4869" s="47" t="b">
        <v>0</v>
      </c>
      <c r="K4869" s="31">
        <v>616</v>
      </c>
      <c r="S4869" s="33">
        <v>1</v>
      </c>
      <c r="Z4869" s="31" t="s">
        <v>3855</v>
      </c>
      <c r="AE4869" s="47" t="s">
        <v>4217</v>
      </c>
      <c r="AF4869" s="31">
        <v>65</v>
      </c>
      <c r="AQ4869" s="32" t="s">
        <v>5846</v>
      </c>
      <c r="AU4869">
        <v>4868</v>
      </c>
    </row>
    <row r="4870" spans="1:47" x14ac:dyDescent="0.2">
      <c r="A4870" s="13">
        <v>6771</v>
      </c>
      <c r="B4870" s="57" t="s">
        <v>45</v>
      </c>
      <c r="C4870" s="57" t="s">
        <v>142</v>
      </c>
      <c r="D4870" s="29"/>
      <c r="E4870" s="57" t="s">
        <v>5677</v>
      </c>
      <c r="F4870" s="31" t="s">
        <v>5606</v>
      </c>
      <c r="G4870" s="47" t="s">
        <v>69</v>
      </c>
      <c r="I4870" s="47" t="b">
        <v>0</v>
      </c>
      <c r="J4870" s="47" t="b">
        <v>0</v>
      </c>
      <c r="K4870" s="31">
        <v>660</v>
      </c>
      <c r="S4870" s="33">
        <v>1</v>
      </c>
      <c r="Z4870" s="31" t="s">
        <v>3855</v>
      </c>
      <c r="AE4870" s="47" t="s">
        <v>4217</v>
      </c>
      <c r="AF4870" s="31">
        <v>65</v>
      </c>
      <c r="AQ4870" s="32" t="s">
        <v>5846</v>
      </c>
      <c r="AU4870">
        <v>4869</v>
      </c>
    </row>
    <row r="4871" spans="1:47" x14ac:dyDescent="0.2">
      <c r="A4871" s="13">
        <v>6771</v>
      </c>
      <c r="B4871" s="57" t="s">
        <v>45</v>
      </c>
      <c r="C4871" s="57" t="s">
        <v>142</v>
      </c>
      <c r="D4871" s="29"/>
      <c r="E4871" s="57" t="s">
        <v>6023</v>
      </c>
      <c r="F4871" s="31" t="s">
        <v>5606</v>
      </c>
      <c r="G4871" s="47" t="s">
        <v>69</v>
      </c>
      <c r="I4871" s="47" t="b">
        <v>0</v>
      </c>
      <c r="J4871" s="47" t="b">
        <v>0</v>
      </c>
      <c r="K4871" s="31">
        <v>660</v>
      </c>
      <c r="S4871" s="33">
        <v>1</v>
      </c>
      <c r="Z4871" s="31" t="s">
        <v>3855</v>
      </c>
      <c r="AE4871" s="47" t="s">
        <v>4217</v>
      </c>
      <c r="AF4871" s="31">
        <v>60</v>
      </c>
      <c r="AQ4871" s="32" t="s">
        <v>5846</v>
      </c>
      <c r="AU4871">
        <v>4870</v>
      </c>
    </row>
    <row r="4872" spans="1:47" x14ac:dyDescent="0.2">
      <c r="A4872" s="13">
        <v>6771</v>
      </c>
      <c r="B4872" s="57" t="s">
        <v>45</v>
      </c>
      <c r="C4872" s="57" t="s">
        <v>142</v>
      </c>
      <c r="D4872" s="29"/>
      <c r="E4872" s="57" t="s">
        <v>6024</v>
      </c>
      <c r="F4872" s="31" t="s">
        <v>5606</v>
      </c>
      <c r="G4872" s="47" t="s">
        <v>69</v>
      </c>
      <c r="I4872" s="47" t="b">
        <v>0</v>
      </c>
      <c r="J4872" s="47" t="b">
        <v>0</v>
      </c>
      <c r="K4872" s="31">
        <v>660</v>
      </c>
      <c r="S4872" s="33">
        <v>1</v>
      </c>
      <c r="Z4872" s="31" t="s">
        <v>3855</v>
      </c>
      <c r="AE4872" s="47" t="s">
        <v>4217</v>
      </c>
      <c r="AF4872" s="31">
        <v>50</v>
      </c>
      <c r="AQ4872" s="32" t="s">
        <v>5846</v>
      </c>
      <c r="AU4872">
        <v>4871</v>
      </c>
    </row>
    <row r="4873" spans="1:47" x14ac:dyDescent="0.2">
      <c r="A4873" s="13">
        <v>6771</v>
      </c>
      <c r="B4873" s="57" t="s">
        <v>45</v>
      </c>
      <c r="C4873" s="57" t="s">
        <v>142</v>
      </c>
      <c r="D4873" s="29"/>
      <c r="E4873" s="57" t="s">
        <v>1078</v>
      </c>
      <c r="F4873" s="31" t="s">
        <v>5606</v>
      </c>
      <c r="G4873" s="47" t="s">
        <v>69</v>
      </c>
      <c r="I4873" s="47" t="b">
        <v>0</v>
      </c>
      <c r="J4873" s="47" t="b">
        <v>0</v>
      </c>
      <c r="K4873" s="31">
        <v>1056</v>
      </c>
      <c r="S4873" s="33">
        <v>2</v>
      </c>
      <c r="Z4873" s="31" t="s">
        <v>3855</v>
      </c>
      <c r="AE4873" s="47" t="s">
        <v>4217</v>
      </c>
      <c r="AF4873" s="31">
        <v>70</v>
      </c>
      <c r="AQ4873" s="32" t="s">
        <v>5846</v>
      </c>
      <c r="AU4873">
        <v>4872</v>
      </c>
    </row>
    <row r="4874" spans="1:47" x14ac:dyDescent="0.2">
      <c r="A4874" s="13">
        <v>6771</v>
      </c>
      <c r="B4874" s="57" t="s">
        <v>45</v>
      </c>
      <c r="C4874" s="57" t="s">
        <v>142</v>
      </c>
      <c r="D4874" s="29"/>
      <c r="E4874" s="57" t="s">
        <v>6025</v>
      </c>
      <c r="F4874" s="31" t="s">
        <v>5606</v>
      </c>
      <c r="G4874" s="47" t="s">
        <v>69</v>
      </c>
      <c r="I4874" s="47" t="b">
        <v>0</v>
      </c>
      <c r="J4874" s="47" t="b">
        <v>0</v>
      </c>
      <c r="K4874" s="31">
        <v>1276</v>
      </c>
      <c r="S4874" s="33">
        <v>2</v>
      </c>
      <c r="Z4874" s="31" t="s">
        <v>3855</v>
      </c>
      <c r="AE4874" s="47" t="s">
        <v>4217</v>
      </c>
      <c r="AF4874" s="31">
        <v>65</v>
      </c>
      <c r="AQ4874" s="32" t="s">
        <v>5846</v>
      </c>
      <c r="AU4874">
        <v>4873</v>
      </c>
    </row>
    <row r="4875" spans="1:47" x14ac:dyDescent="0.2">
      <c r="A4875" s="13">
        <v>6771</v>
      </c>
      <c r="B4875" s="57" t="s">
        <v>45</v>
      </c>
      <c r="C4875" s="57" t="s">
        <v>142</v>
      </c>
      <c r="D4875" s="29"/>
      <c r="E4875" s="57" t="s">
        <v>6026</v>
      </c>
      <c r="F4875" s="31" t="s">
        <v>5606</v>
      </c>
      <c r="G4875" s="47" t="s">
        <v>69</v>
      </c>
      <c r="I4875" s="47" t="b">
        <v>0</v>
      </c>
      <c r="J4875" s="47" t="b">
        <v>0</v>
      </c>
      <c r="K4875" s="31">
        <v>8217</v>
      </c>
      <c r="S4875" s="33">
        <v>12</v>
      </c>
      <c r="Z4875" s="31" t="s">
        <v>3855</v>
      </c>
      <c r="AE4875" s="47" t="s">
        <v>4217</v>
      </c>
      <c r="AF4875" s="31">
        <v>65</v>
      </c>
      <c r="AQ4875" s="32" t="s">
        <v>5846</v>
      </c>
      <c r="AU4875">
        <v>4874</v>
      </c>
    </row>
    <row r="4876" spans="1:47" x14ac:dyDescent="0.2">
      <c r="A4876" s="13">
        <v>6771</v>
      </c>
      <c r="B4876" s="57" t="s">
        <v>45</v>
      </c>
      <c r="C4876" s="57" t="s">
        <v>4456</v>
      </c>
      <c r="D4876" s="29"/>
      <c r="E4876" s="57" t="s">
        <v>5327</v>
      </c>
      <c r="F4876" s="31" t="s">
        <v>6027</v>
      </c>
      <c r="G4876" s="47" t="s">
        <v>69</v>
      </c>
      <c r="I4876" s="47" t="s">
        <v>6028</v>
      </c>
      <c r="J4876" s="47"/>
      <c r="K4876" s="135">
        <v>880</v>
      </c>
      <c r="L4876" s="33">
        <v>1</v>
      </c>
      <c r="S4876" s="33">
        <v>1</v>
      </c>
      <c r="T4876" s="47">
        <v>0</v>
      </c>
      <c r="U4876" s="47">
        <v>0</v>
      </c>
      <c r="V4876" s="47">
        <v>0</v>
      </c>
      <c r="W4876" s="47">
        <f>1500*39.37/12</f>
        <v>4921.2499999999991</v>
      </c>
      <c r="X4876" s="47"/>
      <c r="Y4876" s="31" t="s">
        <v>51</v>
      </c>
      <c r="Z4876" s="31" t="s">
        <v>1846</v>
      </c>
      <c r="AA4876" s="49">
        <v>2.0833333333333332E-2</v>
      </c>
      <c r="AB4876" s="49">
        <v>5.9027777777777783E-2</v>
      </c>
      <c r="AC4876" s="49">
        <f>AVERAGE(AA4876:AB4876)</f>
        <v>3.9930555555555559E-2</v>
      </c>
      <c r="AD4876" s="35">
        <f>55/60</f>
        <v>0.91666666666666663</v>
      </c>
      <c r="AE4876" s="31" t="s">
        <v>4756</v>
      </c>
      <c r="AQ4876" s="32" t="s">
        <v>6029</v>
      </c>
      <c r="AU4876">
        <v>4875</v>
      </c>
    </row>
    <row r="4877" spans="1:47" x14ac:dyDescent="0.2">
      <c r="A4877" s="13">
        <v>6771</v>
      </c>
      <c r="B4877" s="57" t="s">
        <v>45</v>
      </c>
      <c r="C4877" s="57" t="s">
        <v>4456</v>
      </c>
      <c r="D4877" s="29"/>
      <c r="E4877" s="57" t="s">
        <v>5312</v>
      </c>
      <c r="F4877" s="31" t="s">
        <v>5299</v>
      </c>
      <c r="G4877" s="47" t="s">
        <v>49</v>
      </c>
      <c r="I4877" s="47" t="s">
        <v>6030</v>
      </c>
      <c r="J4877" s="47"/>
      <c r="K4877" s="135">
        <v>880</v>
      </c>
      <c r="L4877" s="33">
        <v>1</v>
      </c>
      <c r="S4877" s="33">
        <v>1</v>
      </c>
      <c r="T4877" s="47">
        <v>0</v>
      </c>
      <c r="U4877" s="47">
        <v>0</v>
      </c>
      <c r="V4877" s="47">
        <v>0</v>
      </c>
      <c r="W4877" s="47">
        <f>1200*39.37/12</f>
        <v>3937</v>
      </c>
      <c r="X4877" s="47"/>
      <c r="Y4877" s="31" t="s">
        <v>51</v>
      </c>
      <c r="Z4877" s="31" t="s">
        <v>1846</v>
      </c>
      <c r="AA4877" s="49">
        <v>6.9444444444444441E-3</v>
      </c>
      <c r="AB4877" s="49">
        <v>5.9027777777777783E-2</v>
      </c>
      <c r="AC4877" s="49">
        <f>AVERAGE(AA4877:AB4877)</f>
        <v>3.2986111111111112E-2</v>
      </c>
      <c r="AD4877" s="35">
        <v>1.25</v>
      </c>
      <c r="AE4877" s="31" t="s">
        <v>4756</v>
      </c>
      <c r="AF4877" s="31">
        <v>50</v>
      </c>
      <c r="AQ4877" s="32" t="s">
        <v>6029</v>
      </c>
      <c r="AU4877">
        <v>4876</v>
      </c>
    </row>
    <row r="4878" spans="1:47" x14ac:dyDescent="0.2">
      <c r="A4878" s="13">
        <v>6771</v>
      </c>
      <c r="B4878" s="57" t="s">
        <v>45</v>
      </c>
      <c r="C4878" s="57" t="s">
        <v>4456</v>
      </c>
      <c r="D4878" s="29"/>
      <c r="E4878" s="57" t="s">
        <v>5253</v>
      </c>
      <c r="F4878" s="31" t="s">
        <v>6027</v>
      </c>
      <c r="G4878" s="47" t="s">
        <v>69</v>
      </c>
      <c r="I4878" s="47" t="s">
        <v>6031</v>
      </c>
      <c r="J4878" s="47"/>
      <c r="K4878" s="135">
        <f>4*880</f>
        <v>3520</v>
      </c>
      <c r="L4878" s="33">
        <v>4</v>
      </c>
      <c r="S4878" s="33">
        <v>4</v>
      </c>
      <c r="T4878" s="47">
        <v>0</v>
      </c>
      <c r="U4878" s="47">
        <v>0</v>
      </c>
      <c r="V4878" s="47">
        <v>0</v>
      </c>
      <c r="W4878" s="47">
        <f>((1400+1200+1800+2300)/4)*39.37/12</f>
        <v>5495.395833333333</v>
      </c>
      <c r="X4878" s="47"/>
      <c r="Y4878" s="31" t="s">
        <v>51</v>
      </c>
      <c r="Z4878" s="31" t="s">
        <v>1846</v>
      </c>
      <c r="AA4878" s="49">
        <v>1.0416666666666666E-2</v>
      </c>
      <c r="AB4878" s="49">
        <v>9.0277777777777776E-2</v>
      </c>
      <c r="AC4878" s="49">
        <f>AVERAGE(AA4878:AB4878)</f>
        <v>5.0347222222222224E-2</v>
      </c>
      <c r="AD4878" s="35">
        <v>1.92</v>
      </c>
      <c r="AE4878" s="31" t="s">
        <v>4756</v>
      </c>
      <c r="AF4878" s="31">
        <v>50</v>
      </c>
      <c r="AQ4878" s="32" t="s">
        <v>6029</v>
      </c>
      <c r="AU4878">
        <v>4877</v>
      </c>
    </row>
    <row r="4879" spans="1:47" x14ac:dyDescent="0.2">
      <c r="A4879" s="13">
        <v>6771</v>
      </c>
      <c r="B4879" s="57" t="s">
        <v>45</v>
      </c>
      <c r="C4879" s="57" t="s">
        <v>4843</v>
      </c>
      <c r="D4879" s="29"/>
      <c r="E4879" s="57" t="s">
        <v>6032</v>
      </c>
      <c r="F4879" s="31" t="s">
        <v>5606</v>
      </c>
      <c r="G4879" s="47" t="s">
        <v>69</v>
      </c>
      <c r="K4879" s="31">
        <v>616</v>
      </c>
      <c r="S4879" s="33">
        <v>1</v>
      </c>
      <c r="Z4879" s="31" t="s">
        <v>3814</v>
      </c>
      <c r="AQ4879" s="32" t="s">
        <v>5846</v>
      </c>
      <c r="AU4879">
        <v>4878</v>
      </c>
    </row>
    <row r="4880" spans="1:47" x14ac:dyDescent="0.2">
      <c r="A4880" s="26">
        <v>6771</v>
      </c>
      <c r="B4880" s="27">
        <v>0.60069444444444442</v>
      </c>
      <c r="C4880" s="28"/>
      <c r="D4880" s="29"/>
      <c r="E4880" s="102" t="s">
        <v>1102</v>
      </c>
      <c r="H4880" s="32">
        <v>0</v>
      </c>
      <c r="I4880" s="32" t="s">
        <v>1103</v>
      </c>
      <c r="AG4880" s="32">
        <v>0</v>
      </c>
      <c r="AH4880" s="32">
        <v>0</v>
      </c>
      <c r="AI4880" s="32">
        <v>0</v>
      </c>
      <c r="AK4880" s="32">
        <v>0</v>
      </c>
      <c r="AL4880" s="32">
        <f>23/60</f>
        <v>0.38333333333333336</v>
      </c>
      <c r="AO4880" s="73" t="s">
        <v>1006</v>
      </c>
      <c r="AP4880" s="32">
        <f>23/60</f>
        <v>0.38333333333333336</v>
      </c>
      <c r="AQ4880" s="32" t="s">
        <v>589</v>
      </c>
      <c r="AU4880">
        <v>4879</v>
      </c>
    </row>
    <row r="4881" spans="1:47" x14ac:dyDescent="0.2">
      <c r="A4881" s="26">
        <v>6771</v>
      </c>
      <c r="B4881" s="27" t="s">
        <v>45</v>
      </c>
      <c r="C4881" s="28"/>
      <c r="D4881" s="29"/>
      <c r="E4881" s="30" t="s">
        <v>1531</v>
      </c>
      <c r="H4881" s="32">
        <v>0</v>
      </c>
      <c r="I4881" s="32" t="s">
        <v>1532</v>
      </c>
      <c r="AG4881" s="32">
        <v>0</v>
      </c>
      <c r="AH4881" s="32">
        <v>0</v>
      </c>
      <c r="AI4881" s="32">
        <v>0</v>
      </c>
      <c r="AK4881" s="32">
        <v>0</v>
      </c>
      <c r="AM4881" s="32">
        <f>498*25</f>
        <v>12450</v>
      </c>
      <c r="AO4881" s="32" t="s">
        <v>1533</v>
      </c>
      <c r="AQ4881" s="32" t="s">
        <v>1101</v>
      </c>
      <c r="AU4881">
        <v>4880</v>
      </c>
    </row>
    <row r="4882" spans="1:47" x14ac:dyDescent="0.2">
      <c r="A4882" s="26">
        <v>6771</v>
      </c>
      <c r="B4882" s="27" t="s">
        <v>45</v>
      </c>
      <c r="C4882" s="28"/>
      <c r="D4882" s="29"/>
      <c r="E4882" s="150" t="s">
        <v>2286</v>
      </c>
      <c r="H4882" s="32">
        <v>0</v>
      </c>
      <c r="I4882" s="32" t="s">
        <v>1824</v>
      </c>
      <c r="AG4882" s="32">
        <v>0</v>
      </c>
      <c r="AH4882" s="32">
        <v>0</v>
      </c>
      <c r="AI4882" s="32">
        <v>0</v>
      </c>
      <c r="AK4882" s="32">
        <v>0</v>
      </c>
      <c r="AM4882" s="32">
        <v>5000</v>
      </c>
      <c r="AO4882" s="73" t="s">
        <v>75</v>
      </c>
      <c r="AQ4882" s="32" t="s">
        <v>589</v>
      </c>
      <c r="AU4882">
        <v>4881</v>
      </c>
    </row>
    <row r="4883" spans="1:47" x14ac:dyDescent="0.2">
      <c r="A4883" s="26">
        <v>6771</v>
      </c>
      <c r="B4883" s="27"/>
      <c r="C4883" s="28"/>
      <c r="D4883" s="29"/>
      <c r="E4883" s="30" t="s">
        <v>464</v>
      </c>
      <c r="H4883" s="32">
        <v>0</v>
      </c>
      <c r="I4883" s="32" t="s">
        <v>6033</v>
      </c>
      <c r="AG4883" s="32">
        <v>0</v>
      </c>
      <c r="AH4883" s="32">
        <v>0</v>
      </c>
      <c r="AL4883" s="32">
        <v>0.33300000000000002</v>
      </c>
      <c r="AO4883" s="32" t="s">
        <v>4067</v>
      </c>
      <c r="AP4883" s="32">
        <v>0.33300000000000002</v>
      </c>
      <c r="AQ4883" s="32" t="s">
        <v>1522</v>
      </c>
      <c r="AU4883">
        <v>4882</v>
      </c>
    </row>
    <row r="4884" spans="1:47" x14ac:dyDescent="0.2">
      <c r="A4884" s="133">
        <v>6772</v>
      </c>
      <c r="B4884" s="39" t="s">
        <v>85</v>
      </c>
      <c r="C4884" s="39">
        <v>55</v>
      </c>
      <c r="D4884" s="29" t="b">
        <v>0</v>
      </c>
      <c r="E4884" s="39" t="s">
        <v>1764</v>
      </c>
      <c r="F4884" s="47" t="s">
        <v>2398</v>
      </c>
      <c r="G4884" s="47" t="s">
        <v>49</v>
      </c>
      <c r="H4884"/>
      <c r="I4884" s="47" t="b">
        <v>0</v>
      </c>
      <c r="J4884" s="47" t="b">
        <v>1</v>
      </c>
      <c r="K4884" s="47">
        <v>1182</v>
      </c>
      <c r="L4884" s="48">
        <v>12</v>
      </c>
      <c r="M4884" s="47">
        <v>4</v>
      </c>
      <c r="N4884" s="47">
        <v>0</v>
      </c>
      <c r="O4884" s="47">
        <v>2</v>
      </c>
      <c r="P4884" s="47">
        <v>6</v>
      </c>
      <c r="Q4884" s="47">
        <v>0</v>
      </c>
      <c r="R4884" s="47">
        <v>0</v>
      </c>
      <c r="S4884" s="48">
        <v>6</v>
      </c>
      <c r="T4884" s="47">
        <v>0</v>
      </c>
      <c r="U4884" s="47">
        <v>0</v>
      </c>
      <c r="V4884" s="47">
        <v>2</v>
      </c>
      <c r="W4884" s="47">
        <v>14000</v>
      </c>
      <c r="X4884" s="47">
        <v>700</v>
      </c>
      <c r="Y4884" s="47" t="s">
        <v>120</v>
      </c>
      <c r="Z4884" s="47" t="s">
        <v>3618</v>
      </c>
      <c r="AA4884" s="49">
        <v>0.47916666666666669</v>
      </c>
      <c r="AB4884" s="49">
        <v>0.58333333333333337</v>
      </c>
      <c r="AC4884" s="49">
        <f>AVERAGE(AA4884:AB4884)</f>
        <v>0.53125</v>
      </c>
      <c r="AD4884" s="50">
        <f>(AB4884-AA4884)*24</f>
        <v>2.5000000000000004</v>
      </c>
      <c r="AE4884" s="47" t="s">
        <v>5433</v>
      </c>
      <c r="AF4884" s="47">
        <v>85</v>
      </c>
      <c r="AG4884"/>
      <c r="AH4884"/>
      <c r="AI4884"/>
      <c r="AJ4884"/>
      <c r="AK4884">
        <v>17</v>
      </c>
      <c r="AL4884"/>
      <c r="AM4884"/>
      <c r="AN4884"/>
      <c r="AO4884"/>
      <c r="AP4884"/>
      <c r="AQ4884" t="s">
        <v>5434</v>
      </c>
      <c r="AU4884">
        <v>4883</v>
      </c>
    </row>
    <row r="4885" spans="1:47" x14ac:dyDescent="0.2">
      <c r="A4885" s="133">
        <v>6772</v>
      </c>
      <c r="B4885" s="39" t="s">
        <v>85</v>
      </c>
      <c r="C4885" s="39">
        <v>99</v>
      </c>
      <c r="D4885" s="29" t="b">
        <v>0</v>
      </c>
      <c r="E4885" s="39" t="s">
        <v>1764</v>
      </c>
      <c r="F4885" s="47" t="s">
        <v>2398</v>
      </c>
      <c r="G4885" s="47" t="s">
        <v>49</v>
      </c>
      <c r="H4885"/>
      <c r="I4885" s="47" t="b">
        <v>0</v>
      </c>
      <c r="J4885" s="47" t="b">
        <v>1</v>
      </c>
      <c r="K4885" s="47">
        <v>2718</v>
      </c>
      <c r="L4885" s="48">
        <v>12</v>
      </c>
      <c r="M4885" s="47">
        <v>0</v>
      </c>
      <c r="N4885" s="47">
        <v>0</v>
      </c>
      <c r="O4885" s="47">
        <v>0</v>
      </c>
      <c r="P4885" s="47">
        <v>12</v>
      </c>
      <c r="Q4885" s="47">
        <v>0</v>
      </c>
      <c r="R4885" s="47">
        <v>0</v>
      </c>
      <c r="S4885" s="48">
        <v>12</v>
      </c>
      <c r="T4885" s="47">
        <v>0</v>
      </c>
      <c r="U4885" s="47">
        <v>0</v>
      </c>
      <c r="V4885" s="47">
        <v>0</v>
      </c>
      <c r="W4885" s="47">
        <v>12500</v>
      </c>
      <c r="X4885" s="47">
        <v>701</v>
      </c>
      <c r="Y4885" s="47" t="s">
        <v>120</v>
      </c>
      <c r="Z4885" s="47" t="s">
        <v>5139</v>
      </c>
      <c r="AA4885" s="49">
        <v>0.47569444444444442</v>
      </c>
      <c r="AB4885" s="49">
        <v>0.57638888888888895</v>
      </c>
      <c r="AC4885" s="49">
        <f>AVERAGE(AA4885:AB4885)</f>
        <v>0.52604166666666674</v>
      </c>
      <c r="AD4885" s="50">
        <f>(AB4885-AA4885)*24</f>
        <v>2.4166666666666687</v>
      </c>
      <c r="AE4885" s="47" t="s">
        <v>5433</v>
      </c>
      <c r="AF4885" s="47">
        <v>85</v>
      </c>
      <c r="AG4885"/>
      <c r="AH4885"/>
      <c r="AI4885"/>
      <c r="AJ4885"/>
      <c r="AK4885">
        <v>19</v>
      </c>
      <c r="AL4885"/>
      <c r="AM4885"/>
      <c r="AN4885"/>
      <c r="AO4885"/>
      <c r="AP4885"/>
      <c r="AQ4885" t="s">
        <v>2526</v>
      </c>
      <c r="AU4885">
        <v>4884</v>
      </c>
    </row>
    <row r="4886" spans="1:47" x14ac:dyDescent="0.2">
      <c r="A4886" s="133">
        <v>6772</v>
      </c>
      <c r="B4886" s="39" t="s">
        <v>85</v>
      </c>
      <c r="C4886" s="39" t="s">
        <v>4769</v>
      </c>
      <c r="D4886" s="29"/>
      <c r="E4886" s="39" t="s">
        <v>6034</v>
      </c>
      <c r="F4886" s="47" t="s">
        <v>6009</v>
      </c>
      <c r="G4886" s="47" t="s">
        <v>69</v>
      </c>
      <c r="H4886"/>
      <c r="I4886" s="47" t="s">
        <v>6035</v>
      </c>
      <c r="J4886" s="47"/>
      <c r="K4886" s="47">
        <f>16943*2.2</f>
        <v>37274.600000000006</v>
      </c>
      <c r="L4886" s="48">
        <v>70</v>
      </c>
      <c r="M4886" s="47"/>
      <c r="N4886" s="47"/>
      <c r="O4886" s="47"/>
      <c r="P4886" s="47"/>
      <c r="Q4886" s="47"/>
      <c r="R4886" s="47"/>
      <c r="T4886" s="47">
        <v>0</v>
      </c>
      <c r="U4886" s="47"/>
      <c r="V4886" s="47"/>
      <c r="W4886" s="47"/>
      <c r="X4886" s="47"/>
      <c r="Y4886" s="47" t="s">
        <v>120</v>
      </c>
      <c r="Z4886" s="47" t="s">
        <v>3724</v>
      </c>
      <c r="AA4886" s="49">
        <v>0.6875</v>
      </c>
      <c r="AB4886" s="49"/>
      <c r="AD4886" s="50"/>
      <c r="AE4886" s="47"/>
      <c r="AF4886" s="47"/>
      <c r="AG4886"/>
      <c r="AH4886"/>
      <c r="AI4886"/>
      <c r="AJ4886"/>
      <c r="AK4886"/>
      <c r="AL4886"/>
      <c r="AM4886"/>
      <c r="AN4886"/>
      <c r="AO4886"/>
      <c r="AP4886"/>
      <c r="AQ4886" t="s">
        <v>6036</v>
      </c>
      <c r="AU4886">
        <v>4885</v>
      </c>
    </row>
    <row r="4887" spans="1:47" x14ac:dyDescent="0.2">
      <c r="A4887" s="133">
        <v>6772</v>
      </c>
      <c r="B4887" s="39" t="s">
        <v>85</v>
      </c>
      <c r="C4887" s="39" t="s">
        <v>6037</v>
      </c>
      <c r="D4887" s="29"/>
      <c r="E4887" s="39" t="s">
        <v>6038</v>
      </c>
      <c r="F4887" s="47" t="s">
        <v>6038</v>
      </c>
      <c r="G4887" s="47" t="s">
        <v>69</v>
      </c>
      <c r="H4887"/>
      <c r="I4887" s="47" t="s">
        <v>6039</v>
      </c>
      <c r="J4887" s="47"/>
      <c r="K4887" s="47"/>
      <c r="L4887" s="48"/>
      <c r="M4887" s="47"/>
      <c r="N4887" s="47"/>
      <c r="O4887" s="47"/>
      <c r="P4887" s="47"/>
      <c r="Q4887" s="47"/>
      <c r="R4887" s="47"/>
      <c r="S4887" s="48"/>
      <c r="T4887" s="47"/>
      <c r="U4887" s="47"/>
      <c r="V4887" s="47"/>
      <c r="W4887" s="47"/>
      <c r="X4887" s="47"/>
      <c r="Y4887" s="47" t="s">
        <v>120</v>
      </c>
      <c r="Z4887" s="47"/>
      <c r="AA4887" s="49"/>
      <c r="AB4887" s="49"/>
      <c r="AC4887" s="49"/>
      <c r="AD4887" s="50"/>
      <c r="AE4887" s="47"/>
      <c r="AF4887" s="47"/>
      <c r="AG4887"/>
      <c r="AH4887"/>
      <c r="AI4887"/>
      <c r="AJ4887"/>
      <c r="AK4887"/>
      <c r="AL4887"/>
      <c r="AM4887"/>
      <c r="AN4887"/>
      <c r="AO4887"/>
      <c r="AP4887"/>
      <c r="AQ4887"/>
      <c r="AU4887">
        <v>4886</v>
      </c>
    </row>
    <row r="4888" spans="1:47" x14ac:dyDescent="0.2">
      <c r="A4888" s="133">
        <v>6772</v>
      </c>
      <c r="B4888" s="39" t="s">
        <v>45</v>
      </c>
      <c r="C4888" s="39">
        <v>100</v>
      </c>
      <c r="D4888" s="29" t="b">
        <v>0</v>
      </c>
      <c r="E4888" s="39" t="s">
        <v>6040</v>
      </c>
      <c r="F4888" s="47" t="s">
        <v>6041</v>
      </c>
      <c r="G4888" s="47" t="s">
        <v>481</v>
      </c>
      <c r="H4888"/>
      <c r="I4888" s="47" t="b">
        <v>1</v>
      </c>
      <c r="J4888" s="47" t="b">
        <v>1</v>
      </c>
      <c r="K4888" s="47">
        <v>3064</v>
      </c>
      <c r="L4888" s="48">
        <v>14</v>
      </c>
      <c r="M4888" s="47">
        <v>0</v>
      </c>
      <c r="N4888" s="47">
        <v>3</v>
      </c>
      <c r="O4888" s="47">
        <v>1</v>
      </c>
      <c r="P4888" s="47">
        <v>0</v>
      </c>
      <c r="Q4888" s="47">
        <v>0</v>
      </c>
      <c r="R4888" s="47">
        <v>0</v>
      </c>
      <c r="S4888" s="48">
        <v>12</v>
      </c>
      <c r="T4888" s="47">
        <v>0</v>
      </c>
      <c r="U4888" s="47">
        <v>0</v>
      </c>
      <c r="V4888" s="47">
        <v>0</v>
      </c>
      <c r="W4888" s="47">
        <v>2000</v>
      </c>
      <c r="X4888" s="47">
        <v>702</v>
      </c>
      <c r="Y4888" s="47"/>
      <c r="Z4888" s="47" t="s">
        <v>2524</v>
      </c>
      <c r="AA4888" s="49"/>
      <c r="AB4888" s="49"/>
      <c r="AC4888" s="49"/>
      <c r="AD4888" s="50"/>
      <c r="AE4888" s="47" t="s">
        <v>1312</v>
      </c>
      <c r="AF4888" s="47">
        <v>75</v>
      </c>
      <c r="AG4888"/>
      <c r="AH4888"/>
      <c r="AI4888"/>
      <c r="AJ4888"/>
      <c r="AK4888"/>
      <c r="AL4888"/>
      <c r="AM4888"/>
      <c r="AN4888"/>
      <c r="AO4888"/>
      <c r="AP4888"/>
      <c r="AQ4888" t="s">
        <v>2526</v>
      </c>
      <c r="AU4888">
        <v>4887</v>
      </c>
    </row>
    <row r="4889" spans="1:47" x14ac:dyDescent="0.2">
      <c r="A4889" s="133">
        <v>6772</v>
      </c>
      <c r="B4889" s="39" t="s">
        <v>45</v>
      </c>
      <c r="C4889" s="39">
        <v>100</v>
      </c>
      <c r="D4889" s="29" t="b">
        <v>0</v>
      </c>
      <c r="E4889" s="39" t="s">
        <v>464</v>
      </c>
      <c r="F4889" s="47" t="s">
        <v>1972</v>
      </c>
      <c r="G4889" s="47" t="s">
        <v>481</v>
      </c>
      <c r="H4889"/>
      <c r="I4889" s="47" t="b">
        <v>0</v>
      </c>
      <c r="J4889" s="47" t="b">
        <v>0</v>
      </c>
      <c r="K4889" s="47">
        <v>2752</v>
      </c>
      <c r="L4889" s="48">
        <v>14</v>
      </c>
      <c r="M4889" s="47">
        <v>0</v>
      </c>
      <c r="N4889" s="47">
        <v>3</v>
      </c>
      <c r="O4889" s="47">
        <v>1</v>
      </c>
      <c r="P4889" s="47">
        <v>0</v>
      </c>
      <c r="Q4889" s="47">
        <v>0</v>
      </c>
      <c r="R4889" s="47">
        <v>0</v>
      </c>
      <c r="S4889" s="48">
        <v>11</v>
      </c>
      <c r="T4889" s="47">
        <v>0</v>
      </c>
      <c r="U4889" s="47">
        <v>0</v>
      </c>
      <c r="V4889" s="47">
        <v>0</v>
      </c>
      <c r="W4889" s="47">
        <v>2000</v>
      </c>
      <c r="X4889" s="47">
        <v>703</v>
      </c>
      <c r="Y4889" s="47"/>
      <c r="Z4889" s="47" t="s">
        <v>2524</v>
      </c>
      <c r="AA4889" s="49"/>
      <c r="AB4889" s="49"/>
      <c r="AC4889" s="49"/>
      <c r="AD4889" s="50"/>
      <c r="AE4889" s="47" t="s">
        <v>1312</v>
      </c>
      <c r="AF4889" s="47">
        <v>75</v>
      </c>
      <c r="AG4889"/>
      <c r="AH4889"/>
      <c r="AI4889"/>
      <c r="AJ4889"/>
      <c r="AK4889"/>
      <c r="AL4889"/>
      <c r="AM4889"/>
      <c r="AN4889"/>
      <c r="AO4889"/>
      <c r="AP4889"/>
      <c r="AQ4889" t="s">
        <v>2526</v>
      </c>
      <c r="AU4889">
        <v>4888</v>
      </c>
    </row>
    <row r="4890" spans="1:47" x14ac:dyDescent="0.2">
      <c r="A4890" s="133">
        <v>6772</v>
      </c>
      <c r="B4890" s="39" t="s">
        <v>45</v>
      </c>
      <c r="C4890" s="39">
        <v>100</v>
      </c>
      <c r="D4890" s="29" t="b">
        <v>0</v>
      </c>
      <c r="E4890" s="39" t="s">
        <v>1830</v>
      </c>
      <c r="F4890" s="47" t="s">
        <v>3663</v>
      </c>
      <c r="G4890" s="47" t="s">
        <v>49</v>
      </c>
      <c r="H4890"/>
      <c r="I4890" s="47" t="b">
        <v>0</v>
      </c>
      <c r="J4890" s="47" t="b">
        <v>0</v>
      </c>
      <c r="K4890" s="47">
        <v>312</v>
      </c>
      <c r="L4890" s="48">
        <v>14</v>
      </c>
      <c r="M4890" s="47">
        <v>0</v>
      </c>
      <c r="N4890" s="47">
        <v>3</v>
      </c>
      <c r="O4890" s="47">
        <v>1</v>
      </c>
      <c r="P4890" s="47">
        <v>0</v>
      </c>
      <c r="Q4890" s="47">
        <v>0</v>
      </c>
      <c r="R4890" s="47">
        <v>0</v>
      </c>
      <c r="S4890" s="48">
        <v>1</v>
      </c>
      <c r="T4890" s="47">
        <v>0</v>
      </c>
      <c r="U4890" s="47">
        <v>0</v>
      </c>
      <c r="V4890" s="47">
        <v>0</v>
      </c>
      <c r="W4890" s="47">
        <v>2000</v>
      </c>
      <c r="X4890" s="47">
        <v>704</v>
      </c>
      <c r="Y4890" s="47"/>
      <c r="Z4890" s="47" t="s">
        <v>2524</v>
      </c>
      <c r="AA4890" s="49"/>
      <c r="AB4890" s="49"/>
      <c r="AC4890" s="49"/>
      <c r="AD4890" s="50"/>
      <c r="AE4890" s="47" t="s">
        <v>1312</v>
      </c>
      <c r="AF4890" s="47">
        <v>90</v>
      </c>
      <c r="AG4890"/>
      <c r="AH4890"/>
      <c r="AI4890"/>
      <c r="AJ4890"/>
      <c r="AK4890"/>
      <c r="AL4890"/>
      <c r="AM4890"/>
      <c r="AN4890"/>
      <c r="AO4890"/>
      <c r="AP4890"/>
      <c r="AQ4890" t="s">
        <v>2526</v>
      </c>
      <c r="AU4890">
        <v>4889</v>
      </c>
    </row>
    <row r="4891" spans="1:47" x14ac:dyDescent="0.2">
      <c r="A4891" s="133">
        <v>6772</v>
      </c>
      <c r="B4891" s="39" t="s">
        <v>45</v>
      </c>
      <c r="C4891" s="39">
        <v>216</v>
      </c>
      <c r="D4891" s="29" t="b">
        <v>0</v>
      </c>
      <c r="E4891" s="39" t="s">
        <v>6042</v>
      </c>
      <c r="F4891" s="47" t="s">
        <v>6043</v>
      </c>
      <c r="G4891" s="47" t="s">
        <v>481</v>
      </c>
      <c r="H4891"/>
      <c r="I4891" s="47" t="b">
        <v>1</v>
      </c>
      <c r="J4891" s="47" t="b">
        <v>1</v>
      </c>
      <c r="K4891" s="47">
        <v>4032</v>
      </c>
      <c r="L4891" s="48">
        <v>7</v>
      </c>
      <c r="M4891" s="47">
        <v>0</v>
      </c>
      <c r="N4891" s="47">
        <v>4</v>
      </c>
      <c r="O4891" s="47">
        <v>0</v>
      </c>
      <c r="P4891" s="47">
        <v>0</v>
      </c>
      <c r="Q4891" s="47">
        <v>0</v>
      </c>
      <c r="R4891" s="47">
        <v>0</v>
      </c>
      <c r="S4891" s="48">
        <v>3</v>
      </c>
      <c r="T4891" s="47">
        <v>0</v>
      </c>
      <c r="U4891" s="47">
        <v>0</v>
      </c>
      <c r="V4891" s="47">
        <v>0</v>
      </c>
      <c r="W4891" s="47">
        <v>7000</v>
      </c>
      <c r="X4891" s="47">
        <v>705</v>
      </c>
      <c r="Y4891" s="47"/>
      <c r="Z4891" s="47" t="s">
        <v>2466</v>
      </c>
      <c r="AA4891" s="49"/>
      <c r="AB4891" s="49"/>
      <c r="AC4891" s="49"/>
      <c r="AD4891" s="50"/>
      <c r="AE4891" s="47" t="s">
        <v>1312</v>
      </c>
      <c r="AF4891" s="47">
        <v>105</v>
      </c>
      <c r="AG4891"/>
      <c r="AH4891"/>
      <c r="AI4891"/>
      <c r="AJ4891"/>
      <c r="AK4891"/>
      <c r="AL4891"/>
      <c r="AM4891"/>
      <c r="AN4891"/>
      <c r="AO4891"/>
      <c r="AP4891"/>
      <c r="AQ4891" t="s">
        <v>2526</v>
      </c>
      <c r="AU4891">
        <v>4890</v>
      </c>
    </row>
    <row r="4892" spans="1:47" x14ac:dyDescent="0.2">
      <c r="A4892" s="133">
        <v>6772</v>
      </c>
      <c r="B4892" s="39" t="s">
        <v>45</v>
      </c>
      <c r="C4892" s="39">
        <v>216</v>
      </c>
      <c r="D4892" s="29" t="b">
        <v>0</v>
      </c>
      <c r="E4892" s="39" t="s">
        <v>858</v>
      </c>
      <c r="F4892" s="47" t="s">
        <v>3665</v>
      </c>
      <c r="G4892" s="47" t="s">
        <v>481</v>
      </c>
      <c r="H4892"/>
      <c r="I4892" s="47" t="b">
        <v>0</v>
      </c>
      <c r="J4892" s="47" t="b">
        <v>0</v>
      </c>
      <c r="K4892" s="47">
        <v>3808</v>
      </c>
      <c r="L4892" s="48">
        <v>7</v>
      </c>
      <c r="M4892" s="47">
        <v>0</v>
      </c>
      <c r="N4892" s="47">
        <v>4</v>
      </c>
      <c r="O4892" s="47">
        <v>0</v>
      </c>
      <c r="P4892" s="47">
        <v>0</v>
      </c>
      <c r="Q4892" s="47">
        <v>0</v>
      </c>
      <c r="R4892" s="47">
        <v>0</v>
      </c>
      <c r="S4892" s="48">
        <v>3</v>
      </c>
      <c r="T4892" s="47">
        <v>0</v>
      </c>
      <c r="U4892" s="47">
        <v>0</v>
      </c>
      <c r="V4892" s="47">
        <v>0</v>
      </c>
      <c r="W4892" s="47">
        <v>7000</v>
      </c>
      <c r="X4892" s="47">
        <v>706</v>
      </c>
      <c r="Y4892" s="47"/>
      <c r="Z4892" s="47" t="s">
        <v>2466</v>
      </c>
      <c r="AA4892" s="49"/>
      <c r="AB4892" s="49"/>
      <c r="AC4892" s="49"/>
      <c r="AD4892" s="50"/>
      <c r="AE4892" s="47" t="s">
        <v>1312</v>
      </c>
      <c r="AF4892" s="47">
        <v>105</v>
      </c>
      <c r="AG4892"/>
      <c r="AH4892"/>
      <c r="AI4892"/>
      <c r="AJ4892"/>
      <c r="AK4892"/>
      <c r="AL4892"/>
      <c r="AM4892"/>
      <c r="AN4892"/>
      <c r="AO4892"/>
      <c r="AP4892"/>
      <c r="AQ4892" t="s">
        <v>2526</v>
      </c>
      <c r="AU4892">
        <v>4891</v>
      </c>
    </row>
    <row r="4893" spans="1:47" x14ac:dyDescent="0.2">
      <c r="A4893" s="133">
        <v>6772</v>
      </c>
      <c r="B4893" s="39" t="s">
        <v>45</v>
      </c>
      <c r="C4893" s="39">
        <v>216</v>
      </c>
      <c r="D4893" s="29" t="b">
        <v>0</v>
      </c>
      <c r="E4893" s="39" t="s">
        <v>153</v>
      </c>
      <c r="F4893" s="47" t="s">
        <v>529</v>
      </c>
      <c r="G4893" s="47" t="s">
        <v>205</v>
      </c>
      <c r="H4893"/>
      <c r="I4893" s="47" t="b">
        <v>0</v>
      </c>
      <c r="J4893" s="47" t="b">
        <v>0</v>
      </c>
      <c r="K4893" s="47">
        <v>224</v>
      </c>
      <c r="L4893" s="48">
        <v>7</v>
      </c>
      <c r="M4893" s="47">
        <v>0</v>
      </c>
      <c r="N4893" s="47">
        <v>4</v>
      </c>
      <c r="O4893" s="47">
        <v>0</v>
      </c>
      <c r="P4893" s="47">
        <v>0</v>
      </c>
      <c r="Q4893" s="47">
        <v>0</v>
      </c>
      <c r="R4893" s="47">
        <v>0</v>
      </c>
      <c r="S4893" s="48">
        <v>1</v>
      </c>
      <c r="T4893" s="47">
        <v>0</v>
      </c>
      <c r="U4893" s="47">
        <v>0</v>
      </c>
      <c r="V4893" s="47">
        <v>0</v>
      </c>
      <c r="W4893" s="47">
        <v>7000</v>
      </c>
      <c r="X4893" s="47">
        <v>707</v>
      </c>
      <c r="Y4893" s="47"/>
      <c r="Z4893" s="47" t="s">
        <v>2466</v>
      </c>
      <c r="AA4893" s="49"/>
      <c r="AB4893" s="49"/>
      <c r="AC4893" s="49"/>
      <c r="AD4893" s="50"/>
      <c r="AE4893" s="47" t="s">
        <v>1312</v>
      </c>
      <c r="AF4893" s="47">
        <v>60</v>
      </c>
      <c r="AG4893"/>
      <c r="AH4893"/>
      <c r="AI4893"/>
      <c r="AJ4893"/>
      <c r="AK4893"/>
      <c r="AL4893"/>
      <c r="AM4893"/>
      <c r="AN4893"/>
      <c r="AO4893"/>
      <c r="AP4893"/>
      <c r="AQ4893" t="s">
        <v>2526</v>
      </c>
      <c r="AU4893">
        <v>4892</v>
      </c>
    </row>
    <row r="4894" spans="1:47" x14ac:dyDescent="0.2">
      <c r="A4894" s="13">
        <v>6772</v>
      </c>
      <c r="B4894" s="57" t="s">
        <v>45</v>
      </c>
      <c r="C4894" s="57" t="s">
        <v>142</v>
      </c>
      <c r="D4894" s="29"/>
      <c r="E4894" s="57" t="s">
        <v>6044</v>
      </c>
      <c r="F4894" s="31" t="s">
        <v>6045</v>
      </c>
      <c r="G4894" s="31" t="s">
        <v>69</v>
      </c>
      <c r="I4894" s="47" t="b">
        <v>1</v>
      </c>
      <c r="J4894" s="47" t="b">
        <v>1</v>
      </c>
      <c r="K4894" s="31">
        <f>7550*2.2</f>
        <v>16610</v>
      </c>
      <c r="L4894" s="33">
        <f>28+8</f>
        <v>36</v>
      </c>
      <c r="N4894" s="31">
        <v>1</v>
      </c>
      <c r="S4894" s="33">
        <f>27+8</f>
        <v>35</v>
      </c>
      <c r="T4894" s="31">
        <v>0</v>
      </c>
      <c r="U4894" s="31">
        <v>0</v>
      </c>
      <c r="V4894" s="31">
        <v>0</v>
      </c>
      <c r="Y4894" s="31" t="s">
        <v>51</v>
      </c>
      <c r="Z4894" s="31" t="s">
        <v>3855</v>
      </c>
      <c r="AE4894" s="47" t="s">
        <v>4217</v>
      </c>
      <c r="AK4894" s="32">
        <f>38+147+1+38+13+14</f>
        <v>251</v>
      </c>
      <c r="AQ4894" s="32" t="s">
        <v>6046</v>
      </c>
      <c r="AR4894" s="32" t="s">
        <v>6047</v>
      </c>
      <c r="AU4894">
        <v>4893</v>
      </c>
    </row>
    <row r="4895" spans="1:47" x14ac:dyDescent="0.2">
      <c r="A4895" s="13">
        <v>6772</v>
      </c>
      <c r="B4895" s="57" t="s">
        <v>45</v>
      </c>
      <c r="C4895" s="57" t="s">
        <v>142</v>
      </c>
      <c r="D4895" s="29"/>
      <c r="E4895" s="57" t="s">
        <v>5559</v>
      </c>
      <c r="F4895" s="31" t="s">
        <v>76</v>
      </c>
      <c r="G4895" s="31" t="s">
        <v>49</v>
      </c>
      <c r="I4895" s="47" t="b">
        <v>0</v>
      </c>
      <c r="J4895" s="47" t="b">
        <v>0</v>
      </c>
      <c r="K4895" s="31">
        <v>4114</v>
      </c>
      <c r="S4895" s="33">
        <v>7</v>
      </c>
      <c r="Z4895" s="31" t="s">
        <v>3855</v>
      </c>
      <c r="AE4895" s="47" t="s">
        <v>4217</v>
      </c>
      <c r="AF4895" s="31">
        <v>60</v>
      </c>
      <c r="AK4895" s="32">
        <v>60</v>
      </c>
      <c r="AQ4895" s="32" t="s">
        <v>6048</v>
      </c>
      <c r="AU4895">
        <v>4894</v>
      </c>
    </row>
    <row r="4896" spans="1:47" x14ac:dyDescent="0.2">
      <c r="A4896" s="13">
        <v>6772</v>
      </c>
      <c r="B4896" s="57" t="s">
        <v>45</v>
      </c>
      <c r="C4896" s="57" t="s">
        <v>142</v>
      </c>
      <c r="D4896" s="29"/>
      <c r="E4896" s="57" t="s">
        <v>6049</v>
      </c>
      <c r="F4896" s="31" t="s">
        <v>5578</v>
      </c>
      <c r="G4896" s="31" t="s">
        <v>69</v>
      </c>
      <c r="I4896" s="47" t="b">
        <v>0</v>
      </c>
      <c r="J4896" s="47" t="b">
        <v>0</v>
      </c>
      <c r="K4896" s="31">
        <v>4829</v>
      </c>
      <c r="S4896" s="33">
        <v>8</v>
      </c>
      <c r="Z4896" s="31" t="s">
        <v>3855</v>
      </c>
      <c r="AE4896" s="47" t="s">
        <v>4217</v>
      </c>
      <c r="AK4896" s="32">
        <v>69</v>
      </c>
      <c r="AQ4896" s="32" t="s">
        <v>6048</v>
      </c>
      <c r="AU4896">
        <v>4895</v>
      </c>
    </row>
    <row r="4897" spans="1:47" x14ac:dyDescent="0.2">
      <c r="A4897" s="13">
        <v>6772</v>
      </c>
      <c r="B4897" s="57" t="s">
        <v>45</v>
      </c>
      <c r="C4897" s="57" t="s">
        <v>142</v>
      </c>
      <c r="D4897" s="29"/>
      <c r="E4897" s="57" t="s">
        <v>6050</v>
      </c>
      <c r="F4897" s="31" t="s">
        <v>5578</v>
      </c>
      <c r="G4897" s="31" t="s">
        <v>69</v>
      </c>
      <c r="I4897" s="47" t="b">
        <v>0</v>
      </c>
      <c r="J4897" s="47" t="b">
        <v>0</v>
      </c>
      <c r="K4897" s="31">
        <v>7667</v>
      </c>
      <c r="S4897" s="33">
        <v>12</v>
      </c>
      <c r="Z4897" s="31" t="s">
        <v>3855</v>
      </c>
      <c r="AE4897" s="47" t="s">
        <v>4217</v>
      </c>
      <c r="AF4897" s="31">
        <v>60</v>
      </c>
      <c r="AK4897" s="32">
        <v>122</v>
      </c>
      <c r="AQ4897" s="32" t="s">
        <v>6048</v>
      </c>
      <c r="AU4897">
        <v>4896</v>
      </c>
    </row>
    <row r="4898" spans="1:47" x14ac:dyDescent="0.2">
      <c r="A4898" s="13">
        <v>6772</v>
      </c>
      <c r="B4898" s="57" t="s">
        <v>45</v>
      </c>
      <c r="C4898" s="57" t="s">
        <v>4843</v>
      </c>
      <c r="D4898" s="29"/>
      <c r="E4898" s="57" t="s">
        <v>6051</v>
      </c>
      <c r="F4898" s="31" t="s">
        <v>5578</v>
      </c>
      <c r="G4898" s="31" t="s">
        <v>69</v>
      </c>
      <c r="K4898" s="31">
        <v>1056</v>
      </c>
      <c r="S4898" s="33">
        <v>2</v>
      </c>
      <c r="Z4898" s="31" t="s">
        <v>3814</v>
      </c>
      <c r="AK4898" s="32">
        <v>12</v>
      </c>
      <c r="AQ4898" s="32" t="s">
        <v>6048</v>
      </c>
      <c r="AU4898">
        <v>4897</v>
      </c>
    </row>
    <row r="4899" spans="1:47" x14ac:dyDescent="0.2">
      <c r="A4899" s="13">
        <v>6772</v>
      </c>
      <c r="B4899" s="57" t="s">
        <v>45</v>
      </c>
      <c r="C4899" s="57" t="s">
        <v>4843</v>
      </c>
      <c r="D4899" s="29"/>
      <c r="E4899" s="57" t="s">
        <v>6052</v>
      </c>
      <c r="F4899" s="31" t="s">
        <v>5578</v>
      </c>
      <c r="G4899" s="31" t="s">
        <v>69</v>
      </c>
      <c r="K4899" s="31">
        <v>3234</v>
      </c>
      <c r="S4899" s="33">
        <v>5</v>
      </c>
      <c r="Z4899" s="31" t="s">
        <v>3814</v>
      </c>
      <c r="AK4899" s="32">
        <v>26</v>
      </c>
      <c r="AQ4899" s="32" t="s">
        <v>6048</v>
      </c>
      <c r="AU4899">
        <v>4898</v>
      </c>
    </row>
    <row r="4900" spans="1:47" x14ac:dyDescent="0.2">
      <c r="A4900" s="13">
        <v>6772</v>
      </c>
      <c r="B4900" s="57" t="s">
        <v>45</v>
      </c>
      <c r="C4900" s="57" t="s">
        <v>4843</v>
      </c>
      <c r="D4900" s="29"/>
      <c r="E4900" s="57" t="s">
        <v>6053</v>
      </c>
      <c r="F4900" s="31" t="s">
        <v>5578</v>
      </c>
      <c r="G4900" s="31" t="s">
        <v>69</v>
      </c>
      <c r="K4900" s="31">
        <v>3916</v>
      </c>
      <c r="S4900" s="33">
        <v>8</v>
      </c>
      <c r="Z4900" s="31" t="s">
        <v>3814</v>
      </c>
      <c r="AK4900" s="32">
        <v>61</v>
      </c>
      <c r="AQ4900" s="32" t="s">
        <v>6048</v>
      </c>
      <c r="AU4900">
        <v>4899</v>
      </c>
    </row>
    <row r="4901" spans="1:47" x14ac:dyDescent="0.2">
      <c r="A4901" s="13">
        <v>6772</v>
      </c>
      <c r="B4901" s="57" t="s">
        <v>45</v>
      </c>
      <c r="C4901" s="57" t="s">
        <v>6054</v>
      </c>
      <c r="D4901" s="29"/>
      <c r="E4901" s="57" t="s">
        <v>6055</v>
      </c>
      <c r="K4901" s="31">
        <v>440</v>
      </c>
      <c r="Z4901" s="31" t="s">
        <v>3855</v>
      </c>
      <c r="AE4901" s="31" t="s">
        <v>6056</v>
      </c>
      <c r="AK4901" s="32">
        <v>4</v>
      </c>
      <c r="AQ4901" s="32" t="s">
        <v>6057</v>
      </c>
      <c r="AU4901">
        <v>4900</v>
      </c>
    </row>
    <row r="4902" spans="1:47" x14ac:dyDescent="0.2">
      <c r="A4902" s="13">
        <v>6772</v>
      </c>
      <c r="B4902" s="57" t="s">
        <v>45</v>
      </c>
      <c r="C4902" s="57" t="s">
        <v>5860</v>
      </c>
      <c r="D4902" s="29"/>
      <c r="E4902" s="57" t="s">
        <v>6058</v>
      </c>
      <c r="I4902" s="31" t="s">
        <v>6059</v>
      </c>
      <c r="K4902" s="63"/>
      <c r="AQ4902" s="32" t="s">
        <v>6057</v>
      </c>
      <c r="AU4902">
        <v>4901</v>
      </c>
    </row>
    <row r="4903" spans="1:47" x14ac:dyDescent="0.2">
      <c r="A4903" s="13">
        <v>6772</v>
      </c>
      <c r="B4903" s="57" t="s">
        <v>45</v>
      </c>
      <c r="C4903" s="57" t="s">
        <v>6060</v>
      </c>
      <c r="D4903" s="29"/>
      <c r="E4903" s="57" t="s">
        <v>5882</v>
      </c>
      <c r="F4903" s="31" t="s">
        <v>76</v>
      </c>
      <c r="G4903" s="31" t="s">
        <v>49</v>
      </c>
      <c r="I4903" s="31" t="s">
        <v>6061</v>
      </c>
      <c r="K4903" s="63"/>
      <c r="Z4903" s="31" t="s">
        <v>1846</v>
      </c>
      <c r="AE4903" s="31" t="s">
        <v>4756</v>
      </c>
      <c r="AF4903" s="31">
        <v>75</v>
      </c>
      <c r="AQ4903" s="32" t="s">
        <v>6048</v>
      </c>
      <c r="AU4903">
        <v>4902</v>
      </c>
    </row>
    <row r="4904" spans="1:47" x14ac:dyDescent="0.2">
      <c r="A4904" s="13">
        <v>6772</v>
      </c>
      <c r="B4904" s="57" t="s">
        <v>45</v>
      </c>
      <c r="C4904" s="57" t="s">
        <v>6060</v>
      </c>
      <c r="D4904" s="29"/>
      <c r="E4904" s="57" t="s">
        <v>5379</v>
      </c>
      <c r="F4904" s="31" t="s">
        <v>76</v>
      </c>
      <c r="G4904" s="31" t="s">
        <v>49</v>
      </c>
      <c r="I4904" s="31" t="s">
        <v>6061</v>
      </c>
      <c r="K4904" s="63"/>
      <c r="Z4904" s="31" t="s">
        <v>1846</v>
      </c>
      <c r="AE4904" s="31" t="s">
        <v>4756</v>
      </c>
      <c r="AF4904" s="31">
        <v>65</v>
      </c>
      <c r="AQ4904" s="32" t="s">
        <v>6048</v>
      </c>
      <c r="AU4904">
        <v>4903</v>
      </c>
    </row>
    <row r="4905" spans="1:47" x14ac:dyDescent="0.2">
      <c r="A4905" s="13">
        <v>6772</v>
      </c>
      <c r="B4905" s="57" t="s">
        <v>45</v>
      </c>
      <c r="C4905" s="57" t="s">
        <v>6060</v>
      </c>
      <c r="D4905" s="29"/>
      <c r="E4905" s="57" t="s">
        <v>5262</v>
      </c>
      <c r="F4905" s="31" t="s">
        <v>76</v>
      </c>
      <c r="G4905" s="31" t="s">
        <v>49</v>
      </c>
      <c r="I4905" s="31" t="s">
        <v>6061</v>
      </c>
      <c r="K4905" s="63"/>
      <c r="Z4905" s="31" t="s">
        <v>1846</v>
      </c>
      <c r="AE4905" s="31" t="s">
        <v>4756</v>
      </c>
      <c r="AF4905" s="31">
        <v>75</v>
      </c>
      <c r="AQ4905" s="32" t="s">
        <v>6048</v>
      </c>
      <c r="AU4905">
        <v>4904</v>
      </c>
    </row>
    <row r="4906" spans="1:47" x14ac:dyDescent="0.2">
      <c r="A4906" s="13">
        <v>6772</v>
      </c>
      <c r="B4906" s="57" t="s">
        <v>45</v>
      </c>
      <c r="C4906" s="57" t="s">
        <v>6060</v>
      </c>
      <c r="D4906" s="29"/>
      <c r="E4906" s="57" t="s">
        <v>4919</v>
      </c>
      <c r="F4906" s="31" t="s">
        <v>76</v>
      </c>
      <c r="G4906" s="31" t="s">
        <v>49</v>
      </c>
      <c r="I4906" s="31" t="s">
        <v>6061</v>
      </c>
      <c r="K4906" s="63"/>
      <c r="Z4906" s="31" t="s">
        <v>1846</v>
      </c>
      <c r="AE4906" s="31" t="s">
        <v>4756</v>
      </c>
      <c r="AF4906" s="31">
        <v>55</v>
      </c>
      <c r="AQ4906" s="32" t="s">
        <v>6048</v>
      </c>
      <c r="AU4906">
        <v>4905</v>
      </c>
    </row>
    <row r="4907" spans="1:47" x14ac:dyDescent="0.2">
      <c r="A4907" s="13">
        <v>6772</v>
      </c>
      <c r="B4907" s="57" t="s">
        <v>45</v>
      </c>
      <c r="C4907" s="57" t="s">
        <v>6060</v>
      </c>
      <c r="D4907" s="29"/>
      <c r="E4907" s="57" t="s">
        <v>1078</v>
      </c>
      <c r="F4907" s="31" t="s">
        <v>76</v>
      </c>
      <c r="G4907" s="31" t="s">
        <v>49</v>
      </c>
      <c r="I4907" s="31" t="s">
        <v>6061</v>
      </c>
      <c r="K4907" s="63"/>
      <c r="Z4907" s="31" t="s">
        <v>1846</v>
      </c>
      <c r="AE4907" s="31" t="s">
        <v>4756</v>
      </c>
      <c r="AF4907" s="31">
        <v>60</v>
      </c>
      <c r="AQ4907" s="32" t="s">
        <v>6048</v>
      </c>
      <c r="AU4907">
        <v>4906</v>
      </c>
    </row>
    <row r="4908" spans="1:47" x14ac:dyDescent="0.2">
      <c r="A4908" s="13">
        <v>6772</v>
      </c>
      <c r="B4908" s="57" t="s">
        <v>45</v>
      </c>
      <c r="C4908" s="57" t="s">
        <v>6060</v>
      </c>
      <c r="D4908" s="29"/>
      <c r="E4908" s="57" t="s">
        <v>4990</v>
      </c>
      <c r="F4908" s="31" t="s">
        <v>83</v>
      </c>
      <c r="G4908" s="31" t="s">
        <v>69</v>
      </c>
      <c r="I4908" s="31" t="s">
        <v>6061</v>
      </c>
      <c r="K4908" s="63"/>
      <c r="Z4908" s="31" t="s">
        <v>1846</v>
      </c>
      <c r="AE4908" s="31" t="s">
        <v>4756</v>
      </c>
      <c r="AQ4908" s="32" t="s">
        <v>6048</v>
      </c>
      <c r="AU4908">
        <v>4907</v>
      </c>
    </row>
    <row r="4909" spans="1:47" x14ac:dyDescent="0.2">
      <c r="A4909" s="13">
        <v>6772</v>
      </c>
      <c r="B4909" s="57" t="s">
        <v>45</v>
      </c>
      <c r="C4909" s="57" t="s">
        <v>4456</v>
      </c>
      <c r="D4909" s="29"/>
      <c r="E4909" s="57" t="s">
        <v>881</v>
      </c>
      <c r="F4909" s="31" t="s">
        <v>881</v>
      </c>
      <c r="I4909" s="31" t="s">
        <v>6062</v>
      </c>
      <c r="K4909" s="19">
        <v>0</v>
      </c>
      <c r="L4909" s="33">
        <v>1</v>
      </c>
      <c r="N4909" s="31">
        <v>1</v>
      </c>
      <c r="S4909" s="33">
        <v>0</v>
      </c>
      <c r="T4909" s="31">
        <v>0</v>
      </c>
      <c r="U4909" s="31">
        <v>0</v>
      </c>
      <c r="V4909" s="31">
        <v>0</v>
      </c>
      <c r="Y4909" s="19" t="s">
        <v>51</v>
      </c>
      <c r="Z4909" s="19" t="s">
        <v>1846</v>
      </c>
      <c r="AA4909" s="34">
        <v>0.96875</v>
      </c>
      <c r="AB4909" s="34">
        <v>1.0034722222222221</v>
      </c>
      <c r="AE4909" s="31" t="s">
        <v>4756</v>
      </c>
      <c r="AK4909" s="32">
        <v>0</v>
      </c>
      <c r="AQ4909" s="18" t="s">
        <v>6063</v>
      </c>
      <c r="AU4909">
        <v>4908</v>
      </c>
    </row>
    <row r="4910" spans="1:47" x14ac:dyDescent="0.2">
      <c r="A4910" s="13">
        <v>6772</v>
      </c>
      <c r="B4910" s="57" t="s">
        <v>45</v>
      </c>
      <c r="C4910" s="57" t="s">
        <v>4456</v>
      </c>
      <c r="D4910" s="29"/>
      <c r="E4910" s="166" t="s">
        <v>6064</v>
      </c>
      <c r="F4910" s="19" t="s">
        <v>340</v>
      </c>
      <c r="G4910" s="19" t="s">
        <v>49</v>
      </c>
      <c r="I4910" s="19" t="s">
        <v>6065</v>
      </c>
      <c r="K4910" s="183">
        <f>3*415*2.2</f>
        <v>2739</v>
      </c>
      <c r="L4910" s="33">
        <v>3</v>
      </c>
      <c r="S4910" s="33">
        <v>3</v>
      </c>
      <c r="T4910" s="31">
        <v>0</v>
      </c>
      <c r="U4910" s="31">
        <v>0</v>
      </c>
      <c r="V4910" s="31">
        <v>0</v>
      </c>
      <c r="W4910" s="47">
        <f>((1500+2000)/2)*39.37/12</f>
        <v>5741.458333333333</v>
      </c>
      <c r="Y4910" s="19" t="s">
        <v>51</v>
      </c>
      <c r="Z4910" s="19" t="s">
        <v>1846</v>
      </c>
      <c r="AA4910" s="34">
        <v>0.95486111111111116</v>
      </c>
      <c r="AB4910" s="34">
        <v>1.1041666666666667</v>
      </c>
      <c r="AC4910" s="49">
        <f t="shared" ref="AC4910:AC4915" si="6">AVERAGE(AA4910:AB4910)</f>
        <v>1.0295138888888888</v>
      </c>
      <c r="AD4910" s="50">
        <v>3.5</v>
      </c>
      <c r="AE4910" s="31" t="s">
        <v>4756</v>
      </c>
      <c r="AF4910" s="31">
        <v>75</v>
      </c>
      <c r="AQ4910" s="18" t="s">
        <v>6063</v>
      </c>
      <c r="AU4910">
        <v>4909</v>
      </c>
    </row>
    <row r="4911" spans="1:47" x14ac:dyDescent="0.2">
      <c r="A4911" s="13">
        <v>6772</v>
      </c>
      <c r="B4911" s="57" t="s">
        <v>45</v>
      </c>
      <c r="C4911" s="57" t="s">
        <v>4456</v>
      </c>
      <c r="D4911" s="29"/>
      <c r="E4911" s="166" t="s">
        <v>5677</v>
      </c>
      <c r="F4911" s="19" t="s">
        <v>5299</v>
      </c>
      <c r="G4911" s="19" t="s">
        <v>49</v>
      </c>
      <c r="I4911" s="19" t="s">
        <v>6066</v>
      </c>
      <c r="K4911" s="183">
        <f>415*2.2</f>
        <v>913.00000000000011</v>
      </c>
      <c r="L4911" s="33">
        <v>1</v>
      </c>
      <c r="S4911" s="33">
        <v>1</v>
      </c>
      <c r="T4911" s="31">
        <v>0</v>
      </c>
      <c r="U4911" s="31">
        <v>0</v>
      </c>
      <c r="V4911" s="31">
        <v>0</v>
      </c>
      <c r="W4911" s="47">
        <f>1600*39.37/12</f>
        <v>5249.333333333333</v>
      </c>
      <c r="Y4911" s="19" t="s">
        <v>51</v>
      </c>
      <c r="Z4911" s="19" t="s">
        <v>1846</v>
      </c>
      <c r="AA4911" s="34">
        <v>5.2083333333333336E-2</v>
      </c>
      <c r="AB4911" s="34">
        <v>0.10069444444444443</v>
      </c>
      <c r="AC4911" s="49">
        <f t="shared" si="6"/>
        <v>7.6388888888888881E-2</v>
      </c>
      <c r="AD4911" s="50">
        <f>(AB4911-AA4911)*24</f>
        <v>1.1666666666666663</v>
      </c>
      <c r="AE4911" s="31" t="s">
        <v>4756</v>
      </c>
      <c r="AF4911" s="31">
        <v>45</v>
      </c>
      <c r="AQ4911" s="18" t="s">
        <v>6063</v>
      </c>
      <c r="AU4911">
        <v>4910</v>
      </c>
    </row>
    <row r="4912" spans="1:47" x14ac:dyDescent="0.2">
      <c r="A4912" s="13">
        <v>6772</v>
      </c>
      <c r="B4912" s="57" t="s">
        <v>45</v>
      </c>
      <c r="C4912" s="57" t="s">
        <v>4456</v>
      </c>
      <c r="D4912" s="29"/>
      <c r="E4912" s="166" t="s">
        <v>5380</v>
      </c>
      <c r="F4912" s="19" t="s">
        <v>6067</v>
      </c>
      <c r="G4912" s="19" t="s">
        <v>205</v>
      </c>
      <c r="I4912" s="19" t="s">
        <v>6068</v>
      </c>
      <c r="K4912" s="183">
        <f>415*2.2</f>
        <v>913.00000000000011</v>
      </c>
      <c r="L4912" s="33">
        <v>1</v>
      </c>
      <c r="S4912" s="33">
        <v>1</v>
      </c>
      <c r="T4912" s="31">
        <v>0</v>
      </c>
      <c r="U4912" s="31">
        <v>0</v>
      </c>
      <c r="V4912" s="31">
        <v>0</v>
      </c>
      <c r="W4912" s="47">
        <f>1700*39.37/12</f>
        <v>5577.416666666667</v>
      </c>
      <c r="Y4912" s="19" t="s">
        <v>51</v>
      </c>
      <c r="Z4912" s="19" t="s">
        <v>1846</v>
      </c>
      <c r="AA4912" s="34">
        <v>0.94444444444444453</v>
      </c>
      <c r="AB4912" s="34">
        <v>1.0277777777777779</v>
      </c>
      <c r="AC4912" s="49">
        <f t="shared" si="6"/>
        <v>0.98611111111111116</v>
      </c>
      <c r="AD4912" s="50">
        <f>(AB4912-AA4912)*24</f>
        <v>2.0000000000000009</v>
      </c>
      <c r="AE4912" s="31" t="s">
        <v>4756</v>
      </c>
      <c r="AF4912" s="31">
        <v>75</v>
      </c>
      <c r="AQ4912" s="18" t="s">
        <v>6063</v>
      </c>
      <c r="AU4912">
        <v>4911</v>
      </c>
    </row>
    <row r="4913" spans="1:47" x14ac:dyDescent="0.2">
      <c r="A4913" s="13">
        <v>6772</v>
      </c>
      <c r="B4913" s="57" t="s">
        <v>45</v>
      </c>
      <c r="C4913" s="57" t="s">
        <v>4456</v>
      </c>
      <c r="D4913" s="29"/>
      <c r="E4913" s="166" t="s">
        <v>6069</v>
      </c>
      <c r="F4913" s="19" t="s">
        <v>6070</v>
      </c>
      <c r="G4913" s="19" t="s">
        <v>69</v>
      </c>
      <c r="I4913" s="19" t="s">
        <v>6071</v>
      </c>
      <c r="K4913" s="183">
        <f>415*2.2</f>
        <v>913.00000000000011</v>
      </c>
      <c r="L4913" s="33">
        <v>1</v>
      </c>
      <c r="S4913" s="33">
        <v>1</v>
      </c>
      <c r="T4913" s="31">
        <v>0</v>
      </c>
      <c r="U4913" s="31">
        <v>0</v>
      </c>
      <c r="V4913" s="31">
        <v>0</v>
      </c>
      <c r="W4913" s="47">
        <f>2000*39.37/12</f>
        <v>6561.666666666667</v>
      </c>
      <c r="Y4913" s="19" t="s">
        <v>51</v>
      </c>
      <c r="Z4913" s="19" t="s">
        <v>1846</v>
      </c>
      <c r="AA4913" s="34">
        <v>0.95138888888888884</v>
      </c>
      <c r="AB4913" s="34">
        <v>1.0138888888888888</v>
      </c>
      <c r="AC4913" s="49">
        <f t="shared" si="6"/>
        <v>0.98263888888888884</v>
      </c>
      <c r="AD4913" s="50">
        <f>(AB4913-AA4913)*24</f>
        <v>1.5</v>
      </c>
      <c r="AE4913" s="31" t="s">
        <v>4756</v>
      </c>
      <c r="AF4913" s="31">
        <v>35</v>
      </c>
      <c r="AQ4913" s="18" t="s">
        <v>6063</v>
      </c>
      <c r="AU4913">
        <v>4912</v>
      </c>
    </row>
    <row r="4914" spans="1:47" x14ac:dyDescent="0.2">
      <c r="A4914" s="13">
        <v>6772</v>
      </c>
      <c r="B4914" s="57" t="s">
        <v>45</v>
      </c>
      <c r="C4914" s="57" t="s">
        <v>4456</v>
      </c>
      <c r="D4914" s="29"/>
      <c r="E4914" s="57" t="s">
        <v>5262</v>
      </c>
      <c r="F4914" s="31" t="s">
        <v>76</v>
      </c>
      <c r="G4914" s="31" t="s">
        <v>49</v>
      </c>
      <c r="I4914" s="19" t="s">
        <v>6072</v>
      </c>
      <c r="K4914" s="183">
        <f>415*2.2</f>
        <v>913.00000000000011</v>
      </c>
      <c r="L4914" s="33">
        <v>1</v>
      </c>
      <c r="S4914" s="33">
        <v>1</v>
      </c>
      <c r="T4914" s="31">
        <v>0</v>
      </c>
      <c r="U4914" s="31">
        <v>0</v>
      </c>
      <c r="V4914" s="31">
        <v>0</v>
      </c>
      <c r="W4914" s="47">
        <f>1900*39.37/12</f>
        <v>6233.583333333333</v>
      </c>
      <c r="Y4914" s="19" t="s">
        <v>51</v>
      </c>
      <c r="Z4914" s="19" t="s">
        <v>1846</v>
      </c>
      <c r="AA4914" s="34">
        <v>0.9375</v>
      </c>
      <c r="AB4914" s="34">
        <v>1.023611111111111</v>
      </c>
      <c r="AC4914" s="49">
        <f t="shared" si="6"/>
        <v>0.98055555555555551</v>
      </c>
      <c r="AD4914" s="50">
        <f>(AB4914-AA4914)*24</f>
        <v>2.0666666666666647</v>
      </c>
      <c r="AE4914" s="31" t="s">
        <v>4756</v>
      </c>
      <c r="AF4914" s="31">
        <v>75</v>
      </c>
      <c r="AQ4914" s="18" t="s">
        <v>6063</v>
      </c>
      <c r="AU4914">
        <v>4913</v>
      </c>
    </row>
    <row r="4915" spans="1:47" x14ac:dyDescent="0.2">
      <c r="A4915" s="13">
        <v>6772</v>
      </c>
      <c r="B4915" s="57" t="s">
        <v>45</v>
      </c>
      <c r="C4915" s="57" t="s">
        <v>4456</v>
      </c>
      <c r="D4915" s="29"/>
      <c r="E4915" s="166" t="s">
        <v>6025</v>
      </c>
      <c r="F4915" s="19" t="s">
        <v>6070</v>
      </c>
      <c r="G4915" s="19" t="s">
        <v>69</v>
      </c>
      <c r="I4915" s="19" t="s">
        <v>6073</v>
      </c>
      <c r="K4915" s="183">
        <f>415*2.2</f>
        <v>913.00000000000011</v>
      </c>
      <c r="L4915" s="33">
        <v>1</v>
      </c>
      <c r="S4915" s="33">
        <v>1</v>
      </c>
      <c r="T4915" s="31">
        <v>0</v>
      </c>
      <c r="U4915" s="31">
        <v>0</v>
      </c>
      <c r="V4915" s="31">
        <v>0</v>
      </c>
      <c r="W4915" s="47">
        <f>1800*39.37/12</f>
        <v>5905.5</v>
      </c>
      <c r="Y4915" s="19" t="s">
        <v>51</v>
      </c>
      <c r="Z4915" s="19" t="s">
        <v>1846</v>
      </c>
      <c r="AA4915" s="34">
        <v>5.5555555555555552E-2</v>
      </c>
      <c r="AB4915" s="34">
        <v>0.1076388888888889</v>
      </c>
      <c r="AC4915" s="49">
        <f t="shared" si="6"/>
        <v>8.1597222222222224E-2</v>
      </c>
      <c r="AD4915" s="50">
        <f>(AB4915-AA4915)*24</f>
        <v>1.2500000000000002</v>
      </c>
      <c r="AE4915" s="31" t="s">
        <v>4756</v>
      </c>
      <c r="AF4915" s="31">
        <v>45</v>
      </c>
      <c r="AQ4915" s="18" t="s">
        <v>6063</v>
      </c>
      <c r="AU4915">
        <v>4914</v>
      </c>
    </row>
    <row r="4916" spans="1:47" x14ac:dyDescent="0.2">
      <c r="A4916" s="26">
        <v>6772</v>
      </c>
      <c r="B4916" s="27">
        <v>1.0416666666666666E-2</v>
      </c>
      <c r="C4916" s="28"/>
      <c r="D4916" s="29"/>
      <c r="E4916" s="30" t="s">
        <v>464</v>
      </c>
      <c r="H4916" s="32">
        <v>0</v>
      </c>
      <c r="I4916" s="32" t="s">
        <v>4220</v>
      </c>
      <c r="AG4916" s="32">
        <v>0</v>
      </c>
      <c r="AH4916" s="32">
        <v>0</v>
      </c>
      <c r="AL4916" s="32">
        <f>25/60</f>
        <v>0.41666666666666669</v>
      </c>
      <c r="AO4916" s="32" t="s">
        <v>4067</v>
      </c>
      <c r="AP4916" s="32">
        <f>25/60</f>
        <v>0.41666666666666669</v>
      </c>
      <c r="AQ4916" s="32" t="s">
        <v>1522</v>
      </c>
      <c r="AU4916">
        <v>4915</v>
      </c>
    </row>
    <row r="4917" spans="1:47" x14ac:dyDescent="0.2">
      <c r="A4917" s="26">
        <v>6772</v>
      </c>
      <c r="B4917" s="27">
        <v>3.4722222222222224E-2</v>
      </c>
      <c r="C4917" s="28"/>
      <c r="D4917" s="29"/>
      <c r="E4917" s="30" t="s">
        <v>1282</v>
      </c>
      <c r="H4917" s="32">
        <v>0</v>
      </c>
      <c r="I4917" s="32" t="s">
        <v>6074</v>
      </c>
      <c r="AG4917" s="32">
        <v>0</v>
      </c>
      <c r="AH4917" s="32">
        <v>0</v>
      </c>
      <c r="AI4917" s="32">
        <v>0</v>
      </c>
      <c r="AK4917" s="32">
        <v>0</v>
      </c>
      <c r="AL4917" s="32">
        <f>1+55/60</f>
        <v>1.9166666666666665</v>
      </c>
      <c r="AP4917" s="32">
        <f>1+58/60</f>
        <v>1.9666666666666668</v>
      </c>
      <c r="AQ4917" s="32" t="s">
        <v>1101</v>
      </c>
      <c r="AU4917">
        <v>4916</v>
      </c>
    </row>
    <row r="4918" spans="1:47" x14ac:dyDescent="0.2">
      <c r="A4918" s="26">
        <v>6772</v>
      </c>
      <c r="B4918" s="27">
        <v>3.4722222222222224E-2</v>
      </c>
      <c r="C4918" s="28"/>
      <c r="D4918" s="29"/>
      <c r="E4918" s="30" t="s">
        <v>4219</v>
      </c>
      <c r="H4918" s="32">
        <v>0</v>
      </c>
      <c r="I4918" s="32" t="s">
        <v>4249</v>
      </c>
      <c r="AG4918" s="32">
        <v>0</v>
      </c>
      <c r="AH4918" s="32">
        <v>0</v>
      </c>
      <c r="AI4918" s="32">
        <v>0</v>
      </c>
      <c r="AK4918" s="32">
        <v>0</v>
      </c>
      <c r="AL4918" s="32">
        <v>0.25</v>
      </c>
      <c r="AO4918" s="32" t="s">
        <v>858</v>
      </c>
      <c r="AP4918" s="32">
        <v>0.25</v>
      </c>
      <c r="AQ4918" s="32" t="s">
        <v>1101</v>
      </c>
      <c r="AU4918">
        <v>4917</v>
      </c>
    </row>
    <row r="4919" spans="1:47" x14ac:dyDescent="0.2">
      <c r="A4919" s="26">
        <v>6772</v>
      </c>
      <c r="B4919" s="27">
        <v>0.33124999999999999</v>
      </c>
      <c r="C4919" s="28"/>
      <c r="D4919" s="29"/>
      <c r="E4919" s="102" t="s">
        <v>1102</v>
      </c>
      <c r="H4919" s="32">
        <v>0</v>
      </c>
      <c r="I4919" s="32" t="s">
        <v>6075</v>
      </c>
      <c r="AG4919" s="32">
        <v>0</v>
      </c>
      <c r="AH4919" s="32">
        <v>0</v>
      </c>
      <c r="AI4919" s="32">
        <v>0</v>
      </c>
      <c r="AK4919" s="32">
        <v>0</v>
      </c>
      <c r="AL4919" s="32">
        <f>84/60</f>
        <v>1.4</v>
      </c>
      <c r="AO4919" s="73" t="s">
        <v>1006</v>
      </c>
      <c r="AP4919" s="32">
        <f>84/60</f>
        <v>1.4</v>
      </c>
      <c r="AQ4919" s="32" t="s">
        <v>589</v>
      </c>
      <c r="AU4919">
        <v>4918</v>
      </c>
    </row>
    <row r="4920" spans="1:47" x14ac:dyDescent="0.2">
      <c r="A4920" s="26">
        <v>6772</v>
      </c>
      <c r="B4920" s="27">
        <v>0.57291666666666663</v>
      </c>
      <c r="C4920" s="28"/>
      <c r="D4920" s="29"/>
      <c r="E4920" s="30" t="s">
        <v>4666</v>
      </c>
      <c r="H4920" s="32">
        <v>1</v>
      </c>
      <c r="I4920" s="32" t="s">
        <v>6076</v>
      </c>
      <c r="AG4920" s="32">
        <v>40</v>
      </c>
      <c r="AH4920" s="32">
        <v>53</v>
      </c>
      <c r="AI4920" s="46">
        <v>1500000</v>
      </c>
      <c r="AK4920" s="32">
        <v>20</v>
      </c>
      <c r="AL4920" s="32">
        <f>7*24</f>
        <v>168</v>
      </c>
      <c r="AO4920" s="32" t="s">
        <v>4668</v>
      </c>
      <c r="AQ4920" s="91">
        <v>400409</v>
      </c>
      <c r="AU4920">
        <v>4919</v>
      </c>
    </row>
    <row r="4921" spans="1:47" x14ac:dyDescent="0.2">
      <c r="A4921" s="26">
        <v>6772</v>
      </c>
      <c r="B4921" s="27">
        <v>0.98263888888888884</v>
      </c>
      <c r="C4921" s="28"/>
      <c r="D4921" s="29"/>
      <c r="E4921" s="30" t="s">
        <v>464</v>
      </c>
      <c r="H4921" s="32">
        <v>1</v>
      </c>
      <c r="I4921" s="32" t="s">
        <v>6077</v>
      </c>
      <c r="AG4921" s="32">
        <v>9</v>
      </c>
      <c r="AH4921" s="32">
        <v>16</v>
      </c>
      <c r="AK4921" s="32">
        <v>8</v>
      </c>
      <c r="AL4921" s="32">
        <v>1.4163333333333332</v>
      </c>
      <c r="AO4921" s="32" t="s">
        <v>5502</v>
      </c>
      <c r="AP4921" s="32">
        <v>1.4163333333333332</v>
      </c>
      <c r="AQ4921" s="32" t="s">
        <v>6078</v>
      </c>
      <c r="AU4921">
        <v>4920</v>
      </c>
    </row>
    <row r="4922" spans="1:47" x14ac:dyDescent="0.2">
      <c r="A4922" s="26">
        <v>6772</v>
      </c>
      <c r="B4922" s="27">
        <v>0.9868055555555556</v>
      </c>
      <c r="C4922" s="28"/>
      <c r="D4922" s="29"/>
      <c r="E4922" s="30" t="s">
        <v>1282</v>
      </c>
      <c r="H4922" s="32">
        <v>1</v>
      </c>
      <c r="I4922" s="32" t="s">
        <v>6079</v>
      </c>
      <c r="AG4922" s="32">
        <v>0</v>
      </c>
      <c r="AH4922" s="32">
        <v>1</v>
      </c>
      <c r="AL4922" s="32">
        <f>1+20/60</f>
        <v>1.3333333333333333</v>
      </c>
      <c r="AP4922" s="32">
        <f>1+26/60</f>
        <v>1.4333333333333333</v>
      </c>
      <c r="AQ4922" s="32" t="s">
        <v>1101</v>
      </c>
      <c r="AU4922">
        <v>4921</v>
      </c>
    </row>
    <row r="4923" spans="1:47" x14ac:dyDescent="0.2">
      <c r="A4923" s="26">
        <v>6772</v>
      </c>
      <c r="B4923" s="27">
        <v>0.98958333333333337</v>
      </c>
      <c r="C4923" s="28"/>
      <c r="D4923" s="29"/>
      <c r="E4923" s="30" t="s">
        <v>1124</v>
      </c>
      <c r="H4923" s="32">
        <v>1</v>
      </c>
      <c r="I4923" s="32" t="s">
        <v>6080</v>
      </c>
      <c r="AG4923" s="32">
        <v>0</v>
      </c>
      <c r="AH4923" s="32">
        <v>0</v>
      </c>
      <c r="AK4923" s="32">
        <v>5</v>
      </c>
      <c r="AL4923" s="32">
        <v>0.75</v>
      </c>
      <c r="AO4923" s="46" t="s">
        <v>1126</v>
      </c>
      <c r="AP4923" s="32">
        <v>0.75</v>
      </c>
      <c r="AQ4923" s="32" t="s">
        <v>6081</v>
      </c>
      <c r="AU4923">
        <v>4922</v>
      </c>
    </row>
    <row r="4924" spans="1:47" x14ac:dyDescent="0.2">
      <c r="A4924" s="26">
        <v>6772</v>
      </c>
      <c r="B4924" s="27" t="s">
        <v>45</v>
      </c>
      <c r="C4924" s="28"/>
      <c r="D4924" s="29"/>
      <c r="E4924" s="30" t="s">
        <v>858</v>
      </c>
      <c r="H4924" s="32">
        <v>1</v>
      </c>
      <c r="I4924" s="32" t="s">
        <v>6082</v>
      </c>
      <c r="AK4924" s="32">
        <v>4</v>
      </c>
      <c r="AQ4924" s="32" t="s">
        <v>6083</v>
      </c>
      <c r="AU4924">
        <v>4923</v>
      </c>
    </row>
    <row r="4925" spans="1:47" x14ac:dyDescent="0.2">
      <c r="A4925" s="26">
        <v>6772</v>
      </c>
      <c r="B4925" s="27" t="s">
        <v>45</v>
      </c>
      <c r="C4925" s="28"/>
      <c r="D4925" s="29"/>
      <c r="E4925" s="30" t="s">
        <v>1531</v>
      </c>
      <c r="H4925" s="32">
        <v>0</v>
      </c>
      <c r="I4925" s="32" t="s">
        <v>1532</v>
      </c>
      <c r="AG4925" s="32">
        <v>0</v>
      </c>
      <c r="AH4925" s="32">
        <v>0</v>
      </c>
      <c r="AI4925" s="32">
        <v>0</v>
      </c>
      <c r="AK4925" s="32">
        <v>0</v>
      </c>
      <c r="AM4925" s="32">
        <f>498*35</f>
        <v>17430</v>
      </c>
      <c r="AO4925" s="32" t="s">
        <v>1533</v>
      </c>
      <c r="AQ4925" s="32" t="s">
        <v>1101</v>
      </c>
      <c r="AU4925">
        <v>4924</v>
      </c>
    </row>
    <row r="4926" spans="1:47" x14ac:dyDescent="0.2">
      <c r="A4926" s="26">
        <v>6772</v>
      </c>
      <c r="B4926" s="27"/>
      <c r="C4926" s="28"/>
      <c r="D4926" s="29"/>
      <c r="E4926" s="30" t="s">
        <v>153</v>
      </c>
      <c r="H4926" s="32">
        <v>1</v>
      </c>
      <c r="I4926" s="32" t="s">
        <v>6084</v>
      </c>
      <c r="AG4926" s="32">
        <v>0</v>
      </c>
      <c r="AH4926" s="32">
        <v>0</v>
      </c>
      <c r="AJ4926" s="32">
        <v>0</v>
      </c>
      <c r="AK4926" s="32">
        <v>2</v>
      </c>
      <c r="AO4926" s="46" t="s">
        <v>155</v>
      </c>
      <c r="AP4926" s="46"/>
      <c r="AQ4926" s="32">
        <v>448</v>
      </c>
      <c r="AU4926">
        <v>4925</v>
      </c>
    </row>
    <row r="4927" spans="1:47" x14ac:dyDescent="0.2">
      <c r="A4927" s="26">
        <v>6772</v>
      </c>
      <c r="B4927" s="27"/>
      <c r="C4927" s="28"/>
      <c r="D4927" s="29"/>
      <c r="E4927" s="102" t="s">
        <v>1421</v>
      </c>
      <c r="H4927" s="32">
        <v>1</v>
      </c>
      <c r="I4927" s="32" t="s">
        <v>1422</v>
      </c>
      <c r="AK4927" s="32">
        <v>12</v>
      </c>
      <c r="AO4927" s="73"/>
      <c r="AQ4927" s="32" t="s">
        <v>589</v>
      </c>
      <c r="AU4927">
        <v>4926</v>
      </c>
    </row>
    <row r="4928" spans="1:47" x14ac:dyDescent="0.2">
      <c r="A4928" s="133">
        <v>6773</v>
      </c>
      <c r="B4928" s="39" t="s">
        <v>85</v>
      </c>
      <c r="C4928" s="39">
        <v>55</v>
      </c>
      <c r="D4928" s="29" t="b">
        <v>0</v>
      </c>
      <c r="E4928" s="39" t="s">
        <v>1764</v>
      </c>
      <c r="F4928" s="47" t="s">
        <v>2398</v>
      </c>
      <c r="G4928" s="47" t="s">
        <v>49</v>
      </c>
      <c r="H4928"/>
      <c r="I4928" s="47" t="b">
        <v>0</v>
      </c>
      <c r="J4928" s="47" t="b">
        <v>1</v>
      </c>
      <c r="K4928" s="47">
        <v>2538</v>
      </c>
      <c r="L4928" s="48">
        <v>12</v>
      </c>
      <c r="M4928" s="47">
        <v>0</v>
      </c>
      <c r="N4928" s="47">
        <v>1</v>
      </c>
      <c r="O4928" s="47">
        <v>0</v>
      </c>
      <c r="P4928" s="47">
        <v>11</v>
      </c>
      <c r="Q4928" s="47">
        <v>0</v>
      </c>
      <c r="R4928" s="47">
        <v>0</v>
      </c>
      <c r="S4928" s="48">
        <v>11</v>
      </c>
      <c r="T4928" s="47">
        <v>0</v>
      </c>
      <c r="U4928" s="47">
        <v>0</v>
      </c>
      <c r="V4928" s="47">
        <v>0</v>
      </c>
      <c r="W4928" s="47">
        <v>13500</v>
      </c>
      <c r="X4928" s="47">
        <v>708</v>
      </c>
      <c r="Y4928" s="47" t="s">
        <v>120</v>
      </c>
      <c r="Z4928" s="47" t="s">
        <v>3618</v>
      </c>
      <c r="AA4928" s="49">
        <v>0.40972222222222227</v>
      </c>
      <c r="AB4928" s="49">
        <v>0.53125</v>
      </c>
      <c r="AC4928" s="49">
        <f>AVERAGE(AA4928:AB4928)</f>
        <v>0.47048611111111116</v>
      </c>
      <c r="AD4928" s="50">
        <f>(AB4928-AA4928)*24</f>
        <v>2.9166666666666656</v>
      </c>
      <c r="AE4928" s="47" t="s">
        <v>5433</v>
      </c>
      <c r="AF4928" s="47">
        <v>85</v>
      </c>
      <c r="AG4928"/>
      <c r="AH4928"/>
      <c r="AI4928"/>
      <c r="AJ4928"/>
      <c r="AK4928">
        <v>27</v>
      </c>
      <c r="AL4928"/>
      <c r="AM4928"/>
      <c r="AN4928"/>
      <c r="AO4928"/>
      <c r="AP4928"/>
      <c r="AQ4928" t="s">
        <v>5434</v>
      </c>
      <c r="AU4928">
        <v>4927</v>
      </c>
    </row>
    <row r="4929" spans="1:47" x14ac:dyDescent="0.2">
      <c r="A4929" s="133">
        <v>6773</v>
      </c>
      <c r="B4929" s="39" t="s">
        <v>85</v>
      </c>
      <c r="C4929" s="39">
        <v>99</v>
      </c>
      <c r="D4929" s="29" t="b">
        <v>0</v>
      </c>
      <c r="E4929" s="39" t="s">
        <v>1764</v>
      </c>
      <c r="F4929" s="47" t="s">
        <v>2398</v>
      </c>
      <c r="G4929" s="47" t="s">
        <v>49</v>
      </c>
      <c r="H4929"/>
      <c r="I4929" s="47" t="b">
        <v>0</v>
      </c>
      <c r="J4929" s="47" t="b">
        <v>1</v>
      </c>
      <c r="K4929" s="47">
        <v>1350</v>
      </c>
      <c r="L4929" s="48">
        <v>12</v>
      </c>
      <c r="M4929" s="47">
        <v>0</v>
      </c>
      <c r="N4929" s="47">
        <v>5</v>
      </c>
      <c r="O4929" s="47">
        <v>1</v>
      </c>
      <c r="P4929" s="47">
        <v>6</v>
      </c>
      <c r="Q4929" s="47">
        <v>0</v>
      </c>
      <c r="R4929" s="47">
        <v>0</v>
      </c>
      <c r="S4929" s="48">
        <v>6</v>
      </c>
      <c r="T4929" s="47">
        <v>0</v>
      </c>
      <c r="U4929" s="47">
        <v>0</v>
      </c>
      <c r="V4929" s="47">
        <v>0</v>
      </c>
      <c r="W4929" s="47">
        <v>14000</v>
      </c>
      <c r="X4929" s="47">
        <v>709</v>
      </c>
      <c r="Y4929" s="47" t="s">
        <v>120</v>
      </c>
      <c r="Z4929" s="47" t="s">
        <v>5139</v>
      </c>
      <c r="AA4929" s="49">
        <v>0.39930555555555558</v>
      </c>
      <c r="AB4929" s="49">
        <v>0.52777777777777779</v>
      </c>
      <c r="AC4929" s="49">
        <f>AVERAGE(AA4929:AB4929)</f>
        <v>0.46354166666666669</v>
      </c>
      <c r="AD4929" s="50">
        <f>(AB4929-AA4929)*24</f>
        <v>3.083333333333333</v>
      </c>
      <c r="AE4929" s="47" t="s">
        <v>5433</v>
      </c>
      <c r="AF4929" s="47">
        <v>85</v>
      </c>
      <c r="AG4929"/>
      <c r="AH4929"/>
      <c r="AI4929"/>
      <c r="AJ4929"/>
      <c r="AK4929">
        <v>11</v>
      </c>
      <c r="AL4929"/>
      <c r="AM4929"/>
      <c r="AN4929"/>
      <c r="AO4929"/>
      <c r="AP4929"/>
      <c r="AQ4929" t="s">
        <v>2526</v>
      </c>
      <c r="AU4929">
        <v>4928</v>
      </c>
    </row>
    <row r="4930" spans="1:47" x14ac:dyDescent="0.2">
      <c r="A4930" s="26">
        <v>6773</v>
      </c>
      <c r="B4930" s="27">
        <v>0</v>
      </c>
      <c r="C4930" s="28"/>
      <c r="D4930" s="29"/>
      <c r="E4930" s="30" t="s">
        <v>4219</v>
      </c>
      <c r="H4930" s="32">
        <v>0</v>
      </c>
      <c r="I4930" s="32" t="s">
        <v>5818</v>
      </c>
      <c r="AG4930" s="32">
        <v>0</v>
      </c>
      <c r="AH4930" s="32">
        <v>0</v>
      </c>
      <c r="AI4930" s="32">
        <v>0</v>
      </c>
      <c r="AK4930" s="32">
        <v>0</v>
      </c>
      <c r="AL4930" s="32">
        <f>35/60</f>
        <v>0.58333333333333337</v>
      </c>
      <c r="AO4930" s="32" t="s">
        <v>858</v>
      </c>
      <c r="AP4930" s="32">
        <f>35/60</f>
        <v>0.58333333333333337</v>
      </c>
      <c r="AQ4930" s="32" t="s">
        <v>1101</v>
      </c>
      <c r="AU4930">
        <v>4929</v>
      </c>
    </row>
    <row r="4931" spans="1:47" x14ac:dyDescent="0.2">
      <c r="A4931" s="26">
        <v>6773</v>
      </c>
      <c r="B4931" s="27">
        <v>6.9444444444444441E-3</v>
      </c>
      <c r="C4931" s="28"/>
      <c r="D4931" s="29"/>
      <c r="E4931" s="30" t="s">
        <v>2023</v>
      </c>
      <c r="H4931" s="32">
        <v>1</v>
      </c>
      <c r="I4931" s="32" t="s">
        <v>2024</v>
      </c>
      <c r="AI4931" s="32">
        <v>0</v>
      </c>
      <c r="AK4931" s="32">
        <v>4</v>
      </c>
      <c r="AM4931" s="32">
        <f>11*500</f>
        <v>5500</v>
      </c>
      <c r="AO4931" s="32" t="s">
        <v>2025</v>
      </c>
      <c r="AQ4931" s="32">
        <v>416</v>
      </c>
      <c r="AU4931">
        <v>4930</v>
      </c>
    </row>
    <row r="4932" spans="1:47" x14ac:dyDescent="0.2">
      <c r="A4932" s="26">
        <v>6773</v>
      </c>
      <c r="B4932" s="27">
        <v>1.6666666666666666E-2</v>
      </c>
      <c r="C4932" s="28"/>
      <c r="D4932" s="29"/>
      <c r="E4932" s="30" t="s">
        <v>869</v>
      </c>
      <c r="H4932" s="32">
        <v>0</v>
      </c>
      <c r="I4932" s="32" t="s">
        <v>6085</v>
      </c>
      <c r="AG4932" s="32">
        <v>0</v>
      </c>
      <c r="AH4932" s="32">
        <v>0</v>
      </c>
      <c r="AI4932" s="32">
        <v>0</v>
      </c>
      <c r="AK4932" s="32">
        <v>0</v>
      </c>
      <c r="AL4932" s="32">
        <f>73/60</f>
        <v>1.2166666666666666</v>
      </c>
      <c r="AP4932" s="32">
        <f>73/60</f>
        <v>1.2166666666666666</v>
      </c>
      <c r="AQ4932" s="32" t="s">
        <v>589</v>
      </c>
      <c r="AU4932">
        <v>4931</v>
      </c>
    </row>
    <row r="4933" spans="1:47" x14ac:dyDescent="0.2">
      <c r="A4933" s="26">
        <v>6773</v>
      </c>
      <c r="B4933" s="27">
        <v>3.7499999999999999E-2</v>
      </c>
      <c r="C4933" s="28"/>
      <c r="D4933" s="29"/>
      <c r="E4933" s="30" t="s">
        <v>3155</v>
      </c>
      <c r="H4933" s="32">
        <v>0</v>
      </c>
      <c r="I4933" s="32" t="s">
        <v>3156</v>
      </c>
      <c r="AG4933" s="32">
        <v>0</v>
      </c>
      <c r="AH4933" s="32">
        <v>0</v>
      </c>
      <c r="AI4933" s="32">
        <v>0</v>
      </c>
      <c r="AK4933" s="32">
        <v>0</v>
      </c>
      <c r="AP4933" s="32">
        <f>39/60</f>
        <v>0.65</v>
      </c>
      <c r="AQ4933" s="32" t="s">
        <v>1101</v>
      </c>
      <c r="AU4933">
        <v>4932</v>
      </c>
    </row>
    <row r="4934" spans="1:47" x14ac:dyDescent="0.2">
      <c r="A4934" s="26">
        <v>6773</v>
      </c>
      <c r="B4934" s="27">
        <v>0.53819444444444442</v>
      </c>
      <c r="C4934" s="28"/>
      <c r="D4934" s="29"/>
      <c r="E4934" s="30" t="s">
        <v>3737</v>
      </c>
      <c r="H4934" s="32">
        <v>0</v>
      </c>
      <c r="I4934" s="32" t="s">
        <v>4926</v>
      </c>
      <c r="AG4934" s="32">
        <v>0</v>
      </c>
      <c r="AH4934" s="32">
        <v>0</v>
      </c>
      <c r="AI4934" s="32">
        <v>0</v>
      </c>
      <c r="AK4934" s="32">
        <v>0</v>
      </c>
      <c r="AL4934" s="32">
        <f>35/60</f>
        <v>0.58333333333333337</v>
      </c>
      <c r="AM4934" s="33">
        <f>(3125+3691)*AL4934</f>
        <v>3976.0000000000005</v>
      </c>
      <c r="AP4934" s="32">
        <f>35/60</f>
        <v>0.58333333333333337</v>
      </c>
      <c r="AQ4934" s="32" t="s">
        <v>1101</v>
      </c>
      <c r="AU4934">
        <v>4933</v>
      </c>
    </row>
    <row r="4935" spans="1:47" x14ac:dyDescent="0.2">
      <c r="A4935" s="26">
        <v>6773</v>
      </c>
      <c r="B4935" s="27">
        <v>0.68194444444444446</v>
      </c>
      <c r="C4935" s="28"/>
      <c r="D4935" s="29"/>
      <c r="E4935" s="102" t="s">
        <v>1102</v>
      </c>
      <c r="H4935" s="32">
        <v>0</v>
      </c>
      <c r="I4935" s="32" t="s">
        <v>1103</v>
      </c>
      <c r="AG4935" s="32">
        <v>0</v>
      </c>
      <c r="AH4935" s="32">
        <v>0</v>
      </c>
      <c r="AI4935" s="32">
        <v>0</v>
      </c>
      <c r="AK4935" s="32">
        <v>0</v>
      </c>
      <c r="AL4935" s="32">
        <f>8/60</f>
        <v>0.13333333333333333</v>
      </c>
      <c r="AO4935" s="73" t="s">
        <v>1006</v>
      </c>
      <c r="AP4935" s="32">
        <f>8/60</f>
        <v>0.13333333333333333</v>
      </c>
      <c r="AQ4935" s="32" t="s">
        <v>589</v>
      </c>
      <c r="AU4935">
        <v>4934</v>
      </c>
    </row>
    <row r="4936" spans="1:47" x14ac:dyDescent="0.2">
      <c r="A4936" s="26">
        <v>6773</v>
      </c>
      <c r="B4936" s="27" t="s">
        <v>85</v>
      </c>
      <c r="C4936" s="28"/>
      <c r="D4936" s="29"/>
      <c r="E4936" s="30" t="s">
        <v>858</v>
      </c>
      <c r="H4936" s="32">
        <v>1</v>
      </c>
      <c r="I4936" s="32"/>
      <c r="AG4936" s="32">
        <v>0</v>
      </c>
      <c r="AH4936" s="32">
        <v>0</v>
      </c>
      <c r="AI4936" s="32">
        <v>181000</v>
      </c>
      <c r="AQ4936" s="32">
        <v>438</v>
      </c>
      <c r="AU4936">
        <v>4935</v>
      </c>
    </row>
    <row r="4937" spans="1:47" x14ac:dyDescent="0.2">
      <c r="A4937" s="26">
        <v>6773</v>
      </c>
      <c r="B4937" s="27"/>
      <c r="C4937" s="28"/>
      <c r="D4937" s="29"/>
      <c r="E4937" s="30" t="s">
        <v>4666</v>
      </c>
      <c r="H4937" s="32">
        <v>1</v>
      </c>
      <c r="I4937" s="32" t="s">
        <v>6086</v>
      </c>
      <c r="AG4937" s="32">
        <v>0</v>
      </c>
      <c r="AH4937" s="32">
        <v>0</v>
      </c>
      <c r="AI4937" s="32">
        <v>0</v>
      </c>
      <c r="AO4937" s="32" t="s">
        <v>4668</v>
      </c>
      <c r="AQ4937" s="32">
        <v>409</v>
      </c>
      <c r="AU4937">
        <v>4936</v>
      </c>
    </row>
    <row r="4938" spans="1:47" x14ac:dyDescent="0.2">
      <c r="A4938" s="26">
        <v>6773</v>
      </c>
      <c r="B4938" s="27"/>
      <c r="C4938" s="28"/>
      <c r="D4938" s="29"/>
      <c r="E4938" s="102" t="s">
        <v>1421</v>
      </c>
      <c r="H4938" s="32">
        <v>1</v>
      </c>
      <c r="I4938" s="32" t="s">
        <v>1422</v>
      </c>
      <c r="AK4938" s="32">
        <v>41</v>
      </c>
      <c r="AO4938" s="73"/>
      <c r="AQ4938" s="32" t="s">
        <v>589</v>
      </c>
      <c r="AU4938">
        <v>4937</v>
      </c>
    </row>
    <row r="4939" spans="1:47" x14ac:dyDescent="0.2">
      <c r="A4939" s="133">
        <v>6774</v>
      </c>
      <c r="B4939" s="39" t="s">
        <v>85</v>
      </c>
      <c r="C4939" s="39" t="s">
        <v>5626</v>
      </c>
      <c r="D4939" s="29"/>
      <c r="E4939" s="39" t="s">
        <v>6087</v>
      </c>
      <c r="F4939" s="31" t="s">
        <v>6088</v>
      </c>
      <c r="G4939" s="31" t="s">
        <v>69</v>
      </c>
      <c r="H4939" s="32"/>
      <c r="I4939" s="32" t="s">
        <v>6089</v>
      </c>
      <c r="K4939" s="31">
        <f>16384*2.2</f>
        <v>36044.800000000003</v>
      </c>
      <c r="L4939" s="33">
        <v>70</v>
      </c>
      <c r="T4939" s="31">
        <v>0</v>
      </c>
      <c r="Y4939" s="31" t="s">
        <v>120</v>
      </c>
      <c r="Z4939" s="31" t="s">
        <v>3724</v>
      </c>
      <c r="AA4939" s="34">
        <v>0.60416666666666663</v>
      </c>
      <c r="AC4939" s="34">
        <v>0.66666666666666663</v>
      </c>
      <c r="AO4939" s="73"/>
      <c r="AQ4939" s="32" t="s">
        <v>6090</v>
      </c>
      <c r="AU4939">
        <v>4938</v>
      </c>
    </row>
    <row r="4940" spans="1:47" x14ac:dyDescent="0.2">
      <c r="A4940" s="133">
        <v>6774</v>
      </c>
      <c r="B4940" s="39" t="s">
        <v>45</v>
      </c>
      <c r="C4940" s="39">
        <v>100</v>
      </c>
      <c r="D4940" s="29" t="b">
        <v>0</v>
      </c>
      <c r="E4940" s="39" t="s">
        <v>6091</v>
      </c>
      <c r="F4940" s="47" t="s">
        <v>6092</v>
      </c>
      <c r="G4940" s="47" t="s">
        <v>73</v>
      </c>
      <c r="H4940"/>
      <c r="I4940" s="47" t="b">
        <v>1</v>
      </c>
      <c r="J4940" s="47" t="b">
        <v>1</v>
      </c>
      <c r="K4940" s="47">
        <v>5190</v>
      </c>
      <c r="L4940" s="48">
        <v>-1</v>
      </c>
      <c r="M4940" s="47">
        <v>0</v>
      </c>
      <c r="N4940" s="47">
        <v>0</v>
      </c>
      <c r="O4940" s="47">
        <v>0</v>
      </c>
      <c r="P4940" s="47">
        <v>0</v>
      </c>
      <c r="Q4940" s="47">
        <v>0</v>
      </c>
      <c r="R4940" s="47">
        <v>0</v>
      </c>
      <c r="S4940" s="48">
        <v>11</v>
      </c>
      <c r="T4940" s="47">
        <v>0</v>
      </c>
      <c r="U4940" s="47">
        <v>0</v>
      </c>
      <c r="V4940" s="47">
        <v>0</v>
      </c>
      <c r="W4940" s="47">
        <v>1700</v>
      </c>
      <c r="X4940" s="47">
        <v>710</v>
      </c>
      <c r="Y4940" s="47"/>
      <c r="Z4940" s="47" t="s">
        <v>2524</v>
      </c>
      <c r="AA4940" s="49"/>
      <c r="AB4940" s="49"/>
      <c r="AC4940" s="49"/>
      <c r="AD4940" s="50"/>
      <c r="AE4940" s="47" t="s">
        <v>1312</v>
      </c>
      <c r="AF4940" s="47">
        <v>75</v>
      </c>
      <c r="AG4940"/>
      <c r="AH4940"/>
      <c r="AI4940"/>
      <c r="AJ4940"/>
      <c r="AK4940"/>
      <c r="AL4940"/>
      <c r="AM4940"/>
      <c r="AN4940"/>
      <c r="AO4940"/>
      <c r="AP4940"/>
      <c r="AQ4940" t="s">
        <v>2526</v>
      </c>
      <c r="AU4940">
        <v>4939</v>
      </c>
    </row>
    <row r="4941" spans="1:47" x14ac:dyDescent="0.2">
      <c r="A4941" s="133">
        <v>6774</v>
      </c>
      <c r="B4941" s="39" t="s">
        <v>45</v>
      </c>
      <c r="C4941" s="39">
        <v>100</v>
      </c>
      <c r="D4941" s="29" t="b">
        <v>0</v>
      </c>
      <c r="E4941" s="39" t="s">
        <v>5707</v>
      </c>
      <c r="F4941" s="47" t="s">
        <v>6093</v>
      </c>
      <c r="G4941" s="47" t="s">
        <v>205</v>
      </c>
      <c r="H4941"/>
      <c r="I4941" s="47" t="b">
        <v>0</v>
      </c>
      <c r="J4941" s="47" t="b">
        <v>0</v>
      </c>
      <c r="K4941" s="47">
        <v>3656</v>
      </c>
      <c r="L4941" s="48">
        <v>-1</v>
      </c>
      <c r="M4941" s="47">
        <v>0</v>
      </c>
      <c r="N4941" s="47">
        <v>0</v>
      </c>
      <c r="O4941" s="47">
        <v>0</v>
      </c>
      <c r="P4941" s="47">
        <v>0</v>
      </c>
      <c r="Q4941" s="47">
        <v>0</v>
      </c>
      <c r="R4941" s="47">
        <v>0</v>
      </c>
      <c r="S4941" s="48">
        <v>7</v>
      </c>
      <c r="T4941" s="47">
        <v>0</v>
      </c>
      <c r="U4941" s="47">
        <v>0</v>
      </c>
      <c r="V4941" s="47">
        <v>0</v>
      </c>
      <c r="W4941" s="47">
        <v>1700</v>
      </c>
      <c r="X4941" s="47">
        <v>711</v>
      </c>
      <c r="Y4941" s="47"/>
      <c r="Z4941" s="47" t="s">
        <v>2524</v>
      </c>
      <c r="AA4941" s="49"/>
      <c r="AB4941" s="49"/>
      <c r="AC4941" s="49"/>
      <c r="AD4941" s="50"/>
      <c r="AE4941" s="47" t="s">
        <v>1312</v>
      </c>
      <c r="AF4941" s="47">
        <v>75</v>
      </c>
      <c r="AG4941"/>
      <c r="AH4941"/>
      <c r="AI4941"/>
      <c r="AJ4941"/>
      <c r="AK4941"/>
      <c r="AL4941"/>
      <c r="AM4941"/>
      <c r="AN4941"/>
      <c r="AO4941"/>
      <c r="AP4941"/>
      <c r="AQ4941" t="s">
        <v>2526</v>
      </c>
      <c r="AU4941">
        <v>4940</v>
      </c>
    </row>
    <row r="4942" spans="1:47" x14ac:dyDescent="0.2">
      <c r="A4942" s="133">
        <v>6774</v>
      </c>
      <c r="B4942" s="39" t="s">
        <v>45</v>
      </c>
      <c r="C4942" s="39">
        <v>100</v>
      </c>
      <c r="D4942" s="29" t="b">
        <v>0</v>
      </c>
      <c r="E4942" s="39" t="s">
        <v>6094</v>
      </c>
      <c r="F4942" s="47" t="s">
        <v>2617</v>
      </c>
      <c r="G4942" s="47" t="s">
        <v>49</v>
      </c>
      <c r="H4942"/>
      <c r="I4942" s="47" t="b">
        <v>0</v>
      </c>
      <c r="J4942" s="47" t="b">
        <v>0</v>
      </c>
      <c r="K4942" s="47">
        <v>524</v>
      </c>
      <c r="L4942" s="48">
        <v>-1</v>
      </c>
      <c r="M4942" s="47">
        <v>0</v>
      </c>
      <c r="N4942" s="47">
        <v>0</v>
      </c>
      <c r="O4942" s="47">
        <v>0</v>
      </c>
      <c r="P4942" s="47">
        <v>0</v>
      </c>
      <c r="Q4942" s="47">
        <v>0</v>
      </c>
      <c r="R4942" s="47">
        <v>0</v>
      </c>
      <c r="S4942" s="48">
        <v>2</v>
      </c>
      <c r="T4942" s="47">
        <v>0</v>
      </c>
      <c r="U4942" s="47">
        <v>0</v>
      </c>
      <c r="V4942" s="47">
        <v>0</v>
      </c>
      <c r="W4942" s="47">
        <v>1700</v>
      </c>
      <c r="X4942" s="47">
        <v>712</v>
      </c>
      <c r="Y4942" s="47"/>
      <c r="Z4942" s="47" t="s">
        <v>2524</v>
      </c>
      <c r="AA4942" s="49"/>
      <c r="AB4942" s="49"/>
      <c r="AC4942" s="49"/>
      <c r="AD4942" s="50"/>
      <c r="AE4942" s="47" t="s">
        <v>1312</v>
      </c>
      <c r="AF4942" s="47">
        <v>95</v>
      </c>
      <c r="AG4942"/>
      <c r="AH4942"/>
      <c r="AI4942"/>
      <c r="AJ4942"/>
      <c r="AK4942"/>
      <c r="AL4942"/>
      <c r="AM4942"/>
      <c r="AN4942"/>
      <c r="AO4942"/>
      <c r="AP4942"/>
      <c r="AQ4942" t="s">
        <v>2526</v>
      </c>
      <c r="AU4942">
        <v>4941</v>
      </c>
    </row>
    <row r="4943" spans="1:47" x14ac:dyDescent="0.2">
      <c r="A4943" s="133">
        <v>6774</v>
      </c>
      <c r="B4943" s="39" t="s">
        <v>45</v>
      </c>
      <c r="C4943" s="39">
        <v>100</v>
      </c>
      <c r="D4943" s="29" t="b">
        <v>0</v>
      </c>
      <c r="E4943" s="39" t="s">
        <v>6095</v>
      </c>
      <c r="F4943" s="47" t="s">
        <v>6096</v>
      </c>
      <c r="G4943" s="47" t="s">
        <v>49</v>
      </c>
      <c r="H4943"/>
      <c r="I4943" s="47" t="b">
        <v>0</v>
      </c>
      <c r="J4943" s="47" t="b">
        <v>0</v>
      </c>
      <c r="K4943" s="47">
        <v>660</v>
      </c>
      <c r="L4943" s="48">
        <v>-1</v>
      </c>
      <c r="M4943" s="47">
        <v>0</v>
      </c>
      <c r="N4943" s="47">
        <v>0</v>
      </c>
      <c r="O4943" s="47">
        <v>0</v>
      </c>
      <c r="P4943" s="47">
        <v>0</v>
      </c>
      <c r="Q4943" s="47">
        <v>0</v>
      </c>
      <c r="R4943" s="47">
        <v>0</v>
      </c>
      <c r="S4943" s="48">
        <v>2</v>
      </c>
      <c r="T4943" s="47">
        <v>0</v>
      </c>
      <c r="U4943" s="47">
        <v>0</v>
      </c>
      <c r="V4943" s="47">
        <v>0</v>
      </c>
      <c r="W4943" s="47">
        <v>1700</v>
      </c>
      <c r="X4943" s="47">
        <v>713</v>
      </c>
      <c r="Y4943" s="47"/>
      <c r="Z4943" s="47" t="s">
        <v>2524</v>
      </c>
      <c r="AA4943" s="49"/>
      <c r="AB4943" s="49"/>
      <c r="AC4943" s="49"/>
      <c r="AD4943" s="50"/>
      <c r="AE4943" s="47" t="s">
        <v>1312</v>
      </c>
      <c r="AF4943" s="47">
        <v>55</v>
      </c>
      <c r="AG4943"/>
      <c r="AH4943"/>
      <c r="AI4943"/>
      <c r="AJ4943"/>
      <c r="AK4943"/>
      <c r="AL4943"/>
      <c r="AM4943"/>
      <c r="AN4943"/>
      <c r="AO4943"/>
      <c r="AP4943"/>
      <c r="AQ4943" t="s">
        <v>2526</v>
      </c>
      <c r="AU4943">
        <v>4942</v>
      </c>
    </row>
    <row r="4944" spans="1:47" x14ac:dyDescent="0.2">
      <c r="A4944" s="133">
        <v>6774</v>
      </c>
      <c r="B4944" s="39" t="s">
        <v>45</v>
      </c>
      <c r="C4944" s="39">
        <v>100</v>
      </c>
      <c r="D4944" s="29" t="b">
        <v>0</v>
      </c>
      <c r="E4944" s="39" t="s">
        <v>881</v>
      </c>
      <c r="F4944" s="47" t="s">
        <v>6097</v>
      </c>
      <c r="G4944" s="47" t="s">
        <v>73</v>
      </c>
      <c r="H4944"/>
      <c r="I4944" s="47" t="b">
        <v>0</v>
      </c>
      <c r="J4944" s="47" t="b">
        <v>0</v>
      </c>
      <c r="K4944" s="47">
        <v>350</v>
      </c>
      <c r="L4944" s="48">
        <v>-1</v>
      </c>
      <c r="M4944" s="47">
        <v>0</v>
      </c>
      <c r="N4944" s="47">
        <v>0</v>
      </c>
      <c r="O4944" s="47">
        <v>0</v>
      </c>
      <c r="P4944" s="47">
        <v>0</v>
      </c>
      <c r="Q4944" s="47">
        <v>0</v>
      </c>
      <c r="R4944" s="47">
        <v>0</v>
      </c>
      <c r="S4944" s="48">
        <v>1</v>
      </c>
      <c r="T4944" s="47">
        <v>0</v>
      </c>
      <c r="U4944" s="47">
        <v>0</v>
      </c>
      <c r="V4944" s="47">
        <v>0</v>
      </c>
      <c r="W4944" s="47">
        <v>1700</v>
      </c>
      <c r="X4944" s="47">
        <v>714</v>
      </c>
      <c r="Y4944" s="47"/>
      <c r="Z4944" s="47" t="s">
        <v>2524</v>
      </c>
      <c r="AA4944" s="49"/>
      <c r="AB4944" s="49"/>
      <c r="AC4944" s="49"/>
      <c r="AD4944" s="50"/>
      <c r="AE4944" s="47" t="s">
        <v>1312</v>
      </c>
      <c r="AF4944" s="47"/>
      <c r="AG4944"/>
      <c r="AH4944"/>
      <c r="AI4944"/>
      <c r="AJ4944"/>
      <c r="AK4944"/>
      <c r="AL4944"/>
      <c r="AM4944"/>
      <c r="AN4944"/>
      <c r="AO4944"/>
      <c r="AP4944"/>
      <c r="AQ4944" t="s">
        <v>2526</v>
      </c>
      <c r="AU4944">
        <v>4943</v>
      </c>
    </row>
    <row r="4945" spans="1:47" x14ac:dyDescent="0.2">
      <c r="A4945" s="133">
        <v>6774</v>
      </c>
      <c r="B4945" s="39" t="s">
        <v>45</v>
      </c>
      <c r="C4945" s="39">
        <v>216</v>
      </c>
      <c r="D4945" s="29" t="b">
        <v>0</v>
      </c>
      <c r="E4945" s="39" t="s">
        <v>6098</v>
      </c>
      <c r="F4945" s="47" t="s">
        <v>6099</v>
      </c>
      <c r="G4945" s="47" t="s">
        <v>481</v>
      </c>
      <c r="H4945"/>
      <c r="I4945" s="47" t="b">
        <v>1</v>
      </c>
      <c r="J4945" s="47" t="b">
        <v>1</v>
      </c>
      <c r="K4945" s="47">
        <v>7840</v>
      </c>
      <c r="L4945" s="48">
        <v>8</v>
      </c>
      <c r="M4945" s="47">
        <v>0</v>
      </c>
      <c r="N4945" s="47">
        <v>2</v>
      </c>
      <c r="O4945" s="47">
        <v>0</v>
      </c>
      <c r="P4945" s="47">
        <v>0</v>
      </c>
      <c r="Q4945" s="47">
        <v>0</v>
      </c>
      <c r="R4945" s="47">
        <v>0</v>
      </c>
      <c r="S4945" s="48">
        <v>6</v>
      </c>
      <c r="T4945" s="47">
        <v>0</v>
      </c>
      <c r="U4945" s="47">
        <v>0</v>
      </c>
      <c r="V4945" s="47">
        <v>0</v>
      </c>
      <c r="W4945" s="47">
        <v>6500</v>
      </c>
      <c r="X4945" s="47">
        <v>715</v>
      </c>
      <c r="Y4945" s="47"/>
      <c r="Z4945" s="47" t="s">
        <v>2466</v>
      </c>
      <c r="AA4945" s="49"/>
      <c r="AB4945" s="49"/>
      <c r="AC4945" s="49"/>
      <c r="AD4945" s="50"/>
      <c r="AE4945" s="47" t="s">
        <v>1312</v>
      </c>
      <c r="AF4945" s="47">
        <v>210</v>
      </c>
      <c r="AG4945"/>
      <c r="AH4945"/>
      <c r="AI4945"/>
      <c r="AJ4945"/>
      <c r="AK4945"/>
      <c r="AL4945"/>
      <c r="AM4945"/>
      <c r="AN4945"/>
      <c r="AO4945"/>
      <c r="AP4945"/>
      <c r="AQ4945" t="s">
        <v>2526</v>
      </c>
      <c r="AU4945">
        <v>4944</v>
      </c>
    </row>
    <row r="4946" spans="1:47" x14ac:dyDescent="0.2">
      <c r="A4946" s="133">
        <v>6774</v>
      </c>
      <c r="B4946" s="39" t="s">
        <v>45</v>
      </c>
      <c r="C4946" s="39">
        <v>216</v>
      </c>
      <c r="D4946" s="29" t="b">
        <v>0</v>
      </c>
      <c r="E4946" s="39" t="s">
        <v>858</v>
      </c>
      <c r="F4946" s="47" t="s">
        <v>6100</v>
      </c>
      <c r="G4946" s="47" t="s">
        <v>481</v>
      </c>
      <c r="H4946"/>
      <c r="I4946" s="47" t="b">
        <v>0</v>
      </c>
      <c r="J4946" s="47" t="b">
        <v>0</v>
      </c>
      <c r="K4946" s="47">
        <v>5600</v>
      </c>
      <c r="L4946" s="48">
        <v>8</v>
      </c>
      <c r="M4946" s="47">
        <v>0</v>
      </c>
      <c r="N4946" s="47">
        <v>2</v>
      </c>
      <c r="O4946" s="47">
        <v>0</v>
      </c>
      <c r="P4946" s="47">
        <v>0</v>
      </c>
      <c r="Q4946" s="47">
        <v>0</v>
      </c>
      <c r="R4946" s="47">
        <v>0</v>
      </c>
      <c r="S4946" s="48">
        <v>4</v>
      </c>
      <c r="T4946" s="47">
        <v>0</v>
      </c>
      <c r="U4946" s="47">
        <v>0</v>
      </c>
      <c r="V4946" s="47">
        <v>0</v>
      </c>
      <c r="W4946" s="47">
        <v>6500</v>
      </c>
      <c r="X4946" s="47">
        <v>716</v>
      </c>
      <c r="Y4946" s="47"/>
      <c r="Z4946" s="47" t="s">
        <v>2466</v>
      </c>
      <c r="AA4946" s="49"/>
      <c r="AB4946" s="49"/>
      <c r="AC4946" s="49"/>
      <c r="AD4946" s="50"/>
      <c r="AE4946" s="47" t="s">
        <v>1312</v>
      </c>
      <c r="AF4946" s="47">
        <v>105</v>
      </c>
      <c r="AG4946"/>
      <c r="AH4946"/>
      <c r="AI4946"/>
      <c r="AJ4946"/>
      <c r="AK4946"/>
      <c r="AL4946"/>
      <c r="AM4946"/>
      <c r="AN4946"/>
      <c r="AO4946"/>
      <c r="AP4946"/>
      <c r="AQ4946" t="s">
        <v>2526</v>
      </c>
      <c r="AU4946">
        <v>4945</v>
      </c>
    </row>
    <row r="4947" spans="1:47" x14ac:dyDescent="0.2">
      <c r="A4947" s="133">
        <v>6774</v>
      </c>
      <c r="B4947" s="39" t="s">
        <v>45</v>
      </c>
      <c r="C4947" s="39">
        <v>216</v>
      </c>
      <c r="D4947" s="29" t="b">
        <v>0</v>
      </c>
      <c r="E4947" s="39" t="s">
        <v>3909</v>
      </c>
      <c r="F4947" s="47" t="s">
        <v>6101</v>
      </c>
      <c r="G4947" s="47" t="s">
        <v>274</v>
      </c>
      <c r="H4947"/>
      <c r="I4947" s="47" t="b">
        <v>0</v>
      </c>
      <c r="J4947" s="47" t="b">
        <v>0</v>
      </c>
      <c r="K4947" s="47">
        <v>448</v>
      </c>
      <c r="L4947" s="48">
        <v>8</v>
      </c>
      <c r="M4947" s="47">
        <v>0</v>
      </c>
      <c r="N4947" s="47">
        <v>2</v>
      </c>
      <c r="O4947" s="47">
        <v>0</v>
      </c>
      <c r="P4947" s="47">
        <v>0</v>
      </c>
      <c r="Q4947" s="47">
        <v>0</v>
      </c>
      <c r="R4947" s="47">
        <v>0</v>
      </c>
      <c r="S4947" s="48">
        <v>1</v>
      </c>
      <c r="T4947" s="47">
        <v>0</v>
      </c>
      <c r="U4947" s="47">
        <v>0</v>
      </c>
      <c r="V4947" s="47">
        <v>0</v>
      </c>
      <c r="W4947" s="47">
        <v>7000</v>
      </c>
      <c r="X4947" s="47">
        <v>717</v>
      </c>
      <c r="Y4947" s="47"/>
      <c r="Z4947" s="47" t="s">
        <v>2466</v>
      </c>
      <c r="AA4947" s="49"/>
      <c r="AB4947" s="49"/>
      <c r="AC4947" s="49"/>
      <c r="AD4947" s="50"/>
      <c r="AE4947" s="47" t="s">
        <v>1312</v>
      </c>
      <c r="AF4947" s="47">
        <v>210</v>
      </c>
      <c r="AG4947"/>
      <c r="AH4947"/>
      <c r="AI4947"/>
      <c r="AJ4947"/>
      <c r="AK4947"/>
      <c r="AL4947"/>
      <c r="AM4947"/>
      <c r="AN4947"/>
      <c r="AO4947"/>
      <c r="AP4947"/>
      <c r="AQ4947" t="s">
        <v>2526</v>
      </c>
      <c r="AU4947">
        <v>4946</v>
      </c>
    </row>
    <row r="4948" spans="1:47" x14ac:dyDescent="0.2">
      <c r="A4948" s="133">
        <v>6774</v>
      </c>
      <c r="B4948" s="39" t="s">
        <v>45</v>
      </c>
      <c r="C4948" s="39">
        <v>216</v>
      </c>
      <c r="D4948" s="29" t="b">
        <v>0</v>
      </c>
      <c r="E4948" s="39" t="s">
        <v>6102</v>
      </c>
      <c r="F4948" s="47" t="s">
        <v>76</v>
      </c>
      <c r="G4948" s="47" t="s">
        <v>49</v>
      </c>
      <c r="H4948"/>
      <c r="I4948" s="47" t="b">
        <v>0</v>
      </c>
      <c r="J4948" s="47" t="b">
        <v>0</v>
      </c>
      <c r="K4948" s="47">
        <v>672</v>
      </c>
      <c r="L4948" s="48">
        <v>8</v>
      </c>
      <c r="M4948" s="47">
        <v>0</v>
      </c>
      <c r="N4948" s="47">
        <v>2</v>
      </c>
      <c r="O4948" s="47">
        <v>0</v>
      </c>
      <c r="P4948" s="47">
        <v>0</v>
      </c>
      <c r="Q4948" s="47">
        <v>0</v>
      </c>
      <c r="R4948" s="47">
        <v>0</v>
      </c>
      <c r="S4948" s="48">
        <v>1</v>
      </c>
      <c r="T4948" s="47">
        <v>0</v>
      </c>
      <c r="U4948" s="47">
        <v>0</v>
      </c>
      <c r="V4948" s="47">
        <v>0</v>
      </c>
      <c r="W4948" s="47">
        <v>6000</v>
      </c>
      <c r="X4948" s="47">
        <v>718</v>
      </c>
      <c r="Y4948" s="47"/>
      <c r="Z4948" s="47" t="s">
        <v>2466</v>
      </c>
      <c r="AA4948" s="49"/>
      <c r="AB4948" s="49"/>
      <c r="AC4948" s="49"/>
      <c r="AD4948" s="50"/>
      <c r="AE4948" s="47" t="s">
        <v>1312</v>
      </c>
      <c r="AF4948" s="47">
        <v>220</v>
      </c>
      <c r="AG4948"/>
      <c r="AH4948"/>
      <c r="AI4948"/>
      <c r="AJ4948"/>
      <c r="AK4948"/>
      <c r="AL4948"/>
      <c r="AM4948"/>
      <c r="AN4948"/>
      <c r="AO4948"/>
      <c r="AP4948"/>
      <c r="AQ4948" t="s">
        <v>2526</v>
      </c>
      <c r="AU4948">
        <v>4947</v>
      </c>
    </row>
    <row r="4949" spans="1:47" x14ac:dyDescent="0.2">
      <c r="A4949" s="133">
        <v>6774</v>
      </c>
      <c r="B4949" s="39" t="s">
        <v>45</v>
      </c>
      <c r="C4949" s="39">
        <v>216</v>
      </c>
      <c r="D4949" s="29" t="b">
        <v>0</v>
      </c>
      <c r="E4949" s="39" t="s">
        <v>5807</v>
      </c>
      <c r="F4949" s="47" t="s">
        <v>1972</v>
      </c>
      <c r="G4949" s="47" t="s">
        <v>481</v>
      </c>
      <c r="H4949"/>
      <c r="I4949" s="47" t="b">
        <v>0</v>
      </c>
      <c r="J4949" s="47" t="b">
        <v>0</v>
      </c>
      <c r="K4949" s="47">
        <v>1120</v>
      </c>
      <c r="L4949" s="48">
        <v>8</v>
      </c>
      <c r="M4949" s="47">
        <v>0</v>
      </c>
      <c r="N4949" s="47">
        <v>2</v>
      </c>
      <c r="O4949" s="47">
        <v>0</v>
      </c>
      <c r="P4949" s="47">
        <v>0</v>
      </c>
      <c r="Q4949" s="47">
        <v>0</v>
      </c>
      <c r="R4949" s="47">
        <v>0</v>
      </c>
      <c r="S4949" s="48">
        <v>1</v>
      </c>
      <c r="T4949" s="47">
        <v>0</v>
      </c>
      <c r="U4949" s="47">
        <v>0</v>
      </c>
      <c r="V4949" s="47">
        <v>0</v>
      </c>
      <c r="W4949" s="47">
        <v>6500</v>
      </c>
      <c r="X4949" s="47">
        <v>719</v>
      </c>
      <c r="Y4949" s="47"/>
      <c r="Z4949" s="47" t="s">
        <v>2466</v>
      </c>
      <c r="AA4949" s="49"/>
      <c r="AB4949" s="49"/>
      <c r="AC4949" s="49"/>
      <c r="AD4949" s="50"/>
      <c r="AE4949" s="47" t="s">
        <v>1312</v>
      </c>
      <c r="AF4949" s="47">
        <v>95</v>
      </c>
      <c r="AG4949"/>
      <c r="AH4949"/>
      <c r="AI4949"/>
      <c r="AJ4949"/>
      <c r="AK4949"/>
      <c r="AL4949"/>
      <c r="AM4949"/>
      <c r="AN4949"/>
      <c r="AO4949"/>
      <c r="AP4949"/>
      <c r="AQ4949" t="s">
        <v>2526</v>
      </c>
      <c r="AU4949">
        <v>4948</v>
      </c>
    </row>
    <row r="4950" spans="1:47" x14ac:dyDescent="0.2">
      <c r="A4950" s="13">
        <v>6774</v>
      </c>
      <c r="B4950" s="57" t="s">
        <v>45</v>
      </c>
      <c r="C4950" s="57" t="s">
        <v>142</v>
      </c>
      <c r="D4950" s="29"/>
      <c r="E4950" s="39" t="s">
        <v>6103</v>
      </c>
      <c r="F4950" s="47" t="s">
        <v>6104</v>
      </c>
      <c r="G4950" s="47" t="s">
        <v>49</v>
      </c>
      <c r="H4950"/>
      <c r="I4950" s="47" t="b">
        <v>1</v>
      </c>
      <c r="J4950" s="47" t="b">
        <v>1</v>
      </c>
      <c r="K4950" s="47">
        <f>6105*2.2</f>
        <v>13431.000000000002</v>
      </c>
      <c r="L4950" s="48">
        <f>25+1</f>
        <v>26</v>
      </c>
      <c r="M4950" s="47"/>
      <c r="N4950" s="47">
        <v>2</v>
      </c>
      <c r="O4950" s="47"/>
      <c r="P4950" s="47"/>
      <c r="Q4950" s="47"/>
      <c r="R4950" s="47"/>
      <c r="S4950" s="48">
        <f>23+1</f>
        <v>24</v>
      </c>
      <c r="T4950" s="31">
        <v>0</v>
      </c>
      <c r="U4950" s="31">
        <v>0</v>
      </c>
      <c r="V4950" s="31">
        <v>0</v>
      </c>
      <c r="W4950" s="47"/>
      <c r="X4950" s="47"/>
      <c r="Y4950" s="47" t="s">
        <v>51</v>
      </c>
      <c r="Z4950" s="31" t="s">
        <v>3855</v>
      </c>
      <c r="AA4950" s="49"/>
      <c r="AB4950" s="49"/>
      <c r="AC4950" s="49"/>
      <c r="AD4950" s="50"/>
      <c r="AE4950" s="47" t="s">
        <v>4217</v>
      </c>
      <c r="AF4950" s="47"/>
      <c r="AG4950"/>
      <c r="AH4950"/>
      <c r="AI4950"/>
      <c r="AJ4950"/>
      <c r="AK4950">
        <f>119+35+25+13+18</f>
        <v>210</v>
      </c>
      <c r="AL4950"/>
      <c r="AM4950"/>
      <c r="AN4950"/>
      <c r="AO4950"/>
      <c r="AP4950"/>
      <c r="AQ4950" t="s">
        <v>6105</v>
      </c>
      <c r="AR4950" s="32" t="s">
        <v>6106</v>
      </c>
      <c r="AU4950">
        <v>4949</v>
      </c>
    </row>
    <row r="4951" spans="1:47" x14ac:dyDescent="0.2">
      <c r="A4951" s="13">
        <v>6774</v>
      </c>
      <c r="B4951" s="57" t="s">
        <v>45</v>
      </c>
      <c r="C4951" s="57" t="s">
        <v>142</v>
      </c>
      <c r="D4951" s="29"/>
      <c r="E4951" s="57" t="s">
        <v>5253</v>
      </c>
      <c r="F4951" s="31" t="s">
        <v>76</v>
      </c>
      <c r="G4951" s="47" t="s">
        <v>49</v>
      </c>
      <c r="I4951" s="47" t="b">
        <v>0</v>
      </c>
      <c r="J4951" s="47" t="b">
        <v>0</v>
      </c>
      <c r="K4951" s="31">
        <v>6941</v>
      </c>
      <c r="S4951" s="33">
        <v>11</v>
      </c>
      <c r="Z4951" s="31" t="s">
        <v>3855</v>
      </c>
      <c r="AE4951" s="47" t="s">
        <v>4217</v>
      </c>
      <c r="AF4951" s="31">
        <v>70</v>
      </c>
      <c r="AK4951" s="32">
        <v>114</v>
      </c>
      <c r="AQ4951" s="32" t="s">
        <v>6048</v>
      </c>
      <c r="AU4951">
        <v>4950</v>
      </c>
    </row>
    <row r="4952" spans="1:47" x14ac:dyDescent="0.2">
      <c r="A4952" s="13">
        <v>6774</v>
      </c>
      <c r="B4952" s="57" t="s">
        <v>45</v>
      </c>
      <c r="C4952" s="57" t="s">
        <v>142</v>
      </c>
      <c r="D4952" s="29"/>
      <c r="E4952" s="57" t="s">
        <v>5703</v>
      </c>
      <c r="F4952" s="31" t="s">
        <v>76</v>
      </c>
      <c r="G4952" s="47" t="s">
        <v>49</v>
      </c>
      <c r="I4952" s="47" t="b">
        <v>0</v>
      </c>
      <c r="J4952" s="47" t="b">
        <v>0</v>
      </c>
      <c r="K4952" s="31">
        <v>4202</v>
      </c>
      <c r="S4952" s="33">
        <v>7</v>
      </c>
      <c r="Z4952" s="31" t="s">
        <v>3855</v>
      </c>
      <c r="AE4952" s="47" t="s">
        <v>4217</v>
      </c>
      <c r="AF4952" s="31">
        <v>65</v>
      </c>
      <c r="AK4952" s="32">
        <v>70</v>
      </c>
      <c r="AQ4952" s="32" t="s">
        <v>6048</v>
      </c>
      <c r="AU4952">
        <v>4951</v>
      </c>
    </row>
    <row r="4953" spans="1:47" x14ac:dyDescent="0.2">
      <c r="A4953" s="13">
        <v>6774</v>
      </c>
      <c r="B4953" s="57" t="s">
        <v>45</v>
      </c>
      <c r="C4953" s="57" t="s">
        <v>142</v>
      </c>
      <c r="D4953" s="29"/>
      <c r="E4953" s="57" t="s">
        <v>1078</v>
      </c>
      <c r="F4953" s="31" t="s">
        <v>76</v>
      </c>
      <c r="G4953" s="47" t="s">
        <v>49</v>
      </c>
      <c r="I4953" s="47" t="b">
        <v>0</v>
      </c>
      <c r="J4953" s="47" t="b">
        <v>0</v>
      </c>
      <c r="K4953" s="31">
        <v>1144</v>
      </c>
      <c r="S4953" s="33">
        <v>2</v>
      </c>
      <c r="Z4953" s="31" t="s">
        <v>3855</v>
      </c>
      <c r="AE4953" s="47" t="s">
        <v>4217</v>
      </c>
      <c r="AF4953" s="31">
        <v>70</v>
      </c>
      <c r="AK4953" s="32">
        <v>19</v>
      </c>
      <c r="AQ4953" s="32" t="s">
        <v>6048</v>
      </c>
      <c r="AR4953" s="31" t="s">
        <v>6107</v>
      </c>
      <c r="AU4953">
        <v>4952</v>
      </c>
    </row>
    <row r="4954" spans="1:47" x14ac:dyDescent="0.2">
      <c r="A4954" s="13">
        <v>6774</v>
      </c>
      <c r="B4954" s="57" t="s">
        <v>45</v>
      </c>
      <c r="C4954" s="57" t="s">
        <v>142</v>
      </c>
      <c r="D4954" s="29"/>
      <c r="E4954" s="57" t="s">
        <v>6108</v>
      </c>
      <c r="F4954" s="31" t="s">
        <v>5578</v>
      </c>
      <c r="G4954" s="47" t="s">
        <v>69</v>
      </c>
      <c r="I4954" s="47" t="b">
        <v>0</v>
      </c>
      <c r="J4954" s="47" t="b">
        <v>0</v>
      </c>
      <c r="K4954" s="31">
        <v>1221</v>
      </c>
      <c r="S4954" s="33">
        <v>2</v>
      </c>
      <c r="Z4954" s="31" t="s">
        <v>3855</v>
      </c>
      <c r="AE4954" s="47" t="s">
        <v>4217</v>
      </c>
      <c r="AF4954" s="31">
        <v>60</v>
      </c>
      <c r="AK4954" s="32">
        <v>21</v>
      </c>
      <c r="AQ4954" s="32" t="s">
        <v>6048</v>
      </c>
      <c r="AU4954">
        <v>4953</v>
      </c>
    </row>
    <row r="4955" spans="1:47" x14ac:dyDescent="0.2">
      <c r="A4955" s="13">
        <v>6774</v>
      </c>
      <c r="B4955" s="57" t="s">
        <v>45</v>
      </c>
      <c r="C4955" s="57" t="s">
        <v>142</v>
      </c>
      <c r="D4955" s="29"/>
      <c r="E4955" s="57" t="s">
        <v>5559</v>
      </c>
      <c r="F4955" s="31" t="s">
        <v>76</v>
      </c>
      <c r="G4955" s="47" t="s">
        <v>49</v>
      </c>
      <c r="I4955" s="47" t="b">
        <v>0</v>
      </c>
      <c r="J4955" s="47" t="b">
        <v>0</v>
      </c>
      <c r="K4955" s="31">
        <v>550</v>
      </c>
      <c r="S4955" s="33">
        <v>1</v>
      </c>
      <c r="Z4955" s="31" t="s">
        <v>3855</v>
      </c>
      <c r="AE4955" s="47" t="s">
        <v>4217</v>
      </c>
      <c r="AF4955" s="31">
        <v>60</v>
      </c>
      <c r="AK4955" s="32">
        <v>8</v>
      </c>
      <c r="AQ4955" s="32" t="s">
        <v>6048</v>
      </c>
      <c r="AU4955">
        <v>4954</v>
      </c>
    </row>
    <row r="4956" spans="1:47" x14ac:dyDescent="0.2">
      <c r="A4956" s="13">
        <v>6774</v>
      </c>
      <c r="B4956" s="57" t="s">
        <v>45</v>
      </c>
      <c r="C4956" s="57" t="s">
        <v>4843</v>
      </c>
      <c r="D4956" s="29"/>
      <c r="E4956" s="57" t="s">
        <v>5253</v>
      </c>
      <c r="F4956" s="31" t="s">
        <v>76</v>
      </c>
      <c r="G4956" s="47" t="s">
        <v>49</v>
      </c>
      <c r="K4956" s="31">
        <v>264</v>
      </c>
      <c r="S4956" s="33">
        <v>1</v>
      </c>
      <c r="Z4956" s="31" t="s">
        <v>3814</v>
      </c>
      <c r="AE4956" s="31" t="s">
        <v>4411</v>
      </c>
      <c r="AF4956" s="31">
        <v>70</v>
      </c>
      <c r="AK4956" s="32">
        <v>13</v>
      </c>
      <c r="AQ4956" s="32" t="s">
        <v>6048</v>
      </c>
      <c r="AU4956">
        <v>4955</v>
      </c>
    </row>
    <row r="4957" spans="1:47" x14ac:dyDescent="0.2">
      <c r="A4957" s="13">
        <v>6774</v>
      </c>
      <c r="B4957" s="57" t="s">
        <v>45</v>
      </c>
      <c r="C4957" s="57" t="s">
        <v>4843</v>
      </c>
      <c r="D4957" s="29"/>
      <c r="E4957" s="57" t="s">
        <v>1078</v>
      </c>
      <c r="F4957" s="31" t="s">
        <v>76</v>
      </c>
      <c r="G4957" s="47" t="s">
        <v>49</v>
      </c>
      <c r="I4957" s="31" t="s">
        <v>6107</v>
      </c>
      <c r="K4957" s="31">
        <v>308</v>
      </c>
      <c r="S4957" s="33">
        <v>1</v>
      </c>
      <c r="Z4957" s="31" t="s">
        <v>3814</v>
      </c>
      <c r="AE4957" s="31" t="s">
        <v>4411</v>
      </c>
      <c r="AF4957" s="31">
        <v>70</v>
      </c>
      <c r="AK4957" s="32">
        <v>1</v>
      </c>
      <c r="AQ4957" s="32" t="s">
        <v>6048</v>
      </c>
      <c r="AU4957">
        <v>4956</v>
      </c>
    </row>
    <row r="4958" spans="1:47" x14ac:dyDescent="0.2">
      <c r="A4958" s="13">
        <v>6774</v>
      </c>
      <c r="B4958" s="57" t="s">
        <v>45</v>
      </c>
      <c r="C4958" s="57" t="s">
        <v>4843</v>
      </c>
      <c r="D4958" s="29"/>
      <c r="E4958" s="57" t="s">
        <v>5559</v>
      </c>
      <c r="F4958" s="31" t="s">
        <v>76</v>
      </c>
      <c r="G4958" s="47" t="s">
        <v>49</v>
      </c>
      <c r="K4958" s="31">
        <v>594</v>
      </c>
      <c r="S4958" s="33">
        <v>1</v>
      </c>
      <c r="Z4958" s="31" t="s">
        <v>3814</v>
      </c>
      <c r="AE4958" s="31" t="s">
        <v>4411</v>
      </c>
      <c r="AF4958" s="31">
        <v>60</v>
      </c>
      <c r="AK4958" s="32">
        <v>9</v>
      </c>
      <c r="AQ4958" s="32" t="s">
        <v>6048</v>
      </c>
      <c r="AU4958">
        <v>4957</v>
      </c>
    </row>
    <row r="4959" spans="1:47" x14ac:dyDescent="0.2">
      <c r="A4959" s="13">
        <v>6774</v>
      </c>
      <c r="B4959" s="57" t="s">
        <v>45</v>
      </c>
      <c r="C4959" s="57" t="s">
        <v>4843</v>
      </c>
      <c r="D4959" s="29"/>
      <c r="E4959" s="57" t="s">
        <v>6109</v>
      </c>
      <c r="F4959" s="31" t="s">
        <v>5578</v>
      </c>
      <c r="G4959" s="47" t="s">
        <v>69</v>
      </c>
      <c r="K4959" s="31">
        <v>1254</v>
      </c>
      <c r="S4959" s="33">
        <v>2</v>
      </c>
      <c r="Z4959" s="31" t="s">
        <v>3814</v>
      </c>
      <c r="AE4959" s="31" t="s">
        <v>4411</v>
      </c>
      <c r="AF4959" s="31">
        <v>60</v>
      </c>
      <c r="AK4959" s="32">
        <v>17</v>
      </c>
      <c r="AQ4959" s="32" t="s">
        <v>6048</v>
      </c>
      <c r="AU4959">
        <v>4958</v>
      </c>
    </row>
    <row r="4960" spans="1:47" x14ac:dyDescent="0.2">
      <c r="A4960" s="13">
        <v>6774</v>
      </c>
      <c r="B4960" s="57" t="s">
        <v>45</v>
      </c>
      <c r="C4960" s="57" t="s">
        <v>4843</v>
      </c>
      <c r="D4960" s="29"/>
      <c r="E4960" s="57" t="s">
        <v>6023</v>
      </c>
      <c r="F4960" s="31" t="s">
        <v>76</v>
      </c>
      <c r="G4960" s="47" t="s">
        <v>49</v>
      </c>
      <c r="K4960" s="31">
        <v>1617</v>
      </c>
      <c r="S4960" s="33">
        <v>3</v>
      </c>
      <c r="Z4960" s="31" t="s">
        <v>3814</v>
      </c>
      <c r="AE4960" s="31" t="s">
        <v>4411</v>
      </c>
      <c r="AF4960" s="31">
        <v>60</v>
      </c>
      <c r="AK4960" s="32">
        <v>17</v>
      </c>
      <c r="AQ4960" s="32" t="s">
        <v>6048</v>
      </c>
      <c r="AU4960">
        <v>4959</v>
      </c>
    </row>
    <row r="4961" spans="1:47" x14ac:dyDescent="0.2">
      <c r="A4961" s="13">
        <v>6774</v>
      </c>
      <c r="B4961" s="57" t="s">
        <v>45</v>
      </c>
      <c r="C4961" s="57" t="s">
        <v>4843</v>
      </c>
      <c r="D4961" s="29"/>
      <c r="E4961" s="57" t="s">
        <v>5703</v>
      </c>
      <c r="F4961" s="31" t="s">
        <v>76</v>
      </c>
      <c r="G4961" s="47" t="s">
        <v>49</v>
      </c>
      <c r="K4961" s="31">
        <v>5676</v>
      </c>
      <c r="S4961" s="33">
        <v>13</v>
      </c>
      <c r="Z4961" s="31" t="s">
        <v>3814</v>
      </c>
      <c r="AE4961" s="31" t="s">
        <v>4411</v>
      </c>
      <c r="AF4961" s="31">
        <v>65</v>
      </c>
      <c r="AK4961" s="32">
        <v>82</v>
      </c>
      <c r="AQ4961" s="32" t="s">
        <v>6048</v>
      </c>
      <c r="AU4961">
        <v>4960</v>
      </c>
    </row>
    <row r="4962" spans="1:47" x14ac:dyDescent="0.2">
      <c r="A4962" s="13">
        <v>6774</v>
      </c>
      <c r="B4962" s="57" t="s">
        <v>45</v>
      </c>
      <c r="C4962" s="57" t="s">
        <v>6060</v>
      </c>
      <c r="D4962" s="29"/>
      <c r="E4962" s="57" t="s">
        <v>1397</v>
      </c>
      <c r="F4962" s="31" t="s">
        <v>76</v>
      </c>
      <c r="G4962" s="47" t="s">
        <v>49</v>
      </c>
      <c r="I4962" s="31" t="s">
        <v>6110</v>
      </c>
      <c r="K4962" s="63"/>
      <c r="Z4962" s="31" t="s">
        <v>1846</v>
      </c>
      <c r="AE4962" s="31" t="s">
        <v>4756</v>
      </c>
      <c r="AF4962" s="31">
        <v>80</v>
      </c>
      <c r="AQ4962" s="32" t="s">
        <v>6048</v>
      </c>
      <c r="AU4962">
        <v>4961</v>
      </c>
    </row>
    <row r="4963" spans="1:47" x14ac:dyDescent="0.2">
      <c r="A4963" s="13">
        <v>6774</v>
      </c>
      <c r="B4963" s="57" t="s">
        <v>45</v>
      </c>
      <c r="C4963" s="57" t="s">
        <v>6060</v>
      </c>
      <c r="D4963" s="29"/>
      <c r="E4963" s="57" t="s">
        <v>5882</v>
      </c>
      <c r="F4963" s="31" t="s">
        <v>76</v>
      </c>
      <c r="G4963" s="47" t="s">
        <v>49</v>
      </c>
      <c r="I4963" s="31" t="s">
        <v>6110</v>
      </c>
      <c r="K4963" s="63"/>
      <c r="Z4963" s="31" t="s">
        <v>1846</v>
      </c>
      <c r="AE4963" s="31" t="s">
        <v>4756</v>
      </c>
      <c r="AF4963" s="31">
        <v>75</v>
      </c>
      <c r="AQ4963" s="32" t="s">
        <v>6048</v>
      </c>
      <c r="AU4963">
        <v>4962</v>
      </c>
    </row>
    <row r="4964" spans="1:47" x14ac:dyDescent="0.2">
      <c r="A4964" s="13">
        <v>6774</v>
      </c>
      <c r="B4964" s="57" t="s">
        <v>45</v>
      </c>
      <c r="C4964" s="57" t="s">
        <v>6060</v>
      </c>
      <c r="D4964" s="29"/>
      <c r="E4964" s="57" t="s">
        <v>5379</v>
      </c>
      <c r="F4964" s="31" t="s">
        <v>76</v>
      </c>
      <c r="G4964" s="47" t="s">
        <v>49</v>
      </c>
      <c r="I4964" s="31" t="s">
        <v>6110</v>
      </c>
      <c r="K4964" s="63"/>
      <c r="Z4964" s="31" t="s">
        <v>1846</v>
      </c>
      <c r="AE4964" s="31" t="s">
        <v>4756</v>
      </c>
      <c r="AF4964" s="31">
        <v>65</v>
      </c>
      <c r="AQ4964" s="32" t="s">
        <v>6048</v>
      </c>
      <c r="AU4964">
        <v>4963</v>
      </c>
    </row>
    <row r="4965" spans="1:47" x14ac:dyDescent="0.2">
      <c r="A4965" s="13">
        <v>6774</v>
      </c>
      <c r="B4965" s="57" t="s">
        <v>45</v>
      </c>
      <c r="C4965" s="57" t="s">
        <v>6060</v>
      </c>
      <c r="D4965" s="29"/>
      <c r="E4965" s="57" t="s">
        <v>5253</v>
      </c>
      <c r="F4965" s="31" t="s">
        <v>76</v>
      </c>
      <c r="G4965" s="47" t="s">
        <v>49</v>
      </c>
      <c r="I4965" s="31" t="s">
        <v>6110</v>
      </c>
      <c r="K4965" s="63"/>
      <c r="Z4965" s="31" t="s">
        <v>1846</v>
      </c>
      <c r="AE4965" s="31" t="s">
        <v>4756</v>
      </c>
      <c r="AF4965" s="31">
        <v>50</v>
      </c>
      <c r="AQ4965" s="32" t="s">
        <v>6048</v>
      </c>
      <c r="AU4965">
        <v>4964</v>
      </c>
    </row>
    <row r="4966" spans="1:47" x14ac:dyDescent="0.2">
      <c r="A4966" s="13">
        <v>6774</v>
      </c>
      <c r="B4966" s="57" t="s">
        <v>45</v>
      </c>
      <c r="C4966" s="57" t="s">
        <v>6060</v>
      </c>
      <c r="D4966" s="29"/>
      <c r="E4966" s="57" t="s">
        <v>1078</v>
      </c>
      <c r="F4966" s="31" t="s">
        <v>76</v>
      </c>
      <c r="G4966" s="47" t="s">
        <v>49</v>
      </c>
      <c r="I4966" s="31" t="s">
        <v>6110</v>
      </c>
      <c r="K4966" s="63"/>
      <c r="Z4966" s="31" t="s">
        <v>1846</v>
      </c>
      <c r="AE4966" s="31" t="s">
        <v>4756</v>
      </c>
      <c r="AF4966" s="31">
        <v>60</v>
      </c>
      <c r="AQ4966" s="32" t="s">
        <v>6048</v>
      </c>
      <c r="AU4966">
        <v>4965</v>
      </c>
    </row>
    <row r="4967" spans="1:47" x14ac:dyDescent="0.2">
      <c r="A4967" s="13">
        <v>6774</v>
      </c>
      <c r="B4967" s="57" t="s">
        <v>45</v>
      </c>
      <c r="C4967" s="57" t="s">
        <v>6060</v>
      </c>
      <c r="D4967" s="29"/>
      <c r="E4967" s="57" t="s">
        <v>6111</v>
      </c>
      <c r="F4967" s="31" t="s">
        <v>170</v>
      </c>
      <c r="G4967" s="31" t="s">
        <v>69</v>
      </c>
      <c r="I4967" s="31" t="s">
        <v>6110</v>
      </c>
      <c r="K4967" s="63"/>
      <c r="Z4967" s="31" t="s">
        <v>1846</v>
      </c>
      <c r="AE4967" s="31" t="s">
        <v>4756</v>
      </c>
      <c r="AF4967" s="31">
        <v>60</v>
      </c>
      <c r="AQ4967" s="32" t="s">
        <v>6048</v>
      </c>
      <c r="AU4967">
        <v>4966</v>
      </c>
    </row>
    <row r="4968" spans="1:47" x14ac:dyDescent="0.2">
      <c r="A4968" s="13">
        <v>6774</v>
      </c>
      <c r="B4968" s="57" t="s">
        <v>45</v>
      </c>
      <c r="C4968" s="57" t="s">
        <v>6060</v>
      </c>
      <c r="D4968" s="29"/>
      <c r="E4968" s="57" t="s">
        <v>6112</v>
      </c>
      <c r="F4968" s="31" t="s">
        <v>170</v>
      </c>
      <c r="G4968" s="31" t="s">
        <v>69</v>
      </c>
      <c r="I4968" s="31" t="s">
        <v>6110</v>
      </c>
      <c r="K4968" s="63"/>
      <c r="Z4968" s="31" t="s">
        <v>1846</v>
      </c>
      <c r="AE4968" s="31" t="s">
        <v>4756</v>
      </c>
      <c r="AF4968" s="31">
        <v>55</v>
      </c>
      <c r="AQ4968" s="32" t="s">
        <v>6048</v>
      </c>
      <c r="AU4968">
        <v>4967</v>
      </c>
    </row>
    <row r="4969" spans="1:47" x14ac:dyDescent="0.2">
      <c r="A4969" s="13">
        <v>6774</v>
      </c>
      <c r="B4969" s="57" t="s">
        <v>45</v>
      </c>
      <c r="C4969" s="57" t="s">
        <v>4456</v>
      </c>
      <c r="D4969" s="29"/>
      <c r="E4969" s="57" t="s">
        <v>1397</v>
      </c>
      <c r="F4969" s="31" t="s">
        <v>76</v>
      </c>
      <c r="G4969" s="47" t="s">
        <v>49</v>
      </c>
      <c r="I4969" s="31" t="s">
        <v>6113</v>
      </c>
      <c r="K4969" s="183">
        <f>2*424*2.2</f>
        <v>1865.6000000000001</v>
      </c>
      <c r="L4969" s="33">
        <v>2</v>
      </c>
      <c r="S4969" s="33">
        <v>2</v>
      </c>
      <c r="T4969" s="31">
        <v>0</v>
      </c>
      <c r="U4969" s="31">
        <v>0</v>
      </c>
      <c r="V4969" s="31">
        <v>0</v>
      </c>
      <c r="W4969" s="47">
        <f>((1500+1800)/2)*39.37/12</f>
        <v>5413.3749999999991</v>
      </c>
      <c r="Y4969" s="19" t="s">
        <v>51</v>
      </c>
      <c r="Z4969" s="19" t="s">
        <v>1846</v>
      </c>
      <c r="AA4969" s="34">
        <v>0.95833333333333337</v>
      </c>
      <c r="AB4969" s="34">
        <v>1.0763888888888888</v>
      </c>
      <c r="AC4969" s="49">
        <f t="shared" ref="AC4969:AC4975" si="7">AVERAGE(AA4969:AB4969)</f>
        <v>1.0173611111111112</v>
      </c>
      <c r="AD4969" s="50">
        <v>2.5</v>
      </c>
      <c r="AE4969" s="31" t="s">
        <v>4756</v>
      </c>
      <c r="AF4969" s="31">
        <v>80</v>
      </c>
      <c r="AQ4969" s="18" t="s">
        <v>6114</v>
      </c>
      <c r="AU4969">
        <v>4968</v>
      </c>
    </row>
    <row r="4970" spans="1:47" x14ac:dyDescent="0.2">
      <c r="A4970" s="13">
        <v>6774</v>
      </c>
      <c r="B4970" s="57" t="s">
        <v>45</v>
      </c>
      <c r="C4970" s="57" t="s">
        <v>4456</v>
      </c>
      <c r="D4970" s="29"/>
      <c r="E4970" s="57" t="s">
        <v>6115</v>
      </c>
      <c r="F4970" s="31" t="s">
        <v>170</v>
      </c>
      <c r="G4970" s="31" t="s">
        <v>69</v>
      </c>
      <c r="I4970" s="31" t="s">
        <v>6116</v>
      </c>
      <c r="K4970" s="183">
        <f t="shared" ref="K4970:K4975" si="8">424*2.2</f>
        <v>932.80000000000007</v>
      </c>
      <c r="L4970" s="33">
        <v>1</v>
      </c>
      <c r="S4970" s="33">
        <v>1</v>
      </c>
      <c r="T4970" s="31">
        <v>0</v>
      </c>
      <c r="U4970" s="31">
        <v>0</v>
      </c>
      <c r="V4970" s="31">
        <v>0</v>
      </c>
      <c r="W4970" s="47">
        <f>2000*39.37/12</f>
        <v>6561.666666666667</v>
      </c>
      <c r="Y4970" s="19" t="s">
        <v>51</v>
      </c>
      <c r="Z4970" s="19" t="s">
        <v>1846</v>
      </c>
      <c r="AA4970" s="34">
        <v>0.97222222222222221</v>
      </c>
      <c r="AB4970" s="34">
        <v>1.0590277777777779</v>
      </c>
      <c r="AC4970" s="49">
        <f t="shared" si="7"/>
        <v>1.015625</v>
      </c>
      <c r="AD4970" s="50">
        <f t="shared" ref="AD4970:AD4975" si="9">(AB4970-AA4970)*24</f>
        <v>2.0833333333333366</v>
      </c>
      <c r="AE4970" s="31" t="s">
        <v>4756</v>
      </c>
      <c r="AF4970" s="31">
        <v>60</v>
      </c>
      <c r="AQ4970" s="18" t="s">
        <v>6114</v>
      </c>
      <c r="AU4970">
        <v>4969</v>
      </c>
    </row>
    <row r="4971" spans="1:47" x14ac:dyDescent="0.2">
      <c r="A4971" s="13">
        <v>6774</v>
      </c>
      <c r="B4971" s="57" t="s">
        <v>45</v>
      </c>
      <c r="C4971" s="57" t="s">
        <v>4456</v>
      </c>
      <c r="D4971" s="29"/>
      <c r="E4971" s="57" t="s">
        <v>5253</v>
      </c>
      <c r="F4971" s="31" t="s">
        <v>76</v>
      </c>
      <c r="G4971" s="47" t="s">
        <v>49</v>
      </c>
      <c r="I4971" s="31" t="s">
        <v>6117</v>
      </c>
      <c r="K4971" s="183">
        <f t="shared" si="8"/>
        <v>932.80000000000007</v>
      </c>
      <c r="L4971" s="33">
        <v>1</v>
      </c>
      <c r="S4971" s="33">
        <v>1</v>
      </c>
      <c r="T4971" s="31">
        <v>0</v>
      </c>
      <c r="U4971" s="31">
        <v>0</v>
      </c>
      <c r="V4971" s="31">
        <v>0</v>
      </c>
      <c r="W4971" s="47">
        <f>1500*39.37/12</f>
        <v>4921.2499999999991</v>
      </c>
      <c r="Y4971" s="19" t="s">
        <v>51</v>
      </c>
      <c r="Z4971" s="19" t="s">
        <v>1846</v>
      </c>
      <c r="AA4971" s="34">
        <v>0.96527777777777779</v>
      </c>
      <c r="AB4971" s="34">
        <v>1.0277777777777779</v>
      </c>
      <c r="AC4971" s="49">
        <f t="shared" si="7"/>
        <v>0.9965277777777779</v>
      </c>
      <c r="AD4971" s="50">
        <f t="shared" si="9"/>
        <v>1.5000000000000027</v>
      </c>
      <c r="AE4971" s="31" t="s">
        <v>4756</v>
      </c>
      <c r="AF4971" s="31">
        <v>50</v>
      </c>
      <c r="AQ4971" s="18" t="s">
        <v>6114</v>
      </c>
      <c r="AU4971">
        <v>4970</v>
      </c>
    </row>
    <row r="4972" spans="1:47" x14ac:dyDescent="0.2">
      <c r="A4972" s="13">
        <v>6774</v>
      </c>
      <c r="B4972" s="57" t="s">
        <v>45</v>
      </c>
      <c r="C4972" s="57" t="s">
        <v>4456</v>
      </c>
      <c r="D4972" s="29"/>
      <c r="E4972" s="57" t="s">
        <v>5882</v>
      </c>
      <c r="F4972" s="31" t="s">
        <v>76</v>
      </c>
      <c r="G4972" s="47" t="s">
        <v>49</v>
      </c>
      <c r="I4972" s="31" t="s">
        <v>6118</v>
      </c>
      <c r="K4972" s="183">
        <f t="shared" si="8"/>
        <v>932.80000000000007</v>
      </c>
      <c r="L4972" s="33">
        <v>1</v>
      </c>
      <c r="S4972" s="33">
        <v>1</v>
      </c>
      <c r="T4972" s="31">
        <v>0</v>
      </c>
      <c r="U4972" s="31">
        <v>0</v>
      </c>
      <c r="V4972" s="31">
        <v>0</v>
      </c>
      <c r="W4972" s="47">
        <f>2000*39.37/12</f>
        <v>6561.666666666667</v>
      </c>
      <c r="Y4972" s="19" t="s">
        <v>51</v>
      </c>
      <c r="Z4972" s="19" t="s">
        <v>1846</v>
      </c>
      <c r="AA4972" s="34">
        <v>0.98263888888888884</v>
      </c>
      <c r="AB4972" s="34">
        <v>1.0659722222222221</v>
      </c>
      <c r="AC4972" s="49">
        <f t="shared" si="7"/>
        <v>1.0243055555555554</v>
      </c>
      <c r="AD4972" s="50">
        <f t="shared" si="9"/>
        <v>1.9999999999999982</v>
      </c>
      <c r="AE4972" s="31" t="s">
        <v>4756</v>
      </c>
      <c r="AF4972" s="31">
        <v>75</v>
      </c>
      <c r="AQ4972" s="18" t="s">
        <v>6114</v>
      </c>
      <c r="AU4972">
        <v>4971</v>
      </c>
    </row>
    <row r="4973" spans="1:47" x14ac:dyDescent="0.2">
      <c r="A4973" s="13">
        <v>6774</v>
      </c>
      <c r="B4973" s="57" t="s">
        <v>45</v>
      </c>
      <c r="C4973" s="57" t="s">
        <v>4456</v>
      </c>
      <c r="D4973" s="29"/>
      <c r="E4973" s="57" t="s">
        <v>6119</v>
      </c>
      <c r="F4973" s="31" t="s">
        <v>6120</v>
      </c>
      <c r="G4973" s="31" t="s">
        <v>69</v>
      </c>
      <c r="I4973" s="31" t="s">
        <v>6121</v>
      </c>
      <c r="K4973" s="183">
        <f t="shared" si="8"/>
        <v>932.80000000000007</v>
      </c>
      <c r="L4973" s="33">
        <v>1</v>
      </c>
      <c r="S4973" s="33">
        <v>1</v>
      </c>
      <c r="T4973" s="31">
        <v>0</v>
      </c>
      <c r="U4973" s="31">
        <v>0</v>
      </c>
      <c r="V4973" s="31">
        <v>0</v>
      </c>
      <c r="W4973" s="47">
        <f>2200*39.37/12</f>
        <v>7217.833333333333</v>
      </c>
      <c r="Y4973" s="19" t="s">
        <v>51</v>
      </c>
      <c r="Z4973" s="19" t="s">
        <v>1846</v>
      </c>
      <c r="AA4973" s="34">
        <v>0.97222222222222221</v>
      </c>
      <c r="AB4973" s="34">
        <v>1.0694444444444444</v>
      </c>
      <c r="AC4973" s="49">
        <f t="shared" si="7"/>
        <v>1.0208333333333333</v>
      </c>
      <c r="AD4973" s="50">
        <f t="shared" si="9"/>
        <v>2.333333333333333</v>
      </c>
      <c r="AE4973" s="31" t="s">
        <v>4756</v>
      </c>
      <c r="AF4973" s="31">
        <v>75</v>
      </c>
      <c r="AQ4973" s="18" t="s">
        <v>6114</v>
      </c>
      <c r="AU4973">
        <v>4972</v>
      </c>
    </row>
    <row r="4974" spans="1:47" x14ac:dyDescent="0.2">
      <c r="A4974" s="13">
        <v>6774</v>
      </c>
      <c r="B4974" s="57" t="s">
        <v>45</v>
      </c>
      <c r="C4974" s="57" t="s">
        <v>4456</v>
      </c>
      <c r="D4974" s="29"/>
      <c r="E4974" s="57" t="s">
        <v>3419</v>
      </c>
      <c r="F4974" s="57" t="s">
        <v>3419</v>
      </c>
      <c r="G4974" s="31" t="s">
        <v>73</v>
      </c>
      <c r="I4974" s="31" t="s">
        <v>6122</v>
      </c>
      <c r="K4974" s="183">
        <f t="shared" si="8"/>
        <v>932.80000000000007</v>
      </c>
      <c r="L4974" s="33">
        <v>1</v>
      </c>
      <c r="S4974" s="33">
        <v>1</v>
      </c>
      <c r="T4974" s="31">
        <v>0</v>
      </c>
      <c r="U4974" s="31">
        <v>0</v>
      </c>
      <c r="V4974" s="31">
        <v>0</v>
      </c>
      <c r="W4974" s="47">
        <f>2000*39.37/12</f>
        <v>6561.666666666667</v>
      </c>
      <c r="Y4974" s="19" t="s">
        <v>51</v>
      </c>
      <c r="Z4974" s="19" t="s">
        <v>1846</v>
      </c>
      <c r="AA4974" s="34">
        <v>0.97916666666666663</v>
      </c>
      <c r="AB4974" s="34">
        <v>1.0347222222222221</v>
      </c>
      <c r="AC4974" s="49">
        <f t="shared" si="7"/>
        <v>1.0069444444444444</v>
      </c>
      <c r="AD4974" s="50">
        <f t="shared" si="9"/>
        <v>1.3333333333333313</v>
      </c>
      <c r="AE4974" s="31" t="s">
        <v>4756</v>
      </c>
      <c r="AQ4974" s="18" t="s">
        <v>6114</v>
      </c>
      <c r="AU4974">
        <v>4973</v>
      </c>
    </row>
    <row r="4975" spans="1:47" x14ac:dyDescent="0.2">
      <c r="A4975" s="13">
        <v>6774</v>
      </c>
      <c r="B4975" s="57" t="s">
        <v>45</v>
      </c>
      <c r="C4975" s="57" t="s">
        <v>4456</v>
      </c>
      <c r="D4975" s="29"/>
      <c r="E4975" s="57" t="s">
        <v>5379</v>
      </c>
      <c r="F4975" s="31" t="s">
        <v>76</v>
      </c>
      <c r="G4975" s="47" t="s">
        <v>49</v>
      </c>
      <c r="I4975" s="31" t="s">
        <v>6123</v>
      </c>
      <c r="K4975" s="183">
        <f t="shared" si="8"/>
        <v>932.80000000000007</v>
      </c>
      <c r="L4975" s="33">
        <v>1</v>
      </c>
      <c r="S4975" s="33">
        <v>1</v>
      </c>
      <c r="T4975" s="31">
        <v>0</v>
      </c>
      <c r="U4975" s="31">
        <v>0</v>
      </c>
      <c r="V4975" s="31">
        <v>0</v>
      </c>
      <c r="W4975" s="47">
        <f>2200*39.37/12</f>
        <v>7217.833333333333</v>
      </c>
      <c r="Y4975" s="19" t="s">
        <v>51</v>
      </c>
      <c r="Z4975" s="19" t="s">
        <v>1846</v>
      </c>
      <c r="AA4975" s="34">
        <v>0.97916666666666663</v>
      </c>
      <c r="AB4975" s="34">
        <v>1.0520833333333333</v>
      </c>
      <c r="AC4975" s="49">
        <f t="shared" si="7"/>
        <v>1.015625</v>
      </c>
      <c r="AD4975" s="50">
        <f t="shared" si="9"/>
        <v>1.7499999999999991</v>
      </c>
      <c r="AE4975" s="31" t="s">
        <v>4756</v>
      </c>
      <c r="AF4975" s="31">
        <v>65</v>
      </c>
      <c r="AQ4975" s="18" t="s">
        <v>6114</v>
      </c>
      <c r="AU4975">
        <v>4974</v>
      </c>
    </row>
    <row r="4976" spans="1:47" x14ac:dyDescent="0.2">
      <c r="A4976" s="26">
        <v>6774</v>
      </c>
      <c r="B4976" s="27">
        <v>0</v>
      </c>
      <c r="C4976" s="28"/>
      <c r="D4976" s="29"/>
      <c r="E4976" s="30" t="s">
        <v>4219</v>
      </c>
      <c r="H4976" s="32">
        <v>1</v>
      </c>
      <c r="I4976" s="32" t="s">
        <v>6124</v>
      </c>
      <c r="AL4976" s="32">
        <f>25/60</f>
        <v>0.41666666666666669</v>
      </c>
      <c r="AO4976" s="32" t="s">
        <v>858</v>
      </c>
      <c r="AP4976" s="32">
        <f>25/60</f>
        <v>0.41666666666666669</v>
      </c>
      <c r="AQ4976" s="32" t="s">
        <v>1101</v>
      </c>
      <c r="AU4976">
        <v>4975</v>
      </c>
    </row>
    <row r="4977" spans="1:47" x14ac:dyDescent="0.2">
      <c r="A4977" s="26">
        <v>6774</v>
      </c>
      <c r="B4977" s="27">
        <v>2.7777777777777776E-2</v>
      </c>
      <c r="C4977" s="28"/>
      <c r="D4977" s="29"/>
      <c r="E4977" s="30" t="s">
        <v>464</v>
      </c>
      <c r="H4977" s="32">
        <v>0</v>
      </c>
      <c r="I4977" s="32" t="s">
        <v>4561</v>
      </c>
      <c r="AG4977" s="32">
        <v>0</v>
      </c>
      <c r="AH4977" s="32">
        <v>0</v>
      </c>
      <c r="AL4977" s="32">
        <v>0.5</v>
      </c>
      <c r="AO4977" s="32" t="s">
        <v>4067</v>
      </c>
      <c r="AP4977" s="32">
        <v>0.5</v>
      </c>
      <c r="AQ4977" s="32" t="s">
        <v>1522</v>
      </c>
      <c r="AU4977">
        <v>4976</v>
      </c>
    </row>
    <row r="4978" spans="1:47" x14ac:dyDescent="0.2">
      <c r="A4978" s="26">
        <v>6774</v>
      </c>
      <c r="B4978" s="27">
        <v>0.51944444444444449</v>
      </c>
      <c r="C4978" s="28"/>
      <c r="D4978" s="29"/>
      <c r="E4978" s="30" t="s">
        <v>3737</v>
      </c>
      <c r="H4978" s="32">
        <v>0</v>
      </c>
      <c r="I4978" s="32" t="s">
        <v>4926</v>
      </c>
      <c r="AG4978" s="32">
        <v>0</v>
      </c>
      <c r="AH4978" s="32">
        <v>0</v>
      </c>
      <c r="AI4978" s="32">
        <v>0</v>
      </c>
      <c r="AK4978" s="32">
        <v>0</v>
      </c>
      <c r="AL4978" s="32">
        <f>67/60</f>
        <v>1.1166666666666667</v>
      </c>
      <c r="AM4978" s="33">
        <f>(3125+3691)*AL4978</f>
        <v>7611.2</v>
      </c>
      <c r="AP4978" s="32">
        <f>67/60</f>
        <v>1.1166666666666667</v>
      </c>
      <c r="AQ4978" s="32" t="s">
        <v>1101</v>
      </c>
      <c r="AU4978">
        <v>4977</v>
      </c>
    </row>
    <row r="4979" spans="1:47" x14ac:dyDescent="0.2">
      <c r="A4979" s="133">
        <v>6775</v>
      </c>
      <c r="B4979" s="39" t="s">
        <v>85</v>
      </c>
      <c r="C4979" s="39">
        <v>55</v>
      </c>
      <c r="D4979" s="29" t="b">
        <v>0</v>
      </c>
      <c r="E4979" s="39" t="s">
        <v>2107</v>
      </c>
      <c r="F4979" s="47" t="s">
        <v>6125</v>
      </c>
      <c r="G4979" s="47" t="s">
        <v>274</v>
      </c>
      <c r="H4979"/>
      <c r="I4979" s="47" t="b">
        <v>0</v>
      </c>
      <c r="J4979" s="47" t="b">
        <v>1</v>
      </c>
      <c r="K4979" s="47">
        <v>1916</v>
      </c>
      <c r="L4979" s="48">
        <v>12</v>
      </c>
      <c r="M4979" s="47">
        <v>0</v>
      </c>
      <c r="N4979" s="47">
        <v>4</v>
      </c>
      <c r="O4979" s="47">
        <v>0</v>
      </c>
      <c r="P4979" s="47">
        <v>0</v>
      </c>
      <c r="Q4979" s="47">
        <v>0</v>
      </c>
      <c r="R4979" s="47">
        <v>0</v>
      </c>
      <c r="S4979" s="48">
        <v>8</v>
      </c>
      <c r="T4979" s="47">
        <v>0</v>
      </c>
      <c r="U4979" s="47">
        <v>0</v>
      </c>
      <c r="V4979" s="47">
        <v>0</v>
      </c>
      <c r="W4979" s="47">
        <v>15000</v>
      </c>
      <c r="X4979" s="47">
        <v>720</v>
      </c>
      <c r="Y4979" s="47" t="s">
        <v>51</v>
      </c>
      <c r="Z4979" s="47" t="s">
        <v>3618</v>
      </c>
      <c r="AA4979" s="49">
        <v>0.36458333333333331</v>
      </c>
      <c r="AB4979" s="49">
        <v>0.54861111111111105</v>
      </c>
      <c r="AC4979" s="49">
        <f>AVERAGE(AA4979:AB4979)</f>
        <v>0.45659722222222221</v>
      </c>
      <c r="AD4979" s="50">
        <f>(AB4979-AA4979)*24</f>
        <v>4.4166666666666661</v>
      </c>
      <c r="AE4979" s="47" t="s">
        <v>5433</v>
      </c>
      <c r="AF4979" s="47">
        <v>165</v>
      </c>
      <c r="AG4979"/>
      <c r="AH4979"/>
      <c r="AI4979"/>
      <c r="AJ4979"/>
      <c r="AK4979">
        <v>30</v>
      </c>
      <c r="AL4979"/>
      <c r="AM4979"/>
      <c r="AN4979"/>
      <c r="AO4979"/>
      <c r="AP4979"/>
      <c r="AQ4979" t="s">
        <v>5434</v>
      </c>
      <c r="AU4979">
        <v>4978</v>
      </c>
    </row>
    <row r="4980" spans="1:47" x14ac:dyDescent="0.2">
      <c r="A4980" s="133">
        <v>6775</v>
      </c>
      <c r="B4980" s="39" t="s">
        <v>85</v>
      </c>
      <c r="C4980" s="39" t="s">
        <v>5626</v>
      </c>
      <c r="D4980" s="29"/>
      <c r="E4980" s="39" t="s">
        <v>6126</v>
      </c>
      <c r="F4980" s="47" t="s">
        <v>6127</v>
      </c>
      <c r="G4980" s="47" t="s">
        <v>69</v>
      </c>
      <c r="H4980"/>
      <c r="I4980" s="47" t="s">
        <v>6128</v>
      </c>
      <c r="J4980" s="47"/>
      <c r="K4980" s="47">
        <f>7740*2.2</f>
        <v>17028</v>
      </c>
      <c r="L4980" s="48">
        <v>69</v>
      </c>
      <c r="M4980" s="47"/>
      <c r="N4980" s="47"/>
      <c r="O4980" s="47"/>
      <c r="P4980" s="47"/>
      <c r="Q4980" s="47"/>
      <c r="R4980" s="47"/>
      <c r="S4980" s="48">
        <v>56</v>
      </c>
      <c r="T4980" s="47">
        <v>0</v>
      </c>
      <c r="U4980" s="47"/>
      <c r="V4980" s="47"/>
      <c r="W4980" s="47"/>
      <c r="X4980" s="47"/>
      <c r="Y4980" s="47" t="s">
        <v>51</v>
      </c>
      <c r="Z4980" s="47" t="s">
        <v>3724</v>
      </c>
      <c r="AA4980" s="49">
        <v>0.75</v>
      </c>
      <c r="AB4980" s="49"/>
      <c r="AC4980" s="49"/>
      <c r="AD4980" s="50"/>
      <c r="AE4980" s="47"/>
      <c r="AF4980" s="47"/>
      <c r="AG4980"/>
      <c r="AH4980"/>
      <c r="AI4980"/>
      <c r="AJ4980"/>
      <c r="AK4980"/>
      <c r="AL4980"/>
      <c r="AM4980"/>
      <c r="AN4980"/>
      <c r="AO4980"/>
      <c r="AP4980"/>
      <c r="AQ4980" t="s">
        <v>6129</v>
      </c>
      <c r="AU4980">
        <v>4979</v>
      </c>
    </row>
    <row r="4981" spans="1:47" x14ac:dyDescent="0.2">
      <c r="A4981" s="133">
        <v>6775</v>
      </c>
      <c r="B4981" s="39" t="s">
        <v>45</v>
      </c>
      <c r="C4981" s="39">
        <v>100</v>
      </c>
      <c r="D4981" s="29" t="b">
        <v>0</v>
      </c>
      <c r="E4981" s="39" t="s">
        <v>6130</v>
      </c>
      <c r="F4981" s="47" t="s">
        <v>6131</v>
      </c>
      <c r="G4981" s="47" t="s">
        <v>205</v>
      </c>
      <c r="H4981"/>
      <c r="I4981" s="47" t="b">
        <v>1</v>
      </c>
      <c r="J4981" s="47" t="b">
        <v>1</v>
      </c>
      <c r="K4981" s="47">
        <v>4868</v>
      </c>
      <c r="L4981" s="48">
        <v>-1</v>
      </c>
      <c r="M4981" s="47">
        <v>0</v>
      </c>
      <c r="N4981" s="47">
        <v>0</v>
      </c>
      <c r="O4981" s="47">
        <v>0</v>
      </c>
      <c r="P4981" s="47">
        <v>0</v>
      </c>
      <c r="Q4981" s="47">
        <v>0</v>
      </c>
      <c r="R4981" s="47">
        <v>0</v>
      </c>
      <c r="S4981" s="48">
        <v>14</v>
      </c>
      <c r="T4981" s="47">
        <v>0</v>
      </c>
      <c r="U4981" s="47">
        <v>0</v>
      </c>
      <c r="V4981" s="47">
        <v>0</v>
      </c>
      <c r="W4981" s="47"/>
      <c r="X4981" s="47">
        <v>721</v>
      </c>
      <c r="Y4981" s="47"/>
      <c r="Z4981" s="47" t="s">
        <v>2524</v>
      </c>
      <c r="AA4981" s="49"/>
      <c r="AB4981" s="49"/>
      <c r="AC4981" s="49"/>
      <c r="AD4981" s="50"/>
      <c r="AE4981" s="47" t="s">
        <v>1312</v>
      </c>
      <c r="AF4981" s="47">
        <v>75</v>
      </c>
      <c r="AG4981"/>
      <c r="AH4981"/>
      <c r="AI4981"/>
      <c r="AJ4981"/>
      <c r="AK4981"/>
      <c r="AL4981"/>
      <c r="AM4981"/>
      <c r="AN4981"/>
      <c r="AO4981"/>
      <c r="AP4981"/>
      <c r="AQ4981" t="s">
        <v>2526</v>
      </c>
      <c r="AU4981">
        <v>4980</v>
      </c>
    </row>
    <row r="4982" spans="1:47" x14ac:dyDescent="0.2">
      <c r="A4982" s="133">
        <v>6775</v>
      </c>
      <c r="B4982" s="39" t="s">
        <v>45</v>
      </c>
      <c r="C4982" s="39">
        <v>100</v>
      </c>
      <c r="D4982" s="29" t="b">
        <v>0</v>
      </c>
      <c r="E4982" s="39" t="s">
        <v>5707</v>
      </c>
      <c r="F4982" s="47" t="s">
        <v>529</v>
      </c>
      <c r="G4982" s="47" t="s">
        <v>205</v>
      </c>
      <c r="H4982"/>
      <c r="I4982" s="47" t="b">
        <v>0</v>
      </c>
      <c r="J4982" s="47" t="b">
        <v>0</v>
      </c>
      <c r="K4982" s="47">
        <v>1190</v>
      </c>
      <c r="L4982" s="48">
        <v>-1</v>
      </c>
      <c r="M4982" s="47">
        <v>0</v>
      </c>
      <c r="N4982" s="47">
        <v>0</v>
      </c>
      <c r="O4982" s="47">
        <v>0</v>
      </c>
      <c r="P4982" s="47">
        <v>0</v>
      </c>
      <c r="Q4982" s="47">
        <v>0</v>
      </c>
      <c r="R4982" s="47">
        <v>0</v>
      </c>
      <c r="S4982" s="48">
        <v>3</v>
      </c>
      <c r="T4982" s="47">
        <v>0</v>
      </c>
      <c r="U4982" s="47">
        <v>0</v>
      </c>
      <c r="V4982" s="47">
        <v>0</v>
      </c>
      <c r="W4982" s="47"/>
      <c r="X4982" s="47">
        <v>722</v>
      </c>
      <c r="Y4982" s="47"/>
      <c r="Z4982" s="47" t="s">
        <v>2524</v>
      </c>
      <c r="AA4982" s="49"/>
      <c r="AB4982" s="49"/>
      <c r="AC4982" s="49"/>
      <c r="AD4982" s="50"/>
      <c r="AE4982" s="47" t="s">
        <v>1312</v>
      </c>
      <c r="AF4982" s="47">
        <v>75</v>
      </c>
      <c r="AG4982"/>
      <c r="AH4982"/>
      <c r="AI4982"/>
      <c r="AJ4982"/>
      <c r="AK4982"/>
      <c r="AL4982"/>
      <c r="AM4982"/>
      <c r="AN4982"/>
      <c r="AO4982"/>
      <c r="AP4982"/>
      <c r="AQ4982" t="s">
        <v>2526</v>
      </c>
      <c r="AU4982">
        <v>4981</v>
      </c>
    </row>
    <row r="4983" spans="1:47" x14ac:dyDescent="0.2">
      <c r="A4983" s="133">
        <v>6775</v>
      </c>
      <c r="B4983" s="39" t="s">
        <v>45</v>
      </c>
      <c r="C4983" s="39">
        <v>100</v>
      </c>
      <c r="D4983" s="29" t="b">
        <v>0</v>
      </c>
      <c r="E4983" s="39" t="s">
        <v>5984</v>
      </c>
      <c r="F4983" s="47" t="s">
        <v>529</v>
      </c>
      <c r="G4983" s="47" t="s">
        <v>205</v>
      </c>
      <c r="H4983"/>
      <c r="I4983" s="47" t="b">
        <v>0</v>
      </c>
      <c r="J4983" s="47" t="b">
        <v>0</v>
      </c>
      <c r="K4983" s="47">
        <v>1310</v>
      </c>
      <c r="L4983" s="48">
        <v>-1</v>
      </c>
      <c r="M4983" s="47">
        <v>0</v>
      </c>
      <c r="N4983" s="47">
        <v>0</v>
      </c>
      <c r="O4983" s="47">
        <v>0</v>
      </c>
      <c r="P4983" s="47">
        <v>0</v>
      </c>
      <c r="Q4983" s="47">
        <v>0</v>
      </c>
      <c r="R4983" s="47">
        <v>0</v>
      </c>
      <c r="S4983" s="48">
        <v>4</v>
      </c>
      <c r="T4983" s="47">
        <v>0</v>
      </c>
      <c r="U4983" s="47">
        <v>0</v>
      </c>
      <c r="V4983" s="47">
        <v>0</v>
      </c>
      <c r="W4983" s="47"/>
      <c r="X4983" s="47">
        <v>723</v>
      </c>
      <c r="Y4983" s="47"/>
      <c r="Z4983" s="47" t="s">
        <v>2524</v>
      </c>
      <c r="AA4983" s="49"/>
      <c r="AB4983" s="49"/>
      <c r="AC4983" s="49"/>
      <c r="AD4983" s="50"/>
      <c r="AE4983" s="47" t="s">
        <v>1312</v>
      </c>
      <c r="AF4983" s="47">
        <v>85</v>
      </c>
      <c r="AG4983"/>
      <c r="AH4983"/>
      <c r="AI4983"/>
      <c r="AJ4983"/>
      <c r="AK4983"/>
      <c r="AL4983"/>
      <c r="AM4983"/>
      <c r="AN4983"/>
      <c r="AO4983"/>
      <c r="AP4983"/>
      <c r="AQ4983" t="s">
        <v>2526</v>
      </c>
      <c r="AU4983">
        <v>4982</v>
      </c>
    </row>
    <row r="4984" spans="1:47" x14ac:dyDescent="0.2">
      <c r="A4984" s="133">
        <v>6775</v>
      </c>
      <c r="B4984" s="39" t="s">
        <v>45</v>
      </c>
      <c r="C4984" s="39">
        <v>100</v>
      </c>
      <c r="D4984" s="29" t="b">
        <v>0</v>
      </c>
      <c r="E4984" s="39" t="s">
        <v>1551</v>
      </c>
      <c r="F4984" s="47" t="s">
        <v>529</v>
      </c>
      <c r="G4984" s="47" t="s">
        <v>205</v>
      </c>
      <c r="H4984"/>
      <c r="I4984" s="47" t="b">
        <v>0</v>
      </c>
      <c r="J4984" s="47" t="b">
        <v>0</v>
      </c>
      <c r="K4984" s="47">
        <v>1794</v>
      </c>
      <c r="L4984" s="48">
        <v>-1</v>
      </c>
      <c r="M4984" s="47">
        <v>0</v>
      </c>
      <c r="N4984" s="47">
        <v>0</v>
      </c>
      <c r="O4984" s="47">
        <v>0</v>
      </c>
      <c r="P4984" s="47">
        <v>0</v>
      </c>
      <c r="Q4984" s="47">
        <v>0</v>
      </c>
      <c r="R4984" s="47">
        <v>0</v>
      </c>
      <c r="S4984" s="48">
        <v>5</v>
      </c>
      <c r="T4984" s="47">
        <v>0</v>
      </c>
      <c r="U4984" s="47">
        <v>0</v>
      </c>
      <c r="V4984" s="47">
        <v>0</v>
      </c>
      <c r="W4984" s="47"/>
      <c r="X4984" s="47">
        <v>724</v>
      </c>
      <c r="Y4984" s="47"/>
      <c r="Z4984" s="47" t="s">
        <v>2524</v>
      </c>
      <c r="AA4984" s="49"/>
      <c r="AB4984" s="49"/>
      <c r="AC4984" s="49"/>
      <c r="AD4984" s="50"/>
      <c r="AE4984" s="47" t="s">
        <v>1312</v>
      </c>
      <c r="AF4984" s="47">
        <v>60</v>
      </c>
      <c r="AG4984"/>
      <c r="AH4984"/>
      <c r="AI4984"/>
      <c r="AJ4984"/>
      <c r="AK4984"/>
      <c r="AL4984"/>
      <c r="AM4984"/>
      <c r="AN4984"/>
      <c r="AO4984"/>
      <c r="AP4984"/>
      <c r="AQ4984" t="s">
        <v>2526</v>
      </c>
      <c r="AU4984">
        <v>4983</v>
      </c>
    </row>
    <row r="4985" spans="1:47" x14ac:dyDescent="0.2">
      <c r="A4985" s="133">
        <v>6775</v>
      </c>
      <c r="B4985" s="39" t="s">
        <v>45</v>
      </c>
      <c r="C4985" s="39">
        <v>100</v>
      </c>
      <c r="D4985" s="29" t="b">
        <v>0</v>
      </c>
      <c r="E4985" s="39" t="s">
        <v>6132</v>
      </c>
      <c r="F4985" s="47" t="s">
        <v>57</v>
      </c>
      <c r="G4985" s="47" t="s">
        <v>49</v>
      </c>
      <c r="H4985"/>
      <c r="I4985" s="47" t="b">
        <v>0</v>
      </c>
      <c r="J4985" s="47" t="b">
        <v>0</v>
      </c>
      <c r="K4985" s="47">
        <v>50</v>
      </c>
      <c r="L4985" s="48">
        <v>-1</v>
      </c>
      <c r="M4985" s="47">
        <v>0</v>
      </c>
      <c r="N4985" s="47">
        <v>0</v>
      </c>
      <c r="O4985" s="47">
        <v>0</v>
      </c>
      <c r="P4985" s="47">
        <v>0</v>
      </c>
      <c r="Q4985" s="47">
        <v>0</v>
      </c>
      <c r="R4985" s="47">
        <v>0</v>
      </c>
      <c r="S4985" s="48">
        <v>1</v>
      </c>
      <c r="T4985" s="47">
        <v>0</v>
      </c>
      <c r="U4985" s="47">
        <v>0</v>
      </c>
      <c r="V4985" s="47">
        <v>0</v>
      </c>
      <c r="W4985" s="47"/>
      <c r="X4985" s="47">
        <v>725</v>
      </c>
      <c r="Y4985" s="47"/>
      <c r="Z4985" s="47" t="s">
        <v>2524</v>
      </c>
      <c r="AA4985" s="49"/>
      <c r="AB4985" s="49"/>
      <c r="AC4985" s="49"/>
      <c r="AD4985" s="50"/>
      <c r="AE4985" s="47" t="s">
        <v>1312</v>
      </c>
      <c r="AF4985" s="47">
        <v>80</v>
      </c>
      <c r="AG4985"/>
      <c r="AH4985"/>
      <c r="AI4985"/>
      <c r="AJ4985"/>
      <c r="AK4985"/>
      <c r="AL4985"/>
      <c r="AM4985"/>
      <c r="AN4985"/>
      <c r="AO4985"/>
      <c r="AP4985"/>
      <c r="AQ4985" t="s">
        <v>2526</v>
      </c>
      <c r="AU4985">
        <v>4984</v>
      </c>
    </row>
    <row r="4986" spans="1:47" x14ac:dyDescent="0.2">
      <c r="A4986" s="133">
        <v>6775</v>
      </c>
      <c r="B4986" s="39" t="s">
        <v>45</v>
      </c>
      <c r="C4986" s="39">
        <v>100</v>
      </c>
      <c r="D4986" s="29" t="b">
        <v>0</v>
      </c>
      <c r="E4986" s="39" t="s">
        <v>5718</v>
      </c>
      <c r="F4986" s="47" t="s">
        <v>1743</v>
      </c>
      <c r="G4986" s="47" t="s">
        <v>49</v>
      </c>
      <c r="H4986"/>
      <c r="I4986" s="47" t="b">
        <v>0</v>
      </c>
      <c r="J4986" s="47" t="b">
        <v>0</v>
      </c>
      <c r="K4986" s="47">
        <v>274</v>
      </c>
      <c r="L4986" s="48">
        <v>-1</v>
      </c>
      <c r="M4986" s="47">
        <v>0</v>
      </c>
      <c r="N4986" s="47">
        <v>0</v>
      </c>
      <c r="O4986" s="47">
        <v>0</v>
      </c>
      <c r="P4986" s="47">
        <v>0</v>
      </c>
      <c r="Q4986" s="47">
        <v>0</v>
      </c>
      <c r="R4986" s="47">
        <v>0</v>
      </c>
      <c r="S4986" s="48">
        <v>1</v>
      </c>
      <c r="T4986" s="47">
        <v>0</v>
      </c>
      <c r="U4986" s="47">
        <v>0</v>
      </c>
      <c r="V4986" s="47">
        <v>0</v>
      </c>
      <c r="W4986" s="47"/>
      <c r="X4986" s="47">
        <v>726</v>
      </c>
      <c r="Y4986" s="47"/>
      <c r="Z4986" s="47" t="s">
        <v>2524</v>
      </c>
      <c r="AA4986" s="49"/>
      <c r="AB4986" s="49"/>
      <c r="AC4986" s="49"/>
      <c r="AD4986" s="50"/>
      <c r="AE4986" s="47" t="s">
        <v>1312</v>
      </c>
      <c r="AF4986" s="47">
        <v>55</v>
      </c>
      <c r="AG4986"/>
      <c r="AH4986"/>
      <c r="AI4986"/>
      <c r="AJ4986"/>
      <c r="AK4986"/>
      <c r="AL4986"/>
      <c r="AM4986"/>
      <c r="AN4986"/>
      <c r="AO4986"/>
      <c r="AP4986"/>
      <c r="AQ4986" t="s">
        <v>2526</v>
      </c>
      <c r="AU4986">
        <v>4985</v>
      </c>
    </row>
    <row r="4987" spans="1:47" x14ac:dyDescent="0.2">
      <c r="A4987" s="133">
        <v>6775</v>
      </c>
      <c r="B4987" s="39" t="s">
        <v>45</v>
      </c>
      <c r="C4987" s="39">
        <v>100</v>
      </c>
      <c r="D4987" s="29" t="b">
        <v>0</v>
      </c>
      <c r="E4987" s="39" t="s">
        <v>881</v>
      </c>
      <c r="F4987" s="47" t="s">
        <v>6133</v>
      </c>
      <c r="G4987" s="47" t="s">
        <v>73</v>
      </c>
      <c r="H4987"/>
      <c r="I4987" s="47" t="b">
        <v>0</v>
      </c>
      <c r="J4987" s="47" t="b">
        <v>0</v>
      </c>
      <c r="K4987" s="47">
        <v>250</v>
      </c>
      <c r="L4987" s="48">
        <v>-1</v>
      </c>
      <c r="M4987" s="47">
        <v>0</v>
      </c>
      <c r="N4987" s="47">
        <v>0</v>
      </c>
      <c r="O4987" s="47">
        <v>0</v>
      </c>
      <c r="P4987" s="47">
        <v>0</v>
      </c>
      <c r="Q4987" s="47">
        <v>0</v>
      </c>
      <c r="R4987" s="47">
        <v>0</v>
      </c>
      <c r="S4987" s="48">
        <v>1</v>
      </c>
      <c r="T4987" s="47">
        <v>0</v>
      </c>
      <c r="U4987" s="47">
        <v>0</v>
      </c>
      <c r="V4987" s="47">
        <v>0</v>
      </c>
      <c r="W4987" s="47"/>
      <c r="X4987" s="47">
        <v>727</v>
      </c>
      <c r="Y4987" s="47"/>
      <c r="Z4987" s="47" t="s">
        <v>2524</v>
      </c>
      <c r="AA4987" s="49"/>
      <c r="AB4987" s="49"/>
      <c r="AC4987" s="49"/>
      <c r="AD4987" s="50"/>
      <c r="AE4987" s="47" t="s">
        <v>1312</v>
      </c>
      <c r="AF4987" s="47"/>
      <c r="AG4987"/>
      <c r="AH4987"/>
      <c r="AI4987"/>
      <c r="AJ4987"/>
      <c r="AK4987"/>
      <c r="AL4987"/>
      <c r="AM4987"/>
      <c r="AN4987"/>
      <c r="AO4987"/>
      <c r="AP4987"/>
      <c r="AQ4987" t="s">
        <v>2526</v>
      </c>
      <c r="AU4987">
        <v>4986</v>
      </c>
    </row>
    <row r="4988" spans="1:47" x14ac:dyDescent="0.2">
      <c r="A4988" s="133">
        <v>6775</v>
      </c>
      <c r="B4988" s="39" t="s">
        <v>45</v>
      </c>
      <c r="C4988" s="39">
        <v>216</v>
      </c>
      <c r="D4988" s="29" t="b">
        <v>0</v>
      </c>
      <c r="E4988" s="39" t="s">
        <v>6134</v>
      </c>
      <c r="F4988" s="47" t="s">
        <v>6135</v>
      </c>
      <c r="G4988" s="47" t="s">
        <v>274</v>
      </c>
      <c r="H4988"/>
      <c r="I4988" s="47" t="b">
        <v>1</v>
      </c>
      <c r="J4988" s="47" t="b">
        <v>1</v>
      </c>
      <c r="K4988" s="47">
        <v>6720</v>
      </c>
      <c r="L4988" s="48">
        <v>6</v>
      </c>
      <c r="M4988" s="47">
        <v>0</v>
      </c>
      <c r="N4988" s="47">
        <v>0</v>
      </c>
      <c r="O4988" s="47">
        <v>0</v>
      </c>
      <c r="P4988" s="47">
        <v>0</v>
      </c>
      <c r="Q4988" s="47">
        <v>0</v>
      </c>
      <c r="R4988" s="47">
        <v>0</v>
      </c>
      <c r="S4988" s="48">
        <v>5</v>
      </c>
      <c r="T4988" s="47">
        <v>1</v>
      </c>
      <c r="U4988" s="47">
        <v>0</v>
      </c>
      <c r="V4988" s="47">
        <v>0</v>
      </c>
      <c r="W4988" s="47">
        <v>7400</v>
      </c>
      <c r="X4988" s="47">
        <v>728</v>
      </c>
      <c r="Y4988" s="47"/>
      <c r="Z4988" s="47" t="s">
        <v>2466</v>
      </c>
      <c r="AA4988" s="49"/>
      <c r="AB4988" s="49"/>
      <c r="AC4988" s="49"/>
      <c r="AD4988" s="50"/>
      <c r="AE4988" s="47" t="s">
        <v>1312</v>
      </c>
      <c r="AF4988" s="47">
        <v>210</v>
      </c>
      <c r="AG4988"/>
      <c r="AH4988"/>
      <c r="AI4988"/>
      <c r="AJ4988"/>
      <c r="AK4988"/>
      <c r="AL4988"/>
      <c r="AM4988"/>
      <c r="AN4988"/>
      <c r="AO4988"/>
      <c r="AP4988"/>
      <c r="AQ4988" t="s">
        <v>2526</v>
      </c>
      <c r="AU4988">
        <v>4987</v>
      </c>
    </row>
    <row r="4989" spans="1:47" x14ac:dyDescent="0.2">
      <c r="A4989" s="133">
        <v>6775</v>
      </c>
      <c r="B4989" s="39" t="s">
        <v>45</v>
      </c>
      <c r="C4989" s="39">
        <v>216</v>
      </c>
      <c r="D4989" s="29" t="b">
        <v>0</v>
      </c>
      <c r="E4989" s="39" t="s">
        <v>3909</v>
      </c>
      <c r="F4989" s="47" t="s">
        <v>6136</v>
      </c>
      <c r="G4989" s="47" t="s">
        <v>274</v>
      </c>
      <c r="H4989"/>
      <c r="I4989" s="47" t="b">
        <v>0</v>
      </c>
      <c r="J4989" s="47" t="b">
        <v>0</v>
      </c>
      <c r="K4989" s="47">
        <v>5376</v>
      </c>
      <c r="L4989" s="48">
        <v>6</v>
      </c>
      <c r="M4989" s="47">
        <v>0</v>
      </c>
      <c r="N4989" s="47">
        <v>0</v>
      </c>
      <c r="O4989" s="47">
        <v>0</v>
      </c>
      <c r="P4989" s="47">
        <v>0</v>
      </c>
      <c r="Q4989" s="47">
        <v>0</v>
      </c>
      <c r="R4989" s="47">
        <v>0</v>
      </c>
      <c r="S4989" s="48">
        <v>4</v>
      </c>
      <c r="T4989" s="47">
        <v>1</v>
      </c>
      <c r="U4989" s="47">
        <v>0</v>
      </c>
      <c r="V4989" s="47">
        <v>0</v>
      </c>
      <c r="W4989" s="47">
        <v>7500</v>
      </c>
      <c r="X4989" s="47">
        <v>729</v>
      </c>
      <c r="Y4989" s="47"/>
      <c r="Z4989" s="47" t="s">
        <v>2466</v>
      </c>
      <c r="AA4989" s="49"/>
      <c r="AB4989" s="49"/>
      <c r="AC4989" s="49"/>
      <c r="AD4989" s="50"/>
      <c r="AE4989" s="47" t="s">
        <v>1312</v>
      </c>
      <c r="AF4989" s="47">
        <v>210</v>
      </c>
      <c r="AG4989"/>
      <c r="AH4989"/>
      <c r="AI4989"/>
      <c r="AJ4989"/>
      <c r="AK4989"/>
      <c r="AL4989"/>
      <c r="AM4989"/>
      <c r="AN4989"/>
      <c r="AO4989"/>
      <c r="AP4989"/>
      <c r="AQ4989" t="s">
        <v>2526</v>
      </c>
      <c r="AU4989">
        <v>4988</v>
      </c>
    </row>
    <row r="4990" spans="1:47" x14ac:dyDescent="0.2">
      <c r="A4990" s="133">
        <v>6775</v>
      </c>
      <c r="B4990" s="39" t="s">
        <v>45</v>
      </c>
      <c r="C4990" s="39">
        <v>216</v>
      </c>
      <c r="D4990" s="29" t="b">
        <v>0</v>
      </c>
      <c r="E4990" s="39" t="s">
        <v>858</v>
      </c>
      <c r="F4990" s="47" t="s">
        <v>3665</v>
      </c>
      <c r="G4990" s="47" t="s">
        <v>481</v>
      </c>
      <c r="H4990"/>
      <c r="I4990" s="47" t="b">
        <v>0</v>
      </c>
      <c r="J4990" s="47" t="b">
        <v>0</v>
      </c>
      <c r="K4990" s="47">
        <v>1344</v>
      </c>
      <c r="L4990" s="48">
        <v>6</v>
      </c>
      <c r="M4990" s="47">
        <v>0</v>
      </c>
      <c r="N4990" s="47">
        <v>0</v>
      </c>
      <c r="O4990" s="47">
        <v>0</v>
      </c>
      <c r="P4990" s="47">
        <v>0</v>
      </c>
      <c r="Q4990" s="47">
        <v>0</v>
      </c>
      <c r="R4990" s="47">
        <v>0</v>
      </c>
      <c r="S4990" s="48">
        <v>1</v>
      </c>
      <c r="T4990" s="47">
        <v>1</v>
      </c>
      <c r="U4990" s="47">
        <v>0</v>
      </c>
      <c r="V4990" s="47">
        <v>0</v>
      </c>
      <c r="W4990" s="47">
        <v>7000</v>
      </c>
      <c r="X4990" s="47">
        <v>730</v>
      </c>
      <c r="Y4990" s="47"/>
      <c r="Z4990" s="47" t="s">
        <v>2466</v>
      </c>
      <c r="AA4990" s="49"/>
      <c r="AB4990" s="49"/>
      <c r="AC4990" s="49"/>
      <c r="AD4990" s="50"/>
      <c r="AE4990" s="47" t="s">
        <v>1312</v>
      </c>
      <c r="AF4990" s="47">
        <v>105</v>
      </c>
      <c r="AG4990"/>
      <c r="AH4990"/>
      <c r="AI4990"/>
      <c r="AJ4990"/>
      <c r="AK4990"/>
      <c r="AL4990"/>
      <c r="AM4990"/>
      <c r="AN4990"/>
      <c r="AO4990"/>
      <c r="AP4990"/>
      <c r="AQ4990" t="s">
        <v>2526</v>
      </c>
      <c r="AU4990">
        <v>4989</v>
      </c>
    </row>
    <row r="4991" spans="1:47" x14ac:dyDescent="0.2">
      <c r="A4991" s="13">
        <v>6775</v>
      </c>
      <c r="B4991" s="57" t="s">
        <v>45</v>
      </c>
      <c r="C4991" s="57" t="s">
        <v>142</v>
      </c>
      <c r="D4991" s="29"/>
      <c r="E4991" s="57" t="s">
        <v>6137</v>
      </c>
      <c r="F4991" s="31" t="s">
        <v>6138</v>
      </c>
      <c r="G4991" s="31" t="s">
        <v>49</v>
      </c>
      <c r="I4991" s="47" t="b">
        <v>1</v>
      </c>
      <c r="J4991" s="47" t="b">
        <v>1</v>
      </c>
      <c r="K4991" s="31">
        <f>10490*2.2</f>
        <v>23078.000000000004</v>
      </c>
      <c r="L4991" s="33">
        <f>38+13+1*2</f>
        <v>53</v>
      </c>
      <c r="N4991" s="31">
        <v>1</v>
      </c>
      <c r="S4991" s="33">
        <f>37+13+1*2</f>
        <v>52</v>
      </c>
      <c r="T4991" s="31">
        <v>0</v>
      </c>
      <c r="U4991" s="31">
        <v>0</v>
      </c>
      <c r="V4991" s="31">
        <v>0</v>
      </c>
      <c r="Y4991" s="31" t="s">
        <v>51</v>
      </c>
      <c r="Z4991" s="31" t="s">
        <v>3855</v>
      </c>
      <c r="AE4991" s="47" t="s">
        <v>4217</v>
      </c>
      <c r="AK4991" s="32">
        <f>40+211+1+65+16+20</f>
        <v>353</v>
      </c>
      <c r="AQ4991" t="s">
        <v>6139</v>
      </c>
      <c r="AR4991" s="32" t="s">
        <v>6140</v>
      </c>
      <c r="AU4991">
        <v>4990</v>
      </c>
    </row>
    <row r="4992" spans="1:47" x14ac:dyDescent="0.2">
      <c r="A4992" s="13">
        <v>6775</v>
      </c>
      <c r="B4992" s="57" t="s">
        <v>45</v>
      </c>
      <c r="C4992" s="57" t="s">
        <v>142</v>
      </c>
      <c r="D4992" s="29"/>
      <c r="E4992" s="57" t="s">
        <v>5703</v>
      </c>
      <c r="F4992" s="31" t="s">
        <v>76</v>
      </c>
      <c r="G4992" s="31" t="s">
        <v>49</v>
      </c>
      <c r="I4992" s="47" t="b">
        <v>0</v>
      </c>
      <c r="J4992" s="47" t="b">
        <v>0</v>
      </c>
      <c r="K4992" s="31">
        <v>9482</v>
      </c>
      <c r="S4992" s="33">
        <v>14</v>
      </c>
      <c r="Z4992" s="31" t="s">
        <v>3855</v>
      </c>
      <c r="AE4992" s="47" t="s">
        <v>4217</v>
      </c>
      <c r="AF4992" s="31">
        <v>65</v>
      </c>
      <c r="AK4992" s="32">
        <v>134</v>
      </c>
      <c r="AQ4992" s="32" t="s">
        <v>6048</v>
      </c>
      <c r="AU4992">
        <v>4991</v>
      </c>
    </row>
    <row r="4993" spans="1:47" x14ac:dyDescent="0.2">
      <c r="A4993" s="13">
        <v>6775</v>
      </c>
      <c r="B4993" s="57" t="s">
        <v>45</v>
      </c>
      <c r="C4993" s="57" t="s">
        <v>142</v>
      </c>
      <c r="D4993" s="29"/>
      <c r="E4993" s="57" t="s">
        <v>5253</v>
      </c>
      <c r="F4993" s="31" t="s">
        <v>76</v>
      </c>
      <c r="G4993" s="31" t="s">
        <v>49</v>
      </c>
      <c r="I4993" s="47" t="b">
        <v>0</v>
      </c>
      <c r="J4993" s="47" t="b">
        <v>0</v>
      </c>
      <c r="K4993" s="31">
        <v>6182</v>
      </c>
      <c r="S4993" s="33">
        <v>9</v>
      </c>
      <c r="Z4993" s="31" t="s">
        <v>3855</v>
      </c>
      <c r="AE4993" s="47" t="s">
        <v>4217</v>
      </c>
      <c r="AF4993" s="31">
        <v>70</v>
      </c>
      <c r="AK4993" s="32">
        <v>93</v>
      </c>
      <c r="AQ4993" s="32" t="s">
        <v>6048</v>
      </c>
      <c r="AU4993">
        <v>4992</v>
      </c>
    </row>
    <row r="4994" spans="1:47" x14ac:dyDescent="0.2">
      <c r="A4994" s="13">
        <v>6775</v>
      </c>
      <c r="B4994" s="57" t="s">
        <v>45</v>
      </c>
      <c r="C4994" s="57" t="s">
        <v>142</v>
      </c>
      <c r="D4994" s="29"/>
      <c r="E4994" s="57" t="s">
        <v>1078</v>
      </c>
      <c r="F4994" s="31" t="s">
        <v>76</v>
      </c>
      <c r="G4994" s="31" t="s">
        <v>49</v>
      </c>
      <c r="I4994" s="47" t="b">
        <v>0</v>
      </c>
      <c r="J4994" s="47" t="b">
        <v>0</v>
      </c>
      <c r="K4994" s="31">
        <v>6688</v>
      </c>
      <c r="S4994" s="33">
        <v>11</v>
      </c>
      <c r="Z4994" s="31" t="s">
        <v>3855</v>
      </c>
      <c r="AE4994" s="47" t="s">
        <v>4217</v>
      </c>
      <c r="AF4994" s="31">
        <v>70</v>
      </c>
      <c r="AK4994" s="32">
        <v>106</v>
      </c>
      <c r="AQ4994" s="32" t="s">
        <v>6048</v>
      </c>
      <c r="AR4994" s="31" t="s">
        <v>6107</v>
      </c>
      <c r="AU4994">
        <v>4993</v>
      </c>
    </row>
    <row r="4995" spans="1:47" x14ac:dyDescent="0.2">
      <c r="A4995" s="13">
        <v>6775</v>
      </c>
      <c r="B4995" s="57" t="s">
        <v>45</v>
      </c>
      <c r="C4995" s="57" t="s">
        <v>142</v>
      </c>
      <c r="D4995" s="29"/>
      <c r="E4995" s="57" t="s">
        <v>5935</v>
      </c>
      <c r="F4995" s="31" t="s">
        <v>5578</v>
      </c>
      <c r="G4995" s="31" t="s">
        <v>69</v>
      </c>
      <c r="I4995" s="47" t="b">
        <v>0</v>
      </c>
      <c r="J4995" s="47" t="b">
        <v>0</v>
      </c>
      <c r="K4995" s="31">
        <v>2112</v>
      </c>
      <c r="S4995" s="33">
        <v>3</v>
      </c>
      <c r="Z4995" s="31" t="s">
        <v>3855</v>
      </c>
      <c r="AE4995" s="47" t="s">
        <v>4217</v>
      </c>
      <c r="AK4995" s="32">
        <v>28</v>
      </c>
      <c r="AQ4995" s="32" t="s">
        <v>6048</v>
      </c>
      <c r="AU4995">
        <v>4994</v>
      </c>
    </row>
    <row r="4996" spans="1:47" x14ac:dyDescent="0.2">
      <c r="A4996" s="13">
        <v>6775</v>
      </c>
      <c r="B4996" s="57" t="s">
        <v>45</v>
      </c>
      <c r="C4996" s="57" t="s">
        <v>4843</v>
      </c>
      <c r="D4996" s="29"/>
      <c r="E4996" s="57" t="s">
        <v>5253</v>
      </c>
      <c r="F4996" s="31" t="s">
        <v>76</v>
      </c>
      <c r="G4996" s="31" t="s">
        <v>49</v>
      </c>
      <c r="K4996" s="31">
        <v>2288</v>
      </c>
      <c r="S4996" s="33">
        <v>5</v>
      </c>
      <c r="Z4996" s="31" t="s">
        <v>3814</v>
      </c>
      <c r="AE4996" s="31" t="s">
        <v>4411</v>
      </c>
      <c r="AF4996" s="31">
        <v>70</v>
      </c>
      <c r="AK4996" s="32">
        <v>56</v>
      </c>
      <c r="AQ4996" s="32" t="s">
        <v>6048</v>
      </c>
      <c r="AU4996">
        <v>4995</v>
      </c>
    </row>
    <row r="4997" spans="1:47" x14ac:dyDescent="0.2">
      <c r="A4997" s="13">
        <v>6775</v>
      </c>
      <c r="B4997" s="57" t="s">
        <v>45</v>
      </c>
      <c r="C4997" s="57" t="s">
        <v>4843</v>
      </c>
      <c r="D4997" s="29"/>
      <c r="E4997" s="57" t="s">
        <v>5935</v>
      </c>
      <c r="F4997" s="31" t="s">
        <v>5578</v>
      </c>
      <c r="G4997" s="31" t="s">
        <v>69</v>
      </c>
      <c r="K4997" s="31">
        <v>2662</v>
      </c>
      <c r="S4997" s="33">
        <v>6</v>
      </c>
      <c r="Z4997" s="31" t="s">
        <v>3814</v>
      </c>
      <c r="AE4997" s="31" t="s">
        <v>4411</v>
      </c>
      <c r="AK4997" s="32">
        <v>23</v>
      </c>
      <c r="AQ4997" s="32" t="s">
        <v>6048</v>
      </c>
      <c r="AU4997">
        <v>4996</v>
      </c>
    </row>
    <row r="4998" spans="1:47" x14ac:dyDescent="0.2">
      <c r="A4998" s="13">
        <v>6775</v>
      </c>
      <c r="B4998" s="57" t="s">
        <v>45</v>
      </c>
      <c r="C4998" s="57" t="s">
        <v>4843</v>
      </c>
      <c r="D4998" s="29"/>
      <c r="E4998" s="57" t="s">
        <v>5703</v>
      </c>
      <c r="F4998" s="31" t="s">
        <v>76</v>
      </c>
      <c r="G4998" s="31" t="s">
        <v>49</v>
      </c>
      <c r="K4998" s="31">
        <v>7370</v>
      </c>
      <c r="S4998" s="33">
        <v>15</v>
      </c>
      <c r="Z4998" s="31" t="s">
        <v>3814</v>
      </c>
      <c r="AE4998" s="31" t="s">
        <v>4411</v>
      </c>
      <c r="AF4998" s="31">
        <v>65</v>
      </c>
      <c r="AK4998" s="32">
        <v>71</v>
      </c>
      <c r="AQ4998" s="32" t="s">
        <v>6048</v>
      </c>
      <c r="AU4998">
        <v>4997</v>
      </c>
    </row>
    <row r="4999" spans="1:47" x14ac:dyDescent="0.2">
      <c r="A4999" s="13">
        <v>6775</v>
      </c>
      <c r="B4999" s="57" t="s">
        <v>45</v>
      </c>
      <c r="C4999" s="57" t="s">
        <v>6054</v>
      </c>
      <c r="D4999" s="29"/>
      <c r="E4999" s="57" t="s">
        <v>6141</v>
      </c>
      <c r="F4999" s="31" t="s">
        <v>76</v>
      </c>
      <c r="G4999" s="31" t="s">
        <v>49</v>
      </c>
      <c r="K4999" s="31">
        <v>1760</v>
      </c>
      <c r="Z4999" s="31" t="s">
        <v>3855</v>
      </c>
      <c r="AE4999" s="31" t="s">
        <v>6056</v>
      </c>
      <c r="AF4999" s="31">
        <v>65</v>
      </c>
      <c r="AK4999" s="32">
        <v>16</v>
      </c>
      <c r="AQ4999" s="32" t="s">
        <v>6142</v>
      </c>
      <c r="AU4999">
        <v>4998</v>
      </c>
    </row>
    <row r="5000" spans="1:47" x14ac:dyDescent="0.2">
      <c r="A5000" s="13">
        <v>6775</v>
      </c>
      <c r="B5000" s="57" t="s">
        <v>45</v>
      </c>
      <c r="C5000" s="57" t="s">
        <v>5860</v>
      </c>
      <c r="D5000" s="29"/>
      <c r="E5000" s="57" t="s">
        <v>6058</v>
      </c>
      <c r="I5000" s="31" t="s">
        <v>6059</v>
      </c>
      <c r="K5000" s="63"/>
      <c r="AQ5000" s="32" t="s">
        <v>6057</v>
      </c>
      <c r="AU5000">
        <v>4999</v>
      </c>
    </row>
    <row r="5001" spans="1:47" x14ac:dyDescent="0.2">
      <c r="A5001" s="13">
        <v>6775</v>
      </c>
      <c r="B5001" s="57" t="s">
        <v>45</v>
      </c>
      <c r="C5001" s="57" t="s">
        <v>6060</v>
      </c>
      <c r="D5001" s="29"/>
      <c r="E5001" s="57" t="s">
        <v>1397</v>
      </c>
      <c r="F5001" s="31" t="s">
        <v>76</v>
      </c>
      <c r="G5001" s="31" t="s">
        <v>49</v>
      </c>
      <c r="I5001" s="31" t="s">
        <v>6143</v>
      </c>
      <c r="K5001" s="63"/>
      <c r="Z5001" s="31" t="s">
        <v>1846</v>
      </c>
      <c r="AE5001" s="31" t="s">
        <v>4756</v>
      </c>
      <c r="AF5001" s="31">
        <v>80</v>
      </c>
      <c r="AQ5001" s="32" t="s">
        <v>6048</v>
      </c>
      <c r="AU5001">
        <v>5000</v>
      </c>
    </row>
    <row r="5002" spans="1:47" x14ac:dyDescent="0.2">
      <c r="A5002" s="13">
        <v>6775</v>
      </c>
      <c r="B5002" s="57" t="s">
        <v>45</v>
      </c>
      <c r="C5002" s="57" t="s">
        <v>6060</v>
      </c>
      <c r="D5002" s="29"/>
      <c r="E5002" s="57" t="s">
        <v>5882</v>
      </c>
      <c r="F5002" s="31" t="s">
        <v>76</v>
      </c>
      <c r="G5002" s="31" t="s">
        <v>49</v>
      </c>
      <c r="I5002" s="31" t="s">
        <v>6143</v>
      </c>
      <c r="K5002" s="63"/>
      <c r="Z5002" s="31" t="s">
        <v>1846</v>
      </c>
      <c r="AE5002" s="31" t="s">
        <v>4756</v>
      </c>
      <c r="AF5002" s="31">
        <v>75</v>
      </c>
      <c r="AQ5002" s="32" t="s">
        <v>6048</v>
      </c>
      <c r="AU5002">
        <v>5001</v>
      </c>
    </row>
    <row r="5003" spans="1:47" x14ac:dyDescent="0.2">
      <c r="A5003" s="13">
        <v>6775</v>
      </c>
      <c r="B5003" s="57" t="s">
        <v>45</v>
      </c>
      <c r="C5003" s="57" t="s">
        <v>6060</v>
      </c>
      <c r="D5003" s="29"/>
      <c r="E5003" s="57" t="s">
        <v>1088</v>
      </c>
      <c r="F5003" s="31" t="s">
        <v>76</v>
      </c>
      <c r="G5003" s="31" t="s">
        <v>49</v>
      </c>
      <c r="I5003" s="31" t="s">
        <v>6143</v>
      </c>
      <c r="K5003" s="63"/>
      <c r="Z5003" s="31" t="s">
        <v>1846</v>
      </c>
      <c r="AE5003" s="31" t="s">
        <v>4756</v>
      </c>
      <c r="AF5003" s="31">
        <v>75</v>
      </c>
      <c r="AQ5003" s="32" t="s">
        <v>6048</v>
      </c>
      <c r="AU5003">
        <v>5002</v>
      </c>
    </row>
    <row r="5004" spans="1:47" x14ac:dyDescent="0.2">
      <c r="A5004" s="13">
        <v>6775</v>
      </c>
      <c r="B5004" s="57" t="s">
        <v>45</v>
      </c>
      <c r="C5004" s="57" t="s">
        <v>6060</v>
      </c>
      <c r="D5004" s="29"/>
      <c r="E5004" s="57" t="s">
        <v>5253</v>
      </c>
      <c r="F5004" s="31" t="s">
        <v>76</v>
      </c>
      <c r="G5004" s="31" t="s">
        <v>49</v>
      </c>
      <c r="I5004" s="31" t="s">
        <v>6143</v>
      </c>
      <c r="K5004" s="63"/>
      <c r="Z5004" s="31" t="s">
        <v>1846</v>
      </c>
      <c r="AE5004" s="31" t="s">
        <v>4756</v>
      </c>
      <c r="AF5004" s="31">
        <v>50</v>
      </c>
      <c r="AQ5004" s="32" t="s">
        <v>6048</v>
      </c>
      <c r="AU5004">
        <v>5003</v>
      </c>
    </row>
    <row r="5005" spans="1:47" x14ac:dyDescent="0.2">
      <c r="A5005" s="13">
        <v>6775</v>
      </c>
      <c r="B5005" s="57" t="s">
        <v>45</v>
      </c>
      <c r="C5005" s="57" t="s">
        <v>6060</v>
      </c>
      <c r="D5005" s="29"/>
      <c r="E5005" s="57" t="s">
        <v>1078</v>
      </c>
      <c r="F5005" s="31" t="s">
        <v>76</v>
      </c>
      <c r="G5005" s="31" t="s">
        <v>49</v>
      </c>
      <c r="I5005" s="31" t="s">
        <v>6143</v>
      </c>
      <c r="K5005" s="63"/>
      <c r="Z5005" s="31" t="s">
        <v>1846</v>
      </c>
      <c r="AE5005" s="31" t="s">
        <v>4756</v>
      </c>
      <c r="AF5005" s="31">
        <v>60</v>
      </c>
      <c r="AQ5005" s="32" t="s">
        <v>6048</v>
      </c>
      <c r="AU5005">
        <v>5004</v>
      </c>
    </row>
    <row r="5006" spans="1:47" x14ac:dyDescent="0.2">
      <c r="A5006" s="13">
        <v>6775</v>
      </c>
      <c r="B5006" s="57" t="s">
        <v>45</v>
      </c>
      <c r="C5006" s="57" t="s">
        <v>6060</v>
      </c>
      <c r="D5006" s="29"/>
      <c r="E5006" s="57" t="s">
        <v>5312</v>
      </c>
      <c r="F5006" s="31" t="s">
        <v>76</v>
      </c>
      <c r="G5006" s="31" t="s">
        <v>49</v>
      </c>
      <c r="I5006" s="31" t="s">
        <v>6143</v>
      </c>
      <c r="K5006" s="63"/>
      <c r="Z5006" s="31" t="s">
        <v>1846</v>
      </c>
      <c r="AE5006" s="31" t="s">
        <v>4756</v>
      </c>
      <c r="AF5006" s="31">
        <v>50</v>
      </c>
      <c r="AQ5006" s="32" t="s">
        <v>6048</v>
      </c>
      <c r="AU5006">
        <v>5005</v>
      </c>
    </row>
    <row r="5007" spans="1:47" x14ac:dyDescent="0.2">
      <c r="A5007" s="13">
        <v>6775</v>
      </c>
      <c r="B5007" s="57" t="s">
        <v>45</v>
      </c>
      <c r="C5007" s="57" t="s">
        <v>6060</v>
      </c>
      <c r="D5007" s="29"/>
      <c r="E5007" s="57" t="s">
        <v>6144</v>
      </c>
      <c r="F5007" s="31" t="s">
        <v>76</v>
      </c>
      <c r="G5007" s="31" t="s">
        <v>49</v>
      </c>
      <c r="I5007" s="31" t="s">
        <v>6143</v>
      </c>
      <c r="K5007" s="63"/>
      <c r="Z5007" s="31" t="s">
        <v>1846</v>
      </c>
      <c r="AE5007" s="31" t="s">
        <v>4756</v>
      </c>
      <c r="AF5007" s="31">
        <v>55</v>
      </c>
      <c r="AQ5007" s="32" t="s">
        <v>6048</v>
      </c>
      <c r="AU5007">
        <v>5006</v>
      </c>
    </row>
    <row r="5008" spans="1:47" x14ac:dyDescent="0.2">
      <c r="A5008" s="13">
        <v>6775</v>
      </c>
      <c r="B5008" s="57" t="s">
        <v>45</v>
      </c>
      <c r="C5008" s="57" t="s">
        <v>4456</v>
      </c>
      <c r="D5008" s="29"/>
      <c r="E5008" s="57" t="s">
        <v>5312</v>
      </c>
      <c r="F5008" s="31" t="s">
        <v>76</v>
      </c>
      <c r="G5008" s="31" t="s">
        <v>49</v>
      </c>
      <c r="I5008" s="31" t="s">
        <v>6145</v>
      </c>
      <c r="K5008" s="183">
        <f>3*412*2.2</f>
        <v>2719.2000000000003</v>
      </c>
      <c r="L5008" s="33">
        <v>4</v>
      </c>
      <c r="N5008" s="31">
        <v>1</v>
      </c>
      <c r="S5008" s="33">
        <v>3</v>
      </c>
      <c r="T5008" s="31">
        <v>0</v>
      </c>
      <c r="U5008" s="31">
        <v>0</v>
      </c>
      <c r="V5008" s="31">
        <v>0</v>
      </c>
      <c r="W5008" s="47">
        <f>((1600+1800)/2)*39.37/12</f>
        <v>5577.416666666667</v>
      </c>
      <c r="Y5008" s="19" t="s">
        <v>51</v>
      </c>
      <c r="Z5008" s="19" t="s">
        <v>1846</v>
      </c>
      <c r="AA5008" s="34">
        <v>0.91666666666666663</v>
      </c>
      <c r="AB5008" s="34">
        <v>1.0868055555555556</v>
      </c>
      <c r="AC5008" s="49">
        <f t="shared" ref="AC5008:AC5014" si="10">AVERAGE(AA5008:AB5008)</f>
        <v>1.0017361111111112</v>
      </c>
      <c r="AD5008" s="50">
        <f>1+35/60</f>
        <v>1.5833333333333335</v>
      </c>
      <c r="AE5008" s="31" t="s">
        <v>4756</v>
      </c>
      <c r="AF5008" s="31">
        <v>50</v>
      </c>
      <c r="AQ5008" s="18" t="s">
        <v>6146</v>
      </c>
      <c r="AU5008">
        <v>5007</v>
      </c>
    </row>
    <row r="5009" spans="1:47" x14ac:dyDescent="0.2">
      <c r="A5009" s="13">
        <v>6775</v>
      </c>
      <c r="B5009" s="57" t="s">
        <v>45</v>
      </c>
      <c r="C5009" s="57" t="s">
        <v>4456</v>
      </c>
      <c r="D5009" s="29"/>
      <c r="E5009" s="57" t="s">
        <v>1397</v>
      </c>
      <c r="F5009" s="31" t="s">
        <v>76</v>
      </c>
      <c r="G5009" s="31" t="s">
        <v>49</v>
      </c>
      <c r="I5009" s="31" t="s">
        <v>6147</v>
      </c>
      <c r="K5009" s="183">
        <f t="shared" ref="K5009:K5014" si="11">412*2.2</f>
        <v>906.40000000000009</v>
      </c>
      <c r="L5009" s="33">
        <v>1</v>
      </c>
      <c r="S5009" s="33">
        <v>1</v>
      </c>
      <c r="T5009" s="31">
        <v>0</v>
      </c>
      <c r="U5009" s="31">
        <v>0</v>
      </c>
      <c r="V5009" s="31">
        <v>0</v>
      </c>
      <c r="W5009" s="47">
        <f>2000*39.37/12</f>
        <v>6561.666666666667</v>
      </c>
      <c r="Y5009" s="19" t="s">
        <v>51</v>
      </c>
      <c r="Z5009" s="19" t="s">
        <v>1846</v>
      </c>
      <c r="AA5009" s="34">
        <v>0.91666666666666663</v>
      </c>
      <c r="AB5009" s="34">
        <v>0.99305555555555547</v>
      </c>
      <c r="AC5009" s="49">
        <f t="shared" si="10"/>
        <v>0.95486111111111105</v>
      </c>
      <c r="AD5009" s="50">
        <f t="shared" ref="AD5009:AD5014" si="12">(AB5009-AA5009)*24</f>
        <v>1.8333333333333321</v>
      </c>
      <c r="AE5009" s="31" t="s">
        <v>4756</v>
      </c>
      <c r="AF5009" s="31">
        <v>80</v>
      </c>
      <c r="AQ5009" s="18" t="s">
        <v>6146</v>
      </c>
      <c r="AU5009">
        <v>5008</v>
      </c>
    </row>
    <row r="5010" spans="1:47" x14ac:dyDescent="0.2">
      <c r="A5010" s="13">
        <v>6775</v>
      </c>
      <c r="B5010" s="57" t="s">
        <v>45</v>
      </c>
      <c r="C5010" s="57" t="s">
        <v>4456</v>
      </c>
      <c r="D5010" s="29"/>
      <c r="E5010" s="57" t="s">
        <v>1078</v>
      </c>
      <c r="F5010" s="31" t="s">
        <v>76</v>
      </c>
      <c r="G5010" s="31" t="s">
        <v>49</v>
      </c>
      <c r="I5010" s="31" t="s">
        <v>6148</v>
      </c>
      <c r="K5010" s="183">
        <f t="shared" si="11"/>
        <v>906.40000000000009</v>
      </c>
      <c r="L5010" s="33">
        <v>1</v>
      </c>
      <c r="S5010" s="33">
        <v>1</v>
      </c>
      <c r="T5010" s="31">
        <v>0</v>
      </c>
      <c r="U5010" s="31">
        <v>0</v>
      </c>
      <c r="V5010" s="31">
        <v>0</v>
      </c>
      <c r="Y5010" s="19" t="s">
        <v>51</v>
      </c>
      <c r="Z5010" s="19" t="s">
        <v>1846</v>
      </c>
      <c r="AA5010" s="34">
        <v>0.92013888888888884</v>
      </c>
      <c r="AB5010" s="34">
        <v>0.98958333333333337</v>
      </c>
      <c r="AC5010" s="49">
        <f t="shared" si="10"/>
        <v>0.95486111111111116</v>
      </c>
      <c r="AD5010" s="50">
        <f t="shared" si="12"/>
        <v>1.6666666666666687</v>
      </c>
      <c r="AE5010" s="31" t="s">
        <v>4756</v>
      </c>
      <c r="AF5010" s="31">
        <v>60</v>
      </c>
      <c r="AQ5010" s="18" t="s">
        <v>6146</v>
      </c>
      <c r="AU5010">
        <v>5009</v>
      </c>
    </row>
    <row r="5011" spans="1:47" x14ac:dyDescent="0.2">
      <c r="A5011" s="13">
        <v>6775</v>
      </c>
      <c r="B5011" s="57" t="s">
        <v>45</v>
      </c>
      <c r="C5011" s="57" t="s">
        <v>4456</v>
      </c>
      <c r="D5011" s="29"/>
      <c r="E5011" s="57" t="s">
        <v>6144</v>
      </c>
      <c r="F5011" s="31" t="s">
        <v>76</v>
      </c>
      <c r="G5011" s="31" t="s">
        <v>49</v>
      </c>
      <c r="I5011" s="31" t="s">
        <v>6149</v>
      </c>
      <c r="K5011" s="183">
        <f t="shared" si="11"/>
        <v>906.40000000000009</v>
      </c>
      <c r="L5011" s="33">
        <v>1</v>
      </c>
      <c r="S5011" s="33">
        <v>1</v>
      </c>
      <c r="T5011" s="31">
        <v>0</v>
      </c>
      <c r="U5011" s="31">
        <v>0</v>
      </c>
      <c r="V5011" s="31">
        <v>0</v>
      </c>
      <c r="Y5011" s="19" t="s">
        <v>51</v>
      </c>
      <c r="Z5011" s="19" t="s">
        <v>1846</v>
      </c>
      <c r="AA5011" s="34">
        <v>7.2916666666666671E-2</v>
      </c>
      <c r="AB5011" s="34">
        <v>0.12847222222222224</v>
      </c>
      <c r="AC5011" s="49">
        <f t="shared" si="10"/>
        <v>0.10069444444444445</v>
      </c>
      <c r="AD5011" s="50">
        <f t="shared" si="12"/>
        <v>1.3333333333333335</v>
      </c>
      <c r="AE5011" s="31" t="s">
        <v>4756</v>
      </c>
      <c r="AF5011" s="31">
        <v>55</v>
      </c>
      <c r="AQ5011" s="18" t="s">
        <v>6146</v>
      </c>
      <c r="AU5011">
        <v>5010</v>
      </c>
    </row>
    <row r="5012" spans="1:47" x14ac:dyDescent="0.2">
      <c r="A5012" s="13">
        <v>6775</v>
      </c>
      <c r="B5012" s="57" t="s">
        <v>45</v>
      </c>
      <c r="C5012" s="57" t="s">
        <v>4456</v>
      </c>
      <c r="D5012" s="29"/>
      <c r="E5012" s="57" t="s">
        <v>1088</v>
      </c>
      <c r="F5012" s="31" t="s">
        <v>76</v>
      </c>
      <c r="G5012" s="31" t="s">
        <v>49</v>
      </c>
      <c r="I5012" s="31" t="s">
        <v>6150</v>
      </c>
      <c r="K5012" s="183">
        <f t="shared" si="11"/>
        <v>906.40000000000009</v>
      </c>
      <c r="L5012" s="33">
        <v>1</v>
      </c>
      <c r="S5012" s="33">
        <v>1</v>
      </c>
      <c r="T5012" s="31">
        <v>0</v>
      </c>
      <c r="U5012" s="31">
        <v>0</v>
      </c>
      <c r="V5012" s="31">
        <v>0</v>
      </c>
      <c r="Y5012" s="19" t="s">
        <v>51</v>
      </c>
      <c r="Z5012" s="19" t="s">
        <v>1846</v>
      </c>
      <c r="AA5012" s="34">
        <v>0.92361111111111116</v>
      </c>
      <c r="AB5012" s="34">
        <v>1.0243055555555556</v>
      </c>
      <c r="AC5012" s="49">
        <f t="shared" si="10"/>
        <v>0.97395833333333337</v>
      </c>
      <c r="AD5012" s="50">
        <f t="shared" si="12"/>
        <v>2.4166666666666661</v>
      </c>
      <c r="AE5012" s="31" t="s">
        <v>4756</v>
      </c>
      <c r="AF5012" s="31">
        <v>75</v>
      </c>
      <c r="AQ5012" s="18" t="s">
        <v>6146</v>
      </c>
      <c r="AU5012">
        <v>5011</v>
      </c>
    </row>
    <row r="5013" spans="1:47" x14ac:dyDescent="0.2">
      <c r="A5013" s="13">
        <v>6775</v>
      </c>
      <c r="B5013" s="57" t="s">
        <v>45</v>
      </c>
      <c r="C5013" s="57" t="s">
        <v>4456</v>
      </c>
      <c r="D5013" s="29"/>
      <c r="E5013" s="57" t="s">
        <v>5882</v>
      </c>
      <c r="F5013" s="31" t="s">
        <v>76</v>
      </c>
      <c r="G5013" s="31" t="s">
        <v>49</v>
      </c>
      <c r="I5013" s="31" t="s">
        <v>6151</v>
      </c>
      <c r="K5013" s="183">
        <f t="shared" si="11"/>
        <v>906.40000000000009</v>
      </c>
      <c r="L5013" s="33">
        <v>1</v>
      </c>
      <c r="S5013" s="33">
        <v>1</v>
      </c>
      <c r="T5013" s="31">
        <v>0</v>
      </c>
      <c r="U5013" s="31">
        <v>0</v>
      </c>
      <c r="V5013" s="31">
        <v>0</v>
      </c>
      <c r="Y5013" s="19" t="s">
        <v>51</v>
      </c>
      <c r="Z5013" s="19" t="s">
        <v>1846</v>
      </c>
      <c r="AA5013" s="34">
        <v>1.3888888888888888E-2</v>
      </c>
      <c r="AB5013" s="34">
        <v>6.25E-2</v>
      </c>
      <c r="AC5013" s="49">
        <f t="shared" si="10"/>
        <v>3.8194444444444448E-2</v>
      </c>
      <c r="AD5013" s="50">
        <f t="shared" si="12"/>
        <v>1.1666666666666667</v>
      </c>
      <c r="AE5013" s="31" t="s">
        <v>4756</v>
      </c>
      <c r="AF5013" s="31">
        <v>75</v>
      </c>
      <c r="AQ5013" s="18" t="s">
        <v>6146</v>
      </c>
      <c r="AU5013">
        <v>5012</v>
      </c>
    </row>
    <row r="5014" spans="1:47" x14ac:dyDescent="0.2">
      <c r="A5014" s="13">
        <v>6775</v>
      </c>
      <c r="B5014" s="57" t="s">
        <v>45</v>
      </c>
      <c r="C5014" s="57" t="s">
        <v>4456</v>
      </c>
      <c r="D5014" s="29"/>
      <c r="E5014" s="57" t="s">
        <v>5327</v>
      </c>
      <c r="F5014" s="31" t="s">
        <v>6152</v>
      </c>
      <c r="G5014" s="31" t="s">
        <v>69</v>
      </c>
      <c r="I5014" s="31" t="s">
        <v>6153</v>
      </c>
      <c r="K5014" s="183">
        <f t="shared" si="11"/>
        <v>906.40000000000009</v>
      </c>
      <c r="L5014" s="33">
        <v>1</v>
      </c>
      <c r="S5014" s="33">
        <v>1</v>
      </c>
      <c r="T5014" s="31">
        <v>0</v>
      </c>
      <c r="U5014" s="31">
        <v>0</v>
      </c>
      <c r="V5014" s="31">
        <v>0</v>
      </c>
      <c r="Y5014" s="19" t="s">
        <v>51</v>
      </c>
      <c r="Z5014" s="19" t="s">
        <v>1846</v>
      </c>
      <c r="AA5014" s="34">
        <v>9.375E-2</v>
      </c>
      <c r="AB5014" s="34">
        <v>0.12847222222222224</v>
      </c>
      <c r="AC5014" s="49">
        <f t="shared" si="10"/>
        <v>0.11111111111111112</v>
      </c>
      <c r="AD5014" s="50">
        <f t="shared" si="12"/>
        <v>0.8333333333333337</v>
      </c>
      <c r="AE5014" s="31" t="s">
        <v>4756</v>
      </c>
      <c r="AQ5014" s="18" t="s">
        <v>6146</v>
      </c>
      <c r="AU5014">
        <v>5013</v>
      </c>
    </row>
    <row r="5015" spans="1:47" x14ac:dyDescent="0.2">
      <c r="A5015" s="26">
        <v>6775</v>
      </c>
      <c r="B5015" s="27">
        <v>2.0833333333333333E-3</v>
      </c>
      <c r="C5015" s="28"/>
      <c r="D5015" s="29"/>
      <c r="E5015" s="30" t="s">
        <v>869</v>
      </c>
      <c r="H5015" s="32">
        <v>0</v>
      </c>
      <c r="I5015" s="32" t="s">
        <v>2344</v>
      </c>
      <c r="AG5015" s="32">
        <v>0</v>
      </c>
      <c r="AH5015" s="32">
        <v>0</v>
      </c>
      <c r="AI5015" s="32">
        <v>0</v>
      </c>
      <c r="AK5015" s="32">
        <v>0</v>
      </c>
      <c r="AL5015" s="32">
        <f>27/60</f>
        <v>0.45</v>
      </c>
      <c r="AP5015" s="32">
        <f>27/60</f>
        <v>0.45</v>
      </c>
      <c r="AQ5015" s="32" t="s">
        <v>589</v>
      </c>
      <c r="AU5015">
        <v>5014</v>
      </c>
    </row>
    <row r="5016" spans="1:47" x14ac:dyDescent="0.2">
      <c r="A5016" s="26">
        <v>6775</v>
      </c>
      <c r="B5016" s="27">
        <v>2.7777777777777776E-2</v>
      </c>
      <c r="C5016" s="28"/>
      <c r="D5016" s="29"/>
      <c r="E5016" s="30" t="s">
        <v>631</v>
      </c>
      <c r="H5016" s="32">
        <v>0</v>
      </c>
      <c r="I5016" s="32" t="s">
        <v>837</v>
      </c>
      <c r="AG5016" s="32">
        <v>0</v>
      </c>
      <c r="AH5016" s="32">
        <v>0</v>
      </c>
      <c r="AI5016" s="32">
        <v>0</v>
      </c>
      <c r="AK5016" s="32">
        <v>0</v>
      </c>
      <c r="AL5016" s="32">
        <v>0.67</v>
      </c>
      <c r="AP5016" s="32">
        <v>0.67</v>
      </c>
      <c r="AQ5016" s="32">
        <v>464</v>
      </c>
      <c r="AU5016">
        <v>5015</v>
      </c>
    </row>
    <row r="5017" spans="1:47" x14ac:dyDescent="0.2">
      <c r="A5017" s="26">
        <v>6775</v>
      </c>
      <c r="B5017" s="27">
        <v>3.8194444444444441E-2</v>
      </c>
      <c r="C5017" s="28"/>
      <c r="D5017" s="29"/>
      <c r="E5017" s="30" t="s">
        <v>3155</v>
      </c>
      <c r="H5017" s="32">
        <v>0</v>
      </c>
      <c r="I5017" s="32" t="s">
        <v>3156</v>
      </c>
      <c r="AG5017" s="32">
        <v>0</v>
      </c>
      <c r="AH5017" s="32">
        <v>0</v>
      </c>
      <c r="AI5017" s="32">
        <v>0</v>
      </c>
      <c r="AK5017" s="32">
        <v>0</v>
      </c>
      <c r="AP5017" s="32">
        <f>35/60</f>
        <v>0.58333333333333337</v>
      </c>
      <c r="AQ5017" s="32" t="s">
        <v>1101</v>
      </c>
      <c r="AU5017">
        <v>5016</v>
      </c>
    </row>
    <row r="5018" spans="1:47" x14ac:dyDescent="0.2">
      <c r="A5018" s="26">
        <v>6775</v>
      </c>
      <c r="B5018" s="27">
        <v>0.28472222222222221</v>
      </c>
      <c r="C5018" s="28"/>
      <c r="D5018" s="29"/>
      <c r="E5018" s="30" t="s">
        <v>464</v>
      </c>
      <c r="H5018" s="32">
        <v>0</v>
      </c>
      <c r="I5018" s="32" t="s">
        <v>4561</v>
      </c>
      <c r="AG5018" s="32">
        <v>0</v>
      </c>
      <c r="AH5018" s="32">
        <v>0</v>
      </c>
      <c r="AL5018" s="32">
        <f>26/60</f>
        <v>0.43333333333333335</v>
      </c>
      <c r="AO5018" s="32" t="s">
        <v>4067</v>
      </c>
      <c r="AP5018" s="32">
        <f>26/60</f>
        <v>0.43333333333333335</v>
      </c>
      <c r="AQ5018" s="32" t="s">
        <v>1522</v>
      </c>
      <c r="AU5018">
        <v>5017</v>
      </c>
    </row>
    <row r="5019" spans="1:47" x14ac:dyDescent="0.2">
      <c r="A5019" s="26">
        <v>6775</v>
      </c>
      <c r="B5019" s="27">
        <v>0.3520833333333333</v>
      </c>
      <c r="C5019" s="28"/>
      <c r="D5019" s="29"/>
      <c r="E5019" s="102" t="s">
        <v>1102</v>
      </c>
      <c r="H5019" s="32">
        <v>0</v>
      </c>
      <c r="I5019" s="32" t="s">
        <v>6154</v>
      </c>
      <c r="AG5019" s="32">
        <v>0</v>
      </c>
      <c r="AH5019" s="32">
        <v>0</v>
      </c>
      <c r="AI5019" s="32">
        <v>0</v>
      </c>
      <c r="AK5019" s="32">
        <v>0</v>
      </c>
      <c r="AL5019" s="32">
        <f>32/60</f>
        <v>0.53333333333333333</v>
      </c>
      <c r="AO5019" s="73" t="s">
        <v>1006</v>
      </c>
      <c r="AP5019" s="32">
        <f>32/60</f>
        <v>0.53333333333333333</v>
      </c>
      <c r="AQ5019" s="32" t="s">
        <v>589</v>
      </c>
      <c r="AU5019">
        <v>5018</v>
      </c>
    </row>
    <row r="5020" spans="1:47" x14ac:dyDescent="0.2">
      <c r="A5020" s="26">
        <v>6775</v>
      </c>
      <c r="B5020" s="27">
        <v>0.5131944444444444</v>
      </c>
      <c r="C5020" s="28"/>
      <c r="D5020" s="29"/>
      <c r="E5020" s="30" t="s">
        <v>3737</v>
      </c>
      <c r="H5020" s="32">
        <v>0</v>
      </c>
      <c r="I5020" s="32" t="s">
        <v>6155</v>
      </c>
      <c r="AG5020" s="32">
        <v>0</v>
      </c>
      <c r="AH5020" s="32">
        <v>0</v>
      </c>
      <c r="AI5020" s="32">
        <v>0</v>
      </c>
      <c r="AK5020" s="32">
        <v>0</v>
      </c>
      <c r="AM5020" s="74"/>
      <c r="AQ5020" s="32" t="s">
        <v>1101</v>
      </c>
      <c r="AU5020">
        <v>5019</v>
      </c>
    </row>
    <row r="5021" spans="1:47" x14ac:dyDescent="0.2">
      <c r="A5021" s="26">
        <v>6775</v>
      </c>
      <c r="B5021" s="27">
        <v>0.97569444444444453</v>
      </c>
      <c r="C5021" s="28"/>
      <c r="D5021" s="29"/>
      <c r="E5021" s="30" t="s">
        <v>464</v>
      </c>
      <c r="H5021" s="32">
        <v>0</v>
      </c>
      <c r="I5021" s="32" t="s">
        <v>6156</v>
      </c>
      <c r="AG5021" s="32">
        <v>0</v>
      </c>
      <c r="AH5021" s="32">
        <v>0</v>
      </c>
      <c r="AL5021" s="32">
        <f>55/60</f>
        <v>0.91666666666666663</v>
      </c>
      <c r="AO5021" s="32" t="s">
        <v>4067</v>
      </c>
      <c r="AP5021" s="32">
        <f>55/60</f>
        <v>0.91666666666666663</v>
      </c>
      <c r="AQ5021" s="32" t="s">
        <v>1522</v>
      </c>
      <c r="AU5021">
        <v>5020</v>
      </c>
    </row>
    <row r="5022" spans="1:47" x14ac:dyDescent="0.2">
      <c r="A5022" s="26">
        <v>6775</v>
      </c>
      <c r="B5022" s="27">
        <v>0.98958333333333337</v>
      </c>
      <c r="C5022" s="28"/>
      <c r="D5022" s="29"/>
      <c r="E5022" s="30" t="s">
        <v>4219</v>
      </c>
      <c r="H5022" s="32">
        <v>0</v>
      </c>
      <c r="I5022" s="32" t="s">
        <v>6157</v>
      </c>
      <c r="AG5022" s="32">
        <v>0</v>
      </c>
      <c r="AH5022" s="32">
        <v>0</v>
      </c>
      <c r="AI5022" s="32">
        <v>0</v>
      </c>
      <c r="AK5022" s="32">
        <v>0</v>
      </c>
      <c r="AL5022" s="32">
        <v>0.75</v>
      </c>
      <c r="AO5022" s="32" t="s">
        <v>858</v>
      </c>
      <c r="AP5022" s="32">
        <v>0.75</v>
      </c>
      <c r="AQ5022" s="32" t="s">
        <v>1101</v>
      </c>
      <c r="AU5022">
        <v>5021</v>
      </c>
    </row>
    <row r="5023" spans="1:47" x14ac:dyDescent="0.2">
      <c r="A5023" s="26">
        <v>6775</v>
      </c>
      <c r="B5023" s="27" t="s">
        <v>85</v>
      </c>
      <c r="C5023" s="28"/>
      <c r="D5023" s="29"/>
      <c r="E5023" s="30" t="s">
        <v>1531</v>
      </c>
      <c r="H5023" s="32">
        <v>0</v>
      </c>
      <c r="I5023" s="32" t="s">
        <v>1532</v>
      </c>
      <c r="AG5023" s="32">
        <v>0</v>
      </c>
      <c r="AH5023" s="32">
        <v>0</v>
      </c>
      <c r="AI5023" s="32">
        <v>0</v>
      </c>
      <c r="AK5023" s="32">
        <v>0</v>
      </c>
      <c r="AM5023" s="32">
        <f>498*34</f>
        <v>16932</v>
      </c>
      <c r="AO5023" s="32" t="s">
        <v>1533</v>
      </c>
      <c r="AQ5023" s="32" t="s">
        <v>1101</v>
      </c>
      <c r="AU5023">
        <v>5022</v>
      </c>
    </row>
    <row r="5024" spans="1:47" x14ac:dyDescent="0.2">
      <c r="A5024" s="26">
        <v>6775</v>
      </c>
      <c r="B5024" s="27" t="s">
        <v>45</v>
      </c>
      <c r="C5024" s="28"/>
      <c r="D5024" s="29"/>
      <c r="E5024" s="102" t="s">
        <v>3909</v>
      </c>
      <c r="H5024" s="32">
        <v>1</v>
      </c>
      <c r="I5024" s="32" t="s">
        <v>6158</v>
      </c>
      <c r="AK5024" s="32">
        <v>21</v>
      </c>
      <c r="AL5024" s="32">
        <f>8*24</f>
        <v>192</v>
      </c>
      <c r="AO5024" s="73"/>
      <c r="AQ5024" s="32" t="s">
        <v>6159</v>
      </c>
      <c r="AU5024">
        <v>5023</v>
      </c>
    </row>
    <row r="5025" spans="1:47" x14ac:dyDescent="0.2">
      <c r="A5025" s="26">
        <v>6775</v>
      </c>
      <c r="B5025" s="27" t="s">
        <v>45</v>
      </c>
      <c r="C5025" s="28"/>
      <c r="D5025" s="29"/>
      <c r="E5025" s="150" t="s">
        <v>2286</v>
      </c>
      <c r="H5025" s="32">
        <v>0</v>
      </c>
      <c r="I5025" s="32" t="s">
        <v>1824</v>
      </c>
      <c r="AG5025" s="32">
        <v>0</v>
      </c>
      <c r="AH5025" s="32">
        <v>0</v>
      </c>
      <c r="AI5025" s="32">
        <v>0</v>
      </c>
      <c r="AK5025" s="32">
        <v>0</v>
      </c>
      <c r="AM5025" s="32">
        <v>5000</v>
      </c>
      <c r="AO5025" s="73" t="s">
        <v>75</v>
      </c>
      <c r="AQ5025" s="32" t="s">
        <v>589</v>
      </c>
      <c r="AU5025">
        <v>5024</v>
      </c>
    </row>
    <row r="5026" spans="1:47" x14ac:dyDescent="0.2">
      <c r="A5026" s="133">
        <v>6776</v>
      </c>
      <c r="B5026" s="39" t="s">
        <v>85</v>
      </c>
      <c r="C5026" s="39">
        <v>55</v>
      </c>
      <c r="D5026" s="29" t="b">
        <v>0</v>
      </c>
      <c r="E5026" s="39" t="s">
        <v>2107</v>
      </c>
      <c r="F5026" s="47" t="s">
        <v>6125</v>
      </c>
      <c r="G5026" s="47" t="s">
        <v>274</v>
      </c>
      <c r="H5026"/>
      <c r="I5026" s="47" t="b">
        <v>0</v>
      </c>
      <c r="J5026" s="47" t="b">
        <v>1</v>
      </c>
      <c r="K5026" s="47">
        <v>2548</v>
      </c>
      <c r="L5026" s="48">
        <v>12</v>
      </c>
      <c r="M5026" s="47">
        <v>0</v>
      </c>
      <c r="N5026" s="47">
        <v>1</v>
      </c>
      <c r="O5026" s="47">
        <v>0</v>
      </c>
      <c r="P5026" s="47">
        <v>0</v>
      </c>
      <c r="Q5026" s="47">
        <v>0</v>
      </c>
      <c r="R5026" s="47">
        <v>0</v>
      </c>
      <c r="S5026" s="48">
        <v>11</v>
      </c>
      <c r="T5026" s="47">
        <v>2</v>
      </c>
      <c r="U5026" s="47">
        <v>0</v>
      </c>
      <c r="V5026" s="47">
        <v>1</v>
      </c>
      <c r="W5026" s="47">
        <v>14500</v>
      </c>
      <c r="X5026" s="47">
        <v>731</v>
      </c>
      <c r="Y5026" s="47" t="s">
        <v>120</v>
      </c>
      <c r="Z5026" s="47" t="s">
        <v>3618</v>
      </c>
      <c r="AA5026" s="49">
        <v>0.21180555555555555</v>
      </c>
      <c r="AB5026" s="49">
        <v>0.3833333333333333</v>
      </c>
      <c r="AC5026" s="49">
        <f>AVERAGE(AA5026:AB5026)</f>
        <v>0.29756944444444444</v>
      </c>
      <c r="AD5026" s="50">
        <f>(AB5026-AA5026)*24</f>
        <v>4.1166666666666663</v>
      </c>
      <c r="AE5026" s="47" t="s">
        <v>5433</v>
      </c>
      <c r="AF5026" s="47">
        <v>165</v>
      </c>
      <c r="AG5026"/>
      <c r="AH5026"/>
      <c r="AI5026"/>
      <c r="AJ5026"/>
      <c r="AK5026">
        <v>35</v>
      </c>
      <c r="AL5026"/>
      <c r="AM5026"/>
      <c r="AN5026"/>
      <c r="AO5026"/>
      <c r="AP5026"/>
      <c r="AQ5026" t="s">
        <v>5434</v>
      </c>
      <c r="AR5026" s="18" t="s">
        <v>6160</v>
      </c>
      <c r="AU5026">
        <v>5025</v>
      </c>
    </row>
    <row r="5027" spans="1:47" x14ac:dyDescent="0.2">
      <c r="A5027" s="133">
        <v>6776</v>
      </c>
      <c r="B5027" s="39" t="s">
        <v>85</v>
      </c>
      <c r="C5027" s="39">
        <v>99</v>
      </c>
      <c r="D5027" s="29" t="b">
        <v>0</v>
      </c>
      <c r="E5027" s="39" t="s">
        <v>907</v>
      </c>
      <c r="F5027" s="47" t="s">
        <v>2398</v>
      </c>
      <c r="G5027" s="47" t="s">
        <v>49</v>
      </c>
      <c r="H5027"/>
      <c r="I5027" s="47" t="b">
        <v>0</v>
      </c>
      <c r="J5027" s="47" t="b">
        <v>1</v>
      </c>
      <c r="K5027" s="47">
        <v>2270</v>
      </c>
      <c r="L5027" s="48">
        <v>12</v>
      </c>
      <c r="M5027" s="47">
        <v>0</v>
      </c>
      <c r="N5027" s="47">
        <v>2</v>
      </c>
      <c r="O5027" s="47">
        <v>0</v>
      </c>
      <c r="P5027" s="47">
        <v>0</v>
      </c>
      <c r="Q5027" s="47">
        <v>0</v>
      </c>
      <c r="R5027" s="47">
        <v>0</v>
      </c>
      <c r="S5027" s="48">
        <v>10</v>
      </c>
      <c r="T5027" s="47">
        <v>1</v>
      </c>
      <c r="U5027" s="47">
        <v>0</v>
      </c>
      <c r="V5027" s="47">
        <v>0</v>
      </c>
      <c r="W5027" s="47">
        <v>12500</v>
      </c>
      <c r="X5027" s="47">
        <v>732</v>
      </c>
      <c r="Y5027" s="47" t="s">
        <v>120</v>
      </c>
      <c r="Z5027" s="47" t="s">
        <v>5139</v>
      </c>
      <c r="AA5027" s="49">
        <v>0.19791666666666666</v>
      </c>
      <c r="AB5027" s="49">
        <v>0.33680555555555558</v>
      </c>
      <c r="AC5027" s="49">
        <f>AVERAGE(AA5027:AB5027)</f>
        <v>0.2673611111111111</v>
      </c>
      <c r="AD5027" s="50">
        <f>(AB5027-AA5027)*24</f>
        <v>3.3333333333333339</v>
      </c>
      <c r="AE5027" s="47" t="s">
        <v>5433</v>
      </c>
      <c r="AF5027" s="47">
        <v>125</v>
      </c>
      <c r="AG5027"/>
      <c r="AH5027"/>
      <c r="AI5027"/>
      <c r="AJ5027"/>
      <c r="AK5027">
        <v>15</v>
      </c>
      <c r="AL5027"/>
      <c r="AM5027"/>
      <c r="AN5027"/>
      <c r="AO5027"/>
      <c r="AP5027"/>
      <c r="AQ5027" t="s">
        <v>2526</v>
      </c>
      <c r="AU5027">
        <v>5026</v>
      </c>
    </row>
    <row r="5028" spans="1:47" x14ac:dyDescent="0.2">
      <c r="A5028" s="133">
        <v>6776</v>
      </c>
      <c r="B5028" s="39" t="s">
        <v>85</v>
      </c>
      <c r="C5028" s="39" t="s">
        <v>5952</v>
      </c>
      <c r="D5028" s="29"/>
      <c r="E5028" s="39" t="s">
        <v>6161</v>
      </c>
      <c r="F5028" s="47" t="s">
        <v>170</v>
      </c>
      <c r="G5028" s="47" t="s">
        <v>69</v>
      </c>
      <c r="H5028"/>
      <c r="I5028" s="47" t="s">
        <v>6162</v>
      </c>
      <c r="J5028" s="47"/>
      <c r="K5028" s="47">
        <f>820*2.2</f>
        <v>1804.0000000000002</v>
      </c>
      <c r="L5028" s="48">
        <v>10</v>
      </c>
      <c r="M5028" s="47">
        <v>3</v>
      </c>
      <c r="N5028" s="47"/>
      <c r="O5028" s="47"/>
      <c r="P5028" s="47"/>
      <c r="Q5028" s="47"/>
      <c r="R5028" s="47"/>
      <c r="S5028" s="48">
        <v>7</v>
      </c>
      <c r="T5028" s="47">
        <v>0</v>
      </c>
      <c r="U5028" s="47">
        <v>0</v>
      </c>
      <c r="V5028" s="47">
        <v>2</v>
      </c>
      <c r="W5028" s="47"/>
      <c r="X5028" s="47"/>
      <c r="Y5028" s="47" t="s">
        <v>51</v>
      </c>
      <c r="Z5028" s="47" t="s">
        <v>3724</v>
      </c>
      <c r="AA5028" s="194">
        <v>0.4375</v>
      </c>
      <c r="AB5028" s="49"/>
      <c r="AC5028" s="194">
        <v>0.54166666666666663</v>
      </c>
      <c r="AD5028" s="50"/>
      <c r="AE5028" s="47" t="s">
        <v>5954</v>
      </c>
      <c r="AF5028" s="47">
        <v>65</v>
      </c>
      <c r="AG5028"/>
      <c r="AH5028"/>
      <c r="AI5028"/>
      <c r="AJ5028"/>
      <c r="AK5028"/>
      <c r="AL5028"/>
      <c r="AM5028"/>
      <c r="AN5028"/>
      <c r="AO5028"/>
      <c r="AP5028"/>
      <c r="AQ5028" t="s">
        <v>6163</v>
      </c>
      <c r="AU5028">
        <v>5027</v>
      </c>
    </row>
    <row r="5029" spans="1:47" x14ac:dyDescent="0.2">
      <c r="A5029" s="26">
        <v>6776</v>
      </c>
      <c r="B5029" s="27">
        <v>1.5972222222222224E-2</v>
      </c>
      <c r="C5029" s="28"/>
      <c r="D5029" s="29"/>
      <c r="E5029" s="30" t="s">
        <v>3737</v>
      </c>
      <c r="H5029" s="32">
        <v>0</v>
      </c>
      <c r="I5029" s="32" t="s">
        <v>4926</v>
      </c>
      <c r="AG5029" s="32">
        <v>0</v>
      </c>
      <c r="AH5029" s="32">
        <v>0</v>
      </c>
      <c r="AI5029" s="32">
        <v>0</v>
      </c>
      <c r="AK5029" s="32">
        <v>0</v>
      </c>
      <c r="AM5029" s="74"/>
      <c r="AQ5029" s="32" t="s">
        <v>1101</v>
      </c>
      <c r="AU5029">
        <v>5028</v>
      </c>
    </row>
    <row r="5030" spans="1:47" x14ac:dyDescent="0.2">
      <c r="A5030" s="26">
        <v>6776</v>
      </c>
      <c r="B5030" s="27">
        <v>6.25E-2</v>
      </c>
      <c r="C5030" s="28"/>
      <c r="D5030" s="29"/>
      <c r="E5030" s="30" t="s">
        <v>869</v>
      </c>
      <c r="H5030" s="32">
        <v>0</v>
      </c>
      <c r="I5030" s="32" t="s">
        <v>2344</v>
      </c>
      <c r="AG5030" s="32">
        <v>0</v>
      </c>
      <c r="AH5030" s="32">
        <v>0</v>
      </c>
      <c r="AI5030" s="32">
        <v>0</v>
      </c>
      <c r="AK5030" s="32">
        <v>0</v>
      </c>
      <c r="AL5030" s="32">
        <f>18/60</f>
        <v>0.3</v>
      </c>
      <c r="AP5030" s="32">
        <f>18/60</f>
        <v>0.3</v>
      </c>
      <c r="AQ5030" s="32" t="s">
        <v>589</v>
      </c>
      <c r="AU5030">
        <v>5029</v>
      </c>
    </row>
    <row r="5031" spans="1:47" x14ac:dyDescent="0.2">
      <c r="A5031" s="26">
        <v>6776</v>
      </c>
      <c r="B5031" s="27">
        <v>0.16666666666666666</v>
      </c>
      <c r="C5031" s="28"/>
      <c r="D5031" s="29"/>
      <c r="E5031" s="30" t="s">
        <v>653</v>
      </c>
      <c r="H5031" s="32">
        <v>1</v>
      </c>
      <c r="I5031" s="32"/>
      <c r="AK5031" s="32">
        <v>4</v>
      </c>
      <c r="AO5031" s="32" t="s">
        <v>655</v>
      </c>
      <c r="AQ5031" s="32">
        <v>447</v>
      </c>
      <c r="AU5031">
        <v>5030</v>
      </c>
    </row>
    <row r="5032" spans="1:47" x14ac:dyDescent="0.2">
      <c r="A5032" s="26">
        <v>6776</v>
      </c>
      <c r="B5032" s="27">
        <v>0.51388888888888895</v>
      </c>
      <c r="C5032" s="28"/>
      <c r="D5032" s="29"/>
      <c r="E5032" s="30" t="s">
        <v>631</v>
      </c>
      <c r="H5032" s="32">
        <v>1</v>
      </c>
      <c r="I5032" s="32" t="s">
        <v>6164</v>
      </c>
      <c r="AG5032" s="32">
        <v>0</v>
      </c>
      <c r="AH5032" s="32">
        <v>0</v>
      </c>
      <c r="AK5032" s="32">
        <v>17</v>
      </c>
      <c r="AL5032" s="32">
        <v>0.5</v>
      </c>
      <c r="AO5032" s="32" t="s">
        <v>633</v>
      </c>
      <c r="AP5032" s="32">
        <v>0.5</v>
      </c>
      <c r="AQ5032" s="32">
        <v>464</v>
      </c>
      <c r="AU5032">
        <v>5031</v>
      </c>
    </row>
    <row r="5033" spans="1:47" x14ac:dyDescent="0.2">
      <c r="A5033" s="26">
        <v>6776</v>
      </c>
      <c r="B5033" s="27">
        <v>0.51388888888888895</v>
      </c>
      <c r="C5033" s="28"/>
      <c r="D5033" s="29"/>
      <c r="E5033" s="30" t="s">
        <v>3126</v>
      </c>
      <c r="H5033" s="32">
        <v>1</v>
      </c>
      <c r="I5033" s="32" t="s">
        <v>6165</v>
      </c>
      <c r="AI5033" s="32">
        <v>450</v>
      </c>
      <c r="AK5033" s="32">
        <v>1</v>
      </c>
      <c r="AL5033" s="32">
        <f>24*21</f>
        <v>504</v>
      </c>
      <c r="AP5033" s="32">
        <v>0.5</v>
      </c>
      <c r="AQ5033" s="32">
        <v>466</v>
      </c>
      <c r="AU5033">
        <v>5032</v>
      </c>
    </row>
    <row r="5034" spans="1:47" x14ac:dyDescent="0.2">
      <c r="A5034" s="26">
        <v>6776</v>
      </c>
      <c r="B5034" s="27" t="s">
        <v>85</v>
      </c>
      <c r="C5034" s="28"/>
      <c r="D5034" s="29"/>
      <c r="E5034" s="30" t="s">
        <v>1531</v>
      </c>
      <c r="H5034" s="32">
        <v>0</v>
      </c>
      <c r="I5034" s="32" t="s">
        <v>1532</v>
      </c>
      <c r="AG5034" s="32">
        <v>0</v>
      </c>
      <c r="AH5034" s="32">
        <v>0</v>
      </c>
      <c r="AI5034" s="32">
        <v>0</v>
      </c>
      <c r="AK5034" s="32">
        <v>0</v>
      </c>
      <c r="AM5034" s="32">
        <f>498*7</f>
        <v>3486</v>
      </c>
      <c r="AO5034" s="32" t="s">
        <v>1533</v>
      </c>
      <c r="AQ5034" s="32" t="s">
        <v>1101</v>
      </c>
      <c r="AU5034">
        <v>5033</v>
      </c>
    </row>
    <row r="5035" spans="1:47" x14ac:dyDescent="0.2">
      <c r="A5035" s="26">
        <v>6776</v>
      </c>
      <c r="B5035" s="27" t="s">
        <v>45</v>
      </c>
      <c r="C5035" s="28"/>
      <c r="D5035" s="29"/>
      <c r="E5035" s="150" t="s">
        <v>2286</v>
      </c>
      <c r="H5035" s="32">
        <v>0</v>
      </c>
      <c r="I5035" s="32" t="s">
        <v>1824</v>
      </c>
      <c r="AG5035" s="32">
        <v>0</v>
      </c>
      <c r="AH5035" s="32">
        <v>0</v>
      </c>
      <c r="AI5035" s="32">
        <v>0</v>
      </c>
      <c r="AK5035" s="32">
        <v>0</v>
      </c>
      <c r="AM5035" s="32">
        <v>3000</v>
      </c>
      <c r="AO5035" s="73" t="s">
        <v>75</v>
      </c>
      <c r="AQ5035" s="32" t="s">
        <v>589</v>
      </c>
      <c r="AU5035">
        <v>5034</v>
      </c>
    </row>
    <row r="5036" spans="1:47" x14ac:dyDescent="0.2">
      <c r="A5036" s="26">
        <v>6776</v>
      </c>
      <c r="B5036" s="27"/>
      <c r="C5036" s="28"/>
      <c r="D5036" s="29"/>
      <c r="E5036" s="30" t="s">
        <v>3837</v>
      </c>
      <c r="H5036" s="32">
        <v>1</v>
      </c>
      <c r="I5036" s="32" t="s">
        <v>6166</v>
      </c>
      <c r="AK5036" s="32">
        <v>3</v>
      </c>
      <c r="AQ5036" s="32">
        <v>395</v>
      </c>
      <c r="AU5036">
        <v>5035</v>
      </c>
    </row>
    <row r="5037" spans="1:47" x14ac:dyDescent="0.2">
      <c r="A5037" s="133">
        <v>6777</v>
      </c>
      <c r="B5037" s="39" t="s">
        <v>85</v>
      </c>
      <c r="C5037" s="39" t="s">
        <v>4769</v>
      </c>
      <c r="D5037" s="29" t="b">
        <v>0</v>
      </c>
      <c r="E5037" s="39" t="s">
        <v>6167</v>
      </c>
      <c r="F5037" s="31" t="s">
        <v>1155</v>
      </c>
      <c r="G5037" s="31" t="s">
        <v>69</v>
      </c>
      <c r="H5037" s="32"/>
      <c r="I5037" s="32" t="s">
        <v>6168</v>
      </c>
      <c r="K5037" s="31">
        <f>6500*2.2</f>
        <v>14300.000000000002</v>
      </c>
      <c r="Z5037" s="47" t="s">
        <v>3724</v>
      </c>
      <c r="AC5037" s="34">
        <v>0.66666666666666663</v>
      </c>
      <c r="AQ5037" s="32" t="s">
        <v>6169</v>
      </c>
      <c r="AU5037">
        <v>5036</v>
      </c>
    </row>
    <row r="5038" spans="1:47" x14ac:dyDescent="0.2">
      <c r="A5038" s="133">
        <v>6777</v>
      </c>
      <c r="B5038" s="39" t="s">
        <v>45</v>
      </c>
      <c r="C5038" s="39">
        <v>100</v>
      </c>
      <c r="D5038" s="29" t="b">
        <v>0</v>
      </c>
      <c r="E5038" s="39" t="s">
        <v>6170</v>
      </c>
      <c r="F5038" s="47" t="s">
        <v>3021</v>
      </c>
      <c r="G5038" s="47" t="s">
        <v>205</v>
      </c>
      <c r="H5038"/>
      <c r="I5038" s="47" t="b">
        <v>1</v>
      </c>
      <c r="J5038" s="47" t="b">
        <v>1</v>
      </c>
      <c r="K5038" s="47">
        <v>5070</v>
      </c>
      <c r="L5038" s="48">
        <v>-1</v>
      </c>
      <c r="M5038" s="47">
        <v>0</v>
      </c>
      <c r="N5038" s="47">
        <v>0</v>
      </c>
      <c r="O5038" s="47">
        <v>0</v>
      </c>
      <c r="P5038" s="47">
        <v>0</v>
      </c>
      <c r="Q5038" s="47">
        <v>0</v>
      </c>
      <c r="R5038" s="47">
        <v>0</v>
      </c>
      <c r="S5038" s="48">
        <v>17</v>
      </c>
      <c r="T5038" s="47">
        <v>0</v>
      </c>
      <c r="U5038" s="47">
        <v>0</v>
      </c>
      <c r="V5038" s="47">
        <v>0</v>
      </c>
      <c r="W5038" s="47">
        <v>1450</v>
      </c>
      <c r="X5038" s="47">
        <v>733</v>
      </c>
      <c r="Y5038" s="47"/>
      <c r="Z5038" s="47" t="s">
        <v>2524</v>
      </c>
      <c r="AA5038" s="49"/>
      <c r="AB5038" s="49"/>
      <c r="AC5038" s="49"/>
      <c r="AD5038" s="50"/>
      <c r="AE5038" s="47" t="s">
        <v>1312</v>
      </c>
      <c r="AF5038" s="47">
        <v>75</v>
      </c>
      <c r="AG5038"/>
      <c r="AH5038"/>
      <c r="AI5038"/>
      <c r="AJ5038"/>
      <c r="AK5038"/>
      <c r="AL5038"/>
      <c r="AM5038"/>
      <c r="AN5038"/>
      <c r="AO5038"/>
      <c r="AP5038"/>
      <c r="AQ5038" t="s">
        <v>2526</v>
      </c>
      <c r="AU5038">
        <v>5037</v>
      </c>
    </row>
    <row r="5039" spans="1:47" x14ac:dyDescent="0.2">
      <c r="A5039" s="133">
        <v>6777</v>
      </c>
      <c r="B5039" s="39" t="s">
        <v>45</v>
      </c>
      <c r="C5039" s="39">
        <v>100</v>
      </c>
      <c r="D5039" s="29" t="b">
        <v>0</v>
      </c>
      <c r="E5039" s="39" t="s">
        <v>5707</v>
      </c>
      <c r="F5039" s="47" t="s">
        <v>529</v>
      </c>
      <c r="G5039" s="47" t="s">
        <v>205</v>
      </c>
      <c r="H5039"/>
      <c r="I5039" s="47" t="b">
        <v>0</v>
      </c>
      <c r="J5039" s="47" t="b">
        <v>0</v>
      </c>
      <c r="K5039" s="47">
        <v>716</v>
      </c>
      <c r="L5039" s="48">
        <v>-1</v>
      </c>
      <c r="M5039" s="47">
        <v>0</v>
      </c>
      <c r="N5039" s="47">
        <v>0</v>
      </c>
      <c r="O5039" s="47">
        <v>0</v>
      </c>
      <c r="P5039" s="47">
        <v>0</v>
      </c>
      <c r="Q5039" s="47">
        <v>0</v>
      </c>
      <c r="R5039" s="47">
        <v>0</v>
      </c>
      <c r="S5039" s="48">
        <v>3</v>
      </c>
      <c r="T5039" s="47">
        <v>0</v>
      </c>
      <c r="U5039" s="47">
        <v>0</v>
      </c>
      <c r="V5039" s="47">
        <v>0</v>
      </c>
      <c r="W5039" s="47">
        <v>1450</v>
      </c>
      <c r="X5039" s="47">
        <v>734</v>
      </c>
      <c r="Y5039" s="47"/>
      <c r="Z5039" s="47" t="s">
        <v>2524</v>
      </c>
      <c r="AA5039" s="49"/>
      <c r="AB5039" s="49"/>
      <c r="AC5039" s="49"/>
      <c r="AD5039" s="50"/>
      <c r="AE5039" s="47" t="s">
        <v>1312</v>
      </c>
      <c r="AF5039" s="47">
        <v>75</v>
      </c>
      <c r="AG5039"/>
      <c r="AH5039"/>
      <c r="AI5039"/>
      <c r="AJ5039"/>
      <c r="AK5039"/>
      <c r="AL5039"/>
      <c r="AM5039"/>
      <c r="AN5039"/>
      <c r="AO5039"/>
      <c r="AP5039"/>
      <c r="AQ5039" t="s">
        <v>2526</v>
      </c>
      <c r="AU5039">
        <v>5038</v>
      </c>
    </row>
    <row r="5040" spans="1:47" x14ac:dyDescent="0.2">
      <c r="A5040" s="133">
        <v>6777</v>
      </c>
      <c r="B5040" s="39" t="s">
        <v>45</v>
      </c>
      <c r="C5040" s="39">
        <v>100</v>
      </c>
      <c r="D5040" s="29" t="b">
        <v>0</v>
      </c>
      <c r="E5040" s="39" t="s">
        <v>5984</v>
      </c>
      <c r="F5040" s="47" t="s">
        <v>529</v>
      </c>
      <c r="G5040" s="47" t="s">
        <v>205</v>
      </c>
      <c r="H5040"/>
      <c r="I5040" s="47" t="b">
        <v>0</v>
      </c>
      <c r="J5040" s="47" t="b">
        <v>0</v>
      </c>
      <c r="K5040" s="47">
        <v>1472</v>
      </c>
      <c r="L5040" s="48">
        <v>-1</v>
      </c>
      <c r="M5040" s="47">
        <v>0</v>
      </c>
      <c r="N5040" s="47">
        <v>0</v>
      </c>
      <c r="O5040" s="47">
        <v>0</v>
      </c>
      <c r="P5040" s="47">
        <v>0</v>
      </c>
      <c r="Q5040" s="47">
        <v>0</v>
      </c>
      <c r="R5040" s="47">
        <v>0</v>
      </c>
      <c r="S5040" s="48">
        <v>6</v>
      </c>
      <c r="T5040" s="47">
        <v>0</v>
      </c>
      <c r="U5040" s="47">
        <v>0</v>
      </c>
      <c r="V5040" s="47">
        <v>0</v>
      </c>
      <c r="W5040" s="47">
        <v>1450</v>
      </c>
      <c r="X5040" s="47">
        <v>735</v>
      </c>
      <c r="Y5040" s="47"/>
      <c r="Z5040" s="47" t="s">
        <v>2524</v>
      </c>
      <c r="AA5040" s="49"/>
      <c r="AB5040" s="49"/>
      <c r="AC5040" s="49"/>
      <c r="AD5040" s="50"/>
      <c r="AE5040" s="47" t="s">
        <v>1312</v>
      </c>
      <c r="AF5040" s="47">
        <v>85</v>
      </c>
      <c r="AG5040"/>
      <c r="AH5040"/>
      <c r="AI5040"/>
      <c r="AJ5040"/>
      <c r="AK5040"/>
      <c r="AL5040"/>
      <c r="AM5040"/>
      <c r="AN5040"/>
      <c r="AO5040"/>
      <c r="AP5040"/>
      <c r="AQ5040" t="s">
        <v>2526</v>
      </c>
      <c r="AU5040">
        <v>5039</v>
      </c>
    </row>
    <row r="5041" spans="1:47" x14ac:dyDescent="0.2">
      <c r="A5041" s="133">
        <v>6777</v>
      </c>
      <c r="B5041" s="39" t="s">
        <v>45</v>
      </c>
      <c r="C5041" s="39">
        <v>100</v>
      </c>
      <c r="D5041" s="29" t="b">
        <v>0</v>
      </c>
      <c r="E5041" s="39" t="s">
        <v>1551</v>
      </c>
      <c r="F5041" s="47" t="s">
        <v>529</v>
      </c>
      <c r="G5041" s="47" t="s">
        <v>205</v>
      </c>
      <c r="H5041"/>
      <c r="I5041" s="47" t="b">
        <v>0</v>
      </c>
      <c r="J5041" s="47" t="b">
        <v>0</v>
      </c>
      <c r="K5041" s="47">
        <v>624</v>
      </c>
      <c r="L5041" s="48">
        <v>-1</v>
      </c>
      <c r="M5041" s="47">
        <v>0</v>
      </c>
      <c r="N5041" s="47">
        <v>0</v>
      </c>
      <c r="O5041" s="47">
        <v>0</v>
      </c>
      <c r="P5041" s="47">
        <v>0</v>
      </c>
      <c r="Q5041" s="47">
        <v>0</v>
      </c>
      <c r="R5041" s="47">
        <v>0</v>
      </c>
      <c r="S5041" s="48">
        <v>2</v>
      </c>
      <c r="T5041" s="47">
        <v>0</v>
      </c>
      <c r="U5041" s="47">
        <v>0</v>
      </c>
      <c r="V5041" s="47">
        <v>0</v>
      </c>
      <c r="W5041" s="47">
        <v>1450</v>
      </c>
      <c r="X5041" s="47">
        <v>736</v>
      </c>
      <c r="Y5041" s="47"/>
      <c r="Z5041" s="47" t="s">
        <v>2524</v>
      </c>
      <c r="AA5041" s="49"/>
      <c r="AB5041" s="49"/>
      <c r="AC5041" s="49"/>
      <c r="AD5041" s="50"/>
      <c r="AE5041" s="47" t="s">
        <v>1312</v>
      </c>
      <c r="AF5041" s="47">
        <v>60</v>
      </c>
      <c r="AG5041"/>
      <c r="AH5041"/>
      <c r="AI5041"/>
      <c r="AJ5041"/>
      <c r="AK5041"/>
      <c r="AL5041"/>
      <c r="AM5041"/>
      <c r="AN5041"/>
      <c r="AO5041"/>
      <c r="AP5041"/>
      <c r="AQ5041" t="s">
        <v>2526</v>
      </c>
      <c r="AU5041">
        <v>5040</v>
      </c>
    </row>
    <row r="5042" spans="1:47" x14ac:dyDescent="0.2">
      <c r="A5042" s="133">
        <v>6777</v>
      </c>
      <c r="B5042" s="39" t="s">
        <v>45</v>
      </c>
      <c r="C5042" s="39">
        <v>100</v>
      </c>
      <c r="D5042" s="29" t="b">
        <v>0</v>
      </c>
      <c r="E5042" s="39" t="s">
        <v>6171</v>
      </c>
      <c r="F5042" s="47" t="s">
        <v>6172</v>
      </c>
      <c r="G5042" s="47" t="s">
        <v>49</v>
      </c>
      <c r="H5042"/>
      <c r="I5042" s="47" t="b">
        <v>0</v>
      </c>
      <c r="J5042" s="47" t="b">
        <v>0</v>
      </c>
      <c r="K5042" s="47">
        <v>2258</v>
      </c>
      <c r="L5042" s="48">
        <v>-1</v>
      </c>
      <c r="M5042" s="47">
        <v>0</v>
      </c>
      <c r="N5042" s="47">
        <v>0</v>
      </c>
      <c r="O5042" s="47">
        <v>0</v>
      </c>
      <c r="P5042" s="47">
        <v>0</v>
      </c>
      <c r="Q5042" s="47">
        <v>0</v>
      </c>
      <c r="R5042" s="47">
        <v>0</v>
      </c>
      <c r="S5042" s="48">
        <v>6</v>
      </c>
      <c r="T5042" s="47">
        <v>0</v>
      </c>
      <c r="U5042" s="47">
        <v>0</v>
      </c>
      <c r="V5042" s="47">
        <v>0</v>
      </c>
      <c r="W5042" s="47">
        <v>1450</v>
      </c>
      <c r="X5042" s="47">
        <v>737</v>
      </c>
      <c r="Y5042" s="47"/>
      <c r="Z5042" s="47" t="s">
        <v>2524</v>
      </c>
      <c r="AA5042" s="49"/>
      <c r="AB5042" s="49"/>
      <c r="AC5042" s="49"/>
      <c r="AD5042" s="50"/>
      <c r="AE5042" s="47" t="s">
        <v>1312</v>
      </c>
      <c r="AF5042" s="47">
        <v>60</v>
      </c>
      <c r="AG5042"/>
      <c r="AH5042"/>
      <c r="AI5042"/>
      <c r="AJ5042"/>
      <c r="AK5042"/>
      <c r="AL5042"/>
      <c r="AM5042"/>
      <c r="AN5042"/>
      <c r="AO5042"/>
      <c r="AP5042"/>
      <c r="AQ5042" t="s">
        <v>2526</v>
      </c>
      <c r="AU5042">
        <v>5041</v>
      </c>
    </row>
    <row r="5043" spans="1:47" x14ac:dyDescent="0.2">
      <c r="A5043" s="133">
        <v>6777</v>
      </c>
      <c r="B5043" s="39" t="s">
        <v>45</v>
      </c>
      <c r="C5043" s="39">
        <v>216</v>
      </c>
      <c r="D5043" s="29" t="b">
        <v>0</v>
      </c>
      <c r="E5043" s="39" t="s">
        <v>6173</v>
      </c>
      <c r="F5043" s="47" t="s">
        <v>6174</v>
      </c>
      <c r="G5043" s="47" t="s">
        <v>49</v>
      </c>
      <c r="H5043"/>
      <c r="I5043" s="47" t="b">
        <v>1</v>
      </c>
      <c r="J5043" s="47" t="b">
        <v>1</v>
      </c>
      <c r="K5043" s="47">
        <v>5600</v>
      </c>
      <c r="L5043" s="48">
        <v>4</v>
      </c>
      <c r="M5043" s="47">
        <v>0</v>
      </c>
      <c r="N5043" s="47">
        <v>0</v>
      </c>
      <c r="O5043" s="47">
        <v>0</v>
      </c>
      <c r="P5043" s="47">
        <v>0</v>
      </c>
      <c r="Q5043" s="47">
        <v>0</v>
      </c>
      <c r="R5043" s="47">
        <v>0</v>
      </c>
      <c r="S5043" s="48">
        <v>4</v>
      </c>
      <c r="T5043" s="47">
        <v>0</v>
      </c>
      <c r="U5043" s="47">
        <v>0</v>
      </c>
      <c r="V5043" s="47">
        <v>0</v>
      </c>
      <c r="W5043" s="47">
        <v>6500</v>
      </c>
      <c r="X5043" s="47">
        <v>738</v>
      </c>
      <c r="Y5043" s="47"/>
      <c r="Z5043" s="47" t="s">
        <v>2466</v>
      </c>
      <c r="AA5043" s="49"/>
      <c r="AB5043" s="49"/>
      <c r="AC5043" s="49"/>
      <c r="AD5043" s="50"/>
      <c r="AE5043" s="47" t="s">
        <v>1312</v>
      </c>
      <c r="AF5043" s="47">
        <v>210</v>
      </c>
      <c r="AG5043"/>
      <c r="AH5043"/>
      <c r="AI5043"/>
      <c r="AJ5043"/>
      <c r="AK5043"/>
      <c r="AL5043"/>
      <c r="AM5043"/>
      <c r="AN5043"/>
      <c r="AO5043"/>
      <c r="AP5043"/>
      <c r="AQ5043" t="s">
        <v>2526</v>
      </c>
      <c r="AU5043">
        <v>5042</v>
      </c>
    </row>
    <row r="5044" spans="1:47" x14ac:dyDescent="0.2">
      <c r="A5044" s="133">
        <v>6777</v>
      </c>
      <c r="B5044" s="39" t="s">
        <v>45</v>
      </c>
      <c r="C5044" s="39">
        <v>216</v>
      </c>
      <c r="D5044" s="29" t="b">
        <v>0</v>
      </c>
      <c r="E5044" s="39" t="s">
        <v>3909</v>
      </c>
      <c r="F5044" s="47" t="s">
        <v>626</v>
      </c>
      <c r="G5044" s="47" t="s">
        <v>274</v>
      </c>
      <c r="H5044"/>
      <c r="I5044" s="47" t="b">
        <v>0</v>
      </c>
      <c r="J5044" s="47" t="b">
        <v>0</v>
      </c>
      <c r="K5044" s="47">
        <v>1344</v>
      </c>
      <c r="L5044" s="48">
        <v>4</v>
      </c>
      <c r="M5044" s="47">
        <v>0</v>
      </c>
      <c r="N5044" s="47">
        <v>0</v>
      </c>
      <c r="O5044" s="47">
        <v>0</v>
      </c>
      <c r="P5044" s="47">
        <v>0</v>
      </c>
      <c r="Q5044" s="47">
        <v>0</v>
      </c>
      <c r="R5044" s="47">
        <v>0</v>
      </c>
      <c r="S5044" s="48">
        <v>1</v>
      </c>
      <c r="T5044" s="47">
        <v>0</v>
      </c>
      <c r="U5044" s="47">
        <v>0</v>
      </c>
      <c r="V5044" s="47">
        <v>0</v>
      </c>
      <c r="W5044" s="47">
        <v>7000</v>
      </c>
      <c r="X5044" s="47">
        <v>739</v>
      </c>
      <c r="Y5044" s="47"/>
      <c r="Z5044" s="47" t="s">
        <v>2466</v>
      </c>
      <c r="AA5044" s="49"/>
      <c r="AB5044" s="49"/>
      <c r="AC5044" s="49"/>
      <c r="AD5044" s="50"/>
      <c r="AE5044" s="47" t="s">
        <v>1312</v>
      </c>
      <c r="AF5044" s="47">
        <v>210</v>
      </c>
      <c r="AG5044"/>
      <c r="AH5044"/>
      <c r="AI5044"/>
      <c r="AJ5044"/>
      <c r="AK5044"/>
      <c r="AL5044"/>
      <c r="AM5044"/>
      <c r="AN5044"/>
      <c r="AO5044"/>
      <c r="AP5044"/>
      <c r="AQ5044" t="s">
        <v>2526</v>
      </c>
      <c r="AU5044">
        <v>5043</v>
      </c>
    </row>
    <row r="5045" spans="1:47" x14ac:dyDescent="0.2">
      <c r="A5045" s="133">
        <v>6777</v>
      </c>
      <c r="B5045" s="39" t="s">
        <v>45</v>
      </c>
      <c r="C5045" s="39">
        <v>216</v>
      </c>
      <c r="D5045" s="29" t="b">
        <v>0</v>
      </c>
      <c r="E5045" s="39" t="s">
        <v>6175</v>
      </c>
      <c r="F5045" s="47" t="s">
        <v>3283</v>
      </c>
      <c r="G5045" s="47" t="s">
        <v>49</v>
      </c>
      <c r="H5045"/>
      <c r="I5045" s="47" t="b">
        <v>0</v>
      </c>
      <c r="J5045" s="47" t="b">
        <v>0</v>
      </c>
      <c r="K5045" s="47">
        <v>2688</v>
      </c>
      <c r="L5045" s="48">
        <v>4</v>
      </c>
      <c r="M5045" s="47">
        <v>0</v>
      </c>
      <c r="N5045" s="47">
        <v>0</v>
      </c>
      <c r="O5045" s="47">
        <v>0</v>
      </c>
      <c r="P5045" s="47">
        <v>0</v>
      </c>
      <c r="Q5045" s="47">
        <v>0</v>
      </c>
      <c r="R5045" s="47">
        <v>0</v>
      </c>
      <c r="S5045" s="48">
        <v>2</v>
      </c>
      <c r="T5045" s="47">
        <v>0</v>
      </c>
      <c r="U5045" s="47">
        <v>0</v>
      </c>
      <c r="V5045" s="47">
        <v>0</v>
      </c>
      <c r="W5045" s="47">
        <v>6250</v>
      </c>
      <c r="X5045" s="47">
        <v>740</v>
      </c>
      <c r="Y5045" s="47"/>
      <c r="Z5045" s="47" t="s">
        <v>2466</v>
      </c>
      <c r="AA5045" s="49"/>
      <c r="AB5045" s="49"/>
      <c r="AC5045" s="49"/>
      <c r="AD5045" s="50"/>
      <c r="AE5045" s="47" t="s">
        <v>1312</v>
      </c>
      <c r="AF5045" s="47">
        <v>70</v>
      </c>
      <c r="AG5045"/>
      <c r="AH5045"/>
      <c r="AI5045"/>
      <c r="AJ5045"/>
      <c r="AK5045"/>
      <c r="AL5045"/>
      <c r="AM5045"/>
      <c r="AN5045"/>
      <c r="AO5045"/>
      <c r="AP5045"/>
      <c r="AQ5045" t="s">
        <v>2526</v>
      </c>
      <c r="AU5045">
        <v>5044</v>
      </c>
    </row>
    <row r="5046" spans="1:47" x14ac:dyDescent="0.2">
      <c r="A5046" s="133">
        <v>6777</v>
      </c>
      <c r="B5046" s="39" t="s">
        <v>45</v>
      </c>
      <c r="C5046" s="39">
        <v>216</v>
      </c>
      <c r="D5046" s="29" t="b">
        <v>0</v>
      </c>
      <c r="E5046" s="39" t="s">
        <v>6176</v>
      </c>
      <c r="F5046" s="47" t="s">
        <v>1224</v>
      </c>
      <c r="G5046" s="47" t="s">
        <v>459</v>
      </c>
      <c r="H5046"/>
      <c r="I5046" s="47" t="b">
        <v>0</v>
      </c>
      <c r="J5046" s="47" t="b">
        <v>0</v>
      </c>
      <c r="K5046" s="47">
        <v>1344</v>
      </c>
      <c r="L5046" s="48">
        <v>4</v>
      </c>
      <c r="M5046" s="47">
        <v>0</v>
      </c>
      <c r="N5046" s="47">
        <v>0</v>
      </c>
      <c r="O5046" s="47">
        <v>0</v>
      </c>
      <c r="P5046" s="47">
        <v>0</v>
      </c>
      <c r="Q5046" s="47">
        <v>0</v>
      </c>
      <c r="R5046" s="47">
        <v>0</v>
      </c>
      <c r="S5046" s="48">
        <v>1</v>
      </c>
      <c r="T5046" s="47">
        <v>0</v>
      </c>
      <c r="U5046" s="47">
        <v>0</v>
      </c>
      <c r="V5046" s="47">
        <v>0</v>
      </c>
      <c r="W5046" s="47">
        <v>7000</v>
      </c>
      <c r="X5046" s="47">
        <v>741</v>
      </c>
      <c r="Y5046" s="47"/>
      <c r="Z5046" s="47" t="s">
        <v>2466</v>
      </c>
      <c r="AA5046" s="49"/>
      <c r="AB5046" s="49"/>
      <c r="AC5046" s="49"/>
      <c r="AD5046" s="50"/>
      <c r="AE5046" s="47" t="s">
        <v>1312</v>
      </c>
      <c r="AF5046" s="47">
        <v>125</v>
      </c>
      <c r="AG5046"/>
      <c r="AH5046"/>
      <c r="AI5046"/>
      <c r="AJ5046"/>
      <c r="AK5046"/>
      <c r="AL5046"/>
      <c r="AM5046"/>
      <c r="AN5046"/>
      <c r="AO5046"/>
      <c r="AP5046"/>
      <c r="AQ5046" t="s">
        <v>2526</v>
      </c>
      <c r="AU5046">
        <v>5045</v>
      </c>
    </row>
    <row r="5047" spans="1:47" x14ac:dyDescent="0.2">
      <c r="A5047" s="133">
        <v>6777</v>
      </c>
      <c r="B5047" s="39" t="s">
        <v>45</v>
      </c>
      <c r="C5047" s="39">
        <v>216</v>
      </c>
      <c r="D5047" s="29" t="b">
        <v>0</v>
      </c>
      <c r="E5047" s="39" t="s">
        <v>6177</v>
      </c>
      <c r="F5047" s="47" t="s">
        <v>76</v>
      </c>
      <c r="G5047" s="47" t="s">
        <v>49</v>
      </c>
      <c r="H5047"/>
      <c r="I5047" s="47" t="b">
        <v>0</v>
      </c>
      <c r="J5047" s="47" t="b">
        <v>0</v>
      </c>
      <c r="K5047" s="47">
        <v>224</v>
      </c>
      <c r="L5047" s="48">
        <v>4</v>
      </c>
      <c r="M5047" s="47">
        <v>0</v>
      </c>
      <c r="N5047" s="47">
        <v>0</v>
      </c>
      <c r="O5047" s="47">
        <v>0</v>
      </c>
      <c r="P5047" s="47">
        <v>0</v>
      </c>
      <c r="Q5047" s="47">
        <v>0</v>
      </c>
      <c r="R5047" s="47">
        <v>0</v>
      </c>
      <c r="S5047" s="48">
        <v>1</v>
      </c>
      <c r="T5047" s="47">
        <v>0</v>
      </c>
      <c r="U5047" s="47">
        <v>0</v>
      </c>
      <c r="V5047" s="47">
        <v>0</v>
      </c>
      <c r="W5047" s="47">
        <v>6000</v>
      </c>
      <c r="X5047" s="47">
        <v>742</v>
      </c>
      <c r="Y5047" s="47"/>
      <c r="Z5047" s="47" t="s">
        <v>2466</v>
      </c>
      <c r="AA5047" s="49"/>
      <c r="AB5047" s="49"/>
      <c r="AC5047" s="49"/>
      <c r="AD5047" s="50"/>
      <c r="AE5047" s="47" t="s">
        <v>1312</v>
      </c>
      <c r="AF5047" s="47">
        <v>200</v>
      </c>
      <c r="AG5047"/>
      <c r="AH5047"/>
      <c r="AI5047"/>
      <c r="AJ5047"/>
      <c r="AK5047"/>
      <c r="AL5047"/>
      <c r="AM5047"/>
      <c r="AN5047"/>
      <c r="AO5047"/>
      <c r="AP5047"/>
      <c r="AQ5047" t="s">
        <v>2526</v>
      </c>
      <c r="AU5047">
        <v>5046</v>
      </c>
    </row>
    <row r="5048" spans="1:47" x14ac:dyDescent="0.2">
      <c r="A5048" s="13">
        <v>6777</v>
      </c>
      <c r="B5048" s="57" t="s">
        <v>45</v>
      </c>
      <c r="C5048" s="57" t="s">
        <v>142</v>
      </c>
      <c r="D5048" s="29"/>
      <c r="E5048" s="39" t="s">
        <v>6178</v>
      </c>
      <c r="F5048" s="47" t="s">
        <v>6179</v>
      </c>
      <c r="G5048" s="47" t="s">
        <v>49</v>
      </c>
      <c r="H5048"/>
      <c r="I5048" s="47" t="b">
        <v>1</v>
      </c>
      <c r="J5048" s="47" t="b">
        <v>1</v>
      </c>
      <c r="K5048" s="47">
        <f>10090*2.2</f>
        <v>22198</v>
      </c>
      <c r="L5048" s="48">
        <f>41+2+13</f>
        <v>56</v>
      </c>
      <c r="M5048" s="47"/>
      <c r="N5048" s="47">
        <v>2</v>
      </c>
      <c r="O5048" s="47"/>
      <c r="P5048" s="47"/>
      <c r="Q5048" s="47"/>
      <c r="R5048" s="47"/>
      <c r="S5048" s="48">
        <f>41+13</f>
        <v>54</v>
      </c>
      <c r="T5048" s="47">
        <v>0</v>
      </c>
      <c r="U5048" s="47">
        <v>0</v>
      </c>
      <c r="V5048" s="47">
        <v>0</v>
      </c>
      <c r="W5048" s="47"/>
      <c r="X5048" s="47"/>
      <c r="Y5048" s="47" t="s">
        <v>51</v>
      </c>
      <c r="Z5048" s="31" t="s">
        <v>3855</v>
      </c>
      <c r="AA5048" s="49"/>
      <c r="AB5048" s="49"/>
      <c r="AC5048" s="49"/>
      <c r="AD5048" s="50"/>
      <c r="AE5048" s="47" t="s">
        <v>4217</v>
      </c>
      <c r="AF5048" s="47">
        <v>60</v>
      </c>
      <c r="AG5048"/>
      <c r="AH5048"/>
      <c r="AI5048"/>
      <c r="AJ5048"/>
      <c r="AK5048">
        <f>6+188+3+38+7+14</f>
        <v>256</v>
      </c>
      <c r="AL5048"/>
      <c r="AM5048"/>
      <c r="AN5048"/>
      <c r="AO5048"/>
      <c r="AP5048"/>
      <c r="AQ5048" t="s">
        <v>6180</v>
      </c>
      <c r="AR5048" s="32" t="s">
        <v>6181</v>
      </c>
      <c r="AU5048">
        <v>5047</v>
      </c>
    </row>
    <row r="5049" spans="1:47" x14ac:dyDescent="0.2">
      <c r="A5049" s="13">
        <v>6777</v>
      </c>
      <c r="B5049" s="57" t="s">
        <v>45</v>
      </c>
      <c r="C5049" s="57" t="s">
        <v>142</v>
      </c>
      <c r="D5049" s="29"/>
      <c r="E5049" s="57" t="s">
        <v>6182</v>
      </c>
      <c r="F5049" s="31" t="s">
        <v>76</v>
      </c>
      <c r="G5049" s="31" t="s">
        <v>49</v>
      </c>
      <c r="I5049" s="47" t="b">
        <v>0</v>
      </c>
      <c r="J5049" s="47" t="b">
        <v>0</v>
      </c>
      <c r="K5049" s="31">
        <v>18139</v>
      </c>
      <c r="S5049" s="33">
        <v>32</v>
      </c>
      <c r="Z5049" s="31" t="s">
        <v>3855</v>
      </c>
      <c r="AE5049" s="47" t="s">
        <v>4217</v>
      </c>
      <c r="AK5049" s="32">
        <v>210</v>
      </c>
      <c r="AQ5049" s="32" t="s">
        <v>6048</v>
      </c>
      <c r="AU5049">
        <v>5048</v>
      </c>
    </row>
    <row r="5050" spans="1:47" x14ac:dyDescent="0.2">
      <c r="A5050" s="13">
        <v>6777</v>
      </c>
      <c r="B5050" s="57" t="s">
        <v>45</v>
      </c>
      <c r="C5050" s="57" t="s">
        <v>142</v>
      </c>
      <c r="D5050" s="29"/>
      <c r="E5050" s="57" t="s">
        <v>5613</v>
      </c>
      <c r="F5050" s="31" t="s">
        <v>5578</v>
      </c>
      <c r="G5050" s="31" t="s">
        <v>69</v>
      </c>
      <c r="I5050" s="47" t="b">
        <v>0</v>
      </c>
      <c r="J5050" s="47" t="b">
        <v>0</v>
      </c>
      <c r="K5050" s="31">
        <v>2904</v>
      </c>
      <c r="S5050" s="33">
        <v>5</v>
      </c>
      <c r="Z5050" s="31" t="s">
        <v>3855</v>
      </c>
      <c r="AE5050" s="47" t="s">
        <v>4217</v>
      </c>
      <c r="AF5050" s="31">
        <v>60</v>
      </c>
      <c r="AK5050" s="32">
        <v>33</v>
      </c>
      <c r="AQ5050" s="32" t="s">
        <v>6048</v>
      </c>
      <c r="AU5050">
        <v>5049</v>
      </c>
    </row>
    <row r="5051" spans="1:47" x14ac:dyDescent="0.2">
      <c r="A5051" s="13">
        <v>6777</v>
      </c>
      <c r="B5051" s="57" t="s">
        <v>45</v>
      </c>
      <c r="C5051" s="57" t="s">
        <v>142</v>
      </c>
      <c r="D5051" s="29"/>
      <c r="E5051" s="57" t="s">
        <v>6183</v>
      </c>
      <c r="F5051" s="31" t="s">
        <v>5578</v>
      </c>
      <c r="G5051" s="31" t="s">
        <v>69</v>
      </c>
      <c r="I5051" s="47" t="b">
        <v>0</v>
      </c>
      <c r="J5051" s="47" t="b">
        <v>0</v>
      </c>
      <c r="K5051" s="31">
        <v>1155</v>
      </c>
      <c r="S5051" s="33">
        <v>2</v>
      </c>
      <c r="Z5051" s="31" t="s">
        <v>3855</v>
      </c>
      <c r="AE5051" s="47" t="s">
        <v>4217</v>
      </c>
      <c r="AF5051" s="31">
        <v>70</v>
      </c>
      <c r="AK5051" s="32">
        <v>14</v>
      </c>
      <c r="AQ5051" s="32" t="s">
        <v>6048</v>
      </c>
      <c r="AU5051">
        <v>5050</v>
      </c>
    </row>
    <row r="5052" spans="1:47" x14ac:dyDescent="0.2">
      <c r="A5052" s="133">
        <v>6777</v>
      </c>
      <c r="B5052" s="39" t="s">
        <v>45</v>
      </c>
      <c r="C5052" s="43" t="s">
        <v>4171</v>
      </c>
      <c r="D5052" s="29"/>
      <c r="E5052" s="39" t="s">
        <v>6184</v>
      </c>
      <c r="F5052" s="47" t="s">
        <v>6185</v>
      </c>
      <c r="G5052" s="31" t="s">
        <v>69</v>
      </c>
      <c r="H5052"/>
      <c r="I5052" s="47" t="s">
        <v>6186</v>
      </c>
      <c r="J5052" s="47"/>
      <c r="K5052" s="47"/>
      <c r="L5052" s="48"/>
      <c r="M5052" s="47"/>
      <c r="N5052" s="47"/>
      <c r="O5052" s="47"/>
      <c r="P5052" s="47"/>
      <c r="Q5052" s="47"/>
      <c r="R5052" s="47"/>
      <c r="S5052" s="48"/>
      <c r="T5052" s="47"/>
      <c r="U5052" s="47"/>
      <c r="V5052" s="47"/>
      <c r="W5052" s="47"/>
      <c r="X5052" s="47"/>
      <c r="Y5052" s="47"/>
      <c r="Z5052" s="31" t="s">
        <v>1846</v>
      </c>
      <c r="AA5052" s="49"/>
      <c r="AB5052" s="49"/>
      <c r="AC5052" s="49"/>
      <c r="AD5052" s="50"/>
      <c r="AE5052" s="31" t="s">
        <v>4756</v>
      </c>
      <c r="AF5052" s="47">
        <v>50</v>
      </c>
      <c r="AG5052"/>
      <c r="AH5052"/>
      <c r="AI5052"/>
      <c r="AJ5052"/>
      <c r="AK5052"/>
      <c r="AL5052"/>
      <c r="AM5052"/>
      <c r="AN5052"/>
      <c r="AO5052"/>
      <c r="AP5052"/>
      <c r="AQ5052"/>
      <c r="AU5052">
        <v>5051</v>
      </c>
    </row>
    <row r="5053" spans="1:47" x14ac:dyDescent="0.2">
      <c r="A5053" s="13">
        <v>6777</v>
      </c>
      <c r="B5053" s="57" t="s">
        <v>45</v>
      </c>
      <c r="C5053" s="57" t="s">
        <v>4843</v>
      </c>
      <c r="D5053" s="29"/>
      <c r="E5053" s="57" t="s">
        <v>6187</v>
      </c>
      <c r="F5053" s="31" t="s">
        <v>76</v>
      </c>
      <c r="G5053" s="31" t="s">
        <v>49</v>
      </c>
      <c r="K5053" s="31">
        <v>1320</v>
      </c>
      <c r="S5053" s="33">
        <v>3</v>
      </c>
      <c r="Z5053" s="31" t="s">
        <v>3814</v>
      </c>
      <c r="AE5053" s="31" t="s">
        <v>4411</v>
      </c>
      <c r="AF5053" s="31">
        <v>65</v>
      </c>
      <c r="AK5053" s="32">
        <v>21</v>
      </c>
      <c r="AQ5053" s="32" t="s">
        <v>6048</v>
      </c>
      <c r="AU5053">
        <v>5052</v>
      </c>
    </row>
    <row r="5054" spans="1:47" x14ac:dyDescent="0.2">
      <c r="A5054" s="13">
        <v>6777</v>
      </c>
      <c r="B5054" s="57" t="s">
        <v>45</v>
      </c>
      <c r="C5054" s="57" t="s">
        <v>4843</v>
      </c>
      <c r="D5054" s="29"/>
      <c r="E5054" s="57" t="s">
        <v>6188</v>
      </c>
      <c r="F5054" s="31" t="s">
        <v>5578</v>
      </c>
      <c r="G5054" s="31" t="s">
        <v>69</v>
      </c>
      <c r="K5054" s="31">
        <v>1320</v>
      </c>
      <c r="S5054" s="33">
        <v>3</v>
      </c>
      <c r="Z5054" s="31" t="s">
        <v>3814</v>
      </c>
      <c r="AE5054" s="31" t="s">
        <v>4411</v>
      </c>
      <c r="AF5054" s="31">
        <v>55</v>
      </c>
      <c r="AK5054" s="32">
        <v>21</v>
      </c>
      <c r="AQ5054" s="32" t="s">
        <v>6048</v>
      </c>
      <c r="AU5054">
        <v>5053</v>
      </c>
    </row>
    <row r="5055" spans="1:47" x14ac:dyDescent="0.2">
      <c r="A5055" s="13">
        <v>6777</v>
      </c>
      <c r="B5055" s="57" t="s">
        <v>45</v>
      </c>
      <c r="C5055" s="57" t="s">
        <v>4843</v>
      </c>
      <c r="D5055" s="29"/>
      <c r="E5055" s="57" t="s">
        <v>4502</v>
      </c>
      <c r="F5055" s="31" t="s">
        <v>76</v>
      </c>
      <c r="G5055" s="31" t="s">
        <v>49</v>
      </c>
      <c r="K5055" s="31">
        <v>1672</v>
      </c>
      <c r="S5055" s="33">
        <v>3</v>
      </c>
      <c r="Z5055" s="31" t="s">
        <v>3814</v>
      </c>
      <c r="AE5055" s="31" t="s">
        <v>4411</v>
      </c>
      <c r="AF5055" s="31">
        <v>60</v>
      </c>
      <c r="AK5055" s="32">
        <v>20</v>
      </c>
      <c r="AQ5055" s="32" t="s">
        <v>6048</v>
      </c>
      <c r="AU5055">
        <v>5054</v>
      </c>
    </row>
    <row r="5056" spans="1:47" x14ac:dyDescent="0.2">
      <c r="A5056" s="13">
        <v>6777</v>
      </c>
      <c r="B5056" s="57" t="s">
        <v>45</v>
      </c>
      <c r="C5056" s="57" t="s">
        <v>4843</v>
      </c>
      <c r="D5056" s="29"/>
      <c r="E5056" s="57" t="s">
        <v>5379</v>
      </c>
      <c r="F5056" s="31" t="s">
        <v>76</v>
      </c>
      <c r="G5056" s="31" t="s">
        <v>49</v>
      </c>
      <c r="K5056" s="31">
        <v>1848</v>
      </c>
      <c r="S5056" s="33">
        <v>4</v>
      </c>
      <c r="Z5056" s="31" t="s">
        <v>3814</v>
      </c>
      <c r="AE5056" s="31" t="s">
        <v>4411</v>
      </c>
      <c r="AF5056" s="31">
        <v>75</v>
      </c>
      <c r="AK5056" s="32">
        <v>21</v>
      </c>
      <c r="AQ5056" s="32" t="s">
        <v>6048</v>
      </c>
      <c r="AU5056">
        <v>5055</v>
      </c>
    </row>
    <row r="5057" spans="1:47" x14ac:dyDescent="0.2">
      <c r="A5057" s="13">
        <v>6777</v>
      </c>
      <c r="B5057" s="57" t="s">
        <v>45</v>
      </c>
      <c r="C5057" s="57" t="s">
        <v>4843</v>
      </c>
      <c r="D5057" s="29"/>
      <c r="E5057" s="57" t="s">
        <v>6182</v>
      </c>
      <c r="F5057" s="31" t="s">
        <v>76</v>
      </c>
      <c r="G5057" s="31" t="s">
        <v>49</v>
      </c>
      <c r="K5057" s="31">
        <v>4774</v>
      </c>
      <c r="S5057" s="33">
        <v>9</v>
      </c>
      <c r="Z5057" s="31" t="s">
        <v>3814</v>
      </c>
      <c r="AE5057" s="31" t="s">
        <v>4411</v>
      </c>
      <c r="AK5057" s="32">
        <v>51</v>
      </c>
      <c r="AQ5057" s="32" t="s">
        <v>6048</v>
      </c>
      <c r="AU5057">
        <v>5056</v>
      </c>
    </row>
    <row r="5058" spans="1:47" x14ac:dyDescent="0.2">
      <c r="A5058" s="13">
        <v>6777</v>
      </c>
      <c r="B5058" s="57" t="s">
        <v>45</v>
      </c>
      <c r="C5058" s="57" t="s">
        <v>5860</v>
      </c>
      <c r="D5058" s="29"/>
      <c r="E5058" s="57" t="s">
        <v>6058</v>
      </c>
      <c r="I5058" s="31" t="s">
        <v>6059</v>
      </c>
      <c r="K5058" s="63"/>
      <c r="AQ5058" s="32" t="s">
        <v>6057</v>
      </c>
      <c r="AU5058">
        <v>5057</v>
      </c>
    </row>
    <row r="5059" spans="1:47" x14ac:dyDescent="0.2">
      <c r="A5059" s="13">
        <v>6777</v>
      </c>
      <c r="B5059" s="57" t="s">
        <v>45</v>
      </c>
      <c r="C5059" s="57" t="s">
        <v>6060</v>
      </c>
      <c r="D5059" s="29"/>
      <c r="E5059" s="57" t="s">
        <v>1397</v>
      </c>
      <c r="F5059" s="31" t="s">
        <v>76</v>
      </c>
      <c r="G5059" s="31" t="s">
        <v>49</v>
      </c>
      <c r="I5059" s="31" t="s">
        <v>6189</v>
      </c>
      <c r="K5059" s="63"/>
      <c r="Z5059" s="31" t="s">
        <v>1846</v>
      </c>
      <c r="AE5059" s="31" t="s">
        <v>4756</v>
      </c>
      <c r="AF5059" s="31">
        <v>80</v>
      </c>
      <c r="AQ5059" s="32" t="s">
        <v>6048</v>
      </c>
      <c r="AU5059">
        <v>5058</v>
      </c>
    </row>
    <row r="5060" spans="1:47" x14ac:dyDescent="0.2">
      <c r="A5060" s="13">
        <v>6777</v>
      </c>
      <c r="B5060" s="57" t="s">
        <v>45</v>
      </c>
      <c r="C5060" s="57" t="s">
        <v>6060</v>
      </c>
      <c r="D5060" s="29"/>
      <c r="E5060" s="57" t="s">
        <v>5882</v>
      </c>
      <c r="F5060" s="31" t="s">
        <v>76</v>
      </c>
      <c r="G5060" s="31" t="s">
        <v>49</v>
      </c>
      <c r="I5060" s="31" t="s">
        <v>6189</v>
      </c>
      <c r="K5060" s="63"/>
      <c r="Z5060" s="31" t="s">
        <v>1846</v>
      </c>
      <c r="AE5060" s="31" t="s">
        <v>4756</v>
      </c>
      <c r="AF5060" s="31">
        <v>75</v>
      </c>
      <c r="AQ5060" s="32" t="s">
        <v>6048</v>
      </c>
      <c r="AU5060">
        <v>5059</v>
      </c>
    </row>
    <row r="5061" spans="1:47" x14ac:dyDescent="0.2">
      <c r="A5061" s="13">
        <v>6777</v>
      </c>
      <c r="B5061" s="57" t="s">
        <v>45</v>
      </c>
      <c r="C5061" s="57" t="s">
        <v>6060</v>
      </c>
      <c r="D5061" s="29"/>
      <c r="E5061" s="57" t="s">
        <v>5253</v>
      </c>
      <c r="F5061" s="31" t="s">
        <v>76</v>
      </c>
      <c r="G5061" s="31" t="s">
        <v>49</v>
      </c>
      <c r="I5061" s="31" t="s">
        <v>6189</v>
      </c>
      <c r="K5061" s="63"/>
      <c r="Z5061" s="31" t="s">
        <v>1846</v>
      </c>
      <c r="AE5061" s="31" t="s">
        <v>4756</v>
      </c>
      <c r="AF5061" s="31">
        <v>50</v>
      </c>
      <c r="AQ5061" s="32" t="s">
        <v>6048</v>
      </c>
      <c r="AU5061">
        <v>5060</v>
      </c>
    </row>
    <row r="5062" spans="1:47" x14ac:dyDescent="0.2">
      <c r="A5062" s="13">
        <v>6777</v>
      </c>
      <c r="B5062" s="57" t="s">
        <v>45</v>
      </c>
      <c r="C5062" s="57" t="s">
        <v>6060</v>
      </c>
      <c r="D5062" s="29"/>
      <c r="E5062" s="57" t="s">
        <v>5280</v>
      </c>
      <c r="F5062" s="31" t="s">
        <v>76</v>
      </c>
      <c r="G5062" s="31" t="s">
        <v>49</v>
      </c>
      <c r="I5062" s="31" t="s">
        <v>6189</v>
      </c>
      <c r="K5062" s="63"/>
      <c r="Z5062" s="31" t="s">
        <v>1846</v>
      </c>
      <c r="AE5062" s="31" t="s">
        <v>4756</v>
      </c>
      <c r="AF5062" s="31">
        <v>50</v>
      </c>
      <c r="AQ5062" s="32" t="s">
        <v>6048</v>
      </c>
      <c r="AU5062">
        <v>5061</v>
      </c>
    </row>
    <row r="5063" spans="1:47" x14ac:dyDescent="0.2">
      <c r="A5063" s="13">
        <v>6777</v>
      </c>
      <c r="B5063" s="57" t="s">
        <v>45</v>
      </c>
      <c r="C5063" s="57" t="s">
        <v>6060</v>
      </c>
      <c r="D5063" s="29"/>
      <c r="E5063" s="57" t="s">
        <v>6111</v>
      </c>
      <c r="F5063" s="31" t="s">
        <v>83</v>
      </c>
      <c r="G5063" s="31" t="s">
        <v>69</v>
      </c>
      <c r="I5063" s="31" t="s">
        <v>6189</v>
      </c>
      <c r="K5063" s="63"/>
      <c r="Z5063" s="31" t="s">
        <v>1846</v>
      </c>
      <c r="AE5063" s="31" t="s">
        <v>4756</v>
      </c>
      <c r="AF5063" s="31">
        <v>60</v>
      </c>
      <c r="AQ5063" s="32" t="s">
        <v>6048</v>
      </c>
      <c r="AU5063">
        <v>5062</v>
      </c>
    </row>
    <row r="5064" spans="1:47" x14ac:dyDescent="0.2">
      <c r="A5064" s="13">
        <v>6777</v>
      </c>
      <c r="B5064" s="57" t="s">
        <v>45</v>
      </c>
      <c r="C5064" s="57" t="s">
        <v>6060</v>
      </c>
      <c r="D5064" s="29"/>
      <c r="E5064" s="57" t="s">
        <v>6112</v>
      </c>
      <c r="F5064" s="31" t="s">
        <v>83</v>
      </c>
      <c r="G5064" s="31" t="s">
        <v>69</v>
      </c>
      <c r="I5064" s="31" t="s">
        <v>6189</v>
      </c>
      <c r="K5064" s="63"/>
      <c r="Z5064" s="31" t="s">
        <v>1846</v>
      </c>
      <c r="AE5064" s="31" t="s">
        <v>4756</v>
      </c>
      <c r="AF5064" s="31">
        <v>55</v>
      </c>
      <c r="AQ5064" s="32" t="s">
        <v>6048</v>
      </c>
      <c r="AU5064">
        <v>5063</v>
      </c>
    </row>
    <row r="5065" spans="1:47" x14ac:dyDescent="0.2">
      <c r="A5065" s="13">
        <v>6777</v>
      </c>
      <c r="B5065" s="57" t="s">
        <v>45</v>
      </c>
      <c r="C5065" s="57" t="s">
        <v>6060</v>
      </c>
      <c r="D5065" s="29"/>
      <c r="E5065" s="57" t="s">
        <v>6190</v>
      </c>
      <c r="F5065" s="31" t="s">
        <v>83</v>
      </c>
      <c r="G5065" s="31" t="s">
        <v>69</v>
      </c>
      <c r="I5065" s="31" t="s">
        <v>6189</v>
      </c>
      <c r="K5065" s="63"/>
      <c r="Z5065" s="31" t="s">
        <v>1846</v>
      </c>
      <c r="AE5065" s="31" t="s">
        <v>4756</v>
      </c>
      <c r="AQ5065" s="32" t="s">
        <v>6048</v>
      </c>
      <c r="AU5065">
        <v>5064</v>
      </c>
    </row>
    <row r="5066" spans="1:47" x14ac:dyDescent="0.2">
      <c r="A5066" s="13">
        <v>6777</v>
      </c>
      <c r="B5066" s="57" t="s">
        <v>45</v>
      </c>
      <c r="C5066" s="57" t="s">
        <v>6060</v>
      </c>
      <c r="D5066" s="29"/>
      <c r="E5066" s="57" t="s">
        <v>6191</v>
      </c>
      <c r="F5066" s="31" t="s">
        <v>83</v>
      </c>
      <c r="G5066" s="31" t="s">
        <v>69</v>
      </c>
      <c r="I5066" s="31" t="s">
        <v>6189</v>
      </c>
      <c r="K5066" s="63"/>
      <c r="Z5066" s="31" t="s">
        <v>1846</v>
      </c>
      <c r="AE5066" s="31" t="s">
        <v>4756</v>
      </c>
      <c r="AF5066" s="31">
        <v>45</v>
      </c>
      <c r="AQ5066" s="32" t="s">
        <v>6048</v>
      </c>
      <c r="AU5066">
        <v>5065</v>
      </c>
    </row>
    <row r="5067" spans="1:47" x14ac:dyDescent="0.2">
      <c r="A5067" s="13">
        <v>6777</v>
      </c>
      <c r="B5067" s="57" t="s">
        <v>45</v>
      </c>
      <c r="C5067" s="57" t="s">
        <v>6060</v>
      </c>
      <c r="D5067" s="29"/>
      <c r="E5067" s="57" t="s">
        <v>6192</v>
      </c>
      <c r="F5067" s="31" t="s">
        <v>83</v>
      </c>
      <c r="G5067" s="31" t="s">
        <v>69</v>
      </c>
      <c r="I5067" s="31" t="s">
        <v>6193</v>
      </c>
      <c r="K5067" s="63"/>
      <c r="Z5067" s="31" t="s">
        <v>1846</v>
      </c>
      <c r="AE5067" s="31" t="s">
        <v>4756</v>
      </c>
      <c r="AF5067" s="31">
        <v>55</v>
      </c>
      <c r="AQ5067" s="32" t="s">
        <v>6048</v>
      </c>
      <c r="AU5067">
        <v>5066</v>
      </c>
    </row>
    <row r="5068" spans="1:47" x14ac:dyDescent="0.2">
      <c r="A5068" s="13">
        <v>6777</v>
      </c>
      <c r="B5068" s="57" t="s">
        <v>45</v>
      </c>
      <c r="C5068" s="57" t="s">
        <v>4456</v>
      </c>
      <c r="D5068" s="29"/>
      <c r="E5068" s="57" t="s">
        <v>5882</v>
      </c>
      <c r="F5068" s="31" t="s">
        <v>76</v>
      </c>
      <c r="G5068" s="31" t="s">
        <v>49</v>
      </c>
      <c r="I5068" s="31" t="s">
        <v>6194</v>
      </c>
      <c r="K5068" s="183">
        <f>416*2.2</f>
        <v>915.2</v>
      </c>
      <c r="L5068" s="33">
        <v>1</v>
      </c>
      <c r="S5068" s="33">
        <v>1</v>
      </c>
      <c r="T5068" s="31">
        <v>0</v>
      </c>
      <c r="U5068" s="31">
        <v>0</v>
      </c>
      <c r="V5068" s="31">
        <v>0</v>
      </c>
      <c r="W5068" s="47">
        <f>2000*39.37/12</f>
        <v>6561.666666666667</v>
      </c>
      <c r="Y5068" s="19" t="s">
        <v>51</v>
      </c>
      <c r="Z5068" s="19" t="s">
        <v>1846</v>
      </c>
      <c r="AA5068" s="34">
        <v>0.96527777777777779</v>
      </c>
      <c r="AB5068" s="34">
        <v>1.0347222222222221</v>
      </c>
      <c r="AC5068" s="49">
        <f t="shared" ref="AC5068:AC5073" si="13">AVERAGE(AA5068:AB5068)</f>
        <v>1</v>
      </c>
      <c r="AD5068" s="50">
        <f t="shared" ref="AD5068:AD5073" si="14">(AB5068-AA5068)*24</f>
        <v>1.6666666666666634</v>
      </c>
      <c r="AE5068" s="31" t="s">
        <v>4756</v>
      </c>
      <c r="AF5068" s="31">
        <v>75</v>
      </c>
      <c r="AQ5068" s="18" t="s">
        <v>6195</v>
      </c>
      <c r="AU5068">
        <v>5067</v>
      </c>
    </row>
    <row r="5069" spans="1:47" x14ac:dyDescent="0.2">
      <c r="A5069" s="13">
        <v>6777</v>
      </c>
      <c r="B5069" s="57" t="s">
        <v>45</v>
      </c>
      <c r="C5069" s="57" t="s">
        <v>4456</v>
      </c>
      <c r="D5069" s="29"/>
      <c r="E5069" s="57" t="s">
        <v>1397</v>
      </c>
      <c r="F5069" s="31" t="s">
        <v>76</v>
      </c>
      <c r="G5069" s="31" t="s">
        <v>49</v>
      </c>
      <c r="I5069" s="31" t="s">
        <v>6196</v>
      </c>
      <c r="K5069" s="183">
        <f>416*2.2</f>
        <v>915.2</v>
      </c>
      <c r="L5069" s="33">
        <v>1</v>
      </c>
      <c r="S5069" s="33">
        <v>1</v>
      </c>
      <c r="T5069" s="31">
        <v>0</v>
      </c>
      <c r="U5069" s="31">
        <v>0</v>
      </c>
      <c r="V5069" s="31">
        <v>0</v>
      </c>
      <c r="W5069" s="47">
        <f>1800*39.37/12</f>
        <v>5905.5</v>
      </c>
      <c r="Y5069" s="19" t="s">
        <v>51</v>
      </c>
      <c r="Z5069" s="19" t="s">
        <v>1846</v>
      </c>
      <c r="AA5069" s="34">
        <v>0.96180555555555547</v>
      </c>
      <c r="AB5069" s="34">
        <v>1.0451388888888888</v>
      </c>
      <c r="AC5069" s="49">
        <f t="shared" si="13"/>
        <v>1.0034722222222221</v>
      </c>
      <c r="AD5069" s="50">
        <f t="shared" si="14"/>
        <v>2.0000000000000009</v>
      </c>
      <c r="AE5069" s="31" t="s">
        <v>4756</v>
      </c>
      <c r="AF5069" s="31">
        <v>80</v>
      </c>
      <c r="AQ5069" s="18" t="s">
        <v>6195</v>
      </c>
      <c r="AU5069">
        <v>5068</v>
      </c>
    </row>
    <row r="5070" spans="1:47" x14ac:dyDescent="0.2">
      <c r="A5070" s="13">
        <v>6777</v>
      </c>
      <c r="B5070" s="57" t="s">
        <v>45</v>
      </c>
      <c r="C5070" s="57" t="s">
        <v>4456</v>
      </c>
      <c r="D5070" s="29"/>
      <c r="E5070" s="57" t="s">
        <v>6192</v>
      </c>
      <c r="F5070" s="31" t="s">
        <v>83</v>
      </c>
      <c r="G5070" s="31" t="s">
        <v>69</v>
      </c>
      <c r="I5070" s="31" t="s">
        <v>6197</v>
      </c>
      <c r="K5070" s="183">
        <f>2*416*2.2</f>
        <v>1830.4</v>
      </c>
      <c r="L5070" s="33">
        <v>2</v>
      </c>
      <c r="S5070" s="33">
        <v>2</v>
      </c>
      <c r="T5070" s="31">
        <v>0</v>
      </c>
      <c r="U5070" s="31">
        <v>0</v>
      </c>
      <c r="V5070" s="31">
        <v>0</v>
      </c>
      <c r="W5070" s="47">
        <f>((2000+1800)/2)*39.37/12</f>
        <v>6233.583333333333</v>
      </c>
      <c r="Y5070" s="19" t="s">
        <v>51</v>
      </c>
      <c r="Z5070" s="19" t="s">
        <v>1846</v>
      </c>
      <c r="AA5070" s="34">
        <v>0.96527777777777779</v>
      </c>
      <c r="AB5070" s="34">
        <v>1.0347222222222221</v>
      </c>
      <c r="AC5070" s="49">
        <f t="shared" si="13"/>
        <v>1</v>
      </c>
      <c r="AD5070" s="50">
        <f t="shared" si="14"/>
        <v>1.6666666666666634</v>
      </c>
      <c r="AE5070" s="31" t="s">
        <v>4756</v>
      </c>
      <c r="AF5070" s="31">
        <v>55</v>
      </c>
      <c r="AQ5070" s="18" t="s">
        <v>6195</v>
      </c>
      <c r="AU5070">
        <v>5069</v>
      </c>
    </row>
    <row r="5071" spans="1:47" x14ac:dyDescent="0.2">
      <c r="A5071" s="13">
        <v>6777</v>
      </c>
      <c r="B5071" s="57" t="s">
        <v>45</v>
      </c>
      <c r="C5071" s="57" t="s">
        <v>4456</v>
      </c>
      <c r="D5071" s="29"/>
      <c r="E5071" s="57" t="s">
        <v>6198</v>
      </c>
      <c r="F5071" s="31" t="s">
        <v>6120</v>
      </c>
      <c r="G5071" s="31" t="s">
        <v>69</v>
      </c>
      <c r="I5071" s="31" t="s">
        <v>6199</v>
      </c>
      <c r="K5071" s="183">
        <f>2*416*2.2</f>
        <v>1830.4</v>
      </c>
      <c r="L5071" s="33">
        <v>2</v>
      </c>
      <c r="S5071" s="33">
        <v>2</v>
      </c>
      <c r="T5071" s="31">
        <v>0</v>
      </c>
      <c r="U5071" s="31">
        <v>0</v>
      </c>
      <c r="V5071" s="31">
        <v>0</v>
      </c>
      <c r="W5071" s="47">
        <f>((1500+1800)/2)*39.37/12</f>
        <v>5413.3749999999991</v>
      </c>
      <c r="Y5071" s="19" t="s">
        <v>51</v>
      </c>
      <c r="Z5071" s="19" t="s">
        <v>1846</v>
      </c>
      <c r="AA5071" s="34">
        <v>0.96875</v>
      </c>
      <c r="AB5071" s="34">
        <v>1.0243055555555556</v>
      </c>
      <c r="AC5071" s="49">
        <f t="shared" si="13"/>
        <v>0.99652777777777779</v>
      </c>
      <c r="AD5071" s="50">
        <f t="shared" si="14"/>
        <v>1.3333333333333339</v>
      </c>
      <c r="AE5071" s="31" t="s">
        <v>4756</v>
      </c>
      <c r="AF5071" s="31">
        <v>45</v>
      </c>
      <c r="AQ5071" s="18" t="s">
        <v>6195</v>
      </c>
      <c r="AU5071">
        <v>5070</v>
      </c>
    </row>
    <row r="5072" spans="1:47" x14ac:dyDescent="0.2">
      <c r="A5072" s="13">
        <v>6777</v>
      </c>
      <c r="B5072" s="57" t="s">
        <v>45</v>
      </c>
      <c r="C5072" s="57" t="s">
        <v>4456</v>
      </c>
      <c r="D5072" s="29"/>
      <c r="E5072" s="57" t="s">
        <v>5280</v>
      </c>
      <c r="F5072" s="31" t="s">
        <v>76</v>
      </c>
      <c r="G5072" s="31" t="s">
        <v>49</v>
      </c>
      <c r="I5072" s="31" t="s">
        <v>6200</v>
      </c>
      <c r="K5072" s="183">
        <f>416*2.2</f>
        <v>915.2</v>
      </c>
      <c r="L5072" s="33">
        <v>1</v>
      </c>
      <c r="S5072" s="33">
        <v>1</v>
      </c>
      <c r="T5072" s="31">
        <v>0</v>
      </c>
      <c r="U5072" s="31">
        <v>0</v>
      </c>
      <c r="V5072" s="31">
        <v>0</v>
      </c>
      <c r="W5072" s="47">
        <f>2000*39.37/12</f>
        <v>6561.666666666667</v>
      </c>
      <c r="Y5072" s="19" t="s">
        <v>51</v>
      </c>
      <c r="Z5072" s="19" t="s">
        <v>1846</v>
      </c>
      <c r="AA5072" s="34">
        <v>0.96875</v>
      </c>
      <c r="AB5072" s="34">
        <v>1.0381944444444444</v>
      </c>
      <c r="AC5072" s="49">
        <f t="shared" si="13"/>
        <v>1.0034722222222223</v>
      </c>
      <c r="AD5072" s="50">
        <f t="shared" si="14"/>
        <v>1.6666666666666661</v>
      </c>
      <c r="AE5072" s="31" t="s">
        <v>4756</v>
      </c>
      <c r="AF5072" s="31">
        <v>50</v>
      </c>
      <c r="AQ5072" s="18" t="s">
        <v>6195</v>
      </c>
      <c r="AU5072">
        <v>5071</v>
      </c>
    </row>
    <row r="5073" spans="1:47" x14ac:dyDescent="0.2">
      <c r="A5073" s="13">
        <v>6777</v>
      </c>
      <c r="B5073" s="57" t="s">
        <v>45</v>
      </c>
      <c r="C5073" s="57" t="s">
        <v>4456</v>
      </c>
      <c r="D5073" s="29"/>
      <c r="E5073" s="57" t="s">
        <v>6187</v>
      </c>
      <c r="F5073" s="31" t="s">
        <v>6120</v>
      </c>
      <c r="G5073" s="31" t="s">
        <v>69</v>
      </c>
      <c r="I5073" s="31" t="s">
        <v>6201</v>
      </c>
      <c r="K5073" s="183">
        <f>416*2.2</f>
        <v>915.2</v>
      </c>
      <c r="L5073" s="33">
        <v>1</v>
      </c>
      <c r="S5073" s="33">
        <v>1</v>
      </c>
      <c r="T5073" s="31">
        <v>0</v>
      </c>
      <c r="U5073" s="31">
        <v>0</v>
      </c>
      <c r="V5073" s="31">
        <v>0</v>
      </c>
      <c r="W5073" s="47">
        <f>2000*39.37/12</f>
        <v>6561.666666666667</v>
      </c>
      <c r="Y5073" s="19" t="s">
        <v>51</v>
      </c>
      <c r="Z5073" s="19" t="s">
        <v>1846</v>
      </c>
      <c r="AA5073" s="34">
        <v>0.97222222222222221</v>
      </c>
      <c r="AB5073" s="34">
        <v>1.0416666666666667</v>
      </c>
      <c r="AC5073" s="49">
        <f t="shared" si="13"/>
        <v>1.0069444444444444</v>
      </c>
      <c r="AD5073" s="50">
        <f t="shared" si="14"/>
        <v>1.6666666666666687</v>
      </c>
      <c r="AE5073" s="31" t="s">
        <v>4756</v>
      </c>
      <c r="AF5073" s="31">
        <v>55</v>
      </c>
      <c r="AQ5073" s="18" t="s">
        <v>6195</v>
      </c>
      <c r="AU5073">
        <v>5072</v>
      </c>
    </row>
    <row r="5074" spans="1:47" x14ac:dyDescent="0.2">
      <c r="A5074" s="26">
        <v>6777</v>
      </c>
      <c r="B5074" s="27">
        <v>3.472222222222222E-3</v>
      </c>
      <c r="C5074" s="28"/>
      <c r="D5074" s="29"/>
      <c r="E5074" s="30" t="s">
        <v>3737</v>
      </c>
      <c r="H5074" s="32">
        <v>0</v>
      </c>
      <c r="I5074" s="32" t="s">
        <v>4926</v>
      </c>
      <c r="AG5074" s="32">
        <v>0</v>
      </c>
      <c r="AH5074" s="32">
        <v>0</v>
      </c>
      <c r="AI5074" s="32">
        <v>0</v>
      </c>
      <c r="AK5074" s="32">
        <v>0</v>
      </c>
      <c r="AM5074" s="74"/>
      <c r="AQ5074" s="32" t="s">
        <v>1101</v>
      </c>
      <c r="AU5074">
        <v>5073</v>
      </c>
    </row>
    <row r="5075" spans="1:47" x14ac:dyDescent="0.2">
      <c r="A5075" s="26">
        <v>6777</v>
      </c>
      <c r="B5075" s="27">
        <v>2.0833333333333332E-2</v>
      </c>
      <c r="C5075" s="28"/>
      <c r="D5075" s="29"/>
      <c r="E5075" s="30" t="s">
        <v>4219</v>
      </c>
      <c r="H5075" s="32">
        <v>1</v>
      </c>
      <c r="I5075" s="32" t="s">
        <v>6202</v>
      </c>
      <c r="AL5075" s="32">
        <v>0.25</v>
      </c>
      <c r="AO5075" s="32" t="s">
        <v>858</v>
      </c>
      <c r="AP5075" s="32">
        <v>0.25</v>
      </c>
      <c r="AQ5075" s="32" t="s">
        <v>1101</v>
      </c>
      <c r="AU5075">
        <v>5074</v>
      </c>
    </row>
    <row r="5076" spans="1:47" x14ac:dyDescent="0.2">
      <c r="A5076" s="26">
        <v>6777</v>
      </c>
      <c r="B5076" s="27">
        <v>0.50555555555555554</v>
      </c>
      <c r="C5076" s="28"/>
      <c r="D5076" s="29"/>
      <c r="E5076" s="30" t="s">
        <v>869</v>
      </c>
      <c r="H5076" s="32">
        <v>0</v>
      </c>
      <c r="I5076" s="32" t="s">
        <v>2344</v>
      </c>
      <c r="AG5076" s="32">
        <v>0</v>
      </c>
      <c r="AH5076" s="32">
        <v>0</v>
      </c>
      <c r="AI5076" s="32">
        <v>0</v>
      </c>
      <c r="AK5076" s="32">
        <v>0</v>
      </c>
      <c r="AL5076" s="32">
        <f>27/60</f>
        <v>0.45</v>
      </c>
      <c r="AP5076" s="32">
        <f>27/60</f>
        <v>0.45</v>
      </c>
      <c r="AQ5076" s="32" t="s">
        <v>589</v>
      </c>
      <c r="AU5076">
        <v>5075</v>
      </c>
    </row>
    <row r="5077" spans="1:47" x14ac:dyDescent="0.2">
      <c r="A5077" s="26">
        <v>6777</v>
      </c>
      <c r="B5077" s="27">
        <v>0.94791666666666663</v>
      </c>
      <c r="C5077" s="28"/>
      <c r="D5077" s="29"/>
      <c r="E5077" s="30" t="s">
        <v>1282</v>
      </c>
      <c r="H5077" s="32">
        <v>1</v>
      </c>
      <c r="I5077" s="32" t="s">
        <v>6203</v>
      </c>
      <c r="AG5077" s="32">
        <v>0</v>
      </c>
      <c r="AH5077" s="32">
        <v>0</v>
      </c>
      <c r="AL5077" s="32">
        <f>37/60</f>
        <v>0.6166666666666667</v>
      </c>
      <c r="AP5077" s="32">
        <f>37/60</f>
        <v>0.6166666666666667</v>
      </c>
      <c r="AQ5077" s="32" t="s">
        <v>1101</v>
      </c>
      <c r="AU5077">
        <v>5076</v>
      </c>
    </row>
    <row r="5078" spans="1:47" x14ac:dyDescent="0.2">
      <c r="A5078" s="26">
        <v>6777</v>
      </c>
      <c r="B5078" s="27">
        <v>0.96666666666666667</v>
      </c>
      <c r="C5078" s="28"/>
      <c r="D5078" s="29"/>
      <c r="E5078" s="30" t="s">
        <v>464</v>
      </c>
      <c r="H5078" s="32">
        <v>0</v>
      </c>
      <c r="I5078" s="32" t="s">
        <v>5766</v>
      </c>
      <c r="AG5078" s="32">
        <v>0</v>
      </c>
      <c r="AH5078" s="32">
        <v>0</v>
      </c>
      <c r="AI5078" s="32">
        <v>0</v>
      </c>
      <c r="AK5078" s="32">
        <v>0</v>
      </c>
      <c r="AL5078" s="32">
        <v>0.33300000000000002</v>
      </c>
      <c r="AO5078" s="32" t="s">
        <v>4067</v>
      </c>
      <c r="AP5078" s="32">
        <v>0.33300000000000002</v>
      </c>
      <c r="AQ5078" s="32" t="s">
        <v>1522</v>
      </c>
      <c r="AU5078">
        <v>5077</v>
      </c>
    </row>
    <row r="5079" spans="1:47" x14ac:dyDescent="0.2">
      <c r="A5079" s="26">
        <v>6777</v>
      </c>
      <c r="B5079" s="27">
        <v>0.97916666666666663</v>
      </c>
      <c r="C5079" s="28"/>
      <c r="D5079" s="29"/>
      <c r="E5079" s="30" t="s">
        <v>4219</v>
      </c>
      <c r="H5079" s="32">
        <v>0</v>
      </c>
      <c r="I5079" s="32" t="s">
        <v>4249</v>
      </c>
      <c r="AG5079" s="32">
        <v>0</v>
      </c>
      <c r="AH5079" s="32">
        <v>0</v>
      </c>
      <c r="AI5079" s="32">
        <v>0</v>
      </c>
      <c r="AK5079" s="32">
        <v>0</v>
      </c>
      <c r="AL5079" s="32">
        <v>0.5</v>
      </c>
      <c r="AO5079" s="32" t="s">
        <v>858</v>
      </c>
      <c r="AP5079" s="32">
        <v>0.5</v>
      </c>
      <c r="AQ5079" s="32" t="s">
        <v>1101</v>
      </c>
      <c r="AU5079">
        <v>5078</v>
      </c>
    </row>
    <row r="5080" spans="1:47" x14ac:dyDescent="0.2">
      <c r="A5080" s="26">
        <v>6777</v>
      </c>
      <c r="B5080" s="27">
        <v>0.98611111111111116</v>
      </c>
      <c r="C5080" s="28"/>
      <c r="D5080" s="29"/>
      <c r="E5080" s="30" t="s">
        <v>2871</v>
      </c>
      <c r="H5080" s="32">
        <v>1</v>
      </c>
      <c r="I5080" s="32"/>
      <c r="AK5080" s="32">
        <v>4</v>
      </c>
      <c r="AO5080" s="46" t="s">
        <v>2873</v>
      </c>
      <c r="AP5080" s="46"/>
      <c r="AQ5080" s="32">
        <v>446</v>
      </c>
      <c r="AU5080">
        <v>5079</v>
      </c>
    </row>
    <row r="5081" spans="1:47" x14ac:dyDescent="0.2">
      <c r="A5081" s="26">
        <v>6777</v>
      </c>
      <c r="B5081" s="27" t="s">
        <v>45</v>
      </c>
      <c r="C5081" s="28"/>
      <c r="D5081" s="29"/>
      <c r="E5081" s="30" t="s">
        <v>1531</v>
      </c>
      <c r="H5081" s="32">
        <v>0</v>
      </c>
      <c r="I5081" s="32" t="s">
        <v>1532</v>
      </c>
      <c r="AG5081" s="32">
        <v>0</v>
      </c>
      <c r="AH5081" s="32">
        <v>0</v>
      </c>
      <c r="AI5081" s="32">
        <v>0</v>
      </c>
      <c r="AK5081" s="32">
        <v>0</v>
      </c>
      <c r="AM5081" s="32">
        <f>498*15</f>
        <v>7470</v>
      </c>
      <c r="AO5081" s="32" t="s">
        <v>1533</v>
      </c>
      <c r="AQ5081" s="32" t="s">
        <v>1101</v>
      </c>
      <c r="AU5081">
        <v>5080</v>
      </c>
    </row>
    <row r="5082" spans="1:47" x14ac:dyDescent="0.2">
      <c r="A5082" s="26">
        <v>6777</v>
      </c>
      <c r="B5082" s="27" t="s">
        <v>45</v>
      </c>
      <c r="C5082" s="28"/>
      <c r="D5082" s="29"/>
      <c r="E5082" s="150" t="s">
        <v>2286</v>
      </c>
      <c r="H5082" s="32">
        <v>0</v>
      </c>
      <c r="I5082" s="32" t="s">
        <v>1824</v>
      </c>
      <c r="AG5082" s="32">
        <v>0</v>
      </c>
      <c r="AH5082" s="32">
        <v>0</v>
      </c>
      <c r="AI5082" s="32">
        <v>0</v>
      </c>
      <c r="AK5082" s="32">
        <v>0</v>
      </c>
      <c r="AM5082" s="32">
        <v>3000</v>
      </c>
      <c r="AO5082" s="73" t="s">
        <v>75</v>
      </c>
      <c r="AQ5082" s="32" t="s">
        <v>589</v>
      </c>
      <c r="AU5082">
        <v>5081</v>
      </c>
    </row>
    <row r="5083" spans="1:47" x14ac:dyDescent="0.2">
      <c r="A5083" s="133">
        <v>6778</v>
      </c>
      <c r="B5083" s="39" t="s">
        <v>85</v>
      </c>
      <c r="C5083" s="39">
        <v>55</v>
      </c>
      <c r="D5083" s="29" t="b">
        <v>0</v>
      </c>
      <c r="E5083" s="39" t="s">
        <v>305</v>
      </c>
      <c r="F5083" s="47" t="s">
        <v>454</v>
      </c>
      <c r="G5083" s="47" t="s">
        <v>274</v>
      </c>
      <c r="H5083"/>
      <c r="I5083" s="47" t="b">
        <v>0</v>
      </c>
      <c r="J5083" s="47" t="b">
        <v>1</v>
      </c>
      <c r="K5083" s="47">
        <v>2302</v>
      </c>
      <c r="L5083" s="48">
        <v>12</v>
      </c>
      <c r="M5083" s="47">
        <v>0</v>
      </c>
      <c r="N5083" s="47">
        <v>2</v>
      </c>
      <c r="O5083" s="47">
        <v>0</v>
      </c>
      <c r="P5083" s="47">
        <v>10</v>
      </c>
      <c r="Q5083" s="47">
        <v>0</v>
      </c>
      <c r="R5083" s="47">
        <v>0</v>
      </c>
      <c r="S5083" s="48">
        <v>10</v>
      </c>
      <c r="T5083" s="47">
        <v>0</v>
      </c>
      <c r="U5083" s="47">
        <v>0</v>
      </c>
      <c r="V5083" s="47">
        <v>0</v>
      </c>
      <c r="W5083" s="47">
        <v>14500</v>
      </c>
      <c r="X5083" s="47">
        <v>743</v>
      </c>
      <c r="Y5083" s="47" t="s">
        <v>120</v>
      </c>
      <c r="Z5083" s="47" t="s">
        <v>3618</v>
      </c>
      <c r="AA5083" s="49">
        <v>0.3125</v>
      </c>
      <c r="AB5083" s="49">
        <v>0.4826388888888889</v>
      </c>
      <c r="AC5083" s="49">
        <f>AVERAGE(AA5083:AB5083)</f>
        <v>0.39756944444444442</v>
      </c>
      <c r="AD5083" s="50">
        <f>(AB5083-AA5083)*24</f>
        <v>4.0833333333333339</v>
      </c>
      <c r="AE5083" s="47" t="s">
        <v>5433</v>
      </c>
      <c r="AF5083" s="47">
        <v>180</v>
      </c>
      <c r="AG5083"/>
      <c r="AH5083"/>
      <c r="AI5083"/>
      <c r="AJ5083"/>
      <c r="AK5083">
        <v>27</v>
      </c>
      <c r="AL5083"/>
      <c r="AM5083"/>
      <c r="AN5083"/>
      <c r="AO5083"/>
      <c r="AP5083"/>
      <c r="AQ5083" t="s">
        <v>5434</v>
      </c>
      <c r="AU5083">
        <v>5082</v>
      </c>
    </row>
    <row r="5084" spans="1:47" x14ac:dyDescent="0.2">
      <c r="A5084" s="133">
        <v>6778</v>
      </c>
      <c r="B5084" s="39" t="s">
        <v>85</v>
      </c>
      <c r="C5084" s="39">
        <v>99</v>
      </c>
      <c r="D5084" s="29" t="b">
        <v>0</v>
      </c>
      <c r="E5084" s="39" t="s">
        <v>907</v>
      </c>
      <c r="F5084" s="47" t="s">
        <v>76</v>
      </c>
      <c r="G5084" s="47" t="s">
        <v>49</v>
      </c>
      <c r="H5084"/>
      <c r="I5084" s="47" t="b">
        <v>0</v>
      </c>
      <c r="J5084" s="47" t="b">
        <v>1</v>
      </c>
      <c r="K5084" s="47">
        <v>2724</v>
      </c>
      <c r="L5084" s="48">
        <v>12</v>
      </c>
      <c r="M5084" s="47">
        <v>0</v>
      </c>
      <c r="N5084" s="47">
        <v>0</v>
      </c>
      <c r="O5084" s="47">
        <v>0</v>
      </c>
      <c r="P5084" s="47">
        <v>12</v>
      </c>
      <c r="Q5084" s="47">
        <v>0</v>
      </c>
      <c r="R5084" s="47">
        <v>0</v>
      </c>
      <c r="S5084" s="48">
        <v>12</v>
      </c>
      <c r="T5084" s="47">
        <v>0</v>
      </c>
      <c r="U5084" s="47">
        <v>0</v>
      </c>
      <c r="V5084" s="47">
        <v>0</v>
      </c>
      <c r="W5084" s="47">
        <v>13000</v>
      </c>
      <c r="X5084" s="47">
        <v>744</v>
      </c>
      <c r="Y5084" s="47" t="s">
        <v>120</v>
      </c>
      <c r="Z5084" s="47" t="s">
        <v>5139</v>
      </c>
      <c r="AA5084" s="49">
        <v>0.59722222222222221</v>
      </c>
      <c r="AB5084" s="49">
        <v>0.71527777777777779</v>
      </c>
      <c r="AC5084" s="49">
        <f>AVERAGE(AA5084:AB5084)</f>
        <v>0.65625</v>
      </c>
      <c r="AD5084" s="50">
        <f>(AB5084-AA5084)*24</f>
        <v>2.8333333333333339</v>
      </c>
      <c r="AE5084" s="47" t="s">
        <v>5433</v>
      </c>
      <c r="AF5084" s="47">
        <v>125</v>
      </c>
      <c r="AG5084"/>
      <c r="AH5084"/>
      <c r="AI5084"/>
      <c r="AJ5084"/>
      <c r="AK5084">
        <v>18</v>
      </c>
      <c r="AL5084"/>
      <c r="AM5084"/>
      <c r="AN5084"/>
      <c r="AO5084"/>
      <c r="AP5084"/>
      <c r="AQ5084" t="s">
        <v>2526</v>
      </c>
      <c r="AU5084">
        <v>5083</v>
      </c>
    </row>
    <row r="5085" spans="1:47" x14ac:dyDescent="0.2">
      <c r="A5085" s="151">
        <v>6778</v>
      </c>
      <c r="B5085" s="61" t="s">
        <v>85</v>
      </c>
      <c r="C5085" s="61">
        <v>55</v>
      </c>
      <c r="D5085" s="62"/>
      <c r="E5085" s="61" t="s">
        <v>6204</v>
      </c>
      <c r="F5085" s="47"/>
      <c r="G5085" s="47"/>
      <c r="H5085"/>
      <c r="I5085" s="66" t="s">
        <v>6205</v>
      </c>
      <c r="J5085" s="47"/>
      <c r="K5085" s="47">
        <v>0</v>
      </c>
      <c r="L5085" s="48">
        <v>1</v>
      </c>
      <c r="M5085" s="47"/>
      <c r="N5085" s="47"/>
      <c r="O5085" s="47"/>
      <c r="P5085" s="47"/>
      <c r="Q5085" s="47"/>
      <c r="R5085" s="47"/>
      <c r="S5085" s="48">
        <v>0</v>
      </c>
      <c r="T5085" s="47"/>
      <c r="U5085" s="47"/>
      <c r="V5085" s="47"/>
      <c r="W5085" s="47"/>
      <c r="X5085" s="47"/>
      <c r="Y5085" s="47"/>
      <c r="Z5085" s="47" t="s">
        <v>3618</v>
      </c>
      <c r="AA5085" s="49"/>
      <c r="AB5085" s="49"/>
      <c r="AC5085" s="49"/>
      <c r="AD5085" s="50"/>
      <c r="AE5085" s="47" t="s">
        <v>5433</v>
      </c>
      <c r="AF5085" s="47">
        <v>190</v>
      </c>
      <c r="AG5085"/>
      <c r="AH5085"/>
      <c r="AI5085"/>
      <c r="AJ5085"/>
      <c r="AK5085">
        <v>0</v>
      </c>
      <c r="AL5085"/>
      <c r="AM5085"/>
      <c r="AN5085"/>
      <c r="AO5085"/>
      <c r="AP5085"/>
      <c r="AQ5085" t="s">
        <v>5434</v>
      </c>
      <c r="AU5085">
        <v>5084</v>
      </c>
    </row>
    <row r="5086" spans="1:47" x14ac:dyDescent="0.2">
      <c r="A5086" s="133">
        <v>6778</v>
      </c>
      <c r="B5086" s="39" t="s">
        <v>85</v>
      </c>
      <c r="C5086" s="15" t="s">
        <v>4769</v>
      </c>
      <c r="D5086" s="16"/>
      <c r="E5086" s="15" t="s">
        <v>6206</v>
      </c>
      <c r="F5086" s="17" t="s">
        <v>6207</v>
      </c>
      <c r="G5086" s="17" t="s">
        <v>69</v>
      </c>
      <c r="H5086" s="25"/>
      <c r="I5086" s="17" t="s">
        <v>6208</v>
      </c>
      <c r="J5086" s="17"/>
      <c r="K5086" s="17"/>
      <c r="L5086" s="48"/>
      <c r="M5086" s="47"/>
      <c r="N5086" s="47"/>
      <c r="O5086" s="47"/>
      <c r="P5086" s="47"/>
      <c r="Q5086" s="47"/>
      <c r="R5086" s="47"/>
      <c r="S5086" s="48"/>
      <c r="T5086" s="47"/>
      <c r="U5086" s="47"/>
      <c r="V5086" s="47"/>
      <c r="W5086" s="47">
        <f>((1800+4600)/2)*39.37/12</f>
        <v>10498.666666666666</v>
      </c>
      <c r="X5086" s="47"/>
      <c r="Y5086" s="17" t="s">
        <v>120</v>
      </c>
      <c r="Z5086" s="17" t="s">
        <v>3724</v>
      </c>
      <c r="AA5086" s="49"/>
      <c r="AB5086" s="49"/>
      <c r="AC5086" s="49"/>
      <c r="AD5086" s="50"/>
      <c r="AE5086" s="47"/>
      <c r="AF5086" s="47"/>
      <c r="AG5086"/>
      <c r="AH5086"/>
      <c r="AI5086"/>
      <c r="AJ5086"/>
      <c r="AK5086"/>
      <c r="AL5086"/>
      <c r="AM5086"/>
      <c r="AN5086"/>
      <c r="AO5086"/>
      <c r="AP5086"/>
      <c r="AQ5086" s="25" t="s">
        <v>6209</v>
      </c>
      <c r="AU5086">
        <v>5085</v>
      </c>
    </row>
    <row r="5087" spans="1:47" x14ac:dyDescent="0.2">
      <c r="A5087" s="133">
        <v>6778</v>
      </c>
      <c r="B5087" s="39" t="s">
        <v>85</v>
      </c>
      <c r="C5087" s="15" t="s">
        <v>4769</v>
      </c>
      <c r="D5087" s="16"/>
      <c r="E5087" s="15" t="s">
        <v>6210</v>
      </c>
      <c r="F5087" s="17" t="s">
        <v>6207</v>
      </c>
      <c r="G5087" s="17" t="s">
        <v>69</v>
      </c>
      <c r="H5087" s="25"/>
      <c r="I5087" s="17" t="s">
        <v>6211</v>
      </c>
      <c r="J5087" s="17"/>
      <c r="K5087" s="17"/>
      <c r="L5087" s="48"/>
      <c r="M5087" s="47"/>
      <c r="N5087" s="47"/>
      <c r="O5087" s="47"/>
      <c r="P5087" s="47"/>
      <c r="Q5087" s="47"/>
      <c r="R5087" s="47"/>
      <c r="S5087" s="48"/>
      <c r="T5087" s="47"/>
      <c r="U5087" s="47"/>
      <c r="V5087" s="47"/>
      <c r="W5087" s="47"/>
      <c r="X5087" s="47"/>
      <c r="Y5087" s="17" t="s">
        <v>120</v>
      </c>
      <c r="Z5087" s="17" t="s">
        <v>3724</v>
      </c>
      <c r="AA5087" s="49"/>
      <c r="AB5087" s="49"/>
      <c r="AC5087" s="49">
        <v>0.70833333333333337</v>
      </c>
      <c r="AD5087" s="50"/>
      <c r="AE5087" s="47"/>
      <c r="AF5087" s="47"/>
      <c r="AG5087"/>
      <c r="AH5087"/>
      <c r="AI5087"/>
      <c r="AJ5087"/>
      <c r="AK5087"/>
      <c r="AL5087"/>
      <c r="AM5087"/>
      <c r="AN5087"/>
      <c r="AO5087"/>
      <c r="AP5087"/>
      <c r="AQ5087" s="25" t="s">
        <v>6212</v>
      </c>
      <c r="AU5087">
        <v>5086</v>
      </c>
    </row>
    <row r="5088" spans="1:47" x14ac:dyDescent="0.2">
      <c r="A5088" s="133">
        <v>6778</v>
      </c>
      <c r="B5088" s="39" t="s">
        <v>45</v>
      </c>
      <c r="C5088" s="39">
        <v>100</v>
      </c>
      <c r="D5088" s="29" t="b">
        <v>0</v>
      </c>
      <c r="E5088" s="39" t="s">
        <v>6213</v>
      </c>
      <c r="F5088" s="47" t="s">
        <v>6214</v>
      </c>
      <c r="G5088" s="47" t="s">
        <v>205</v>
      </c>
      <c r="H5088"/>
      <c r="I5088" s="47" t="b">
        <v>1</v>
      </c>
      <c r="J5088" s="47" t="b">
        <v>1</v>
      </c>
      <c r="K5088" s="47">
        <v>3402</v>
      </c>
      <c r="L5088" s="48">
        <v>-1</v>
      </c>
      <c r="M5088" s="47">
        <v>0</v>
      </c>
      <c r="N5088" s="47">
        <v>0</v>
      </c>
      <c r="O5088" s="47">
        <v>0</v>
      </c>
      <c r="P5088" s="47">
        <v>0</v>
      </c>
      <c r="Q5088" s="47">
        <v>0</v>
      </c>
      <c r="R5088" s="47">
        <v>0</v>
      </c>
      <c r="S5088" s="48">
        <v>15</v>
      </c>
      <c r="T5088" s="47">
        <v>0</v>
      </c>
      <c r="U5088" s="47">
        <v>0</v>
      </c>
      <c r="V5088" s="47">
        <v>0</v>
      </c>
      <c r="W5088" s="47">
        <v>1800</v>
      </c>
      <c r="X5088" s="47">
        <v>745</v>
      </c>
      <c r="Y5088" s="47"/>
      <c r="Z5088" s="47" t="s">
        <v>2524</v>
      </c>
      <c r="AA5088" s="49"/>
      <c r="AB5088" s="49"/>
      <c r="AC5088" s="49"/>
      <c r="AD5088" s="50"/>
      <c r="AE5088" s="47" t="s">
        <v>1312</v>
      </c>
      <c r="AF5088" s="47">
        <v>75</v>
      </c>
      <c r="AG5088"/>
      <c r="AH5088"/>
      <c r="AI5088"/>
      <c r="AJ5088"/>
      <c r="AK5088"/>
      <c r="AL5088"/>
      <c r="AM5088"/>
      <c r="AN5088"/>
      <c r="AO5088"/>
      <c r="AP5088"/>
      <c r="AQ5088" t="s">
        <v>2526</v>
      </c>
      <c r="AU5088">
        <v>5087</v>
      </c>
    </row>
    <row r="5089" spans="1:47" x14ac:dyDescent="0.2">
      <c r="A5089" s="133">
        <v>6778</v>
      </c>
      <c r="B5089" s="39" t="s">
        <v>45</v>
      </c>
      <c r="C5089" s="39">
        <v>100</v>
      </c>
      <c r="D5089" s="29" t="b">
        <v>0</v>
      </c>
      <c r="E5089" s="39" t="s">
        <v>5707</v>
      </c>
      <c r="F5089" s="47" t="s">
        <v>6215</v>
      </c>
      <c r="G5089" s="47" t="s">
        <v>205</v>
      </c>
      <c r="H5089"/>
      <c r="I5089" s="47" t="b">
        <v>0</v>
      </c>
      <c r="J5089" s="47" t="b">
        <v>0</v>
      </c>
      <c r="K5089" s="47">
        <v>3040</v>
      </c>
      <c r="L5089" s="48">
        <v>-1</v>
      </c>
      <c r="M5089" s="47">
        <v>0</v>
      </c>
      <c r="N5089" s="47">
        <v>0</v>
      </c>
      <c r="O5089" s="47">
        <v>0</v>
      </c>
      <c r="P5089" s="47">
        <v>0</v>
      </c>
      <c r="Q5089" s="47">
        <v>0</v>
      </c>
      <c r="R5089" s="47">
        <v>0</v>
      </c>
      <c r="S5089" s="48">
        <v>14</v>
      </c>
      <c r="T5089" s="47">
        <v>0</v>
      </c>
      <c r="U5089" s="47">
        <v>0</v>
      </c>
      <c r="V5089" s="47">
        <v>0</v>
      </c>
      <c r="W5089" s="47">
        <v>1800</v>
      </c>
      <c r="X5089" s="47">
        <v>746</v>
      </c>
      <c r="Y5089" s="47"/>
      <c r="Z5089" s="47" t="s">
        <v>2524</v>
      </c>
      <c r="AA5089" s="49"/>
      <c r="AB5089" s="49"/>
      <c r="AC5089" s="49"/>
      <c r="AD5089" s="50"/>
      <c r="AE5089" s="47" t="s">
        <v>1312</v>
      </c>
      <c r="AF5089" s="47">
        <v>75</v>
      </c>
      <c r="AG5089"/>
      <c r="AH5089"/>
      <c r="AI5089"/>
      <c r="AJ5089"/>
      <c r="AK5089"/>
      <c r="AL5089"/>
      <c r="AM5089"/>
      <c r="AN5089"/>
      <c r="AO5089"/>
      <c r="AP5089"/>
      <c r="AQ5089" t="s">
        <v>2526</v>
      </c>
      <c r="AU5089">
        <v>5088</v>
      </c>
    </row>
    <row r="5090" spans="1:47" x14ac:dyDescent="0.2">
      <c r="A5090" s="133">
        <v>6778</v>
      </c>
      <c r="B5090" s="39" t="s">
        <v>45</v>
      </c>
      <c r="C5090" s="39">
        <v>100</v>
      </c>
      <c r="D5090" s="29" t="b">
        <v>0</v>
      </c>
      <c r="E5090" s="39" t="s">
        <v>6216</v>
      </c>
      <c r="F5090" s="47" t="s">
        <v>348</v>
      </c>
      <c r="G5090" s="47" t="s">
        <v>49</v>
      </c>
      <c r="H5090"/>
      <c r="I5090" s="47" t="b">
        <v>0</v>
      </c>
      <c r="J5090" s="47" t="b">
        <v>0</v>
      </c>
      <c r="K5090" s="47">
        <v>50</v>
      </c>
      <c r="L5090" s="48">
        <v>-1</v>
      </c>
      <c r="M5090" s="47">
        <v>0</v>
      </c>
      <c r="N5090" s="47">
        <v>0</v>
      </c>
      <c r="O5090" s="47">
        <v>0</v>
      </c>
      <c r="P5090" s="47">
        <v>0</v>
      </c>
      <c r="Q5090" s="47">
        <v>0</v>
      </c>
      <c r="R5090" s="47">
        <v>0</v>
      </c>
      <c r="S5090" s="48">
        <v>1</v>
      </c>
      <c r="T5090" s="47">
        <v>0</v>
      </c>
      <c r="U5090" s="47">
        <v>0</v>
      </c>
      <c r="V5090" s="47">
        <v>0</v>
      </c>
      <c r="W5090" s="47">
        <v>1800</v>
      </c>
      <c r="X5090" s="47">
        <v>747</v>
      </c>
      <c r="Y5090" s="47"/>
      <c r="Z5090" s="47" t="s">
        <v>2524</v>
      </c>
      <c r="AA5090" s="49"/>
      <c r="AB5090" s="49"/>
      <c r="AC5090" s="49"/>
      <c r="AD5090" s="50"/>
      <c r="AE5090" s="47" t="s">
        <v>1312</v>
      </c>
      <c r="AF5090" s="47">
        <v>60</v>
      </c>
      <c r="AG5090"/>
      <c r="AH5090"/>
      <c r="AI5090"/>
      <c r="AJ5090"/>
      <c r="AK5090"/>
      <c r="AL5090"/>
      <c r="AM5090"/>
      <c r="AN5090"/>
      <c r="AO5090"/>
      <c r="AP5090"/>
      <c r="AQ5090" t="s">
        <v>2526</v>
      </c>
      <c r="AU5090">
        <v>5089</v>
      </c>
    </row>
    <row r="5091" spans="1:47" x14ac:dyDescent="0.2">
      <c r="A5091" s="133">
        <v>6778</v>
      </c>
      <c r="B5091" s="39" t="s">
        <v>45</v>
      </c>
      <c r="C5091" s="39">
        <v>100</v>
      </c>
      <c r="D5091" s="29" t="b">
        <v>0</v>
      </c>
      <c r="E5091" s="39" t="s">
        <v>6217</v>
      </c>
      <c r="F5091" s="47" t="s">
        <v>6218</v>
      </c>
      <c r="G5091" s="47" t="s">
        <v>73</v>
      </c>
      <c r="H5091"/>
      <c r="I5091" s="47" t="b">
        <v>0</v>
      </c>
      <c r="J5091" s="47" t="b">
        <v>0</v>
      </c>
      <c r="K5091" s="47">
        <v>312</v>
      </c>
      <c r="L5091" s="48">
        <v>-1</v>
      </c>
      <c r="M5091" s="47">
        <v>0</v>
      </c>
      <c r="N5091" s="47">
        <v>0</v>
      </c>
      <c r="O5091" s="47">
        <v>0</v>
      </c>
      <c r="P5091" s="47">
        <v>0</v>
      </c>
      <c r="Q5091" s="47">
        <v>0</v>
      </c>
      <c r="R5091" s="47">
        <v>0</v>
      </c>
      <c r="S5091" s="48">
        <v>1</v>
      </c>
      <c r="T5091" s="47">
        <v>0</v>
      </c>
      <c r="U5091" s="47">
        <v>0</v>
      </c>
      <c r="V5091" s="47">
        <v>0</v>
      </c>
      <c r="W5091" s="47">
        <v>1800</v>
      </c>
      <c r="X5091" s="47">
        <v>748</v>
      </c>
      <c r="Y5091" s="47"/>
      <c r="Z5091" s="47" t="s">
        <v>2524</v>
      </c>
      <c r="AA5091" s="49"/>
      <c r="AB5091" s="49"/>
      <c r="AC5091" s="49"/>
      <c r="AD5091" s="50"/>
      <c r="AE5091" s="47" t="s">
        <v>1312</v>
      </c>
      <c r="AF5091" s="47">
        <v>75</v>
      </c>
      <c r="AG5091"/>
      <c r="AH5091"/>
      <c r="AI5091"/>
      <c r="AJ5091"/>
      <c r="AK5091"/>
      <c r="AL5091"/>
      <c r="AM5091"/>
      <c r="AN5091"/>
      <c r="AO5091"/>
      <c r="AP5091"/>
      <c r="AQ5091" t="s">
        <v>2526</v>
      </c>
      <c r="AU5091">
        <v>5090</v>
      </c>
    </row>
    <row r="5092" spans="1:47" x14ac:dyDescent="0.2">
      <c r="A5092" s="133">
        <v>6778</v>
      </c>
      <c r="B5092" s="39" t="s">
        <v>45</v>
      </c>
      <c r="C5092" s="39">
        <v>216</v>
      </c>
      <c r="D5092" s="29" t="b">
        <v>0</v>
      </c>
      <c r="E5092" s="39" t="s">
        <v>6219</v>
      </c>
      <c r="F5092" s="47" t="s">
        <v>1969</v>
      </c>
      <c r="G5092" s="47" t="s">
        <v>205</v>
      </c>
      <c r="H5092"/>
      <c r="I5092" s="47" t="b">
        <v>1</v>
      </c>
      <c r="J5092" s="47" t="b">
        <v>1</v>
      </c>
      <c r="K5092" s="47">
        <v>2696</v>
      </c>
      <c r="L5092" s="48">
        <v>-1</v>
      </c>
      <c r="M5092" s="47">
        <v>0</v>
      </c>
      <c r="N5092" s="47">
        <v>0</v>
      </c>
      <c r="O5092" s="47">
        <v>0</v>
      </c>
      <c r="P5092" s="47">
        <v>0</v>
      </c>
      <c r="Q5092" s="47">
        <v>0</v>
      </c>
      <c r="R5092" s="47">
        <v>0</v>
      </c>
      <c r="S5092" s="48">
        <v>2</v>
      </c>
      <c r="T5092" s="47">
        <v>0</v>
      </c>
      <c r="U5092" s="47">
        <v>0</v>
      </c>
      <c r="V5092" s="47">
        <v>0</v>
      </c>
      <c r="W5092" s="47"/>
      <c r="X5092" s="47">
        <v>749</v>
      </c>
      <c r="Y5092" s="47"/>
      <c r="Z5092" s="47" t="s">
        <v>2466</v>
      </c>
      <c r="AA5092" s="49"/>
      <c r="AB5092" s="49"/>
      <c r="AC5092" s="49"/>
      <c r="AD5092" s="50"/>
      <c r="AE5092" s="47" t="s">
        <v>1312</v>
      </c>
      <c r="AF5092" s="47">
        <v>80</v>
      </c>
      <c r="AG5092"/>
      <c r="AH5092"/>
      <c r="AI5092"/>
      <c r="AJ5092"/>
      <c r="AK5092"/>
      <c r="AL5092"/>
      <c r="AM5092"/>
      <c r="AN5092"/>
      <c r="AO5092"/>
      <c r="AP5092"/>
      <c r="AQ5092" t="s">
        <v>2526</v>
      </c>
      <c r="AU5092">
        <v>5091</v>
      </c>
    </row>
    <row r="5093" spans="1:47" x14ac:dyDescent="0.2">
      <c r="A5093" s="133">
        <v>6778</v>
      </c>
      <c r="B5093" s="39" t="s">
        <v>45</v>
      </c>
      <c r="C5093" s="39">
        <v>216</v>
      </c>
      <c r="D5093" s="29" t="b">
        <v>0</v>
      </c>
      <c r="E5093" s="39" t="s">
        <v>6220</v>
      </c>
      <c r="F5093" s="47" t="s">
        <v>529</v>
      </c>
      <c r="G5093" s="47" t="s">
        <v>205</v>
      </c>
      <c r="H5093"/>
      <c r="I5093" s="47" t="b">
        <v>0</v>
      </c>
      <c r="J5093" s="47" t="b">
        <v>0</v>
      </c>
      <c r="K5093" s="47">
        <v>1352</v>
      </c>
      <c r="L5093" s="48">
        <v>-1</v>
      </c>
      <c r="M5093" s="47">
        <v>0</v>
      </c>
      <c r="N5093" s="47">
        <v>0</v>
      </c>
      <c r="O5093" s="47">
        <v>0</v>
      </c>
      <c r="P5093" s="47">
        <v>0</v>
      </c>
      <c r="Q5093" s="47">
        <v>0</v>
      </c>
      <c r="R5093" s="47">
        <v>0</v>
      </c>
      <c r="S5093" s="48">
        <v>1</v>
      </c>
      <c r="T5093" s="47">
        <v>0</v>
      </c>
      <c r="U5093" s="47">
        <v>0</v>
      </c>
      <c r="V5093" s="47">
        <v>0</v>
      </c>
      <c r="W5093" s="47"/>
      <c r="X5093" s="47">
        <v>750</v>
      </c>
      <c r="Y5093" s="47"/>
      <c r="Z5093" s="47" t="s">
        <v>2466</v>
      </c>
      <c r="AA5093" s="49"/>
      <c r="AB5093" s="49"/>
      <c r="AC5093" s="49"/>
      <c r="AD5093" s="50"/>
      <c r="AE5093" s="47" t="s">
        <v>1312</v>
      </c>
      <c r="AF5093" s="47">
        <v>80</v>
      </c>
      <c r="AG5093"/>
      <c r="AH5093"/>
      <c r="AI5093"/>
      <c r="AJ5093"/>
      <c r="AK5093"/>
      <c r="AL5093"/>
      <c r="AM5093"/>
      <c r="AN5093"/>
      <c r="AO5093"/>
      <c r="AP5093"/>
      <c r="AQ5093" t="s">
        <v>2526</v>
      </c>
      <c r="AU5093">
        <v>5092</v>
      </c>
    </row>
    <row r="5094" spans="1:47" x14ac:dyDescent="0.2">
      <c r="A5094" s="133">
        <v>6778</v>
      </c>
      <c r="B5094" s="39" t="s">
        <v>45</v>
      </c>
      <c r="C5094" s="39">
        <v>216</v>
      </c>
      <c r="D5094" s="29" t="b">
        <v>0</v>
      </c>
      <c r="E5094" s="39" t="s">
        <v>1551</v>
      </c>
      <c r="F5094" s="47" t="s">
        <v>529</v>
      </c>
      <c r="G5094" s="47" t="s">
        <v>205</v>
      </c>
      <c r="H5094"/>
      <c r="I5094" s="47" t="b">
        <v>0</v>
      </c>
      <c r="J5094" s="47" t="b">
        <v>0</v>
      </c>
      <c r="K5094" s="47">
        <v>1344</v>
      </c>
      <c r="L5094" s="48">
        <v>-1</v>
      </c>
      <c r="M5094" s="47">
        <v>0</v>
      </c>
      <c r="N5094" s="47">
        <v>0</v>
      </c>
      <c r="O5094" s="47">
        <v>0</v>
      </c>
      <c r="P5094" s="47">
        <v>0</v>
      </c>
      <c r="Q5094" s="47">
        <v>0</v>
      </c>
      <c r="R5094" s="47">
        <v>0</v>
      </c>
      <c r="S5094" s="48">
        <v>1</v>
      </c>
      <c r="T5094" s="47">
        <v>0</v>
      </c>
      <c r="U5094" s="47">
        <v>0</v>
      </c>
      <c r="V5094" s="47">
        <v>0</v>
      </c>
      <c r="W5094" s="47"/>
      <c r="X5094" s="47">
        <v>751</v>
      </c>
      <c r="Y5094" s="47"/>
      <c r="Z5094" s="47" t="s">
        <v>2466</v>
      </c>
      <c r="AA5094" s="49"/>
      <c r="AB5094" s="49"/>
      <c r="AC5094" s="49"/>
      <c r="AD5094" s="50"/>
      <c r="AE5094" s="47" t="s">
        <v>1312</v>
      </c>
      <c r="AF5094" s="47">
        <v>60</v>
      </c>
      <c r="AG5094"/>
      <c r="AH5094"/>
      <c r="AI5094"/>
      <c r="AJ5094"/>
      <c r="AK5094"/>
      <c r="AL5094"/>
      <c r="AM5094"/>
      <c r="AN5094"/>
      <c r="AO5094"/>
      <c r="AP5094"/>
      <c r="AQ5094" t="s">
        <v>2526</v>
      </c>
      <c r="AU5094">
        <v>5093</v>
      </c>
    </row>
    <row r="5095" spans="1:47" x14ac:dyDescent="0.2">
      <c r="A5095" s="13">
        <v>6778</v>
      </c>
      <c r="B5095" s="57" t="s">
        <v>45</v>
      </c>
      <c r="C5095" s="57" t="s">
        <v>142</v>
      </c>
      <c r="D5095" s="29"/>
      <c r="E5095" s="39" t="s">
        <v>6221</v>
      </c>
      <c r="F5095" s="47" t="s">
        <v>6222</v>
      </c>
      <c r="G5095" s="47" t="s">
        <v>49</v>
      </c>
      <c r="H5095"/>
      <c r="I5095" s="47" t="b">
        <v>1</v>
      </c>
      <c r="J5095" s="47" t="b">
        <v>1</v>
      </c>
      <c r="K5095" s="47">
        <f>1330*2.2</f>
        <v>2926.0000000000005</v>
      </c>
      <c r="L5095" s="48">
        <v>13</v>
      </c>
      <c r="M5095" s="47">
        <v>6</v>
      </c>
      <c r="N5095" s="47">
        <v>1</v>
      </c>
      <c r="O5095" s="47"/>
      <c r="P5095" s="47"/>
      <c r="Q5095" s="47"/>
      <c r="R5095" s="47"/>
      <c r="S5095" s="48">
        <v>6</v>
      </c>
      <c r="T5095" s="47">
        <v>0</v>
      </c>
      <c r="U5095" s="47">
        <v>1</v>
      </c>
      <c r="V5095" s="47">
        <v>0</v>
      </c>
      <c r="W5095" s="47"/>
      <c r="X5095" s="47"/>
      <c r="Y5095" s="47" t="s">
        <v>51</v>
      </c>
      <c r="Z5095" s="31" t="s">
        <v>3855</v>
      </c>
      <c r="AA5095" s="49"/>
      <c r="AB5095" s="49"/>
      <c r="AC5095" s="49"/>
      <c r="AD5095" s="50"/>
      <c r="AE5095" s="47" t="s">
        <v>4217</v>
      </c>
      <c r="AF5095" s="47"/>
      <c r="AG5095"/>
      <c r="AH5095"/>
      <c r="AI5095"/>
      <c r="AJ5095"/>
      <c r="AK5095">
        <f>26+11+3</f>
        <v>40</v>
      </c>
      <c r="AL5095"/>
      <c r="AM5095"/>
      <c r="AN5095"/>
      <c r="AO5095"/>
      <c r="AP5095"/>
      <c r="AQ5095" t="s">
        <v>6223</v>
      </c>
      <c r="AR5095" s="32" t="s">
        <v>6224</v>
      </c>
      <c r="AU5095">
        <v>5094</v>
      </c>
    </row>
    <row r="5096" spans="1:47" x14ac:dyDescent="0.2">
      <c r="A5096" s="13">
        <v>6778</v>
      </c>
      <c r="B5096" s="57" t="s">
        <v>45</v>
      </c>
      <c r="C5096" s="57" t="s">
        <v>142</v>
      </c>
      <c r="D5096" s="29"/>
      <c r="E5096" s="57" t="s">
        <v>6225</v>
      </c>
      <c r="F5096" s="31" t="s">
        <v>5578</v>
      </c>
      <c r="G5096" s="31" t="s">
        <v>69</v>
      </c>
      <c r="I5096" s="47" t="b">
        <v>0</v>
      </c>
      <c r="J5096" s="47" t="b">
        <v>0</v>
      </c>
      <c r="K5096" s="31">
        <v>440</v>
      </c>
      <c r="S5096" s="33">
        <v>1</v>
      </c>
      <c r="Z5096" s="31" t="s">
        <v>3855</v>
      </c>
      <c r="AE5096" s="47" t="s">
        <v>4217</v>
      </c>
      <c r="AF5096" s="31">
        <v>60</v>
      </c>
      <c r="AK5096" s="32">
        <v>8</v>
      </c>
      <c r="AQ5096" s="32" t="s">
        <v>6048</v>
      </c>
      <c r="AU5096">
        <v>5095</v>
      </c>
    </row>
    <row r="5097" spans="1:47" x14ac:dyDescent="0.2">
      <c r="A5097" s="13">
        <v>6778</v>
      </c>
      <c r="B5097" s="57" t="s">
        <v>45</v>
      </c>
      <c r="C5097" s="57" t="s">
        <v>142</v>
      </c>
      <c r="D5097" s="29"/>
      <c r="E5097" s="57" t="s">
        <v>5253</v>
      </c>
      <c r="F5097" s="31" t="s">
        <v>76</v>
      </c>
      <c r="G5097" s="31" t="s">
        <v>49</v>
      </c>
      <c r="I5097" s="47" t="b">
        <v>0</v>
      </c>
      <c r="J5097" s="47" t="b">
        <v>0</v>
      </c>
      <c r="K5097" s="31">
        <v>605</v>
      </c>
      <c r="S5097" s="33">
        <v>1</v>
      </c>
      <c r="Z5097" s="31" t="s">
        <v>3855</v>
      </c>
      <c r="AE5097" s="47" t="s">
        <v>4217</v>
      </c>
      <c r="AF5097" s="31">
        <v>70</v>
      </c>
      <c r="AK5097" s="32">
        <v>8</v>
      </c>
      <c r="AQ5097" s="32" t="s">
        <v>6048</v>
      </c>
      <c r="AU5097">
        <v>5096</v>
      </c>
    </row>
    <row r="5098" spans="1:47" x14ac:dyDescent="0.2">
      <c r="A5098" s="13">
        <v>6778</v>
      </c>
      <c r="B5098" s="57" t="s">
        <v>45</v>
      </c>
      <c r="C5098" s="57" t="s">
        <v>142</v>
      </c>
      <c r="D5098" s="29"/>
      <c r="E5098" s="57" t="s">
        <v>6182</v>
      </c>
      <c r="F5098" s="31" t="s">
        <v>76</v>
      </c>
      <c r="G5098" s="31" t="s">
        <v>49</v>
      </c>
      <c r="I5098" s="47" t="b">
        <v>0</v>
      </c>
      <c r="J5098" s="47" t="b">
        <v>0</v>
      </c>
      <c r="K5098" s="31">
        <v>616</v>
      </c>
      <c r="S5098" s="33">
        <v>1</v>
      </c>
      <c r="Z5098" s="31" t="s">
        <v>3855</v>
      </c>
      <c r="AE5098" s="47" t="s">
        <v>4217</v>
      </c>
      <c r="AK5098" s="32">
        <v>7</v>
      </c>
      <c r="AQ5098" s="32" t="s">
        <v>6048</v>
      </c>
      <c r="AU5098">
        <v>5097</v>
      </c>
    </row>
    <row r="5099" spans="1:47" x14ac:dyDescent="0.2">
      <c r="A5099" s="13">
        <v>6778</v>
      </c>
      <c r="B5099" s="57" t="s">
        <v>45</v>
      </c>
      <c r="C5099" s="57" t="s">
        <v>142</v>
      </c>
      <c r="D5099" s="29"/>
      <c r="E5099" s="57" t="s">
        <v>5703</v>
      </c>
      <c r="F5099" s="31" t="s">
        <v>76</v>
      </c>
      <c r="G5099" s="31" t="s">
        <v>49</v>
      </c>
      <c r="I5099" s="47" t="b">
        <v>0</v>
      </c>
      <c r="J5099" s="47" t="b">
        <v>0</v>
      </c>
      <c r="K5099" s="31">
        <v>616</v>
      </c>
      <c r="S5099" s="33">
        <v>1</v>
      </c>
      <c r="Z5099" s="31" t="s">
        <v>3855</v>
      </c>
      <c r="AE5099" s="47" t="s">
        <v>4217</v>
      </c>
      <c r="AF5099" s="31">
        <v>65</v>
      </c>
      <c r="AK5099" s="32">
        <v>7</v>
      </c>
      <c r="AQ5099" s="32" t="s">
        <v>6048</v>
      </c>
      <c r="AU5099">
        <v>5098</v>
      </c>
    </row>
    <row r="5100" spans="1:47" x14ac:dyDescent="0.2">
      <c r="A5100" s="13">
        <v>6778</v>
      </c>
      <c r="B5100" s="57" t="s">
        <v>45</v>
      </c>
      <c r="C5100" s="57" t="s">
        <v>142</v>
      </c>
      <c r="D5100" s="29"/>
      <c r="E5100" s="57" t="s">
        <v>3895</v>
      </c>
      <c r="F5100" s="31" t="s">
        <v>76</v>
      </c>
      <c r="G5100" s="31" t="s">
        <v>49</v>
      </c>
      <c r="I5100" s="47" t="b">
        <v>0</v>
      </c>
      <c r="J5100" s="47" t="b">
        <v>0</v>
      </c>
      <c r="K5100" s="31">
        <v>649</v>
      </c>
      <c r="S5100" s="33">
        <v>2</v>
      </c>
      <c r="Z5100" s="31" t="s">
        <v>3855</v>
      </c>
      <c r="AE5100" s="47" t="s">
        <v>4217</v>
      </c>
      <c r="AF5100" s="31">
        <v>70</v>
      </c>
      <c r="AK5100" s="32">
        <v>10</v>
      </c>
      <c r="AQ5100" s="32" t="s">
        <v>6048</v>
      </c>
      <c r="AU5100">
        <v>5099</v>
      </c>
    </row>
    <row r="5101" spans="1:47" x14ac:dyDescent="0.2">
      <c r="A5101" s="26">
        <v>6778</v>
      </c>
      <c r="B5101" s="27">
        <v>0</v>
      </c>
      <c r="C5101" s="28"/>
      <c r="D5101" s="29"/>
      <c r="E5101" s="30" t="s">
        <v>4219</v>
      </c>
      <c r="H5101" s="32">
        <v>0</v>
      </c>
      <c r="I5101" s="32" t="s">
        <v>6226</v>
      </c>
      <c r="AG5101" s="32">
        <v>0</v>
      </c>
      <c r="AH5101" s="32">
        <v>0</v>
      </c>
      <c r="AI5101" s="32">
        <v>0</v>
      </c>
      <c r="AK5101" s="32">
        <v>0</v>
      </c>
      <c r="AL5101" s="32">
        <v>0.33300000000000002</v>
      </c>
      <c r="AO5101" s="32" t="s">
        <v>858</v>
      </c>
      <c r="AP5101" s="32">
        <v>0.33300000000000002</v>
      </c>
      <c r="AQ5101" s="32" t="s">
        <v>1101</v>
      </c>
      <c r="AU5101">
        <v>5100</v>
      </c>
    </row>
    <row r="5102" spans="1:47" x14ac:dyDescent="0.2">
      <c r="A5102" s="26">
        <v>6778</v>
      </c>
      <c r="B5102" s="27">
        <v>1.5972222222222224E-2</v>
      </c>
      <c r="C5102" s="28"/>
      <c r="D5102" s="29"/>
      <c r="E5102" s="30" t="s">
        <v>3737</v>
      </c>
      <c r="H5102" s="32">
        <v>0</v>
      </c>
      <c r="I5102" s="32" t="s">
        <v>4926</v>
      </c>
      <c r="AG5102" s="32">
        <v>0</v>
      </c>
      <c r="AH5102" s="32">
        <v>0</v>
      </c>
      <c r="AI5102" s="32">
        <v>0</v>
      </c>
      <c r="AK5102" s="32">
        <v>0</v>
      </c>
      <c r="AL5102" s="32">
        <f>39/60</f>
        <v>0.65</v>
      </c>
      <c r="AM5102" s="33">
        <f>3125*AL5102</f>
        <v>2031.25</v>
      </c>
      <c r="AP5102" s="32">
        <f>39/60</f>
        <v>0.65</v>
      </c>
      <c r="AQ5102" s="32" t="s">
        <v>1101</v>
      </c>
      <c r="AU5102">
        <v>5101</v>
      </c>
    </row>
    <row r="5103" spans="1:47" x14ac:dyDescent="0.2">
      <c r="A5103" s="26">
        <v>6778</v>
      </c>
      <c r="B5103" s="27">
        <v>3.125E-2</v>
      </c>
      <c r="C5103" s="28"/>
      <c r="D5103" s="29"/>
      <c r="E5103" s="30" t="s">
        <v>3155</v>
      </c>
      <c r="H5103" s="32">
        <v>0</v>
      </c>
      <c r="I5103" s="32" t="s">
        <v>3156</v>
      </c>
      <c r="AG5103" s="32">
        <v>0</v>
      </c>
      <c r="AH5103" s="32">
        <v>0</v>
      </c>
      <c r="AI5103" s="32">
        <v>0</v>
      </c>
      <c r="AK5103" s="32">
        <v>0</v>
      </c>
      <c r="AP5103" s="32">
        <f>43/60</f>
        <v>0.71666666666666667</v>
      </c>
      <c r="AQ5103" s="32" t="s">
        <v>1101</v>
      </c>
      <c r="AU5103">
        <v>5102</v>
      </c>
    </row>
    <row r="5104" spans="1:47" x14ac:dyDescent="0.2">
      <c r="A5104" s="26">
        <v>6778</v>
      </c>
      <c r="B5104" s="27">
        <v>6.6666666666666666E-2</v>
      </c>
      <c r="C5104" s="28"/>
      <c r="D5104" s="29"/>
      <c r="E5104" s="30" t="s">
        <v>6177</v>
      </c>
      <c r="H5104" s="32">
        <v>1</v>
      </c>
      <c r="I5104" s="32" t="s">
        <v>6227</v>
      </c>
      <c r="AI5104" s="32">
        <f>23329+5952</f>
        <v>29281</v>
      </c>
      <c r="AK5104" s="32">
        <v>8</v>
      </c>
      <c r="AL5104" s="32">
        <v>0</v>
      </c>
      <c r="AO5104" s="32" t="s">
        <v>6228</v>
      </c>
      <c r="AQ5104" s="32" t="s">
        <v>6229</v>
      </c>
      <c r="AU5104">
        <v>5103</v>
      </c>
    </row>
    <row r="5105" spans="1:47" x14ac:dyDescent="0.2">
      <c r="A5105" s="26">
        <v>6778</v>
      </c>
      <c r="B5105" s="27">
        <v>0.125</v>
      </c>
      <c r="C5105" s="28"/>
      <c r="D5105" s="29"/>
      <c r="E5105" s="30" t="s">
        <v>464</v>
      </c>
      <c r="H5105" s="32">
        <v>0</v>
      </c>
      <c r="I5105" s="32" t="s">
        <v>6230</v>
      </c>
      <c r="AG5105" s="32">
        <v>0</v>
      </c>
      <c r="AH5105" s="32">
        <v>0</v>
      </c>
      <c r="AL5105" s="32">
        <v>0.75</v>
      </c>
      <c r="AO5105" s="32" t="s">
        <v>4067</v>
      </c>
      <c r="AP5105" s="32">
        <v>0.75</v>
      </c>
      <c r="AQ5105" s="32" t="s">
        <v>1522</v>
      </c>
      <c r="AU5105">
        <v>5104</v>
      </c>
    </row>
    <row r="5106" spans="1:47" x14ac:dyDescent="0.2">
      <c r="A5106" s="26">
        <v>6778</v>
      </c>
      <c r="B5106" s="27">
        <v>0.27430555555555552</v>
      </c>
      <c r="C5106" s="28"/>
      <c r="D5106" s="29"/>
      <c r="E5106" s="30" t="s">
        <v>464</v>
      </c>
      <c r="H5106" s="32">
        <v>0</v>
      </c>
      <c r="I5106" s="32" t="s">
        <v>6231</v>
      </c>
      <c r="AG5106" s="32">
        <v>0</v>
      </c>
      <c r="AH5106" s="32">
        <v>0</v>
      </c>
      <c r="AL5106" s="32">
        <f>25/60</f>
        <v>0.41666666666666669</v>
      </c>
      <c r="AO5106" s="32" t="s">
        <v>4067</v>
      </c>
      <c r="AP5106" s="32">
        <f>25/60</f>
        <v>0.41666666666666669</v>
      </c>
      <c r="AQ5106" s="32" t="s">
        <v>1522</v>
      </c>
      <c r="AU5106">
        <v>5105</v>
      </c>
    </row>
    <row r="5107" spans="1:47" x14ac:dyDescent="0.2">
      <c r="A5107" s="26">
        <v>6778</v>
      </c>
      <c r="B5107" s="27">
        <v>0.57013888888888886</v>
      </c>
      <c r="C5107" s="28"/>
      <c r="D5107" s="29"/>
      <c r="E5107" s="30" t="s">
        <v>3155</v>
      </c>
      <c r="H5107" s="32">
        <v>0</v>
      </c>
      <c r="I5107" s="32" t="s">
        <v>3156</v>
      </c>
      <c r="AG5107" s="32">
        <v>0</v>
      </c>
      <c r="AH5107" s="32">
        <v>0</v>
      </c>
      <c r="AI5107" s="32">
        <v>0</v>
      </c>
      <c r="AK5107" s="32">
        <v>0</v>
      </c>
      <c r="AP5107" s="32">
        <f>27/60</f>
        <v>0.45</v>
      </c>
      <c r="AQ5107" s="32" t="s">
        <v>1101</v>
      </c>
      <c r="AU5107">
        <v>5106</v>
      </c>
    </row>
    <row r="5108" spans="1:47" x14ac:dyDescent="0.2">
      <c r="A5108" s="26">
        <v>6778</v>
      </c>
      <c r="B5108" s="27">
        <v>0.73958333333333337</v>
      </c>
      <c r="C5108" s="28"/>
      <c r="D5108" s="29"/>
      <c r="E5108" s="30" t="s">
        <v>464</v>
      </c>
      <c r="H5108" s="32">
        <v>0</v>
      </c>
      <c r="I5108" s="32" t="s">
        <v>4561</v>
      </c>
      <c r="AG5108" s="32">
        <v>0</v>
      </c>
      <c r="AH5108" s="32">
        <v>0</v>
      </c>
      <c r="AL5108" s="32">
        <v>0.33300000000000002</v>
      </c>
      <c r="AO5108" s="32" t="s">
        <v>4067</v>
      </c>
      <c r="AP5108" s="32">
        <v>0.33300000000000002</v>
      </c>
      <c r="AQ5108" s="32" t="s">
        <v>1522</v>
      </c>
      <c r="AU5108">
        <v>5107</v>
      </c>
    </row>
    <row r="5109" spans="1:47" x14ac:dyDescent="0.2">
      <c r="A5109" s="26">
        <v>6778</v>
      </c>
      <c r="B5109" s="27">
        <v>0.89236111111111116</v>
      </c>
      <c r="C5109" s="28"/>
      <c r="D5109" s="29"/>
      <c r="E5109" s="102" t="s">
        <v>1102</v>
      </c>
      <c r="H5109" s="32">
        <v>0</v>
      </c>
      <c r="I5109" s="32" t="s">
        <v>1103</v>
      </c>
      <c r="AG5109" s="32">
        <v>0</v>
      </c>
      <c r="AH5109" s="32">
        <v>0</v>
      </c>
      <c r="AI5109" s="32">
        <v>0</v>
      </c>
      <c r="AK5109" s="32">
        <v>0</v>
      </c>
      <c r="AL5109" s="32">
        <v>0.1</v>
      </c>
      <c r="AO5109" s="73" t="s">
        <v>1006</v>
      </c>
      <c r="AP5109" s="32">
        <v>0.1</v>
      </c>
      <c r="AQ5109" s="32" t="s">
        <v>589</v>
      </c>
      <c r="AU5109">
        <v>5108</v>
      </c>
    </row>
    <row r="5110" spans="1:47" x14ac:dyDescent="0.2">
      <c r="A5110" s="26">
        <v>6778</v>
      </c>
      <c r="B5110" s="27">
        <v>0.96875</v>
      </c>
      <c r="C5110" s="28"/>
      <c r="D5110" s="29"/>
      <c r="E5110" s="30" t="s">
        <v>464</v>
      </c>
      <c r="H5110" s="32">
        <v>0</v>
      </c>
      <c r="I5110" s="32" t="s">
        <v>6232</v>
      </c>
      <c r="AG5110" s="32">
        <v>0</v>
      </c>
      <c r="AH5110" s="32">
        <v>0</v>
      </c>
      <c r="AL5110" s="32">
        <v>2.25</v>
      </c>
      <c r="AO5110" s="32" t="s">
        <v>4067</v>
      </c>
      <c r="AP5110" s="32">
        <v>2.25</v>
      </c>
      <c r="AQ5110" s="32" t="s">
        <v>1522</v>
      </c>
      <c r="AU5110">
        <v>5109</v>
      </c>
    </row>
    <row r="5111" spans="1:47" x14ac:dyDescent="0.2">
      <c r="A5111" s="26">
        <v>6778</v>
      </c>
      <c r="B5111" s="27">
        <v>0.99305555555555547</v>
      </c>
      <c r="C5111" s="28"/>
      <c r="D5111" s="29"/>
      <c r="E5111" s="30" t="s">
        <v>1282</v>
      </c>
      <c r="H5111" s="32">
        <v>1</v>
      </c>
      <c r="I5111" s="32" t="s">
        <v>6233</v>
      </c>
      <c r="AG5111" s="32">
        <v>0</v>
      </c>
      <c r="AH5111" s="32">
        <v>0</v>
      </c>
      <c r="AL5111" s="32">
        <v>0.5</v>
      </c>
      <c r="AP5111" s="32">
        <v>0.5</v>
      </c>
      <c r="AQ5111" s="32" t="s">
        <v>1101</v>
      </c>
      <c r="AU5111">
        <v>5110</v>
      </c>
    </row>
    <row r="5112" spans="1:47" x14ac:dyDescent="0.2">
      <c r="A5112" s="26">
        <v>6778</v>
      </c>
      <c r="B5112" s="27" t="s">
        <v>85</v>
      </c>
      <c r="C5112" s="28"/>
      <c r="D5112" s="29"/>
      <c r="E5112" s="30" t="s">
        <v>1531</v>
      </c>
      <c r="H5112" s="32">
        <v>0</v>
      </c>
      <c r="I5112" s="32" t="s">
        <v>1532</v>
      </c>
      <c r="AG5112" s="32">
        <v>0</v>
      </c>
      <c r="AH5112" s="32">
        <v>0</v>
      </c>
      <c r="AI5112" s="32">
        <v>0</v>
      </c>
      <c r="AK5112" s="32">
        <v>0</v>
      </c>
      <c r="AM5112" s="32">
        <f>498*35</f>
        <v>17430</v>
      </c>
      <c r="AO5112" s="32" t="s">
        <v>1533</v>
      </c>
      <c r="AQ5112" s="32" t="s">
        <v>1101</v>
      </c>
      <c r="AU5112">
        <v>5111</v>
      </c>
    </row>
    <row r="5113" spans="1:47" x14ac:dyDescent="0.2">
      <c r="A5113" s="26">
        <v>6778</v>
      </c>
      <c r="B5113" s="27"/>
      <c r="C5113" s="28"/>
      <c r="D5113" s="29"/>
      <c r="E5113" s="30" t="s">
        <v>4666</v>
      </c>
      <c r="H5113" s="32">
        <v>1</v>
      </c>
      <c r="I5113" s="32" t="s">
        <v>6234</v>
      </c>
      <c r="AG5113" s="32">
        <v>0</v>
      </c>
      <c r="AH5113" s="32">
        <v>0</v>
      </c>
      <c r="AI5113" s="32">
        <v>0</v>
      </c>
      <c r="AL5113" s="32">
        <v>2</v>
      </c>
      <c r="AO5113" s="32" t="s">
        <v>4668</v>
      </c>
      <c r="AP5113" s="32">
        <v>2</v>
      </c>
      <c r="AQ5113" s="32">
        <v>409</v>
      </c>
      <c r="AU5113">
        <v>5112</v>
      </c>
    </row>
    <row r="5114" spans="1:47" x14ac:dyDescent="0.2">
      <c r="A5114" s="26">
        <v>6778</v>
      </c>
      <c r="B5114" s="27"/>
      <c r="C5114" s="28"/>
      <c r="D5114" s="29"/>
      <c r="E5114" s="30" t="s">
        <v>6235</v>
      </c>
      <c r="H5114" s="32">
        <v>1</v>
      </c>
      <c r="I5114" s="32" t="s">
        <v>6236</v>
      </c>
      <c r="AQ5114" s="32" t="s">
        <v>6237</v>
      </c>
      <c r="AU5114">
        <v>5113</v>
      </c>
    </row>
    <row r="5115" spans="1:47" x14ac:dyDescent="0.2">
      <c r="A5115" s="26">
        <v>6779</v>
      </c>
      <c r="B5115" s="27">
        <v>7.9861111111111105E-2</v>
      </c>
      <c r="C5115" s="28"/>
      <c r="D5115" s="29"/>
      <c r="E5115" s="30" t="s">
        <v>464</v>
      </c>
      <c r="H5115" s="32">
        <v>0</v>
      </c>
      <c r="I5115" s="32" t="s">
        <v>5766</v>
      </c>
      <c r="AG5115" s="32">
        <v>0</v>
      </c>
      <c r="AH5115" s="32">
        <v>0</v>
      </c>
      <c r="AI5115" s="32">
        <v>0</v>
      </c>
      <c r="AK5115" s="32">
        <v>0</v>
      </c>
      <c r="AL5115" s="32">
        <v>0.33300000000000002</v>
      </c>
      <c r="AO5115" s="32" t="s">
        <v>4067</v>
      </c>
      <c r="AP5115" s="32">
        <v>0.33300000000000002</v>
      </c>
      <c r="AQ5115" s="32" t="s">
        <v>1522</v>
      </c>
      <c r="AU5115">
        <v>5114</v>
      </c>
    </row>
    <row r="5116" spans="1:47" x14ac:dyDescent="0.2">
      <c r="A5116" s="13">
        <v>6780</v>
      </c>
      <c r="B5116" s="57" t="s">
        <v>45</v>
      </c>
      <c r="C5116" s="57" t="s">
        <v>142</v>
      </c>
      <c r="D5116" s="29"/>
      <c r="E5116" s="57" t="s">
        <v>6238</v>
      </c>
      <c r="F5116" s="31" t="s">
        <v>6239</v>
      </c>
      <c r="G5116" s="31" t="s">
        <v>49</v>
      </c>
      <c r="H5116" s="32"/>
      <c r="I5116" s="47" t="b">
        <v>1</v>
      </c>
      <c r="J5116" s="47" t="b">
        <v>1</v>
      </c>
      <c r="L5116" s="33">
        <f>33+7</f>
        <v>40</v>
      </c>
      <c r="S5116" s="33">
        <f>33+7</f>
        <v>40</v>
      </c>
      <c r="Z5116" s="31" t="s">
        <v>3855</v>
      </c>
      <c r="AE5116" s="47" t="s">
        <v>4217</v>
      </c>
      <c r="AQ5116" s="32" t="s">
        <v>6223</v>
      </c>
      <c r="AR5116" s="32" t="s">
        <v>6240</v>
      </c>
      <c r="AU5116">
        <v>5115</v>
      </c>
    </row>
    <row r="5117" spans="1:47" x14ac:dyDescent="0.2">
      <c r="A5117" s="13">
        <v>6780</v>
      </c>
      <c r="B5117" s="57" t="s">
        <v>45</v>
      </c>
      <c r="C5117" s="57" t="s">
        <v>142</v>
      </c>
      <c r="D5117" s="29"/>
      <c r="E5117" s="57" t="s">
        <v>6182</v>
      </c>
      <c r="F5117" s="31" t="s">
        <v>76</v>
      </c>
      <c r="G5117" s="31" t="s">
        <v>49</v>
      </c>
      <c r="I5117" s="47" t="b">
        <v>0</v>
      </c>
      <c r="J5117" s="47" t="b">
        <v>0</v>
      </c>
      <c r="K5117" s="31">
        <v>14927</v>
      </c>
      <c r="S5117" s="33">
        <v>28</v>
      </c>
      <c r="Z5117" s="31" t="s">
        <v>3855</v>
      </c>
      <c r="AE5117" s="47" t="s">
        <v>4217</v>
      </c>
      <c r="AK5117" s="32">
        <v>211</v>
      </c>
      <c r="AQ5117" s="32" t="s">
        <v>6048</v>
      </c>
      <c r="AU5117">
        <v>5116</v>
      </c>
    </row>
    <row r="5118" spans="1:47" x14ac:dyDescent="0.2">
      <c r="A5118" s="13">
        <v>6780</v>
      </c>
      <c r="B5118" s="57" t="s">
        <v>45</v>
      </c>
      <c r="C5118" s="57" t="s">
        <v>142</v>
      </c>
      <c r="D5118" s="29"/>
      <c r="E5118" s="57" t="s">
        <v>5253</v>
      </c>
      <c r="F5118" s="31" t="s">
        <v>76</v>
      </c>
      <c r="G5118" s="31" t="s">
        <v>49</v>
      </c>
      <c r="I5118" s="47" t="b">
        <v>0</v>
      </c>
      <c r="J5118" s="47" t="b">
        <v>0</v>
      </c>
      <c r="K5118" s="31">
        <v>2970</v>
      </c>
      <c r="S5118" s="33">
        <v>5</v>
      </c>
      <c r="Z5118" s="31" t="s">
        <v>3855</v>
      </c>
      <c r="AE5118" s="47" t="s">
        <v>4217</v>
      </c>
      <c r="AF5118" s="31">
        <v>70</v>
      </c>
      <c r="AK5118" s="32">
        <v>34</v>
      </c>
      <c r="AQ5118" s="32" t="s">
        <v>6048</v>
      </c>
      <c r="AU5118">
        <v>5117</v>
      </c>
    </row>
    <row r="5119" spans="1:47" x14ac:dyDescent="0.2">
      <c r="A5119" s="13">
        <v>6780</v>
      </c>
      <c r="B5119" s="57" t="s">
        <v>45</v>
      </c>
      <c r="C5119" s="57" t="s">
        <v>4843</v>
      </c>
      <c r="D5119" s="29"/>
      <c r="E5119" s="57" t="s">
        <v>1078</v>
      </c>
      <c r="F5119" s="31" t="s">
        <v>76</v>
      </c>
      <c r="G5119" s="31" t="s">
        <v>49</v>
      </c>
      <c r="I5119" s="31" t="s">
        <v>6107</v>
      </c>
      <c r="K5119" s="31">
        <v>1254</v>
      </c>
      <c r="S5119" s="33">
        <v>2</v>
      </c>
      <c r="Z5119" s="31" t="s">
        <v>3814</v>
      </c>
      <c r="AE5119" s="31" t="s">
        <v>4411</v>
      </c>
      <c r="AF5119" s="31">
        <v>70</v>
      </c>
      <c r="AK5119" s="32">
        <v>17</v>
      </c>
      <c r="AQ5119" s="32" t="s">
        <v>6048</v>
      </c>
      <c r="AU5119">
        <v>5118</v>
      </c>
    </row>
    <row r="5120" spans="1:47" x14ac:dyDescent="0.2">
      <c r="A5120" s="13">
        <v>6780</v>
      </c>
      <c r="B5120" s="57" t="s">
        <v>45</v>
      </c>
      <c r="C5120" s="57" t="s">
        <v>4843</v>
      </c>
      <c r="D5120" s="29"/>
      <c r="E5120" s="57" t="s">
        <v>5379</v>
      </c>
      <c r="F5120" s="31" t="s">
        <v>76</v>
      </c>
      <c r="G5120" s="31" t="s">
        <v>49</v>
      </c>
      <c r="K5120" s="31">
        <v>1672</v>
      </c>
      <c r="S5120" s="33">
        <v>3</v>
      </c>
      <c r="Z5120" s="31" t="s">
        <v>3814</v>
      </c>
      <c r="AE5120" s="31" t="s">
        <v>4411</v>
      </c>
      <c r="AF5120" s="31">
        <v>75</v>
      </c>
      <c r="AK5120" s="32">
        <v>16</v>
      </c>
      <c r="AQ5120" s="32" t="s">
        <v>6048</v>
      </c>
      <c r="AU5120">
        <v>5119</v>
      </c>
    </row>
    <row r="5121" spans="1:47" x14ac:dyDescent="0.2">
      <c r="A5121" s="13">
        <v>6780</v>
      </c>
      <c r="B5121" s="57" t="s">
        <v>45</v>
      </c>
      <c r="C5121" s="57" t="s">
        <v>4843</v>
      </c>
      <c r="D5121" s="29"/>
      <c r="E5121" s="57" t="s">
        <v>6187</v>
      </c>
      <c r="F5121" s="31" t="s">
        <v>76</v>
      </c>
      <c r="G5121" s="31" t="s">
        <v>49</v>
      </c>
      <c r="K5121" s="31">
        <v>1760</v>
      </c>
      <c r="S5121" s="33">
        <v>3</v>
      </c>
      <c r="Z5121" s="31" t="s">
        <v>3814</v>
      </c>
      <c r="AE5121" s="31" t="s">
        <v>4411</v>
      </c>
      <c r="AF5121" s="31">
        <v>65</v>
      </c>
      <c r="AK5121" s="32">
        <v>20</v>
      </c>
      <c r="AQ5121" s="32" t="s">
        <v>6048</v>
      </c>
      <c r="AU5121">
        <v>5120</v>
      </c>
    </row>
    <row r="5122" spans="1:47" x14ac:dyDescent="0.2">
      <c r="A5122" s="13">
        <v>6780</v>
      </c>
      <c r="B5122" s="57" t="s">
        <v>45</v>
      </c>
      <c r="C5122" s="57" t="s">
        <v>4843</v>
      </c>
      <c r="D5122" s="29"/>
      <c r="E5122" s="57" t="s">
        <v>6182</v>
      </c>
      <c r="F5122" s="31" t="s">
        <v>76</v>
      </c>
      <c r="G5122" s="31" t="s">
        <v>49</v>
      </c>
      <c r="K5122" s="31">
        <v>7678</v>
      </c>
      <c r="S5122" s="33">
        <v>15</v>
      </c>
      <c r="Z5122" s="31" t="s">
        <v>3814</v>
      </c>
      <c r="AE5122" s="31" t="s">
        <v>4411</v>
      </c>
      <c r="AK5122" s="32">
        <v>82</v>
      </c>
      <c r="AQ5122" s="32" t="s">
        <v>6048</v>
      </c>
      <c r="AU5122">
        <v>5121</v>
      </c>
    </row>
    <row r="5123" spans="1:47" x14ac:dyDescent="0.2">
      <c r="A5123" s="13">
        <v>6780</v>
      </c>
      <c r="B5123" s="57" t="s">
        <v>45</v>
      </c>
      <c r="C5123" s="57" t="s">
        <v>6060</v>
      </c>
      <c r="D5123" s="29"/>
      <c r="E5123" s="57" t="s">
        <v>6241</v>
      </c>
      <c r="F5123" s="31" t="s">
        <v>76</v>
      </c>
      <c r="G5123" s="31" t="s">
        <v>49</v>
      </c>
      <c r="I5123" s="19" t="s">
        <v>6242</v>
      </c>
      <c r="K5123" s="63"/>
      <c r="Z5123" s="31" t="s">
        <v>1846</v>
      </c>
      <c r="AE5123" s="31" t="s">
        <v>4756</v>
      </c>
      <c r="AF5123" s="31">
        <v>65</v>
      </c>
      <c r="AQ5123" s="32" t="s">
        <v>6048</v>
      </c>
      <c r="AU5123">
        <v>5122</v>
      </c>
    </row>
    <row r="5124" spans="1:47" x14ac:dyDescent="0.2">
      <c r="A5124" s="13">
        <v>6780</v>
      </c>
      <c r="B5124" s="57" t="s">
        <v>45</v>
      </c>
      <c r="C5124" s="57" t="s">
        <v>6060</v>
      </c>
      <c r="D5124" s="29"/>
      <c r="E5124" s="57" t="s">
        <v>6243</v>
      </c>
      <c r="F5124" s="31" t="s">
        <v>76</v>
      </c>
      <c r="G5124" s="31" t="s">
        <v>49</v>
      </c>
      <c r="I5124" s="31" t="s">
        <v>6244</v>
      </c>
      <c r="K5124" s="63"/>
      <c r="Z5124" s="31" t="s">
        <v>1846</v>
      </c>
      <c r="AE5124" s="31" t="s">
        <v>4756</v>
      </c>
      <c r="AF5124" s="31">
        <v>50</v>
      </c>
      <c r="AQ5124" s="32" t="s">
        <v>6048</v>
      </c>
      <c r="AU5124">
        <v>5123</v>
      </c>
    </row>
    <row r="5125" spans="1:47" x14ac:dyDescent="0.2">
      <c r="A5125" s="13">
        <v>6780</v>
      </c>
      <c r="B5125" s="57" t="s">
        <v>45</v>
      </c>
      <c r="C5125" s="57" t="s">
        <v>6060</v>
      </c>
      <c r="D5125" s="29"/>
      <c r="E5125" s="57" t="s">
        <v>6245</v>
      </c>
      <c r="F5125" s="31" t="s">
        <v>76</v>
      </c>
      <c r="G5125" s="31" t="s">
        <v>49</v>
      </c>
      <c r="I5125" s="31" t="s">
        <v>6246</v>
      </c>
      <c r="K5125" s="63"/>
      <c r="Z5125" s="31" t="s">
        <v>1846</v>
      </c>
      <c r="AE5125" s="31" t="s">
        <v>4756</v>
      </c>
      <c r="AF5125" s="31">
        <v>50</v>
      </c>
      <c r="AQ5125" s="32" t="s">
        <v>6048</v>
      </c>
      <c r="AU5125">
        <v>5124</v>
      </c>
    </row>
    <row r="5126" spans="1:47" x14ac:dyDescent="0.2">
      <c r="A5126" s="13">
        <v>6780</v>
      </c>
      <c r="B5126" s="57" t="s">
        <v>45</v>
      </c>
      <c r="C5126" s="57" t="s">
        <v>6060</v>
      </c>
      <c r="D5126" s="29"/>
      <c r="E5126" s="57" t="s">
        <v>5945</v>
      </c>
      <c r="F5126" s="31" t="s">
        <v>83</v>
      </c>
      <c r="G5126" s="31" t="s">
        <v>69</v>
      </c>
      <c r="I5126" s="31" t="s">
        <v>6247</v>
      </c>
      <c r="K5126" s="63"/>
      <c r="Z5126" s="31" t="s">
        <v>1846</v>
      </c>
      <c r="AE5126" s="31" t="s">
        <v>4756</v>
      </c>
      <c r="AF5126" s="31">
        <v>40</v>
      </c>
      <c r="AQ5126" s="32" t="s">
        <v>6048</v>
      </c>
      <c r="AU5126">
        <v>5125</v>
      </c>
    </row>
    <row r="5127" spans="1:47" x14ac:dyDescent="0.2">
      <c r="A5127" s="13">
        <v>6780</v>
      </c>
      <c r="B5127" s="57" t="s">
        <v>45</v>
      </c>
      <c r="C5127" s="57" t="s">
        <v>4456</v>
      </c>
      <c r="D5127" s="29"/>
      <c r="E5127" s="57" t="s">
        <v>6248</v>
      </c>
      <c r="F5127" s="31" t="s">
        <v>76</v>
      </c>
      <c r="G5127" s="31" t="s">
        <v>49</v>
      </c>
      <c r="I5127" s="19" t="s">
        <v>6249</v>
      </c>
      <c r="K5127" s="183">
        <f>414*2.2</f>
        <v>910.80000000000007</v>
      </c>
      <c r="L5127" s="33">
        <v>1</v>
      </c>
      <c r="S5127" s="33">
        <v>1</v>
      </c>
      <c r="T5127" s="31">
        <v>0</v>
      </c>
      <c r="U5127" s="31">
        <v>0</v>
      </c>
      <c r="V5127" s="31">
        <v>0</v>
      </c>
      <c r="W5127" s="47">
        <f>2000*39.37/12</f>
        <v>6561.666666666667</v>
      </c>
      <c r="Y5127" s="19" t="s">
        <v>51</v>
      </c>
      <c r="Z5127" s="19" t="s">
        <v>1846</v>
      </c>
      <c r="AA5127" s="34">
        <v>0.94444444444444453</v>
      </c>
      <c r="AB5127" s="34">
        <v>1.0138888888888888</v>
      </c>
      <c r="AC5127" s="49">
        <f>AVERAGE(AA5127:AB5127)</f>
        <v>0.97916666666666674</v>
      </c>
      <c r="AD5127" s="50">
        <f>(AB5127-AA5127)*24</f>
        <v>1.6666666666666634</v>
      </c>
      <c r="AE5127" s="31" t="s">
        <v>4756</v>
      </c>
      <c r="AF5127" s="31">
        <v>65</v>
      </c>
      <c r="AQ5127" s="18" t="s">
        <v>6250</v>
      </c>
      <c r="AU5127">
        <v>5126</v>
      </c>
    </row>
    <row r="5128" spans="1:47" x14ac:dyDescent="0.2">
      <c r="A5128" s="13">
        <v>6780</v>
      </c>
      <c r="B5128" s="57" t="s">
        <v>45</v>
      </c>
      <c r="C5128" s="57" t="s">
        <v>4456</v>
      </c>
      <c r="D5128" s="29"/>
      <c r="E5128" s="57" t="s">
        <v>5945</v>
      </c>
      <c r="F5128" s="31" t="s">
        <v>83</v>
      </c>
      <c r="G5128" s="31" t="s">
        <v>69</v>
      </c>
      <c r="I5128" s="31" t="s">
        <v>6251</v>
      </c>
      <c r="K5128" s="183">
        <f>414*2.2</f>
        <v>910.80000000000007</v>
      </c>
      <c r="L5128" s="33">
        <v>1</v>
      </c>
      <c r="S5128" s="33">
        <v>1</v>
      </c>
      <c r="T5128" s="31">
        <v>0</v>
      </c>
      <c r="U5128" s="31">
        <v>0</v>
      </c>
      <c r="V5128" s="31">
        <v>0</v>
      </c>
      <c r="W5128" s="47">
        <f>2000*39.37/12</f>
        <v>6561.666666666667</v>
      </c>
      <c r="Y5128" s="19" t="s">
        <v>51</v>
      </c>
      <c r="Z5128" s="19" t="s">
        <v>1846</v>
      </c>
      <c r="AA5128" s="34">
        <v>0.96527777777777779</v>
      </c>
      <c r="AB5128" s="34">
        <v>1.0208333333333333</v>
      </c>
      <c r="AC5128" s="49">
        <f>AVERAGE(AA5128:AB5128)</f>
        <v>0.99305555555555558</v>
      </c>
      <c r="AD5128" s="50">
        <f>(AB5128-AA5128)*24</f>
        <v>1.3333333333333313</v>
      </c>
      <c r="AE5128" s="31" t="s">
        <v>4756</v>
      </c>
      <c r="AF5128" s="31">
        <v>40</v>
      </c>
      <c r="AQ5128" s="18" t="s">
        <v>6250</v>
      </c>
      <c r="AU5128">
        <v>5127</v>
      </c>
    </row>
    <row r="5129" spans="1:47" x14ac:dyDescent="0.2">
      <c r="A5129" s="13">
        <v>6780</v>
      </c>
      <c r="B5129" s="57" t="s">
        <v>45</v>
      </c>
      <c r="C5129" s="57" t="s">
        <v>4456</v>
      </c>
      <c r="D5129" s="29"/>
      <c r="E5129" s="57" t="s">
        <v>6252</v>
      </c>
      <c r="F5129" s="31" t="s">
        <v>6253</v>
      </c>
      <c r="G5129" s="31" t="s">
        <v>69</v>
      </c>
      <c r="I5129" s="31" t="s">
        <v>6254</v>
      </c>
      <c r="K5129" s="183">
        <f>414*2.2</f>
        <v>910.80000000000007</v>
      </c>
      <c r="L5129" s="33">
        <v>1</v>
      </c>
      <c r="S5129" s="33">
        <v>1</v>
      </c>
      <c r="T5129" s="31">
        <v>0</v>
      </c>
      <c r="U5129" s="31">
        <v>0</v>
      </c>
      <c r="V5129" s="31">
        <v>0</v>
      </c>
      <c r="W5129" s="47">
        <f>2000*39.37/12</f>
        <v>6561.666666666667</v>
      </c>
      <c r="Y5129" s="19" t="s">
        <v>51</v>
      </c>
      <c r="Z5129" s="19" t="s">
        <v>1846</v>
      </c>
      <c r="AA5129" s="34">
        <v>0.95833333333333337</v>
      </c>
      <c r="AB5129" s="34">
        <v>1.0173611111111112</v>
      </c>
      <c r="AC5129" s="49">
        <f>AVERAGE(AA5129:AB5129)</f>
        <v>0.98784722222222232</v>
      </c>
      <c r="AD5129" s="50">
        <f>(AB5129-AA5129)*24</f>
        <v>1.416666666666667</v>
      </c>
      <c r="AE5129" s="31" t="s">
        <v>4756</v>
      </c>
      <c r="AF5129" s="31">
        <v>45</v>
      </c>
      <c r="AQ5129" s="18" t="s">
        <v>6250</v>
      </c>
      <c r="AU5129">
        <v>5128</v>
      </c>
    </row>
    <row r="5130" spans="1:47" x14ac:dyDescent="0.2">
      <c r="A5130" s="13">
        <v>6780</v>
      </c>
      <c r="B5130" s="57" t="s">
        <v>45</v>
      </c>
      <c r="C5130" s="57" t="s">
        <v>4456</v>
      </c>
      <c r="D5130" s="29"/>
      <c r="E5130" s="57" t="s">
        <v>6243</v>
      </c>
      <c r="F5130" s="31" t="s">
        <v>76</v>
      </c>
      <c r="G5130" s="31" t="s">
        <v>49</v>
      </c>
      <c r="I5130" s="31" t="s">
        <v>6255</v>
      </c>
      <c r="K5130" s="183">
        <f>414*2.2</f>
        <v>910.80000000000007</v>
      </c>
      <c r="L5130" s="33">
        <v>1</v>
      </c>
      <c r="S5130" s="33">
        <v>1</v>
      </c>
      <c r="T5130" s="31">
        <v>0</v>
      </c>
      <c r="U5130" s="31">
        <v>0</v>
      </c>
      <c r="V5130" s="31">
        <v>0</v>
      </c>
      <c r="W5130" s="47">
        <f>1800*39.37/12</f>
        <v>5905.5</v>
      </c>
      <c r="Y5130" s="19" t="s">
        <v>51</v>
      </c>
      <c r="Z5130" s="19" t="s">
        <v>1846</v>
      </c>
      <c r="AA5130" s="34">
        <v>0.95138888888888884</v>
      </c>
      <c r="AB5130" s="34">
        <v>1.0208333333333333</v>
      </c>
      <c r="AC5130" s="49">
        <f>AVERAGE(AA5130:AB5130)</f>
        <v>0.98611111111111105</v>
      </c>
      <c r="AD5130" s="50">
        <f>(AB5130-AA5130)*24</f>
        <v>1.6666666666666661</v>
      </c>
      <c r="AE5130" s="31" t="s">
        <v>4756</v>
      </c>
      <c r="AF5130" s="31">
        <v>50</v>
      </c>
      <c r="AQ5130" s="18" t="s">
        <v>6250</v>
      </c>
      <c r="AU5130">
        <v>5129</v>
      </c>
    </row>
    <row r="5131" spans="1:47" x14ac:dyDescent="0.2">
      <c r="A5131" s="133">
        <v>6781</v>
      </c>
      <c r="B5131" s="39" t="s">
        <v>85</v>
      </c>
      <c r="C5131" s="39" t="s">
        <v>6256</v>
      </c>
      <c r="D5131" s="29" t="b">
        <v>0</v>
      </c>
      <c r="E5131" s="39" t="s">
        <v>6257</v>
      </c>
      <c r="H5131" s="32"/>
      <c r="I5131" s="32" t="s">
        <v>6258</v>
      </c>
      <c r="L5131" s="33">
        <v>70</v>
      </c>
      <c r="T5131" s="31">
        <v>8</v>
      </c>
      <c r="AU5131">
        <v>5130</v>
      </c>
    </row>
    <row r="5132" spans="1:47" x14ac:dyDescent="0.2">
      <c r="A5132" s="133">
        <v>6781</v>
      </c>
      <c r="B5132" s="39" t="s">
        <v>85</v>
      </c>
      <c r="C5132" s="15" t="s">
        <v>5626</v>
      </c>
      <c r="D5132" s="29"/>
      <c r="E5132" s="15" t="s">
        <v>6259</v>
      </c>
      <c r="F5132" s="19" t="s">
        <v>6207</v>
      </c>
      <c r="G5132" s="19" t="s">
        <v>69</v>
      </c>
      <c r="H5132" s="32"/>
      <c r="I5132" s="167" t="s">
        <v>6260</v>
      </c>
      <c r="K5132" s="31">
        <f>11660*2.2</f>
        <v>25652.000000000004</v>
      </c>
      <c r="S5132" s="33">
        <v>56</v>
      </c>
      <c r="T5132" s="31">
        <v>0</v>
      </c>
      <c r="Y5132" s="19" t="s">
        <v>120</v>
      </c>
      <c r="Z5132" s="19" t="s">
        <v>3724</v>
      </c>
      <c r="AC5132" s="34">
        <v>0.5</v>
      </c>
      <c r="AE5132" s="19" t="s">
        <v>6261</v>
      </c>
      <c r="AF5132" s="31">
        <v>55</v>
      </c>
      <c r="AQ5132" s="171" t="s">
        <v>6262</v>
      </c>
      <c r="AU5132">
        <v>5131</v>
      </c>
    </row>
    <row r="5133" spans="1:47" x14ac:dyDescent="0.2">
      <c r="A5133" s="133">
        <v>6781</v>
      </c>
      <c r="B5133" s="39" t="s">
        <v>45</v>
      </c>
      <c r="C5133" s="39">
        <v>100</v>
      </c>
      <c r="D5133" s="29" t="b">
        <v>0</v>
      </c>
      <c r="E5133" s="39" t="s">
        <v>6263</v>
      </c>
      <c r="F5133" s="47" t="s">
        <v>6264</v>
      </c>
      <c r="G5133" s="47" t="s">
        <v>205</v>
      </c>
      <c r="H5133"/>
      <c r="I5133" s="47" t="b">
        <v>1</v>
      </c>
      <c r="J5133" s="47" t="b">
        <v>1</v>
      </c>
      <c r="K5133" s="47">
        <v>4768</v>
      </c>
      <c r="L5133" s="48">
        <v>-1</v>
      </c>
      <c r="M5133" s="47">
        <v>0</v>
      </c>
      <c r="N5133" s="47">
        <v>0</v>
      </c>
      <c r="O5133" s="47">
        <v>0</v>
      </c>
      <c r="P5133" s="47">
        <v>0</v>
      </c>
      <c r="Q5133" s="47">
        <v>0</v>
      </c>
      <c r="R5133" s="47">
        <v>0</v>
      </c>
      <c r="S5133" s="48">
        <v>17</v>
      </c>
      <c r="T5133" s="47">
        <v>0</v>
      </c>
      <c r="U5133" s="47">
        <v>0</v>
      </c>
      <c r="V5133" s="47">
        <v>0</v>
      </c>
      <c r="W5133" s="47">
        <v>2300</v>
      </c>
      <c r="X5133" s="47">
        <v>752</v>
      </c>
      <c r="Y5133" s="47"/>
      <c r="Z5133" s="47" t="s">
        <v>2524</v>
      </c>
      <c r="AA5133" s="49"/>
      <c r="AB5133" s="49"/>
      <c r="AC5133" s="49"/>
      <c r="AD5133" s="50"/>
      <c r="AE5133" s="47" t="s">
        <v>1312</v>
      </c>
      <c r="AF5133" s="47">
        <v>75</v>
      </c>
      <c r="AG5133"/>
      <c r="AH5133"/>
      <c r="AI5133"/>
      <c r="AJ5133"/>
      <c r="AK5133"/>
      <c r="AL5133"/>
      <c r="AM5133"/>
      <c r="AN5133"/>
      <c r="AO5133"/>
      <c r="AP5133"/>
      <c r="AQ5133" t="s">
        <v>2526</v>
      </c>
      <c r="AU5133">
        <v>5132</v>
      </c>
    </row>
    <row r="5134" spans="1:47" x14ac:dyDescent="0.2">
      <c r="A5134" s="133">
        <v>6781</v>
      </c>
      <c r="B5134" s="39" t="s">
        <v>45</v>
      </c>
      <c r="C5134" s="39">
        <v>100</v>
      </c>
      <c r="D5134" s="29" t="b">
        <v>0</v>
      </c>
      <c r="E5134" s="39" t="s">
        <v>5707</v>
      </c>
      <c r="F5134" s="47" t="s">
        <v>529</v>
      </c>
      <c r="G5134" s="47" t="s">
        <v>205</v>
      </c>
      <c r="H5134"/>
      <c r="I5134" s="47" t="b">
        <v>0</v>
      </c>
      <c r="J5134" s="47" t="b">
        <v>0</v>
      </c>
      <c r="K5134" s="47">
        <v>2384</v>
      </c>
      <c r="L5134" s="48">
        <v>-1</v>
      </c>
      <c r="M5134" s="47">
        <v>0</v>
      </c>
      <c r="N5134" s="47">
        <v>0</v>
      </c>
      <c r="O5134" s="47">
        <v>0</v>
      </c>
      <c r="P5134" s="47">
        <v>0</v>
      </c>
      <c r="Q5134" s="47">
        <v>0</v>
      </c>
      <c r="R5134" s="47">
        <v>0</v>
      </c>
      <c r="S5134" s="48">
        <v>8</v>
      </c>
      <c r="T5134" s="47">
        <v>0</v>
      </c>
      <c r="U5134" s="47">
        <v>0</v>
      </c>
      <c r="V5134" s="47">
        <v>0</v>
      </c>
      <c r="W5134" s="47">
        <v>2300</v>
      </c>
      <c r="X5134" s="47">
        <v>753</v>
      </c>
      <c r="Y5134" s="47"/>
      <c r="Z5134" s="47" t="s">
        <v>2524</v>
      </c>
      <c r="AA5134" s="49"/>
      <c r="AB5134" s="49"/>
      <c r="AC5134" s="49"/>
      <c r="AD5134" s="50"/>
      <c r="AE5134" s="47" t="s">
        <v>1312</v>
      </c>
      <c r="AF5134" s="47">
        <v>75</v>
      </c>
      <c r="AG5134"/>
      <c r="AH5134"/>
      <c r="AI5134"/>
      <c r="AJ5134"/>
      <c r="AK5134"/>
      <c r="AL5134"/>
      <c r="AM5134"/>
      <c r="AN5134"/>
      <c r="AO5134"/>
      <c r="AP5134"/>
      <c r="AQ5134" t="s">
        <v>2526</v>
      </c>
      <c r="AU5134">
        <v>5133</v>
      </c>
    </row>
    <row r="5135" spans="1:47" x14ac:dyDescent="0.2">
      <c r="A5135" s="133">
        <v>6781</v>
      </c>
      <c r="B5135" s="39" t="s">
        <v>45</v>
      </c>
      <c r="C5135" s="39">
        <v>100</v>
      </c>
      <c r="D5135" s="29" t="b">
        <v>0</v>
      </c>
      <c r="E5135" s="39" t="s">
        <v>5984</v>
      </c>
      <c r="F5135" s="47" t="s">
        <v>529</v>
      </c>
      <c r="G5135" s="47" t="s">
        <v>205</v>
      </c>
      <c r="H5135"/>
      <c r="I5135" s="47" t="b">
        <v>0</v>
      </c>
      <c r="J5135" s="47" t="b">
        <v>0</v>
      </c>
      <c r="K5135" s="47">
        <v>1398</v>
      </c>
      <c r="L5135" s="48">
        <v>-1</v>
      </c>
      <c r="M5135" s="47">
        <v>0</v>
      </c>
      <c r="N5135" s="47">
        <v>0</v>
      </c>
      <c r="O5135" s="47">
        <v>0</v>
      </c>
      <c r="P5135" s="47">
        <v>0</v>
      </c>
      <c r="Q5135" s="47">
        <v>0</v>
      </c>
      <c r="R5135" s="47">
        <v>0</v>
      </c>
      <c r="S5135" s="48">
        <v>5</v>
      </c>
      <c r="T5135" s="47">
        <v>0</v>
      </c>
      <c r="U5135" s="47">
        <v>0</v>
      </c>
      <c r="V5135" s="47">
        <v>0</v>
      </c>
      <c r="W5135" s="47">
        <v>2300</v>
      </c>
      <c r="X5135" s="47">
        <v>754</v>
      </c>
      <c r="Y5135" s="47"/>
      <c r="Z5135" s="47" t="s">
        <v>2524</v>
      </c>
      <c r="AA5135" s="49"/>
      <c r="AB5135" s="49"/>
      <c r="AC5135" s="49"/>
      <c r="AD5135" s="50"/>
      <c r="AE5135" s="47" t="s">
        <v>1312</v>
      </c>
      <c r="AF5135" s="47">
        <v>85</v>
      </c>
      <c r="AG5135"/>
      <c r="AH5135"/>
      <c r="AI5135"/>
      <c r="AJ5135"/>
      <c r="AK5135"/>
      <c r="AL5135"/>
      <c r="AM5135"/>
      <c r="AN5135"/>
      <c r="AO5135"/>
      <c r="AP5135"/>
      <c r="AQ5135" t="s">
        <v>2526</v>
      </c>
      <c r="AU5135">
        <v>5134</v>
      </c>
    </row>
    <row r="5136" spans="1:47" x14ac:dyDescent="0.2">
      <c r="A5136" s="133">
        <v>6781</v>
      </c>
      <c r="B5136" s="39" t="s">
        <v>45</v>
      </c>
      <c r="C5136" s="39">
        <v>100</v>
      </c>
      <c r="D5136" s="29" t="b">
        <v>0</v>
      </c>
      <c r="E5136" s="39" t="s">
        <v>1551</v>
      </c>
      <c r="F5136" s="47" t="s">
        <v>529</v>
      </c>
      <c r="G5136" s="47" t="s">
        <v>205</v>
      </c>
      <c r="H5136"/>
      <c r="I5136" s="47" t="b">
        <v>0</v>
      </c>
      <c r="J5136" s="47" t="b">
        <v>0</v>
      </c>
      <c r="K5136" s="47">
        <v>312</v>
      </c>
      <c r="L5136" s="48">
        <v>-1</v>
      </c>
      <c r="M5136" s="47">
        <v>0</v>
      </c>
      <c r="N5136" s="47">
        <v>0</v>
      </c>
      <c r="O5136" s="47">
        <v>0</v>
      </c>
      <c r="P5136" s="47">
        <v>0</v>
      </c>
      <c r="Q5136" s="47">
        <v>0</v>
      </c>
      <c r="R5136" s="47">
        <v>0</v>
      </c>
      <c r="S5136" s="48">
        <v>1</v>
      </c>
      <c r="T5136" s="47">
        <v>0</v>
      </c>
      <c r="U5136" s="47">
        <v>0</v>
      </c>
      <c r="V5136" s="47">
        <v>0</v>
      </c>
      <c r="W5136" s="47">
        <v>2300</v>
      </c>
      <c r="X5136" s="47">
        <v>756</v>
      </c>
      <c r="Y5136" s="47"/>
      <c r="Z5136" s="47" t="s">
        <v>2524</v>
      </c>
      <c r="AA5136" s="49"/>
      <c r="AB5136" s="49"/>
      <c r="AC5136" s="49"/>
      <c r="AD5136" s="50"/>
      <c r="AE5136" s="47" t="s">
        <v>1312</v>
      </c>
      <c r="AF5136" s="47">
        <v>60</v>
      </c>
      <c r="AG5136"/>
      <c r="AH5136"/>
      <c r="AI5136"/>
      <c r="AJ5136"/>
      <c r="AK5136"/>
      <c r="AL5136"/>
      <c r="AM5136"/>
      <c r="AN5136"/>
      <c r="AO5136"/>
      <c r="AP5136"/>
      <c r="AQ5136" t="s">
        <v>2526</v>
      </c>
      <c r="AU5136">
        <v>5135</v>
      </c>
    </row>
    <row r="5137" spans="1:47" x14ac:dyDescent="0.2">
      <c r="A5137" s="133">
        <v>6781</v>
      </c>
      <c r="B5137" s="39" t="s">
        <v>45</v>
      </c>
      <c r="C5137" s="39">
        <v>100</v>
      </c>
      <c r="D5137" s="29" t="b">
        <v>0</v>
      </c>
      <c r="E5137" s="39" t="s">
        <v>881</v>
      </c>
      <c r="F5137" s="47" t="s">
        <v>6265</v>
      </c>
      <c r="G5137" s="47" t="s">
        <v>73</v>
      </c>
      <c r="H5137"/>
      <c r="I5137" s="47" t="b">
        <v>0</v>
      </c>
      <c r="J5137" s="47" t="b">
        <v>0</v>
      </c>
      <c r="K5137" s="47">
        <v>312</v>
      </c>
      <c r="L5137" s="48">
        <v>-1</v>
      </c>
      <c r="M5137" s="47">
        <v>0</v>
      </c>
      <c r="N5137" s="47">
        <v>0</v>
      </c>
      <c r="O5137" s="47">
        <v>0</v>
      </c>
      <c r="P5137" s="47">
        <v>0</v>
      </c>
      <c r="Q5137" s="47">
        <v>0</v>
      </c>
      <c r="R5137" s="47">
        <v>0</v>
      </c>
      <c r="S5137" s="48">
        <v>3</v>
      </c>
      <c r="T5137" s="47">
        <v>0</v>
      </c>
      <c r="U5137" s="47">
        <v>0</v>
      </c>
      <c r="V5137" s="47">
        <v>0</v>
      </c>
      <c r="W5137" s="47">
        <v>2300</v>
      </c>
      <c r="X5137" s="47">
        <v>757</v>
      </c>
      <c r="Y5137" s="47"/>
      <c r="Z5137" s="47" t="s">
        <v>2524</v>
      </c>
      <c r="AA5137" s="49"/>
      <c r="AB5137" s="49"/>
      <c r="AC5137" s="49"/>
      <c r="AD5137" s="50"/>
      <c r="AE5137" s="47" t="s">
        <v>1312</v>
      </c>
      <c r="AF5137" s="47"/>
      <c r="AG5137"/>
      <c r="AH5137"/>
      <c r="AI5137"/>
      <c r="AJ5137"/>
      <c r="AK5137"/>
      <c r="AL5137"/>
      <c r="AM5137"/>
      <c r="AN5137"/>
      <c r="AO5137"/>
      <c r="AP5137"/>
      <c r="AQ5137" t="s">
        <v>2526</v>
      </c>
      <c r="AU5137">
        <v>5136</v>
      </c>
    </row>
    <row r="5138" spans="1:47" x14ac:dyDescent="0.2">
      <c r="A5138" s="133">
        <v>6781</v>
      </c>
      <c r="B5138" s="39" t="s">
        <v>45</v>
      </c>
      <c r="C5138" s="39">
        <v>100</v>
      </c>
      <c r="D5138" s="29" t="b">
        <v>0</v>
      </c>
      <c r="E5138" s="39" t="s">
        <v>881</v>
      </c>
      <c r="F5138" s="47" t="s">
        <v>6266</v>
      </c>
      <c r="G5138" s="47" t="s">
        <v>49</v>
      </c>
      <c r="H5138"/>
      <c r="I5138" s="47" t="b">
        <v>0</v>
      </c>
      <c r="J5138" s="47" t="b">
        <v>0</v>
      </c>
      <c r="K5138" s="47">
        <v>362</v>
      </c>
      <c r="L5138" s="48">
        <v>-1</v>
      </c>
      <c r="M5138" s="47">
        <v>0</v>
      </c>
      <c r="N5138" s="47">
        <v>0</v>
      </c>
      <c r="O5138" s="47">
        <v>0</v>
      </c>
      <c r="P5138" s="47">
        <v>0</v>
      </c>
      <c r="Q5138" s="47">
        <v>0</v>
      </c>
      <c r="R5138" s="47">
        <v>0</v>
      </c>
      <c r="S5138" s="48">
        <v>3</v>
      </c>
      <c r="T5138" s="47">
        <v>0</v>
      </c>
      <c r="U5138" s="47">
        <v>0</v>
      </c>
      <c r="V5138" s="47">
        <v>0</v>
      </c>
      <c r="W5138" s="47">
        <v>2300</v>
      </c>
      <c r="X5138" s="47">
        <v>763</v>
      </c>
      <c r="Y5138" s="47"/>
      <c r="Z5138" s="47" t="s">
        <v>2524</v>
      </c>
      <c r="AA5138" s="49"/>
      <c r="AB5138" s="49"/>
      <c r="AC5138" s="49"/>
      <c r="AD5138" s="50"/>
      <c r="AE5138" s="47" t="s">
        <v>1312</v>
      </c>
      <c r="AF5138" s="47"/>
      <c r="AG5138"/>
      <c r="AH5138"/>
      <c r="AI5138"/>
      <c r="AJ5138"/>
      <c r="AK5138"/>
      <c r="AL5138"/>
      <c r="AM5138"/>
      <c r="AN5138"/>
      <c r="AO5138"/>
      <c r="AP5138"/>
      <c r="AQ5138" t="s">
        <v>2526</v>
      </c>
      <c r="AU5138">
        <v>5137</v>
      </c>
    </row>
    <row r="5139" spans="1:47" x14ac:dyDescent="0.2">
      <c r="A5139" s="133">
        <v>6781</v>
      </c>
      <c r="B5139" s="39" t="s">
        <v>45</v>
      </c>
      <c r="C5139" s="39">
        <v>216</v>
      </c>
      <c r="D5139" s="29" t="b">
        <v>0</v>
      </c>
      <c r="E5139" s="39" t="s">
        <v>6267</v>
      </c>
      <c r="F5139" s="47" t="s">
        <v>6268</v>
      </c>
      <c r="G5139" s="47" t="s">
        <v>49</v>
      </c>
      <c r="H5139"/>
      <c r="I5139" s="47" t="b">
        <v>1</v>
      </c>
      <c r="J5139" s="47" t="b">
        <v>1</v>
      </c>
      <c r="K5139" s="47">
        <v>11441</v>
      </c>
      <c r="L5139" s="48">
        <v>8</v>
      </c>
      <c r="M5139" s="47">
        <v>0</v>
      </c>
      <c r="N5139" s="47">
        <v>0</v>
      </c>
      <c r="O5139" s="47">
        <v>0</v>
      </c>
      <c r="P5139" s="47">
        <v>8</v>
      </c>
      <c r="Q5139" s="47">
        <v>0</v>
      </c>
      <c r="R5139" s="47">
        <v>0</v>
      </c>
      <c r="S5139" s="48">
        <v>8</v>
      </c>
      <c r="T5139" s="47">
        <v>0</v>
      </c>
      <c r="U5139" s="47">
        <v>0</v>
      </c>
      <c r="V5139" s="47">
        <v>0</v>
      </c>
      <c r="W5139" s="47">
        <v>7000</v>
      </c>
      <c r="X5139" s="47">
        <v>758</v>
      </c>
      <c r="Y5139" s="47"/>
      <c r="Z5139" s="47" t="s">
        <v>2466</v>
      </c>
      <c r="AA5139" s="49"/>
      <c r="AB5139" s="49"/>
      <c r="AC5139" s="49"/>
      <c r="AD5139" s="50"/>
      <c r="AE5139" s="47" t="s">
        <v>1312</v>
      </c>
      <c r="AF5139" s="47">
        <v>155</v>
      </c>
      <c r="AG5139"/>
      <c r="AH5139"/>
      <c r="AI5139"/>
      <c r="AJ5139"/>
      <c r="AK5139"/>
      <c r="AL5139"/>
      <c r="AM5139"/>
      <c r="AN5139"/>
      <c r="AO5139"/>
      <c r="AP5139"/>
      <c r="AQ5139" t="s">
        <v>2526</v>
      </c>
      <c r="AU5139">
        <v>5138</v>
      </c>
    </row>
    <row r="5140" spans="1:47" x14ac:dyDescent="0.2">
      <c r="A5140" s="133">
        <v>6781</v>
      </c>
      <c r="B5140" s="39" t="s">
        <v>45</v>
      </c>
      <c r="C5140" s="39">
        <v>216</v>
      </c>
      <c r="D5140" s="29" t="b">
        <v>0</v>
      </c>
      <c r="E5140" s="39" t="s">
        <v>2640</v>
      </c>
      <c r="F5140" s="47" t="s">
        <v>529</v>
      </c>
      <c r="G5140" s="47" t="s">
        <v>205</v>
      </c>
      <c r="H5140"/>
      <c r="I5140" s="47" t="b">
        <v>0</v>
      </c>
      <c r="J5140" s="47" t="b">
        <v>0</v>
      </c>
      <c r="K5140" s="47">
        <v>1381</v>
      </c>
      <c r="L5140" s="48">
        <v>8</v>
      </c>
      <c r="M5140" s="47">
        <v>0</v>
      </c>
      <c r="N5140" s="47">
        <v>0</v>
      </c>
      <c r="O5140" s="47">
        <v>0</v>
      </c>
      <c r="P5140" s="47">
        <v>8</v>
      </c>
      <c r="Q5140" s="47">
        <v>0</v>
      </c>
      <c r="R5140" s="47">
        <v>0</v>
      </c>
      <c r="S5140" s="48">
        <v>1</v>
      </c>
      <c r="T5140" s="47">
        <v>0</v>
      </c>
      <c r="U5140" s="47">
        <v>0</v>
      </c>
      <c r="V5140" s="47">
        <v>0</v>
      </c>
      <c r="W5140" s="47">
        <v>7000</v>
      </c>
      <c r="X5140" s="47">
        <v>755</v>
      </c>
      <c r="Y5140" s="47"/>
      <c r="Z5140" s="47" t="s">
        <v>2466</v>
      </c>
      <c r="AA5140" s="49"/>
      <c r="AB5140" s="49"/>
      <c r="AC5140" s="49"/>
      <c r="AD5140" s="50"/>
      <c r="AE5140" s="47" t="s">
        <v>1312</v>
      </c>
      <c r="AF5140" s="47">
        <v>140</v>
      </c>
      <c r="AG5140"/>
      <c r="AH5140"/>
      <c r="AI5140"/>
      <c r="AJ5140"/>
      <c r="AK5140"/>
      <c r="AL5140"/>
      <c r="AM5140"/>
      <c r="AN5140"/>
      <c r="AO5140"/>
      <c r="AP5140"/>
      <c r="AQ5140" t="s">
        <v>2526</v>
      </c>
      <c r="AU5140">
        <v>5139</v>
      </c>
    </row>
    <row r="5141" spans="1:47" x14ac:dyDescent="0.2">
      <c r="A5141" s="133">
        <v>6781</v>
      </c>
      <c r="B5141" s="39" t="s">
        <v>45</v>
      </c>
      <c r="C5141" s="39">
        <v>216</v>
      </c>
      <c r="D5141" s="29" t="b">
        <v>0</v>
      </c>
      <c r="E5141" s="39" t="s">
        <v>907</v>
      </c>
      <c r="F5141" s="47" t="s">
        <v>76</v>
      </c>
      <c r="G5141" s="47" t="s">
        <v>49</v>
      </c>
      <c r="H5141"/>
      <c r="I5141" s="47" t="b">
        <v>0</v>
      </c>
      <c r="J5141" s="47" t="b">
        <v>0</v>
      </c>
      <c r="K5141" s="47">
        <v>4378</v>
      </c>
      <c r="L5141" s="48">
        <v>8</v>
      </c>
      <c r="M5141" s="47">
        <v>0</v>
      </c>
      <c r="N5141" s="47">
        <v>0</v>
      </c>
      <c r="O5141" s="47">
        <v>0</v>
      </c>
      <c r="P5141" s="47">
        <v>8</v>
      </c>
      <c r="Q5141" s="47">
        <v>0</v>
      </c>
      <c r="R5141" s="47">
        <v>0</v>
      </c>
      <c r="S5141" s="48">
        <v>3</v>
      </c>
      <c r="T5141" s="47">
        <v>0</v>
      </c>
      <c r="U5141" s="47">
        <v>0</v>
      </c>
      <c r="V5141" s="47">
        <v>0</v>
      </c>
      <c r="W5141" s="47">
        <v>7000</v>
      </c>
      <c r="X5141" s="47">
        <v>759</v>
      </c>
      <c r="Y5141" s="47"/>
      <c r="Z5141" s="47" t="s">
        <v>2466</v>
      </c>
      <c r="AA5141" s="49"/>
      <c r="AB5141" s="49"/>
      <c r="AC5141" s="49"/>
      <c r="AD5141" s="50"/>
      <c r="AE5141" s="47" t="s">
        <v>1312</v>
      </c>
      <c r="AF5141" s="47">
        <v>155</v>
      </c>
      <c r="AG5141"/>
      <c r="AH5141"/>
      <c r="AI5141"/>
      <c r="AJ5141"/>
      <c r="AK5141"/>
      <c r="AL5141"/>
      <c r="AM5141"/>
      <c r="AN5141"/>
      <c r="AO5141"/>
      <c r="AP5141"/>
      <c r="AQ5141" t="s">
        <v>2526</v>
      </c>
      <c r="AU5141">
        <v>5140</v>
      </c>
    </row>
    <row r="5142" spans="1:47" x14ac:dyDescent="0.2">
      <c r="A5142" s="133">
        <v>6781</v>
      </c>
      <c r="B5142" s="39" t="s">
        <v>45</v>
      </c>
      <c r="C5142" s="39">
        <v>216</v>
      </c>
      <c r="D5142" s="29" t="b">
        <v>0</v>
      </c>
      <c r="E5142" s="39" t="s">
        <v>6269</v>
      </c>
      <c r="F5142" s="47" t="s">
        <v>6270</v>
      </c>
      <c r="G5142" s="47" t="s">
        <v>49</v>
      </c>
      <c r="H5142"/>
      <c r="I5142" s="47" t="b">
        <v>0</v>
      </c>
      <c r="J5142" s="47" t="b">
        <v>0</v>
      </c>
      <c r="K5142" s="47">
        <v>2693</v>
      </c>
      <c r="L5142" s="48">
        <v>8</v>
      </c>
      <c r="M5142" s="47">
        <v>0</v>
      </c>
      <c r="N5142" s="47">
        <v>0</v>
      </c>
      <c r="O5142" s="47">
        <v>0</v>
      </c>
      <c r="P5142" s="47">
        <v>8</v>
      </c>
      <c r="Q5142" s="47">
        <v>0</v>
      </c>
      <c r="R5142" s="47">
        <v>0</v>
      </c>
      <c r="S5142" s="48">
        <v>2</v>
      </c>
      <c r="T5142" s="47">
        <v>0</v>
      </c>
      <c r="U5142" s="47">
        <v>0</v>
      </c>
      <c r="V5142" s="47">
        <v>0</v>
      </c>
      <c r="W5142" s="47">
        <v>7000</v>
      </c>
      <c r="X5142" s="47">
        <v>760</v>
      </c>
      <c r="Y5142" s="47"/>
      <c r="Z5142" s="47" t="s">
        <v>2466</v>
      </c>
      <c r="AA5142" s="49"/>
      <c r="AB5142" s="49"/>
      <c r="AC5142" s="49"/>
      <c r="AD5142" s="50"/>
      <c r="AE5142" s="47" t="s">
        <v>1312</v>
      </c>
      <c r="AF5142" s="47">
        <v>205</v>
      </c>
      <c r="AG5142"/>
      <c r="AH5142"/>
      <c r="AI5142"/>
      <c r="AJ5142"/>
      <c r="AK5142"/>
      <c r="AL5142"/>
      <c r="AM5142"/>
      <c r="AN5142"/>
      <c r="AO5142"/>
      <c r="AP5142"/>
      <c r="AQ5142" t="s">
        <v>2526</v>
      </c>
      <c r="AU5142">
        <v>5141</v>
      </c>
    </row>
    <row r="5143" spans="1:47" x14ac:dyDescent="0.2">
      <c r="A5143" s="133">
        <v>6781</v>
      </c>
      <c r="B5143" s="39" t="s">
        <v>45</v>
      </c>
      <c r="C5143" s="39">
        <v>216</v>
      </c>
      <c r="D5143" s="29" t="b">
        <v>0</v>
      </c>
      <c r="E5143" s="39" t="s">
        <v>5707</v>
      </c>
      <c r="F5143" s="47" t="s">
        <v>529</v>
      </c>
      <c r="G5143" s="47" t="s">
        <v>205</v>
      </c>
      <c r="H5143"/>
      <c r="I5143" s="47" t="b">
        <v>0</v>
      </c>
      <c r="J5143" s="47" t="b">
        <v>0</v>
      </c>
      <c r="K5143" s="47">
        <v>1609</v>
      </c>
      <c r="L5143" s="48">
        <v>8</v>
      </c>
      <c r="M5143" s="47">
        <v>0</v>
      </c>
      <c r="N5143" s="47">
        <v>0</v>
      </c>
      <c r="O5143" s="47">
        <v>0</v>
      </c>
      <c r="P5143" s="47">
        <v>8</v>
      </c>
      <c r="Q5143" s="47">
        <v>0</v>
      </c>
      <c r="R5143" s="47">
        <v>0</v>
      </c>
      <c r="S5143" s="48">
        <v>1</v>
      </c>
      <c r="T5143" s="47">
        <v>0</v>
      </c>
      <c r="U5143" s="47">
        <v>0</v>
      </c>
      <c r="V5143" s="47">
        <v>0</v>
      </c>
      <c r="W5143" s="47">
        <v>7000</v>
      </c>
      <c r="X5143" s="47">
        <v>761</v>
      </c>
      <c r="Y5143" s="47"/>
      <c r="Z5143" s="47" t="s">
        <v>2466</v>
      </c>
      <c r="AA5143" s="49"/>
      <c r="AB5143" s="49"/>
      <c r="AC5143" s="49"/>
      <c r="AD5143" s="50"/>
      <c r="AE5143" s="47" t="s">
        <v>1312</v>
      </c>
      <c r="AF5143" s="47">
        <v>75</v>
      </c>
      <c r="AG5143"/>
      <c r="AH5143"/>
      <c r="AI5143"/>
      <c r="AJ5143"/>
      <c r="AK5143"/>
      <c r="AL5143"/>
      <c r="AM5143"/>
      <c r="AN5143"/>
      <c r="AO5143"/>
      <c r="AP5143"/>
      <c r="AQ5143" t="s">
        <v>2526</v>
      </c>
      <c r="AU5143">
        <v>5142</v>
      </c>
    </row>
    <row r="5144" spans="1:47" x14ac:dyDescent="0.2">
      <c r="A5144" s="133">
        <v>6781</v>
      </c>
      <c r="B5144" s="39" t="s">
        <v>45</v>
      </c>
      <c r="C5144" s="39">
        <v>216</v>
      </c>
      <c r="D5144" s="29" t="b">
        <v>0</v>
      </c>
      <c r="E5144" s="39" t="s">
        <v>6271</v>
      </c>
      <c r="F5144" s="47" t="s">
        <v>1224</v>
      </c>
      <c r="G5144" s="47" t="s">
        <v>459</v>
      </c>
      <c r="H5144"/>
      <c r="I5144" s="47" t="b">
        <v>0</v>
      </c>
      <c r="J5144" s="47" t="b">
        <v>0</v>
      </c>
      <c r="K5144" s="47">
        <v>1381</v>
      </c>
      <c r="L5144" s="48">
        <v>8</v>
      </c>
      <c r="M5144" s="47">
        <v>0</v>
      </c>
      <c r="N5144" s="47">
        <v>0</v>
      </c>
      <c r="O5144" s="47">
        <v>0</v>
      </c>
      <c r="P5144" s="47">
        <v>8</v>
      </c>
      <c r="Q5144" s="47">
        <v>0</v>
      </c>
      <c r="R5144" s="47">
        <v>0</v>
      </c>
      <c r="S5144" s="48">
        <v>1</v>
      </c>
      <c r="T5144" s="47">
        <v>0</v>
      </c>
      <c r="U5144" s="47">
        <v>0</v>
      </c>
      <c r="V5144" s="47">
        <v>0</v>
      </c>
      <c r="W5144" s="47">
        <v>7000</v>
      </c>
      <c r="X5144" s="47">
        <v>762</v>
      </c>
      <c r="Y5144" s="47"/>
      <c r="Z5144" s="47" t="s">
        <v>2466</v>
      </c>
      <c r="AA5144" s="49"/>
      <c r="AB5144" s="49"/>
      <c r="AC5144" s="49"/>
      <c r="AD5144" s="50"/>
      <c r="AE5144" s="47" t="s">
        <v>1312</v>
      </c>
      <c r="AF5144" s="47">
        <v>110</v>
      </c>
      <c r="AG5144"/>
      <c r="AH5144"/>
      <c r="AI5144"/>
      <c r="AJ5144"/>
      <c r="AK5144"/>
      <c r="AL5144"/>
      <c r="AM5144"/>
      <c r="AN5144"/>
      <c r="AO5144"/>
      <c r="AP5144"/>
      <c r="AQ5144" t="s">
        <v>2526</v>
      </c>
      <c r="AU5144">
        <v>5143</v>
      </c>
    </row>
    <row r="5145" spans="1:47" x14ac:dyDescent="0.2">
      <c r="A5145" s="13">
        <v>6781</v>
      </c>
      <c r="B5145" s="57" t="s">
        <v>45</v>
      </c>
      <c r="C5145" s="57" t="s">
        <v>142</v>
      </c>
      <c r="D5145" s="29"/>
      <c r="E5145" s="57" t="s">
        <v>5703</v>
      </c>
      <c r="F5145" s="31" t="s">
        <v>76</v>
      </c>
      <c r="G5145" s="31" t="s">
        <v>49</v>
      </c>
      <c r="I5145" s="47" t="b">
        <v>0</v>
      </c>
      <c r="J5145" s="47" t="b">
        <v>1</v>
      </c>
      <c r="K5145" s="31">
        <v>12375</v>
      </c>
      <c r="S5145" s="33">
        <v>22</v>
      </c>
      <c r="Z5145" s="31" t="s">
        <v>3855</v>
      </c>
      <c r="AE5145" s="47" t="s">
        <v>4217</v>
      </c>
      <c r="AF5145" s="31">
        <v>65</v>
      </c>
      <c r="AK5145" s="32">
        <v>175</v>
      </c>
      <c r="AQ5145" s="32" t="s">
        <v>6048</v>
      </c>
      <c r="AR5145" s="31" t="s">
        <v>6272</v>
      </c>
      <c r="AU5145">
        <v>5144</v>
      </c>
    </row>
    <row r="5146" spans="1:47" x14ac:dyDescent="0.2">
      <c r="A5146" s="13">
        <v>6781</v>
      </c>
      <c r="B5146" s="57" t="s">
        <v>45</v>
      </c>
      <c r="C5146" s="57" t="s">
        <v>142</v>
      </c>
      <c r="D5146" s="29"/>
      <c r="E5146" s="57" t="s">
        <v>1397</v>
      </c>
      <c r="F5146" s="31" t="s">
        <v>76</v>
      </c>
      <c r="G5146" s="31" t="s">
        <v>49</v>
      </c>
      <c r="I5146" s="47" t="b">
        <v>0</v>
      </c>
      <c r="J5146" s="47" t="b">
        <v>1</v>
      </c>
      <c r="K5146" s="31">
        <v>352</v>
      </c>
      <c r="S5146" s="33">
        <v>1</v>
      </c>
      <c r="Z5146" s="31" t="s">
        <v>3855</v>
      </c>
      <c r="AE5146" s="47" t="s">
        <v>4217</v>
      </c>
      <c r="AF5146" s="31">
        <v>95</v>
      </c>
      <c r="AK5146" s="32">
        <v>7</v>
      </c>
      <c r="AQ5146" s="32" t="s">
        <v>6048</v>
      </c>
      <c r="AU5146">
        <v>5145</v>
      </c>
    </row>
    <row r="5147" spans="1:47" x14ac:dyDescent="0.2">
      <c r="A5147" s="13">
        <v>6781</v>
      </c>
      <c r="B5147" s="57" t="s">
        <v>45</v>
      </c>
      <c r="C5147" s="57" t="s">
        <v>142</v>
      </c>
      <c r="D5147" s="29"/>
      <c r="E5147" s="57" t="s">
        <v>5559</v>
      </c>
      <c r="F5147" s="31" t="s">
        <v>76</v>
      </c>
      <c r="G5147" s="31" t="s">
        <v>49</v>
      </c>
      <c r="I5147" s="47" t="b">
        <v>0</v>
      </c>
      <c r="J5147" s="47" t="b">
        <v>1</v>
      </c>
      <c r="K5147" s="31">
        <v>550</v>
      </c>
      <c r="S5147" s="33">
        <v>1</v>
      </c>
      <c r="Z5147" s="31" t="s">
        <v>3855</v>
      </c>
      <c r="AE5147" s="47" t="s">
        <v>4217</v>
      </c>
      <c r="AF5147" s="31">
        <v>60</v>
      </c>
      <c r="AK5147" s="32">
        <v>10</v>
      </c>
      <c r="AQ5147" s="32" t="s">
        <v>6048</v>
      </c>
      <c r="AU5147">
        <v>5146</v>
      </c>
    </row>
    <row r="5148" spans="1:47" x14ac:dyDescent="0.2">
      <c r="A5148" s="13">
        <v>6781</v>
      </c>
      <c r="B5148" s="57" t="s">
        <v>45</v>
      </c>
      <c r="C5148" s="57" t="s">
        <v>142</v>
      </c>
      <c r="D5148" s="29"/>
      <c r="E5148" s="57" t="s">
        <v>6273</v>
      </c>
      <c r="F5148" s="31" t="s">
        <v>76</v>
      </c>
      <c r="G5148" s="31" t="s">
        <v>49</v>
      </c>
      <c r="I5148" s="47" t="b">
        <v>0</v>
      </c>
      <c r="J5148" s="47" t="b">
        <v>1</v>
      </c>
      <c r="K5148" s="31">
        <v>572</v>
      </c>
      <c r="S5148" s="33">
        <v>1</v>
      </c>
      <c r="Z5148" s="31" t="s">
        <v>3855</v>
      </c>
      <c r="AE5148" s="47" t="s">
        <v>4217</v>
      </c>
      <c r="AF5148" s="31">
        <v>70</v>
      </c>
      <c r="AK5148" s="32">
        <v>9</v>
      </c>
      <c r="AQ5148" s="32" t="s">
        <v>6048</v>
      </c>
      <c r="AU5148">
        <v>5147</v>
      </c>
    </row>
    <row r="5149" spans="1:47" x14ac:dyDescent="0.2">
      <c r="A5149" s="13">
        <v>6781</v>
      </c>
      <c r="B5149" s="57" t="s">
        <v>45</v>
      </c>
      <c r="C5149" s="57" t="s">
        <v>142</v>
      </c>
      <c r="D5149" s="29"/>
      <c r="E5149" s="57" t="s">
        <v>3895</v>
      </c>
      <c r="F5149" s="31" t="s">
        <v>76</v>
      </c>
      <c r="G5149" s="31" t="s">
        <v>49</v>
      </c>
      <c r="I5149" s="47" t="b">
        <v>0</v>
      </c>
      <c r="J5149" s="47" t="b">
        <v>1</v>
      </c>
      <c r="K5149" s="31">
        <v>638</v>
      </c>
      <c r="S5149" s="33">
        <v>1</v>
      </c>
      <c r="Z5149" s="31" t="s">
        <v>3855</v>
      </c>
      <c r="AE5149" s="47" t="s">
        <v>4217</v>
      </c>
      <c r="AF5149" s="31">
        <v>70</v>
      </c>
      <c r="AK5149" s="32">
        <v>9</v>
      </c>
      <c r="AQ5149" s="32" t="s">
        <v>6048</v>
      </c>
      <c r="AU5149">
        <v>5148</v>
      </c>
    </row>
    <row r="5150" spans="1:47" x14ac:dyDescent="0.2">
      <c r="A5150" s="13">
        <v>6781</v>
      </c>
      <c r="B5150" s="57" t="s">
        <v>45</v>
      </c>
      <c r="C5150" s="57" t="s">
        <v>142</v>
      </c>
      <c r="D5150" s="29"/>
      <c r="E5150" s="57" t="s">
        <v>6274</v>
      </c>
      <c r="F5150" s="31" t="s">
        <v>5578</v>
      </c>
      <c r="G5150" s="31" t="s">
        <v>69</v>
      </c>
      <c r="I5150" s="47" t="b">
        <v>0</v>
      </c>
      <c r="J5150" s="47" t="b">
        <v>1</v>
      </c>
      <c r="K5150" s="31">
        <v>1210</v>
      </c>
      <c r="S5150" s="33">
        <v>2</v>
      </c>
      <c r="Z5150" s="31" t="s">
        <v>3855</v>
      </c>
      <c r="AE5150" s="47" t="s">
        <v>4217</v>
      </c>
      <c r="AF5150" s="31">
        <v>70</v>
      </c>
      <c r="AK5150" s="32">
        <v>19</v>
      </c>
      <c r="AQ5150" s="32" t="s">
        <v>6048</v>
      </c>
      <c r="AU5150">
        <v>5149</v>
      </c>
    </row>
    <row r="5151" spans="1:47" x14ac:dyDescent="0.2">
      <c r="A5151" s="13">
        <v>6781</v>
      </c>
      <c r="B5151" s="57" t="s">
        <v>45</v>
      </c>
      <c r="C5151" s="57" t="s">
        <v>4843</v>
      </c>
      <c r="D5151" s="29"/>
      <c r="E5151" s="57" t="s">
        <v>6187</v>
      </c>
      <c r="F5151" s="31" t="s">
        <v>76</v>
      </c>
      <c r="G5151" s="31" t="s">
        <v>49</v>
      </c>
      <c r="K5151" s="31">
        <v>1232</v>
      </c>
      <c r="S5151" s="33">
        <v>2</v>
      </c>
      <c r="Z5151" s="31" t="s">
        <v>3814</v>
      </c>
      <c r="AE5151" s="31" t="s">
        <v>4411</v>
      </c>
      <c r="AF5151" s="31">
        <v>65</v>
      </c>
      <c r="AK5151" s="32">
        <v>14</v>
      </c>
      <c r="AQ5151" s="32" t="s">
        <v>6048</v>
      </c>
      <c r="AU5151">
        <v>5150</v>
      </c>
    </row>
    <row r="5152" spans="1:47" x14ac:dyDescent="0.2">
      <c r="A5152" s="13">
        <v>6781</v>
      </c>
      <c r="B5152" s="57" t="s">
        <v>45</v>
      </c>
      <c r="C5152" s="57" t="s">
        <v>4843</v>
      </c>
      <c r="D5152" s="29"/>
      <c r="E5152" s="57" t="s">
        <v>6182</v>
      </c>
      <c r="F5152" s="31" t="s">
        <v>76</v>
      </c>
      <c r="G5152" s="31" t="s">
        <v>49</v>
      </c>
      <c r="K5152" s="31">
        <v>9944</v>
      </c>
      <c r="S5152" s="33">
        <v>16</v>
      </c>
      <c r="Z5152" s="31" t="s">
        <v>3814</v>
      </c>
      <c r="AE5152" s="31" t="s">
        <v>4411</v>
      </c>
      <c r="AK5152" s="32">
        <v>109</v>
      </c>
      <c r="AQ5152" s="32" t="s">
        <v>6048</v>
      </c>
      <c r="AU5152">
        <v>5151</v>
      </c>
    </row>
    <row r="5153" spans="1:47" x14ac:dyDescent="0.2">
      <c r="A5153" s="13">
        <v>6781</v>
      </c>
      <c r="B5153" s="57" t="s">
        <v>45</v>
      </c>
      <c r="C5153" s="57" t="s">
        <v>4843</v>
      </c>
      <c r="D5153" s="29"/>
      <c r="E5153" s="57" t="s">
        <v>1078</v>
      </c>
      <c r="F5153" s="31" t="s">
        <v>76</v>
      </c>
      <c r="G5153" s="31" t="s">
        <v>49</v>
      </c>
      <c r="I5153" s="31" t="s">
        <v>6107</v>
      </c>
      <c r="K5153" s="31">
        <v>528</v>
      </c>
      <c r="S5153" s="33">
        <v>1</v>
      </c>
      <c r="Z5153" s="31" t="s">
        <v>3814</v>
      </c>
      <c r="AE5153" s="31" t="s">
        <v>4411</v>
      </c>
      <c r="AF5153" s="31">
        <v>70</v>
      </c>
      <c r="AK5153" s="32">
        <v>6</v>
      </c>
      <c r="AQ5153" s="32" t="s">
        <v>6048</v>
      </c>
      <c r="AU5153">
        <v>5152</v>
      </c>
    </row>
    <row r="5154" spans="1:47" x14ac:dyDescent="0.2">
      <c r="A5154" s="13">
        <v>6781</v>
      </c>
      <c r="B5154" s="57" t="s">
        <v>45</v>
      </c>
      <c r="C5154" s="57" t="s">
        <v>6060</v>
      </c>
      <c r="D5154" s="29"/>
      <c r="E5154" s="57" t="s">
        <v>6243</v>
      </c>
      <c r="F5154" s="31" t="s">
        <v>76</v>
      </c>
      <c r="G5154" s="31" t="s">
        <v>49</v>
      </c>
      <c r="I5154" s="19" t="s">
        <v>6275</v>
      </c>
      <c r="K5154" s="63"/>
      <c r="Z5154" s="31" t="s">
        <v>1846</v>
      </c>
      <c r="AE5154" s="31" t="s">
        <v>4756</v>
      </c>
      <c r="AF5154" s="31">
        <v>50</v>
      </c>
      <c r="AQ5154" s="32" t="s">
        <v>6048</v>
      </c>
      <c r="AU5154">
        <v>5153</v>
      </c>
    </row>
    <row r="5155" spans="1:47" x14ac:dyDescent="0.2">
      <c r="A5155" s="13">
        <v>6781</v>
      </c>
      <c r="B5155" s="57" t="s">
        <v>45</v>
      </c>
      <c r="C5155" s="57" t="s">
        <v>6060</v>
      </c>
      <c r="D5155" s="29"/>
      <c r="E5155" s="57" t="s">
        <v>5253</v>
      </c>
      <c r="F5155" s="31" t="s">
        <v>76</v>
      </c>
      <c r="G5155" s="31" t="s">
        <v>49</v>
      </c>
      <c r="I5155" s="19" t="s">
        <v>6275</v>
      </c>
      <c r="K5155" s="63"/>
      <c r="Z5155" s="31" t="s">
        <v>1846</v>
      </c>
      <c r="AE5155" s="31" t="s">
        <v>4756</v>
      </c>
      <c r="AF5155" s="31">
        <v>50</v>
      </c>
      <c r="AQ5155" s="32" t="s">
        <v>6048</v>
      </c>
      <c r="AU5155">
        <v>5154</v>
      </c>
    </row>
    <row r="5156" spans="1:47" x14ac:dyDescent="0.2">
      <c r="A5156" s="13">
        <v>6781</v>
      </c>
      <c r="B5156" s="57" t="s">
        <v>45</v>
      </c>
      <c r="C5156" s="57" t="s">
        <v>6060</v>
      </c>
      <c r="D5156" s="29"/>
      <c r="E5156" s="57" t="s">
        <v>5623</v>
      </c>
      <c r="F5156" s="31" t="s">
        <v>204</v>
      </c>
      <c r="G5156" s="31" t="s">
        <v>205</v>
      </c>
      <c r="I5156" s="19" t="s">
        <v>6275</v>
      </c>
      <c r="K5156" s="63"/>
      <c r="Z5156" s="31" t="s">
        <v>1846</v>
      </c>
      <c r="AE5156" s="31" t="s">
        <v>4756</v>
      </c>
      <c r="AF5156" s="31">
        <v>45</v>
      </c>
      <c r="AQ5156" s="32" t="s">
        <v>6048</v>
      </c>
      <c r="AU5156">
        <v>5155</v>
      </c>
    </row>
    <row r="5157" spans="1:47" x14ac:dyDescent="0.2">
      <c r="A5157" s="13">
        <v>6781</v>
      </c>
      <c r="B5157" s="57" t="s">
        <v>45</v>
      </c>
      <c r="C5157" s="57" t="s">
        <v>6060</v>
      </c>
      <c r="D5157" s="29"/>
      <c r="E5157" s="57" t="s">
        <v>6276</v>
      </c>
      <c r="F5157" s="31" t="s">
        <v>3637</v>
      </c>
      <c r="G5157" s="31" t="s">
        <v>69</v>
      </c>
      <c r="I5157" s="19" t="s">
        <v>6275</v>
      </c>
      <c r="K5157" s="63"/>
      <c r="Z5157" s="31" t="s">
        <v>1846</v>
      </c>
      <c r="AE5157" s="31" t="s">
        <v>4756</v>
      </c>
      <c r="AQ5157" s="32" t="s">
        <v>6048</v>
      </c>
      <c r="AU5157">
        <v>5156</v>
      </c>
    </row>
    <row r="5158" spans="1:47" x14ac:dyDescent="0.2">
      <c r="A5158" s="13">
        <v>6781</v>
      </c>
      <c r="B5158" s="57" t="s">
        <v>45</v>
      </c>
      <c r="C5158" s="57" t="s">
        <v>4456</v>
      </c>
      <c r="D5158" s="29"/>
      <c r="E5158" s="166" t="s">
        <v>5746</v>
      </c>
      <c r="F5158" s="19" t="s">
        <v>6120</v>
      </c>
      <c r="G5158" s="19" t="s">
        <v>69</v>
      </c>
      <c r="I5158" s="19" t="s">
        <v>6277</v>
      </c>
      <c r="K5158" s="183">
        <f>420*2.2</f>
        <v>924.00000000000011</v>
      </c>
      <c r="L5158" s="33">
        <v>1</v>
      </c>
      <c r="S5158" s="33">
        <v>1</v>
      </c>
      <c r="T5158" s="31">
        <v>0</v>
      </c>
      <c r="U5158" s="31">
        <v>0</v>
      </c>
      <c r="V5158" s="31">
        <v>0</v>
      </c>
      <c r="W5158" s="47">
        <f>1700*39.37/12</f>
        <v>5577.416666666667</v>
      </c>
      <c r="Y5158" s="19" t="s">
        <v>51</v>
      </c>
      <c r="Z5158" s="19" t="s">
        <v>1846</v>
      </c>
      <c r="AA5158" s="34">
        <v>0.97916666666666663</v>
      </c>
      <c r="AB5158" s="34">
        <v>1.0347222222222221</v>
      </c>
      <c r="AC5158" s="49">
        <f>AVERAGE(AA5158:AB5158)</f>
        <v>1.0069444444444444</v>
      </c>
      <c r="AD5158" s="50">
        <f>(AB5158-AA5158)*24</f>
        <v>1.3333333333333313</v>
      </c>
      <c r="AE5158" s="31" t="s">
        <v>4756</v>
      </c>
      <c r="AF5158" s="31">
        <v>45</v>
      </c>
      <c r="AQ5158" s="18" t="s">
        <v>6250</v>
      </c>
      <c r="AU5158">
        <v>5157</v>
      </c>
    </row>
    <row r="5159" spans="1:47" x14ac:dyDescent="0.2">
      <c r="A5159" s="13">
        <v>6781</v>
      </c>
      <c r="B5159" s="57" t="s">
        <v>45</v>
      </c>
      <c r="C5159" s="57" t="s">
        <v>4456</v>
      </c>
      <c r="D5159" s="29"/>
      <c r="E5159" s="195" t="s">
        <v>5327</v>
      </c>
      <c r="F5159" s="19" t="s">
        <v>5327</v>
      </c>
      <c r="I5159" s="19" t="s">
        <v>6278</v>
      </c>
      <c r="K5159" s="19">
        <v>0</v>
      </c>
      <c r="L5159" s="33">
        <v>1</v>
      </c>
      <c r="N5159" s="31">
        <v>1</v>
      </c>
      <c r="S5159" s="33">
        <v>0</v>
      </c>
      <c r="T5159" s="31">
        <v>0</v>
      </c>
      <c r="U5159" s="31">
        <v>0</v>
      </c>
      <c r="V5159" s="31">
        <v>0</v>
      </c>
      <c r="W5159" s="47"/>
      <c r="Y5159" s="19"/>
      <c r="Z5159" s="19" t="s">
        <v>1846</v>
      </c>
      <c r="AA5159" s="34">
        <v>0.96875</v>
      </c>
      <c r="AB5159" s="34">
        <v>1</v>
      </c>
      <c r="AC5159" s="49"/>
      <c r="AD5159" s="50"/>
      <c r="AE5159" s="31" t="s">
        <v>4756</v>
      </c>
      <c r="AQ5159" s="18" t="s">
        <v>6250</v>
      </c>
      <c r="AU5159">
        <v>5158</v>
      </c>
    </row>
    <row r="5160" spans="1:47" x14ac:dyDescent="0.2">
      <c r="A5160" s="13">
        <v>6781</v>
      </c>
      <c r="B5160" s="57" t="s">
        <v>45</v>
      </c>
      <c r="C5160" s="57" t="s">
        <v>4456</v>
      </c>
      <c r="D5160" s="29"/>
      <c r="E5160" s="57" t="s">
        <v>5623</v>
      </c>
      <c r="F5160" s="31" t="s">
        <v>204</v>
      </c>
      <c r="G5160" s="31" t="s">
        <v>205</v>
      </c>
      <c r="I5160" s="19" t="s">
        <v>6279</v>
      </c>
      <c r="K5160" s="183">
        <f>420*2.2</f>
        <v>924.00000000000011</v>
      </c>
      <c r="L5160" s="33">
        <v>1</v>
      </c>
      <c r="S5160" s="33">
        <v>1</v>
      </c>
      <c r="T5160" s="31">
        <v>0</v>
      </c>
      <c r="U5160" s="31">
        <v>0</v>
      </c>
      <c r="V5160" s="31">
        <v>0</v>
      </c>
      <c r="W5160" s="47">
        <f>1600*39.37/12</f>
        <v>5249.333333333333</v>
      </c>
      <c r="Y5160" s="19" t="s">
        <v>51</v>
      </c>
      <c r="Z5160" s="19" t="s">
        <v>1846</v>
      </c>
      <c r="AA5160" s="34">
        <v>0.97916666666666663</v>
      </c>
      <c r="AB5160" s="34">
        <v>1.0347222222222221</v>
      </c>
      <c r="AC5160" s="49">
        <f>AVERAGE(AA5160:AB5160)</f>
        <v>1.0069444444444444</v>
      </c>
      <c r="AD5160" s="50">
        <f>(AB5160-AA5160)*24</f>
        <v>1.3333333333333313</v>
      </c>
      <c r="AE5160" s="31" t="s">
        <v>4756</v>
      </c>
      <c r="AF5160" s="31">
        <v>45</v>
      </c>
      <c r="AQ5160" s="18" t="s">
        <v>6250</v>
      </c>
      <c r="AU5160">
        <v>5159</v>
      </c>
    </row>
    <row r="5161" spans="1:47" x14ac:dyDescent="0.2">
      <c r="A5161" s="13">
        <v>6781</v>
      </c>
      <c r="B5161" s="57" t="s">
        <v>45</v>
      </c>
      <c r="C5161" s="57" t="s">
        <v>4456</v>
      </c>
      <c r="D5161" s="29"/>
      <c r="E5161" s="57" t="s">
        <v>5253</v>
      </c>
      <c r="F5161" s="31" t="s">
        <v>76</v>
      </c>
      <c r="G5161" s="31" t="s">
        <v>49</v>
      </c>
      <c r="I5161" s="19" t="s">
        <v>6280</v>
      </c>
      <c r="K5161" s="183">
        <f>420*2.2</f>
        <v>924.00000000000011</v>
      </c>
      <c r="L5161" s="33">
        <v>1</v>
      </c>
      <c r="S5161" s="33">
        <v>1</v>
      </c>
      <c r="T5161" s="31">
        <v>0</v>
      </c>
      <c r="U5161" s="31">
        <v>0</v>
      </c>
      <c r="V5161" s="31">
        <v>0</v>
      </c>
      <c r="W5161" s="47">
        <f>2500*39.37/12</f>
        <v>8202.0833333333339</v>
      </c>
      <c r="Y5161" s="19" t="s">
        <v>51</v>
      </c>
      <c r="Z5161" s="19" t="s">
        <v>1846</v>
      </c>
      <c r="AA5161" s="34">
        <v>0.96875</v>
      </c>
      <c r="AB5161" s="34">
        <v>1.0347222222222221</v>
      </c>
      <c r="AC5161" s="49">
        <f>AVERAGE(AA5161:AB5161)</f>
        <v>1.0017361111111112</v>
      </c>
      <c r="AD5161" s="50">
        <f>(AB5161-AA5161)*24</f>
        <v>1.5833333333333304</v>
      </c>
      <c r="AE5161" s="31" t="s">
        <v>4756</v>
      </c>
      <c r="AF5161" s="31">
        <v>50</v>
      </c>
      <c r="AQ5161" s="18" t="s">
        <v>6250</v>
      </c>
      <c r="AU5161">
        <v>5160</v>
      </c>
    </row>
    <row r="5162" spans="1:47" x14ac:dyDescent="0.2">
      <c r="A5162" s="13">
        <v>6781</v>
      </c>
      <c r="B5162" s="57" t="s">
        <v>45</v>
      </c>
      <c r="C5162" s="57" t="s">
        <v>4456</v>
      </c>
      <c r="D5162" s="29"/>
      <c r="E5162" s="166" t="s">
        <v>6281</v>
      </c>
      <c r="F5162" s="19" t="s">
        <v>6120</v>
      </c>
      <c r="G5162" s="19" t="s">
        <v>69</v>
      </c>
      <c r="I5162" s="19" t="s">
        <v>6282</v>
      </c>
      <c r="K5162" s="183">
        <f>420*2.2</f>
        <v>924.00000000000011</v>
      </c>
      <c r="L5162" s="33">
        <v>1</v>
      </c>
      <c r="S5162" s="33">
        <v>1</v>
      </c>
      <c r="T5162" s="31">
        <v>0</v>
      </c>
      <c r="U5162" s="31">
        <v>0</v>
      </c>
      <c r="V5162" s="31">
        <v>0</v>
      </c>
      <c r="W5162" s="47">
        <f>2000*39.37/12</f>
        <v>6561.666666666667</v>
      </c>
      <c r="Y5162" s="19" t="s">
        <v>51</v>
      </c>
      <c r="Z5162" s="19" t="s">
        <v>1846</v>
      </c>
      <c r="AA5162" s="34">
        <v>0.97916666666666663</v>
      </c>
      <c r="AB5162" s="34">
        <v>1.03125</v>
      </c>
      <c r="AC5162" s="49">
        <f>AVERAGE(AA5162:AB5162)</f>
        <v>1.0052083333333333</v>
      </c>
      <c r="AD5162" s="50">
        <f>(AB5162-AA5162)*24</f>
        <v>1.2500000000000009</v>
      </c>
      <c r="AE5162" s="31" t="s">
        <v>4756</v>
      </c>
      <c r="AF5162" s="31">
        <v>40</v>
      </c>
      <c r="AQ5162" s="18" t="s">
        <v>6250</v>
      </c>
      <c r="AU5162">
        <v>5161</v>
      </c>
    </row>
    <row r="5163" spans="1:47" x14ac:dyDescent="0.2">
      <c r="A5163" s="26">
        <v>6781</v>
      </c>
      <c r="B5163" s="27">
        <v>0.87638888888888899</v>
      </c>
      <c r="C5163" s="28"/>
      <c r="D5163" s="29"/>
      <c r="E5163" s="30" t="s">
        <v>464</v>
      </c>
      <c r="H5163" s="32">
        <v>0</v>
      </c>
      <c r="I5163" s="32" t="s">
        <v>6283</v>
      </c>
      <c r="AG5163" s="32">
        <v>0</v>
      </c>
      <c r="AH5163" s="32">
        <v>0</v>
      </c>
      <c r="AL5163" s="32">
        <f>153/60</f>
        <v>2.5499999999999998</v>
      </c>
      <c r="AO5163" s="32" t="s">
        <v>4067</v>
      </c>
      <c r="AP5163" s="32">
        <f>153/60</f>
        <v>2.5499999999999998</v>
      </c>
      <c r="AQ5163" s="32" t="s">
        <v>1522</v>
      </c>
      <c r="AU5163">
        <v>5162</v>
      </c>
    </row>
    <row r="5164" spans="1:47" x14ac:dyDescent="0.2">
      <c r="A5164" s="26">
        <v>6781</v>
      </c>
      <c r="B5164" s="27">
        <v>0.97916666666666663</v>
      </c>
      <c r="C5164" s="28"/>
      <c r="D5164" s="29"/>
      <c r="E5164" s="182" t="s">
        <v>4219</v>
      </c>
      <c r="H5164" s="32">
        <v>1</v>
      </c>
      <c r="I5164" s="32"/>
      <c r="AL5164" s="32">
        <v>0.5</v>
      </c>
      <c r="AO5164" s="32" t="s">
        <v>858</v>
      </c>
      <c r="AP5164" s="32">
        <v>0.5</v>
      </c>
      <c r="AQ5164" s="32" t="s">
        <v>1101</v>
      </c>
      <c r="AU5164">
        <v>5163</v>
      </c>
    </row>
    <row r="5165" spans="1:47" x14ac:dyDescent="0.2">
      <c r="A5165" s="26">
        <v>6781</v>
      </c>
      <c r="B5165" s="27">
        <v>0.98263888888888884</v>
      </c>
      <c r="C5165" s="28"/>
      <c r="D5165" s="29"/>
      <c r="E5165" s="30" t="s">
        <v>1282</v>
      </c>
      <c r="H5165" s="32">
        <v>0</v>
      </c>
      <c r="I5165" s="32" t="s">
        <v>6284</v>
      </c>
      <c r="AG5165" s="32">
        <v>0</v>
      </c>
      <c r="AH5165" s="32">
        <v>0</v>
      </c>
      <c r="AI5165" s="32">
        <v>0</v>
      </c>
      <c r="AK5165" s="32">
        <v>0</v>
      </c>
      <c r="AL5165" s="32">
        <f>12/60</f>
        <v>0.2</v>
      </c>
      <c r="AP5165" s="32">
        <v>0.2</v>
      </c>
      <c r="AQ5165" s="32" t="s">
        <v>1101</v>
      </c>
      <c r="AU5165">
        <v>5164</v>
      </c>
    </row>
    <row r="5166" spans="1:47" x14ac:dyDescent="0.2">
      <c r="A5166" s="26">
        <v>6782</v>
      </c>
      <c r="B5166" s="27">
        <v>0.90625</v>
      </c>
      <c r="C5166" s="28"/>
      <c r="D5166" s="29"/>
      <c r="E5166" s="30" t="s">
        <v>4713</v>
      </c>
      <c r="H5166" s="32">
        <v>0</v>
      </c>
      <c r="I5166" s="32" t="s">
        <v>4714</v>
      </c>
      <c r="AG5166" s="32">
        <v>0</v>
      </c>
      <c r="AH5166" s="32">
        <v>0</v>
      </c>
      <c r="AI5166" s="32">
        <v>0</v>
      </c>
      <c r="AK5166" s="32">
        <v>0</v>
      </c>
      <c r="AL5166" s="32">
        <v>0.5</v>
      </c>
      <c r="AP5166" s="32">
        <v>0.5</v>
      </c>
      <c r="AQ5166" s="32" t="s">
        <v>1101</v>
      </c>
      <c r="AU5166">
        <v>5165</v>
      </c>
    </row>
    <row r="5167" spans="1:47" x14ac:dyDescent="0.2">
      <c r="A5167" s="13">
        <v>6784</v>
      </c>
      <c r="B5167" s="57" t="s">
        <v>85</v>
      </c>
      <c r="C5167" s="15" t="s">
        <v>5626</v>
      </c>
      <c r="D5167" s="29"/>
      <c r="E5167" s="57" t="s">
        <v>6285</v>
      </c>
      <c r="F5167" s="31" t="s">
        <v>6286</v>
      </c>
      <c r="G5167" s="31" t="s">
        <v>69</v>
      </c>
      <c r="H5167" s="32"/>
      <c r="I5167" s="137" t="s">
        <v>6287</v>
      </c>
      <c r="K5167" s="135">
        <f>(48/53)*11760*2.2</f>
        <v>23431.24528301887</v>
      </c>
      <c r="L5167" s="33">
        <v>72</v>
      </c>
      <c r="M5167" s="31">
        <f>72-48</f>
        <v>24</v>
      </c>
      <c r="S5167" s="33">
        <v>48</v>
      </c>
      <c r="T5167" s="31">
        <v>0</v>
      </c>
      <c r="Y5167" s="31" t="s">
        <v>51</v>
      </c>
      <c r="Z5167" s="47" t="s">
        <v>3724</v>
      </c>
      <c r="AA5167" s="34">
        <v>0.45833333333333331</v>
      </c>
      <c r="AC5167" s="34">
        <v>0.49305555555555558</v>
      </c>
      <c r="AE5167" s="31" t="s">
        <v>6261</v>
      </c>
      <c r="AF5167" s="31">
        <v>55</v>
      </c>
      <c r="AQ5167" s="32" t="s">
        <v>6288</v>
      </c>
      <c r="AU5167">
        <v>5166</v>
      </c>
    </row>
    <row r="5168" spans="1:47" x14ac:dyDescent="0.2">
      <c r="A5168" s="13">
        <v>6784</v>
      </c>
      <c r="B5168" s="57" t="s">
        <v>85</v>
      </c>
      <c r="C5168" s="15" t="s">
        <v>5626</v>
      </c>
      <c r="D5168" s="29"/>
      <c r="E5168" s="57" t="s">
        <v>6289</v>
      </c>
      <c r="F5168" s="31" t="s">
        <v>6286</v>
      </c>
      <c r="G5168" s="31" t="s">
        <v>69</v>
      </c>
      <c r="H5168" s="32"/>
      <c r="I5168" s="137" t="s">
        <v>6290</v>
      </c>
      <c r="K5168" s="135">
        <f>(5/53)*11760*2.2</f>
        <v>2440.7547169811323</v>
      </c>
      <c r="S5168" s="33">
        <v>5</v>
      </c>
      <c r="T5168" s="31">
        <v>0</v>
      </c>
      <c r="W5168" s="47">
        <f>1200*39.37/12</f>
        <v>3937</v>
      </c>
      <c r="Y5168" s="31" t="s">
        <v>51</v>
      </c>
      <c r="Z5168" s="47" t="s">
        <v>3724</v>
      </c>
      <c r="AC5168" s="34">
        <v>0.75694444444444453</v>
      </c>
      <c r="AE5168" s="31" t="s">
        <v>6261</v>
      </c>
      <c r="AF5168" s="31">
        <v>60</v>
      </c>
      <c r="AQ5168" s="32" t="s">
        <v>6288</v>
      </c>
      <c r="AU5168">
        <v>5167</v>
      </c>
    </row>
    <row r="5169" spans="1:47" x14ac:dyDescent="0.2">
      <c r="A5169" s="13">
        <v>6784</v>
      </c>
      <c r="B5169" s="57" t="s">
        <v>45</v>
      </c>
      <c r="C5169" s="57" t="s">
        <v>4843</v>
      </c>
      <c r="D5169" s="29"/>
      <c r="E5169" s="57" t="s">
        <v>5934</v>
      </c>
      <c r="F5169" s="31" t="s">
        <v>5578</v>
      </c>
      <c r="G5169" s="31" t="s">
        <v>69</v>
      </c>
      <c r="K5169" s="31">
        <v>528</v>
      </c>
      <c r="S5169" s="33">
        <v>1</v>
      </c>
      <c r="Z5169" s="31" t="s">
        <v>3814</v>
      </c>
      <c r="AE5169" s="31" t="s">
        <v>4411</v>
      </c>
      <c r="AK5169" s="32">
        <v>6</v>
      </c>
      <c r="AQ5169" s="32" t="s">
        <v>6048</v>
      </c>
      <c r="AU5169">
        <v>5168</v>
      </c>
    </row>
    <row r="5170" spans="1:47" x14ac:dyDescent="0.2">
      <c r="A5170" s="13">
        <v>6785</v>
      </c>
      <c r="B5170" s="57" t="s">
        <v>85</v>
      </c>
      <c r="C5170" s="15" t="s">
        <v>5626</v>
      </c>
      <c r="D5170" s="45"/>
      <c r="E5170" s="144" t="s">
        <v>6291</v>
      </c>
      <c r="F5170" s="31" t="s">
        <v>6292</v>
      </c>
      <c r="G5170" s="31" t="s">
        <v>69</v>
      </c>
      <c r="I5170" s="31" t="s">
        <v>6293</v>
      </c>
      <c r="K5170" s="63"/>
      <c r="Y5170" s="31" t="s">
        <v>120</v>
      </c>
      <c r="Z5170" s="31" t="s">
        <v>3724</v>
      </c>
      <c r="AC5170" s="34">
        <v>0.39583333333333331</v>
      </c>
      <c r="AD5170" s="31"/>
      <c r="AE5170" s="31" t="s">
        <v>6261</v>
      </c>
      <c r="AF5170" s="31">
        <v>35</v>
      </c>
      <c r="AQ5170" s="25" t="s">
        <v>6294</v>
      </c>
      <c r="AU5170">
        <v>5169</v>
      </c>
    </row>
    <row r="5171" spans="1:47" x14ac:dyDescent="0.2">
      <c r="A5171" s="133">
        <v>6785</v>
      </c>
      <c r="B5171" s="39" t="s">
        <v>45</v>
      </c>
      <c r="C5171" s="39">
        <v>100</v>
      </c>
      <c r="D5171" s="29" t="b">
        <v>0</v>
      </c>
      <c r="E5171" s="39" t="s">
        <v>6295</v>
      </c>
      <c r="F5171" s="47" t="s">
        <v>3021</v>
      </c>
      <c r="G5171" s="47" t="s">
        <v>205</v>
      </c>
      <c r="H5171"/>
      <c r="I5171" s="47" t="b">
        <v>1</v>
      </c>
      <c r="J5171" s="47" t="b">
        <v>1</v>
      </c>
      <c r="K5171" s="47">
        <v>2626</v>
      </c>
      <c r="L5171" s="48">
        <v>-1</v>
      </c>
      <c r="M5171" s="47">
        <v>0</v>
      </c>
      <c r="N5171" s="47">
        <v>0</v>
      </c>
      <c r="O5171" s="47">
        <v>0</v>
      </c>
      <c r="P5171" s="47">
        <v>0</v>
      </c>
      <c r="Q5171" s="47">
        <v>0</v>
      </c>
      <c r="R5171" s="47">
        <v>0</v>
      </c>
      <c r="S5171" s="48">
        <v>9</v>
      </c>
      <c r="T5171" s="47">
        <v>0</v>
      </c>
      <c r="U5171" s="47">
        <v>0</v>
      </c>
      <c r="V5171" s="47">
        <v>0</v>
      </c>
      <c r="W5171" s="47">
        <v>2250</v>
      </c>
      <c r="X5171" s="47">
        <v>764</v>
      </c>
      <c r="Y5171" s="47"/>
      <c r="Z5171" s="47" t="s">
        <v>2524</v>
      </c>
      <c r="AA5171" s="49"/>
      <c r="AB5171" s="49"/>
      <c r="AC5171" s="49"/>
      <c r="AD5171" s="50"/>
      <c r="AE5171" s="47" t="s">
        <v>1312</v>
      </c>
      <c r="AF5171" s="47">
        <v>75</v>
      </c>
      <c r="AG5171"/>
      <c r="AH5171"/>
      <c r="AI5171"/>
      <c r="AJ5171"/>
      <c r="AK5171"/>
      <c r="AL5171"/>
      <c r="AM5171"/>
      <c r="AN5171"/>
      <c r="AO5171"/>
      <c r="AP5171"/>
      <c r="AQ5171" t="s">
        <v>2526</v>
      </c>
      <c r="AU5171">
        <v>5170</v>
      </c>
    </row>
    <row r="5172" spans="1:47" x14ac:dyDescent="0.2">
      <c r="A5172" s="133">
        <v>6785</v>
      </c>
      <c r="B5172" s="39" t="s">
        <v>45</v>
      </c>
      <c r="C5172" s="39">
        <v>100</v>
      </c>
      <c r="D5172" s="29" t="b">
        <v>0</v>
      </c>
      <c r="E5172" s="39" t="s">
        <v>5707</v>
      </c>
      <c r="F5172" s="47" t="s">
        <v>529</v>
      </c>
      <c r="G5172" s="47" t="s">
        <v>205</v>
      </c>
      <c r="H5172"/>
      <c r="I5172" s="47" t="b">
        <v>0</v>
      </c>
      <c r="J5172" s="47" t="b">
        <v>0</v>
      </c>
      <c r="K5172" s="47">
        <v>1659</v>
      </c>
      <c r="L5172" s="48">
        <v>-1</v>
      </c>
      <c r="M5172" s="47">
        <v>0</v>
      </c>
      <c r="N5172" s="47">
        <v>0</v>
      </c>
      <c r="O5172" s="47">
        <v>0</v>
      </c>
      <c r="P5172" s="47">
        <v>0</v>
      </c>
      <c r="Q5172" s="47">
        <v>0</v>
      </c>
      <c r="R5172" s="47">
        <v>0</v>
      </c>
      <c r="S5172" s="48">
        <v>5</v>
      </c>
      <c r="T5172" s="47">
        <v>0</v>
      </c>
      <c r="U5172" s="47">
        <v>0</v>
      </c>
      <c r="V5172" s="47">
        <v>0</v>
      </c>
      <c r="W5172" s="47">
        <v>2250</v>
      </c>
      <c r="X5172" s="47">
        <v>765</v>
      </c>
      <c r="Y5172" s="47"/>
      <c r="Z5172" s="47" t="s">
        <v>2524</v>
      </c>
      <c r="AA5172" s="49"/>
      <c r="AB5172" s="49"/>
      <c r="AC5172" s="49"/>
      <c r="AD5172" s="50"/>
      <c r="AE5172" s="47" t="s">
        <v>1312</v>
      </c>
      <c r="AF5172" s="47">
        <v>75</v>
      </c>
      <c r="AG5172"/>
      <c r="AH5172"/>
      <c r="AI5172"/>
      <c r="AJ5172"/>
      <c r="AK5172"/>
      <c r="AL5172"/>
      <c r="AM5172"/>
      <c r="AN5172"/>
      <c r="AO5172"/>
      <c r="AP5172"/>
      <c r="AQ5172" t="s">
        <v>2526</v>
      </c>
      <c r="AU5172">
        <v>5171</v>
      </c>
    </row>
    <row r="5173" spans="1:47" x14ac:dyDescent="0.2">
      <c r="A5173" s="133">
        <v>6785</v>
      </c>
      <c r="B5173" s="39" t="s">
        <v>45</v>
      </c>
      <c r="C5173" s="39">
        <v>100</v>
      </c>
      <c r="D5173" s="29" t="b">
        <v>0</v>
      </c>
      <c r="E5173" s="39" t="s">
        <v>1551</v>
      </c>
      <c r="F5173" s="47" t="s">
        <v>529</v>
      </c>
      <c r="G5173" s="47" t="s">
        <v>205</v>
      </c>
      <c r="H5173"/>
      <c r="I5173" s="47" t="b">
        <v>0</v>
      </c>
      <c r="J5173" s="47" t="b">
        <v>0</v>
      </c>
      <c r="K5173" s="47">
        <v>312</v>
      </c>
      <c r="L5173" s="48">
        <v>-1</v>
      </c>
      <c r="M5173" s="47">
        <v>0</v>
      </c>
      <c r="N5173" s="47">
        <v>0</v>
      </c>
      <c r="O5173" s="47">
        <v>0</v>
      </c>
      <c r="P5173" s="47">
        <v>0</v>
      </c>
      <c r="Q5173" s="47">
        <v>0</v>
      </c>
      <c r="R5173" s="47">
        <v>0</v>
      </c>
      <c r="S5173" s="48">
        <v>1</v>
      </c>
      <c r="T5173" s="47">
        <v>0</v>
      </c>
      <c r="U5173" s="47">
        <v>0</v>
      </c>
      <c r="V5173" s="47">
        <v>0</v>
      </c>
      <c r="W5173" s="47">
        <v>2250</v>
      </c>
      <c r="X5173" s="47">
        <v>766</v>
      </c>
      <c r="Y5173" s="47"/>
      <c r="Z5173" s="47" t="s">
        <v>2524</v>
      </c>
      <c r="AA5173" s="49"/>
      <c r="AB5173" s="49"/>
      <c r="AC5173" s="49"/>
      <c r="AD5173" s="50"/>
      <c r="AE5173" s="47" t="s">
        <v>1312</v>
      </c>
      <c r="AF5173" s="47">
        <v>60</v>
      </c>
      <c r="AG5173"/>
      <c r="AH5173"/>
      <c r="AI5173"/>
      <c r="AJ5173"/>
      <c r="AK5173"/>
      <c r="AL5173"/>
      <c r="AM5173"/>
      <c r="AN5173"/>
      <c r="AO5173"/>
      <c r="AP5173"/>
      <c r="AQ5173" t="s">
        <v>2526</v>
      </c>
      <c r="AU5173">
        <v>5172</v>
      </c>
    </row>
    <row r="5174" spans="1:47" x14ac:dyDescent="0.2">
      <c r="A5174" s="133">
        <v>6785</v>
      </c>
      <c r="B5174" s="39" t="s">
        <v>45</v>
      </c>
      <c r="C5174" s="39">
        <v>100</v>
      </c>
      <c r="D5174" s="29" t="b">
        <v>0</v>
      </c>
      <c r="E5174" s="39" t="s">
        <v>5718</v>
      </c>
      <c r="F5174" s="47" t="s">
        <v>76</v>
      </c>
      <c r="G5174" s="47" t="s">
        <v>49</v>
      </c>
      <c r="H5174"/>
      <c r="I5174" s="47" t="b">
        <v>0</v>
      </c>
      <c r="J5174" s="47" t="b">
        <v>0</v>
      </c>
      <c r="K5174" s="47">
        <v>330</v>
      </c>
      <c r="L5174" s="48">
        <v>-1</v>
      </c>
      <c r="M5174" s="47">
        <v>0</v>
      </c>
      <c r="N5174" s="47">
        <v>0</v>
      </c>
      <c r="O5174" s="47">
        <v>0</v>
      </c>
      <c r="P5174" s="47">
        <v>0</v>
      </c>
      <c r="Q5174" s="47">
        <v>0</v>
      </c>
      <c r="R5174" s="47">
        <v>0</v>
      </c>
      <c r="S5174" s="48">
        <v>2</v>
      </c>
      <c r="T5174" s="47">
        <v>0</v>
      </c>
      <c r="U5174" s="47">
        <v>0</v>
      </c>
      <c r="V5174" s="47">
        <v>0</v>
      </c>
      <c r="W5174" s="47">
        <v>2250</v>
      </c>
      <c r="X5174" s="47">
        <v>767</v>
      </c>
      <c r="Y5174" s="47"/>
      <c r="Z5174" s="47" t="s">
        <v>2524</v>
      </c>
      <c r="AA5174" s="49"/>
      <c r="AB5174" s="49"/>
      <c r="AC5174" s="49"/>
      <c r="AD5174" s="50"/>
      <c r="AE5174" s="47" t="s">
        <v>1312</v>
      </c>
      <c r="AF5174" s="47">
        <v>55</v>
      </c>
      <c r="AG5174"/>
      <c r="AH5174"/>
      <c r="AI5174"/>
      <c r="AJ5174"/>
      <c r="AK5174"/>
      <c r="AL5174"/>
      <c r="AM5174"/>
      <c r="AN5174"/>
      <c r="AO5174"/>
      <c r="AP5174"/>
      <c r="AQ5174" t="s">
        <v>2526</v>
      </c>
      <c r="AU5174">
        <v>5173</v>
      </c>
    </row>
    <row r="5175" spans="1:47" x14ac:dyDescent="0.2">
      <c r="A5175" s="133">
        <v>6785</v>
      </c>
      <c r="B5175" s="39" t="s">
        <v>45</v>
      </c>
      <c r="C5175" s="39">
        <v>100</v>
      </c>
      <c r="D5175" s="29" t="b">
        <v>0</v>
      </c>
      <c r="E5175" s="39" t="s">
        <v>6296</v>
      </c>
      <c r="F5175" s="47" t="s">
        <v>76</v>
      </c>
      <c r="G5175" s="47" t="s">
        <v>49</v>
      </c>
      <c r="H5175"/>
      <c r="I5175" s="47" t="b">
        <v>0</v>
      </c>
      <c r="J5175" s="47" t="b">
        <v>0</v>
      </c>
      <c r="K5175" s="47">
        <v>50</v>
      </c>
      <c r="L5175" s="48">
        <v>-1</v>
      </c>
      <c r="M5175" s="47">
        <v>0</v>
      </c>
      <c r="N5175" s="47">
        <v>0</v>
      </c>
      <c r="O5175" s="47">
        <v>0</v>
      </c>
      <c r="P5175" s="47">
        <v>0</v>
      </c>
      <c r="Q5175" s="47">
        <v>0</v>
      </c>
      <c r="R5175" s="47">
        <v>0</v>
      </c>
      <c r="S5175" s="48">
        <v>2</v>
      </c>
      <c r="T5175" s="47">
        <v>0</v>
      </c>
      <c r="U5175" s="47">
        <v>0</v>
      </c>
      <c r="V5175" s="47">
        <v>0</v>
      </c>
      <c r="W5175" s="47">
        <v>2250</v>
      </c>
      <c r="X5175" s="47">
        <v>768</v>
      </c>
      <c r="Y5175" s="47"/>
      <c r="Z5175" s="47" t="s">
        <v>2524</v>
      </c>
      <c r="AA5175" s="49"/>
      <c r="AB5175" s="49"/>
      <c r="AC5175" s="49"/>
      <c r="AD5175" s="50"/>
      <c r="AE5175" s="47" t="s">
        <v>1312</v>
      </c>
      <c r="AF5175" s="47"/>
      <c r="AG5175"/>
      <c r="AH5175"/>
      <c r="AI5175"/>
      <c r="AJ5175"/>
      <c r="AK5175"/>
      <c r="AL5175"/>
      <c r="AM5175"/>
      <c r="AN5175"/>
      <c r="AO5175"/>
      <c r="AP5175"/>
      <c r="AQ5175" t="s">
        <v>2526</v>
      </c>
      <c r="AU5175">
        <v>5174</v>
      </c>
    </row>
    <row r="5176" spans="1:47" x14ac:dyDescent="0.2">
      <c r="A5176" s="133">
        <v>6785</v>
      </c>
      <c r="B5176" s="39" t="s">
        <v>45</v>
      </c>
      <c r="C5176" s="39">
        <v>100</v>
      </c>
      <c r="D5176" s="29" t="b">
        <v>0</v>
      </c>
      <c r="E5176" s="39" t="s">
        <v>1830</v>
      </c>
      <c r="F5176" s="47" t="s">
        <v>76</v>
      </c>
      <c r="G5176" s="47" t="s">
        <v>49</v>
      </c>
      <c r="H5176"/>
      <c r="I5176" s="47" t="b">
        <v>0</v>
      </c>
      <c r="J5176" s="47" t="b">
        <v>0</v>
      </c>
      <c r="K5176" s="47">
        <v>50</v>
      </c>
      <c r="L5176" s="48">
        <v>-1</v>
      </c>
      <c r="M5176" s="47">
        <v>0</v>
      </c>
      <c r="N5176" s="47">
        <v>0</v>
      </c>
      <c r="O5176" s="47">
        <v>0</v>
      </c>
      <c r="P5176" s="47">
        <v>0</v>
      </c>
      <c r="Q5176" s="47">
        <v>0</v>
      </c>
      <c r="R5176" s="47">
        <v>0</v>
      </c>
      <c r="S5176" s="48">
        <v>2</v>
      </c>
      <c r="T5176" s="47">
        <v>0</v>
      </c>
      <c r="U5176" s="47">
        <v>0</v>
      </c>
      <c r="V5176" s="47">
        <v>0</v>
      </c>
      <c r="W5176" s="47">
        <v>2250</v>
      </c>
      <c r="X5176" s="47">
        <v>769</v>
      </c>
      <c r="Y5176" s="47"/>
      <c r="Z5176" s="47" t="s">
        <v>2524</v>
      </c>
      <c r="AA5176" s="49"/>
      <c r="AB5176" s="49"/>
      <c r="AC5176" s="49"/>
      <c r="AD5176" s="50"/>
      <c r="AE5176" s="47" t="s">
        <v>1312</v>
      </c>
      <c r="AF5176" s="47">
        <v>90</v>
      </c>
      <c r="AG5176"/>
      <c r="AH5176"/>
      <c r="AI5176"/>
      <c r="AJ5176"/>
      <c r="AK5176"/>
      <c r="AL5176"/>
      <c r="AM5176"/>
      <c r="AN5176"/>
      <c r="AO5176"/>
      <c r="AP5176"/>
      <c r="AQ5176" t="s">
        <v>2526</v>
      </c>
      <c r="AU5176">
        <v>5175</v>
      </c>
    </row>
    <row r="5177" spans="1:47" x14ac:dyDescent="0.2">
      <c r="A5177" s="133">
        <v>6785</v>
      </c>
      <c r="B5177" s="39" t="s">
        <v>45</v>
      </c>
      <c r="C5177" s="39">
        <v>100</v>
      </c>
      <c r="D5177" s="29" t="b">
        <v>0</v>
      </c>
      <c r="E5177" s="39" t="s">
        <v>6297</v>
      </c>
      <c r="F5177" s="47" t="s">
        <v>5697</v>
      </c>
      <c r="G5177" s="47" t="s">
        <v>73</v>
      </c>
      <c r="H5177"/>
      <c r="I5177" s="47" t="b">
        <v>0</v>
      </c>
      <c r="J5177" s="47" t="b">
        <v>0</v>
      </c>
      <c r="K5177" s="47">
        <v>225</v>
      </c>
      <c r="L5177" s="48">
        <v>-1</v>
      </c>
      <c r="M5177" s="47">
        <v>0</v>
      </c>
      <c r="N5177" s="47">
        <v>0</v>
      </c>
      <c r="O5177" s="47">
        <v>0</v>
      </c>
      <c r="P5177" s="47">
        <v>0</v>
      </c>
      <c r="Q5177" s="47">
        <v>0</v>
      </c>
      <c r="R5177" s="47">
        <v>0</v>
      </c>
      <c r="S5177" s="48">
        <v>1</v>
      </c>
      <c r="T5177" s="47">
        <v>0</v>
      </c>
      <c r="U5177" s="47">
        <v>0</v>
      </c>
      <c r="V5177" s="47">
        <v>0</v>
      </c>
      <c r="W5177" s="47">
        <v>2250</v>
      </c>
      <c r="X5177" s="47">
        <v>770</v>
      </c>
      <c r="Y5177" s="47"/>
      <c r="Z5177" s="47" t="s">
        <v>2524</v>
      </c>
      <c r="AA5177" s="49"/>
      <c r="AB5177" s="49"/>
      <c r="AC5177" s="49"/>
      <c r="AD5177" s="50"/>
      <c r="AE5177" s="47" t="s">
        <v>1312</v>
      </c>
      <c r="AF5177" s="47">
        <v>60</v>
      </c>
      <c r="AG5177"/>
      <c r="AH5177"/>
      <c r="AI5177"/>
      <c r="AJ5177"/>
      <c r="AK5177"/>
      <c r="AL5177"/>
      <c r="AM5177"/>
      <c r="AN5177"/>
      <c r="AO5177"/>
      <c r="AP5177"/>
      <c r="AQ5177" t="s">
        <v>2526</v>
      </c>
      <c r="AU5177">
        <v>5176</v>
      </c>
    </row>
    <row r="5178" spans="1:47" x14ac:dyDescent="0.2">
      <c r="A5178" s="133">
        <v>6785</v>
      </c>
      <c r="B5178" s="39" t="s">
        <v>45</v>
      </c>
      <c r="C5178" s="39">
        <v>216</v>
      </c>
      <c r="D5178" s="29" t="b">
        <v>0</v>
      </c>
      <c r="E5178" s="39" t="s">
        <v>6298</v>
      </c>
      <c r="F5178" s="47" t="s">
        <v>6299</v>
      </c>
      <c r="G5178" s="47" t="s">
        <v>49</v>
      </c>
      <c r="H5178"/>
      <c r="I5178" s="47" t="b">
        <v>1</v>
      </c>
      <c r="J5178" s="47" t="b">
        <v>1</v>
      </c>
      <c r="K5178" s="47">
        <v>9968</v>
      </c>
      <c r="L5178" s="48">
        <v>7</v>
      </c>
      <c r="M5178" s="47">
        <v>0</v>
      </c>
      <c r="N5178" s="47">
        <v>0</v>
      </c>
      <c r="O5178" s="47">
        <v>0</v>
      </c>
      <c r="P5178" s="47">
        <v>6</v>
      </c>
      <c r="Q5178" s="47">
        <v>0</v>
      </c>
      <c r="R5178" s="47">
        <v>0</v>
      </c>
      <c r="S5178" s="48">
        <v>7</v>
      </c>
      <c r="T5178" s="47">
        <v>0</v>
      </c>
      <c r="U5178" s="47">
        <v>0</v>
      </c>
      <c r="V5178" s="47">
        <v>0</v>
      </c>
      <c r="W5178" s="47">
        <v>6667</v>
      </c>
      <c r="X5178" s="47">
        <v>771</v>
      </c>
      <c r="Y5178" s="47"/>
      <c r="Z5178" s="47" t="s">
        <v>2466</v>
      </c>
      <c r="AA5178" s="49"/>
      <c r="AB5178" s="49"/>
      <c r="AC5178" s="49"/>
      <c r="AD5178" s="50"/>
      <c r="AE5178" s="47" t="s">
        <v>1312</v>
      </c>
      <c r="AF5178" s="31">
        <v>120</v>
      </c>
      <c r="AG5178"/>
      <c r="AH5178"/>
      <c r="AI5178"/>
      <c r="AJ5178"/>
      <c r="AK5178"/>
      <c r="AL5178"/>
      <c r="AM5178"/>
      <c r="AN5178"/>
      <c r="AO5178"/>
      <c r="AP5178"/>
      <c r="AQ5178" t="s">
        <v>2526</v>
      </c>
      <c r="AU5178">
        <v>5177</v>
      </c>
    </row>
    <row r="5179" spans="1:47" x14ac:dyDescent="0.2">
      <c r="A5179" s="133">
        <v>6785</v>
      </c>
      <c r="B5179" s="39" t="s">
        <v>45</v>
      </c>
      <c r="C5179" s="39">
        <v>216</v>
      </c>
      <c r="D5179" s="29" t="b">
        <v>0</v>
      </c>
      <c r="E5179" s="39" t="s">
        <v>1040</v>
      </c>
      <c r="F5179" s="47" t="s">
        <v>1224</v>
      </c>
      <c r="G5179" s="47" t="s">
        <v>459</v>
      </c>
      <c r="H5179"/>
      <c r="I5179" s="47" t="b">
        <v>0</v>
      </c>
      <c r="J5179" s="47" t="b">
        <v>0</v>
      </c>
      <c r="K5179" s="47">
        <v>896</v>
      </c>
      <c r="L5179" s="48">
        <v>7</v>
      </c>
      <c r="M5179" s="47">
        <v>0</v>
      </c>
      <c r="N5179" s="47">
        <v>0</v>
      </c>
      <c r="O5179" s="47">
        <v>0</v>
      </c>
      <c r="P5179" s="47">
        <v>6</v>
      </c>
      <c r="Q5179" s="47">
        <v>0</v>
      </c>
      <c r="R5179" s="47">
        <v>0</v>
      </c>
      <c r="S5179" s="48">
        <v>1</v>
      </c>
      <c r="T5179" s="47">
        <v>0</v>
      </c>
      <c r="U5179" s="47">
        <v>0</v>
      </c>
      <c r="V5179" s="47">
        <v>0</v>
      </c>
      <c r="W5179" s="47">
        <v>8000</v>
      </c>
      <c r="X5179" s="47">
        <v>772</v>
      </c>
      <c r="Y5179" s="47"/>
      <c r="Z5179" s="47" t="s">
        <v>2466</v>
      </c>
      <c r="AA5179" s="49"/>
      <c r="AB5179" s="49"/>
      <c r="AC5179" s="49"/>
      <c r="AD5179" s="50"/>
      <c r="AE5179" s="47" t="s">
        <v>1312</v>
      </c>
      <c r="AF5179" s="31">
        <v>120</v>
      </c>
      <c r="AG5179"/>
      <c r="AH5179"/>
      <c r="AI5179"/>
      <c r="AJ5179"/>
      <c r="AK5179"/>
      <c r="AL5179"/>
      <c r="AM5179"/>
      <c r="AN5179"/>
      <c r="AO5179"/>
      <c r="AP5179"/>
      <c r="AQ5179" t="s">
        <v>2526</v>
      </c>
      <c r="AU5179">
        <v>5178</v>
      </c>
    </row>
    <row r="5180" spans="1:47" x14ac:dyDescent="0.2">
      <c r="A5180" s="133">
        <v>6785</v>
      </c>
      <c r="B5180" s="39" t="s">
        <v>45</v>
      </c>
      <c r="C5180" s="39">
        <v>216</v>
      </c>
      <c r="D5180" s="29" t="b">
        <v>0</v>
      </c>
      <c r="E5180" s="39" t="s">
        <v>6300</v>
      </c>
      <c r="F5180" s="47" t="s">
        <v>529</v>
      </c>
      <c r="G5180" s="47" t="s">
        <v>205</v>
      </c>
      <c r="H5180"/>
      <c r="I5180" s="47" t="b">
        <v>0</v>
      </c>
      <c r="J5180" s="47" t="b">
        <v>0</v>
      </c>
      <c r="K5180" s="47">
        <v>1344</v>
      </c>
      <c r="L5180" s="48">
        <v>7</v>
      </c>
      <c r="M5180" s="47">
        <v>0</v>
      </c>
      <c r="N5180" s="47">
        <v>0</v>
      </c>
      <c r="O5180" s="47">
        <v>0</v>
      </c>
      <c r="P5180" s="47">
        <v>6</v>
      </c>
      <c r="Q5180" s="47">
        <v>0</v>
      </c>
      <c r="R5180" s="47">
        <v>0</v>
      </c>
      <c r="S5180" s="48">
        <v>1</v>
      </c>
      <c r="T5180" s="47">
        <v>0</v>
      </c>
      <c r="U5180" s="47">
        <v>0</v>
      </c>
      <c r="V5180" s="47">
        <v>0</v>
      </c>
      <c r="W5180" s="47">
        <v>7000</v>
      </c>
      <c r="X5180" s="47">
        <v>773</v>
      </c>
      <c r="Y5180" s="47"/>
      <c r="Z5180" s="47" t="s">
        <v>2466</v>
      </c>
      <c r="AA5180" s="49"/>
      <c r="AB5180" s="49"/>
      <c r="AC5180" s="49"/>
      <c r="AD5180" s="50"/>
      <c r="AE5180" s="47" t="s">
        <v>1312</v>
      </c>
      <c r="AF5180" s="47">
        <v>105</v>
      </c>
      <c r="AG5180"/>
      <c r="AH5180"/>
      <c r="AI5180"/>
      <c r="AJ5180"/>
      <c r="AK5180"/>
      <c r="AL5180"/>
      <c r="AM5180"/>
      <c r="AN5180"/>
      <c r="AO5180"/>
      <c r="AP5180"/>
      <c r="AQ5180" t="s">
        <v>2526</v>
      </c>
      <c r="AU5180">
        <v>5179</v>
      </c>
    </row>
    <row r="5181" spans="1:47" x14ac:dyDescent="0.2">
      <c r="A5181" s="133">
        <v>6785</v>
      </c>
      <c r="B5181" s="39" t="s">
        <v>45</v>
      </c>
      <c r="C5181" s="39">
        <v>216</v>
      </c>
      <c r="D5181" s="29" t="b">
        <v>0</v>
      </c>
      <c r="E5181" s="39" t="s">
        <v>3572</v>
      </c>
      <c r="F5181" s="47" t="s">
        <v>76</v>
      </c>
      <c r="G5181" s="47" t="s">
        <v>49</v>
      </c>
      <c r="H5181"/>
      <c r="I5181" s="47" t="b">
        <v>0</v>
      </c>
      <c r="J5181" s="47" t="b">
        <v>0</v>
      </c>
      <c r="K5181" s="47">
        <v>1344</v>
      </c>
      <c r="L5181" s="48">
        <v>7</v>
      </c>
      <c r="M5181" s="47">
        <v>0</v>
      </c>
      <c r="N5181" s="47">
        <v>0</v>
      </c>
      <c r="O5181" s="47">
        <v>0</v>
      </c>
      <c r="P5181" s="47">
        <v>6</v>
      </c>
      <c r="Q5181" s="47">
        <v>0</v>
      </c>
      <c r="R5181" s="47">
        <v>0</v>
      </c>
      <c r="S5181" s="48">
        <v>1</v>
      </c>
      <c r="T5181" s="47">
        <v>0</v>
      </c>
      <c r="U5181" s="47">
        <v>0</v>
      </c>
      <c r="V5181" s="47">
        <v>0</v>
      </c>
      <c r="W5181" s="47">
        <v>7000</v>
      </c>
      <c r="X5181" s="47">
        <v>774</v>
      </c>
      <c r="Y5181" s="47"/>
      <c r="Z5181" s="47" t="s">
        <v>2466</v>
      </c>
      <c r="AA5181" s="49"/>
      <c r="AB5181" s="49"/>
      <c r="AC5181" s="49"/>
      <c r="AD5181" s="50"/>
      <c r="AE5181" s="47" t="s">
        <v>1312</v>
      </c>
      <c r="AF5181" s="47">
        <v>165</v>
      </c>
      <c r="AG5181"/>
      <c r="AH5181"/>
      <c r="AI5181"/>
      <c r="AJ5181"/>
      <c r="AK5181"/>
      <c r="AL5181"/>
      <c r="AM5181"/>
      <c r="AN5181"/>
      <c r="AO5181"/>
      <c r="AP5181"/>
      <c r="AQ5181" t="s">
        <v>2526</v>
      </c>
      <c r="AU5181">
        <v>5180</v>
      </c>
    </row>
    <row r="5182" spans="1:47" x14ac:dyDescent="0.2">
      <c r="A5182" s="133">
        <v>6785</v>
      </c>
      <c r="B5182" s="39" t="s">
        <v>45</v>
      </c>
      <c r="C5182" s="39">
        <v>216</v>
      </c>
      <c r="D5182" s="29" t="b">
        <v>0</v>
      </c>
      <c r="E5182" s="39" t="s">
        <v>907</v>
      </c>
      <c r="F5182" s="47" t="s">
        <v>76</v>
      </c>
      <c r="G5182" s="47" t="s">
        <v>49</v>
      </c>
      <c r="H5182"/>
      <c r="I5182" s="47" t="b">
        <v>0</v>
      </c>
      <c r="J5182" s="47" t="b">
        <v>0</v>
      </c>
      <c r="K5182" s="47">
        <v>1680</v>
      </c>
      <c r="L5182" s="48">
        <v>7</v>
      </c>
      <c r="M5182" s="47">
        <v>0</v>
      </c>
      <c r="N5182" s="47">
        <v>0</v>
      </c>
      <c r="O5182" s="47">
        <v>0</v>
      </c>
      <c r="P5182" s="47">
        <v>6</v>
      </c>
      <c r="Q5182" s="47">
        <v>0</v>
      </c>
      <c r="R5182" s="47">
        <v>0</v>
      </c>
      <c r="S5182" s="48">
        <v>1</v>
      </c>
      <c r="T5182" s="47">
        <v>0</v>
      </c>
      <c r="U5182" s="47">
        <v>0</v>
      </c>
      <c r="V5182" s="47">
        <v>0</v>
      </c>
      <c r="W5182" s="47">
        <v>7000</v>
      </c>
      <c r="X5182" s="47">
        <v>775</v>
      </c>
      <c r="Y5182" s="47"/>
      <c r="Z5182" s="47" t="s">
        <v>2466</v>
      </c>
      <c r="AA5182" s="49"/>
      <c r="AB5182" s="49"/>
      <c r="AC5182" s="49"/>
      <c r="AD5182" s="50"/>
      <c r="AE5182" s="47" t="s">
        <v>1312</v>
      </c>
      <c r="AF5182" s="47">
        <v>155</v>
      </c>
      <c r="AG5182"/>
      <c r="AH5182"/>
      <c r="AI5182"/>
      <c r="AJ5182"/>
      <c r="AK5182"/>
      <c r="AL5182"/>
      <c r="AM5182"/>
      <c r="AN5182"/>
      <c r="AO5182"/>
      <c r="AP5182"/>
      <c r="AQ5182" t="s">
        <v>2526</v>
      </c>
      <c r="AU5182">
        <v>5181</v>
      </c>
    </row>
    <row r="5183" spans="1:47" x14ac:dyDescent="0.2">
      <c r="A5183" s="133">
        <v>6785</v>
      </c>
      <c r="B5183" s="39" t="s">
        <v>45</v>
      </c>
      <c r="C5183" s="39">
        <v>216</v>
      </c>
      <c r="D5183" s="29" t="b">
        <v>0</v>
      </c>
      <c r="E5183" s="39" t="s">
        <v>6301</v>
      </c>
      <c r="F5183" s="47" t="s">
        <v>76</v>
      </c>
      <c r="G5183" s="47" t="s">
        <v>49</v>
      </c>
      <c r="H5183"/>
      <c r="I5183" s="47" t="b">
        <v>0</v>
      </c>
      <c r="J5183" s="47" t="b">
        <v>0</v>
      </c>
      <c r="K5183" s="47">
        <v>1792</v>
      </c>
      <c r="L5183" s="48">
        <v>7</v>
      </c>
      <c r="M5183" s="47">
        <v>0</v>
      </c>
      <c r="N5183" s="47">
        <v>0</v>
      </c>
      <c r="O5183" s="47">
        <v>0</v>
      </c>
      <c r="P5183" s="47">
        <v>6</v>
      </c>
      <c r="Q5183" s="47">
        <v>0</v>
      </c>
      <c r="R5183" s="47">
        <v>0</v>
      </c>
      <c r="S5183" s="48">
        <v>1</v>
      </c>
      <c r="T5183" s="47">
        <v>0</v>
      </c>
      <c r="U5183" s="47">
        <v>0</v>
      </c>
      <c r="V5183" s="47">
        <v>0</v>
      </c>
      <c r="W5183" s="47">
        <v>5000</v>
      </c>
      <c r="X5183" s="47">
        <v>776</v>
      </c>
      <c r="Y5183" s="47"/>
      <c r="Z5183" s="47" t="s">
        <v>2466</v>
      </c>
      <c r="AA5183" s="49"/>
      <c r="AB5183" s="49"/>
      <c r="AC5183" s="49"/>
      <c r="AD5183" s="50"/>
      <c r="AE5183" s="47" t="s">
        <v>1312</v>
      </c>
      <c r="AF5183" s="47">
        <v>170</v>
      </c>
      <c r="AG5183"/>
      <c r="AH5183"/>
      <c r="AI5183"/>
      <c r="AJ5183"/>
      <c r="AK5183"/>
      <c r="AL5183"/>
      <c r="AM5183"/>
      <c r="AN5183"/>
      <c r="AO5183"/>
      <c r="AP5183"/>
      <c r="AQ5183" t="s">
        <v>2526</v>
      </c>
      <c r="AU5183">
        <v>5182</v>
      </c>
    </row>
    <row r="5184" spans="1:47" x14ac:dyDescent="0.2">
      <c r="A5184" s="133">
        <v>6785</v>
      </c>
      <c r="B5184" s="39" t="s">
        <v>45</v>
      </c>
      <c r="C5184" s="39">
        <v>216</v>
      </c>
      <c r="D5184" s="29" t="b">
        <v>0</v>
      </c>
      <c r="E5184" s="39" t="s">
        <v>6302</v>
      </c>
      <c r="F5184" s="47" t="s">
        <v>6303</v>
      </c>
      <c r="G5184" s="47" t="s">
        <v>73</v>
      </c>
      <c r="H5184"/>
      <c r="I5184" s="47" t="b">
        <v>0</v>
      </c>
      <c r="J5184" s="47" t="b">
        <v>0</v>
      </c>
      <c r="K5184" s="47">
        <v>1568</v>
      </c>
      <c r="L5184" s="48">
        <v>7</v>
      </c>
      <c r="M5184" s="47">
        <v>0</v>
      </c>
      <c r="N5184" s="47">
        <v>0</v>
      </c>
      <c r="O5184" s="47">
        <v>0</v>
      </c>
      <c r="P5184" s="47">
        <v>6</v>
      </c>
      <c r="Q5184" s="47">
        <v>0</v>
      </c>
      <c r="R5184" s="47">
        <v>0</v>
      </c>
      <c r="S5184" s="48">
        <v>1</v>
      </c>
      <c r="T5184" s="47">
        <v>0</v>
      </c>
      <c r="U5184" s="47">
        <v>0</v>
      </c>
      <c r="V5184" s="47">
        <v>0</v>
      </c>
      <c r="W5184" s="47">
        <v>6000</v>
      </c>
      <c r="X5184" s="47">
        <v>777</v>
      </c>
      <c r="Y5184" s="47"/>
      <c r="Z5184" s="47" t="s">
        <v>2466</v>
      </c>
      <c r="AA5184" s="49"/>
      <c r="AB5184" s="49"/>
      <c r="AC5184" s="49"/>
      <c r="AD5184" s="50"/>
      <c r="AE5184" s="47" t="s">
        <v>1312</v>
      </c>
      <c r="AF5184" s="47">
        <v>155</v>
      </c>
      <c r="AG5184"/>
      <c r="AH5184"/>
      <c r="AI5184"/>
      <c r="AJ5184"/>
      <c r="AK5184"/>
      <c r="AL5184"/>
      <c r="AM5184"/>
      <c r="AN5184"/>
      <c r="AO5184"/>
      <c r="AP5184"/>
      <c r="AQ5184" t="s">
        <v>2526</v>
      </c>
      <c r="AU5184">
        <v>5183</v>
      </c>
    </row>
    <row r="5185" spans="1:47" x14ac:dyDescent="0.2">
      <c r="A5185" s="133">
        <v>6785</v>
      </c>
      <c r="B5185" s="39" t="s">
        <v>45</v>
      </c>
      <c r="C5185" s="39">
        <v>216</v>
      </c>
      <c r="D5185" s="29" t="b">
        <v>0</v>
      </c>
      <c r="E5185" s="39" t="s">
        <v>4823</v>
      </c>
      <c r="F5185" s="47" t="s">
        <v>6304</v>
      </c>
      <c r="G5185" s="47" t="s">
        <v>49</v>
      </c>
      <c r="H5185"/>
      <c r="I5185" s="47" t="b">
        <v>0</v>
      </c>
      <c r="J5185" s="47" t="b">
        <v>0</v>
      </c>
      <c r="K5185" s="47">
        <v>1344</v>
      </c>
      <c r="L5185" s="48">
        <v>7</v>
      </c>
      <c r="M5185" s="47">
        <v>0</v>
      </c>
      <c r="N5185" s="47">
        <v>0</v>
      </c>
      <c r="O5185" s="47">
        <v>0</v>
      </c>
      <c r="P5185" s="47">
        <v>6</v>
      </c>
      <c r="Q5185" s="47">
        <v>0</v>
      </c>
      <c r="R5185" s="47">
        <v>0</v>
      </c>
      <c r="S5185" s="48">
        <v>1</v>
      </c>
      <c r="T5185" s="47">
        <v>0</v>
      </c>
      <c r="U5185" s="47">
        <v>0</v>
      </c>
      <c r="V5185" s="47">
        <v>0</v>
      </c>
      <c r="W5185" s="47"/>
      <c r="X5185" s="47">
        <v>778</v>
      </c>
      <c r="Y5185" s="47"/>
      <c r="Z5185" s="47" t="s">
        <v>2466</v>
      </c>
      <c r="AA5185" s="49"/>
      <c r="AB5185" s="49"/>
      <c r="AC5185" s="49"/>
      <c r="AD5185" s="50"/>
      <c r="AE5185" s="47" t="s">
        <v>1312</v>
      </c>
      <c r="AF5185" s="47">
        <v>70</v>
      </c>
      <c r="AG5185"/>
      <c r="AH5185"/>
      <c r="AI5185"/>
      <c r="AJ5185"/>
      <c r="AK5185"/>
      <c r="AL5185"/>
      <c r="AM5185"/>
      <c r="AN5185"/>
      <c r="AO5185"/>
      <c r="AP5185"/>
      <c r="AQ5185" t="s">
        <v>2526</v>
      </c>
      <c r="AU5185">
        <v>5184</v>
      </c>
    </row>
    <row r="5186" spans="1:47" x14ac:dyDescent="0.2">
      <c r="A5186" s="13">
        <v>6785</v>
      </c>
      <c r="B5186" s="57" t="s">
        <v>45</v>
      </c>
      <c r="C5186" s="57" t="s">
        <v>142</v>
      </c>
      <c r="D5186" s="29"/>
      <c r="E5186" s="39" t="s">
        <v>6305</v>
      </c>
      <c r="F5186" s="47" t="s">
        <v>6306</v>
      </c>
      <c r="G5186" s="47" t="s">
        <v>49</v>
      </c>
      <c r="H5186"/>
      <c r="I5186" s="47" t="b">
        <v>1</v>
      </c>
      <c r="J5186" s="47" t="b">
        <v>1</v>
      </c>
      <c r="K5186" s="47">
        <f>8140*2.2</f>
        <v>17908</v>
      </c>
      <c r="L5186" s="48"/>
      <c r="M5186" s="47"/>
      <c r="N5186" s="47">
        <v>1</v>
      </c>
      <c r="O5186" s="47"/>
      <c r="P5186" s="47"/>
      <c r="Q5186" s="47"/>
      <c r="R5186" s="47"/>
      <c r="S5186" s="48"/>
      <c r="T5186" s="47">
        <v>0</v>
      </c>
      <c r="U5186" s="47">
        <v>1</v>
      </c>
      <c r="V5186" s="47">
        <v>3</v>
      </c>
      <c r="W5186" s="47"/>
      <c r="X5186" s="47"/>
      <c r="Y5186" s="47" t="s">
        <v>51</v>
      </c>
      <c r="Z5186" s="31" t="s">
        <v>3855</v>
      </c>
      <c r="AA5186" s="49"/>
      <c r="AB5186" s="49"/>
      <c r="AC5186" s="49"/>
      <c r="AD5186" s="50"/>
      <c r="AE5186" s="47" t="s">
        <v>4217</v>
      </c>
      <c r="AF5186" s="47"/>
      <c r="AG5186"/>
      <c r="AH5186"/>
      <c r="AI5186"/>
      <c r="AJ5186"/>
      <c r="AK5186">
        <f>81+4+119+2+50+11+7</f>
        <v>274</v>
      </c>
      <c r="AL5186"/>
      <c r="AM5186"/>
      <c r="AN5186"/>
      <c r="AO5186"/>
      <c r="AP5186"/>
      <c r="AQ5186" t="s">
        <v>6307</v>
      </c>
      <c r="AR5186" s="32" t="s">
        <v>6308</v>
      </c>
      <c r="AU5186">
        <v>5185</v>
      </c>
    </row>
    <row r="5187" spans="1:47" x14ac:dyDescent="0.2">
      <c r="A5187" s="13">
        <v>6785</v>
      </c>
      <c r="B5187" s="57" t="s">
        <v>45</v>
      </c>
      <c r="C5187" s="57" t="s">
        <v>142</v>
      </c>
      <c r="D5187" s="29"/>
      <c r="E5187" s="57" t="s">
        <v>6182</v>
      </c>
      <c r="F5187" s="31" t="s">
        <v>76</v>
      </c>
      <c r="G5187" s="31" t="s">
        <v>49</v>
      </c>
      <c r="I5187" s="47" t="b">
        <v>0</v>
      </c>
      <c r="J5187" s="47" t="b">
        <v>0</v>
      </c>
      <c r="K5187" s="31">
        <v>10527</v>
      </c>
      <c r="S5187" s="33">
        <v>17</v>
      </c>
      <c r="Z5187" s="31" t="s">
        <v>3855</v>
      </c>
      <c r="AE5187" s="47" t="s">
        <v>4217</v>
      </c>
      <c r="AK5187" s="32">
        <v>173</v>
      </c>
      <c r="AQ5187" s="32" t="s">
        <v>6048</v>
      </c>
      <c r="AU5187">
        <v>5186</v>
      </c>
    </row>
    <row r="5188" spans="1:47" x14ac:dyDescent="0.2">
      <c r="A5188" s="13">
        <v>6785</v>
      </c>
      <c r="B5188" s="57" t="s">
        <v>45</v>
      </c>
      <c r="C5188" s="57" t="s">
        <v>142</v>
      </c>
      <c r="D5188" s="29"/>
      <c r="E5188" s="57" t="s">
        <v>6309</v>
      </c>
      <c r="F5188" s="31" t="s">
        <v>5578</v>
      </c>
      <c r="G5188" s="31" t="s">
        <v>69</v>
      </c>
      <c r="I5188" s="47" t="b">
        <v>0</v>
      </c>
      <c r="J5188" s="47" t="b">
        <v>0</v>
      </c>
      <c r="K5188" s="31">
        <v>4972</v>
      </c>
      <c r="S5188" s="33">
        <v>9</v>
      </c>
      <c r="Z5188" s="31" t="s">
        <v>3855</v>
      </c>
      <c r="AE5188" s="47" t="s">
        <v>4217</v>
      </c>
      <c r="AK5188" s="32">
        <v>85</v>
      </c>
      <c r="AQ5188" s="32" t="s">
        <v>6048</v>
      </c>
      <c r="AU5188">
        <v>5187</v>
      </c>
    </row>
    <row r="5189" spans="1:47" x14ac:dyDescent="0.2">
      <c r="A5189" s="13">
        <v>6785</v>
      </c>
      <c r="B5189" s="57" t="s">
        <v>45</v>
      </c>
      <c r="C5189" s="57" t="s">
        <v>142</v>
      </c>
      <c r="D5189" s="29"/>
      <c r="E5189" s="57" t="s">
        <v>5559</v>
      </c>
      <c r="F5189" s="31" t="s">
        <v>76</v>
      </c>
      <c r="G5189" s="31" t="s">
        <v>49</v>
      </c>
      <c r="I5189" s="47" t="b">
        <v>0</v>
      </c>
      <c r="J5189" s="47" t="b">
        <v>0</v>
      </c>
      <c r="K5189" s="31">
        <v>506</v>
      </c>
      <c r="S5189" s="33">
        <v>1</v>
      </c>
      <c r="Z5189" s="31" t="s">
        <v>3855</v>
      </c>
      <c r="AE5189" s="47" t="s">
        <v>4217</v>
      </c>
      <c r="AF5189" s="31">
        <v>60</v>
      </c>
      <c r="AK5189" s="32">
        <v>6</v>
      </c>
      <c r="AQ5189" s="32" t="s">
        <v>6048</v>
      </c>
      <c r="AU5189">
        <v>5188</v>
      </c>
    </row>
    <row r="5190" spans="1:47" x14ac:dyDescent="0.2">
      <c r="A5190" s="13">
        <v>6785</v>
      </c>
      <c r="B5190" s="57" t="s">
        <v>45</v>
      </c>
      <c r="C5190" s="57" t="s">
        <v>142</v>
      </c>
      <c r="D5190" s="29"/>
      <c r="E5190" s="57" t="s">
        <v>5253</v>
      </c>
      <c r="F5190" s="31" t="s">
        <v>76</v>
      </c>
      <c r="G5190" s="31" t="s">
        <v>49</v>
      </c>
      <c r="I5190" s="47" t="b">
        <v>0</v>
      </c>
      <c r="J5190" s="47" t="b">
        <v>0</v>
      </c>
      <c r="K5190" s="31">
        <v>616</v>
      </c>
      <c r="S5190" s="33">
        <v>1</v>
      </c>
      <c r="Z5190" s="31" t="s">
        <v>3855</v>
      </c>
      <c r="AE5190" s="47" t="s">
        <v>4217</v>
      </c>
      <c r="AF5190" s="31">
        <v>70</v>
      </c>
      <c r="AK5190" s="32">
        <v>7</v>
      </c>
      <c r="AQ5190" s="32" t="s">
        <v>6048</v>
      </c>
      <c r="AU5190">
        <v>5189</v>
      </c>
    </row>
    <row r="5191" spans="1:47" x14ac:dyDescent="0.2">
      <c r="A5191" s="13">
        <v>6785</v>
      </c>
      <c r="B5191" s="57" t="s">
        <v>45</v>
      </c>
      <c r="C5191" s="57" t="s">
        <v>142</v>
      </c>
      <c r="D5191" s="29"/>
      <c r="E5191" s="57" t="s">
        <v>5934</v>
      </c>
      <c r="F5191" s="31" t="s">
        <v>5578</v>
      </c>
      <c r="G5191" s="31" t="s">
        <v>69</v>
      </c>
      <c r="I5191" s="47" t="b">
        <v>0</v>
      </c>
      <c r="J5191" s="47" t="b">
        <v>0</v>
      </c>
      <c r="K5191" s="31">
        <v>638</v>
      </c>
      <c r="S5191" s="33">
        <v>1</v>
      </c>
      <c r="Z5191" s="31" t="s">
        <v>3855</v>
      </c>
      <c r="AE5191" s="47" t="s">
        <v>4217</v>
      </c>
      <c r="AK5191" s="32">
        <v>11</v>
      </c>
      <c r="AQ5191" s="32" t="s">
        <v>6048</v>
      </c>
      <c r="AU5191">
        <v>5190</v>
      </c>
    </row>
    <row r="5192" spans="1:47" x14ac:dyDescent="0.2">
      <c r="A5192" s="13">
        <v>6785</v>
      </c>
      <c r="B5192" s="57" t="s">
        <v>45</v>
      </c>
      <c r="C5192" s="57" t="s">
        <v>142</v>
      </c>
      <c r="D5192" s="29"/>
      <c r="E5192" s="57" t="s">
        <v>6109</v>
      </c>
      <c r="F5192" s="31" t="s">
        <v>5578</v>
      </c>
      <c r="G5192" s="31" t="s">
        <v>69</v>
      </c>
      <c r="I5192" s="47" t="b">
        <v>0</v>
      </c>
      <c r="J5192" s="47" t="b">
        <v>0</v>
      </c>
      <c r="K5192" s="31">
        <v>660</v>
      </c>
      <c r="S5192" s="33">
        <v>1</v>
      </c>
      <c r="Z5192" s="31" t="s">
        <v>3855</v>
      </c>
      <c r="AE5192" s="47" t="s">
        <v>4217</v>
      </c>
      <c r="AF5192" s="31">
        <v>60</v>
      </c>
      <c r="AK5192" s="32">
        <v>7</v>
      </c>
      <c r="AQ5192" s="32" t="s">
        <v>6048</v>
      </c>
      <c r="AU5192">
        <v>5191</v>
      </c>
    </row>
    <row r="5193" spans="1:47" x14ac:dyDescent="0.2">
      <c r="A5193" s="13">
        <v>6785</v>
      </c>
      <c r="B5193" s="57" t="s">
        <v>45</v>
      </c>
      <c r="C5193" s="57" t="s">
        <v>4843</v>
      </c>
      <c r="D5193" s="29"/>
      <c r="E5193" s="57" t="s">
        <v>5772</v>
      </c>
      <c r="F5193" s="31" t="s">
        <v>5578</v>
      </c>
      <c r="G5193" s="31" t="s">
        <v>69</v>
      </c>
      <c r="K5193" s="31">
        <v>1452</v>
      </c>
      <c r="S5193" s="33">
        <v>3</v>
      </c>
      <c r="Z5193" s="31" t="s">
        <v>3814</v>
      </c>
      <c r="AE5193" s="31" t="s">
        <v>4411</v>
      </c>
      <c r="AF5193" s="31">
        <v>70</v>
      </c>
      <c r="AK5193" s="32">
        <v>13</v>
      </c>
      <c r="AQ5193" s="32" t="s">
        <v>6048</v>
      </c>
      <c r="AU5193">
        <v>5192</v>
      </c>
    </row>
    <row r="5194" spans="1:47" x14ac:dyDescent="0.2">
      <c r="A5194" s="13">
        <v>6785</v>
      </c>
      <c r="B5194" s="57" t="s">
        <v>45</v>
      </c>
      <c r="C5194" s="57" t="s">
        <v>4843</v>
      </c>
      <c r="D5194" s="29"/>
      <c r="E5194" s="57" t="s">
        <v>5772</v>
      </c>
      <c r="F5194" s="31" t="s">
        <v>76</v>
      </c>
      <c r="G5194" s="31" t="s">
        <v>49</v>
      </c>
      <c r="K5194" s="31">
        <v>1584</v>
      </c>
      <c r="S5194" s="33">
        <v>3</v>
      </c>
      <c r="Z5194" s="31" t="s">
        <v>3814</v>
      </c>
      <c r="AE5194" s="31" t="s">
        <v>4411</v>
      </c>
      <c r="AF5194" s="31">
        <v>70</v>
      </c>
      <c r="AK5194" s="32">
        <v>18</v>
      </c>
      <c r="AQ5194" s="32" t="s">
        <v>6048</v>
      </c>
      <c r="AU5194">
        <v>5193</v>
      </c>
    </row>
    <row r="5195" spans="1:47" x14ac:dyDescent="0.2">
      <c r="A5195" s="13">
        <v>6785</v>
      </c>
      <c r="B5195" s="57" t="s">
        <v>45</v>
      </c>
      <c r="C5195" s="57" t="s">
        <v>4843</v>
      </c>
      <c r="D5195" s="29"/>
      <c r="E5195" s="57" t="s">
        <v>6109</v>
      </c>
      <c r="F5195" s="31" t="s">
        <v>5578</v>
      </c>
      <c r="G5195" s="31" t="s">
        <v>69</v>
      </c>
      <c r="K5195" s="31">
        <v>3762</v>
      </c>
      <c r="S5195" s="33">
        <v>8</v>
      </c>
      <c r="Z5195" s="31" t="s">
        <v>3814</v>
      </c>
      <c r="AE5195" s="31" t="s">
        <v>4411</v>
      </c>
      <c r="AF5195" s="31">
        <v>60</v>
      </c>
      <c r="AK5195" s="32">
        <v>50</v>
      </c>
      <c r="AQ5195" s="32" t="s">
        <v>6048</v>
      </c>
      <c r="AU5195">
        <v>5194</v>
      </c>
    </row>
    <row r="5196" spans="1:47" x14ac:dyDescent="0.2">
      <c r="A5196" s="13">
        <v>6785</v>
      </c>
      <c r="B5196" s="57" t="s">
        <v>45</v>
      </c>
      <c r="C5196" s="57" t="s">
        <v>6060</v>
      </c>
      <c r="D5196" s="29"/>
      <c r="E5196" s="57" t="s">
        <v>6243</v>
      </c>
      <c r="F5196" s="31" t="s">
        <v>76</v>
      </c>
      <c r="G5196" s="31" t="s">
        <v>49</v>
      </c>
      <c r="I5196" s="31" t="s">
        <v>6310</v>
      </c>
      <c r="K5196" s="63"/>
      <c r="Z5196" s="31" t="s">
        <v>1846</v>
      </c>
      <c r="AE5196" s="31" t="s">
        <v>4756</v>
      </c>
      <c r="AF5196" s="31">
        <v>50</v>
      </c>
      <c r="AQ5196" s="32" t="s">
        <v>6048</v>
      </c>
      <c r="AU5196">
        <v>5195</v>
      </c>
    </row>
    <row r="5197" spans="1:47" x14ac:dyDescent="0.2">
      <c r="A5197" s="13">
        <v>6785</v>
      </c>
      <c r="B5197" s="57" t="s">
        <v>45</v>
      </c>
      <c r="C5197" s="57" t="s">
        <v>6060</v>
      </c>
      <c r="D5197" s="29"/>
      <c r="E5197" s="57" t="s">
        <v>1078</v>
      </c>
      <c r="F5197" s="31" t="s">
        <v>76</v>
      </c>
      <c r="G5197" s="31" t="s">
        <v>49</v>
      </c>
      <c r="I5197" s="31" t="s">
        <v>6310</v>
      </c>
      <c r="K5197" s="63"/>
      <c r="Z5197" s="31" t="s">
        <v>1846</v>
      </c>
      <c r="AE5197" s="31" t="s">
        <v>4756</v>
      </c>
      <c r="AF5197" s="31">
        <v>60</v>
      </c>
      <c r="AQ5197" s="32" t="s">
        <v>6048</v>
      </c>
      <c r="AU5197">
        <v>5196</v>
      </c>
    </row>
    <row r="5198" spans="1:47" x14ac:dyDescent="0.2">
      <c r="A5198" s="13">
        <v>6785</v>
      </c>
      <c r="B5198" s="57" t="s">
        <v>45</v>
      </c>
      <c r="C5198" s="57" t="s">
        <v>6060</v>
      </c>
      <c r="D5198" s="29"/>
      <c r="E5198" s="57" t="s">
        <v>4567</v>
      </c>
      <c r="F5198" s="31" t="s">
        <v>76</v>
      </c>
      <c r="G5198" s="31" t="s">
        <v>49</v>
      </c>
      <c r="I5198" s="31" t="s">
        <v>6310</v>
      </c>
      <c r="K5198" s="63"/>
      <c r="Z5198" s="31" t="s">
        <v>1846</v>
      </c>
      <c r="AE5198" s="31" t="s">
        <v>4756</v>
      </c>
      <c r="AF5198" s="31">
        <v>60</v>
      </c>
      <c r="AQ5198" s="32" t="s">
        <v>6048</v>
      </c>
      <c r="AU5198">
        <v>5197</v>
      </c>
    </row>
    <row r="5199" spans="1:47" x14ac:dyDescent="0.2">
      <c r="A5199" s="13">
        <v>6785</v>
      </c>
      <c r="B5199" s="57" t="s">
        <v>45</v>
      </c>
      <c r="C5199" s="57" t="s">
        <v>6060</v>
      </c>
      <c r="D5199" s="29"/>
      <c r="E5199" s="57" t="s">
        <v>6311</v>
      </c>
      <c r="F5199" s="31" t="s">
        <v>170</v>
      </c>
      <c r="G5199" s="31" t="s">
        <v>69</v>
      </c>
      <c r="I5199" s="31" t="s">
        <v>6310</v>
      </c>
      <c r="K5199" s="63"/>
      <c r="Z5199" s="31" t="s">
        <v>1846</v>
      </c>
      <c r="AE5199" s="31" t="s">
        <v>4756</v>
      </c>
      <c r="AF5199" s="31">
        <v>60</v>
      </c>
      <c r="AQ5199" s="32" t="s">
        <v>6048</v>
      </c>
      <c r="AU5199">
        <v>5198</v>
      </c>
    </row>
    <row r="5200" spans="1:47" x14ac:dyDescent="0.2">
      <c r="A5200" s="13">
        <v>6785</v>
      </c>
      <c r="B5200" s="57" t="s">
        <v>45</v>
      </c>
      <c r="C5200" s="57" t="s">
        <v>6060</v>
      </c>
      <c r="D5200" s="29"/>
      <c r="E5200" s="57" t="s">
        <v>6312</v>
      </c>
      <c r="F5200" s="31" t="s">
        <v>170</v>
      </c>
      <c r="G5200" s="31" t="s">
        <v>69</v>
      </c>
      <c r="I5200" s="31" t="s">
        <v>6310</v>
      </c>
      <c r="K5200" s="63"/>
      <c r="Z5200" s="31" t="s">
        <v>1846</v>
      </c>
      <c r="AE5200" s="31" t="s">
        <v>4756</v>
      </c>
      <c r="AF5200" s="31">
        <v>45</v>
      </c>
      <c r="AQ5200" s="32" t="s">
        <v>6048</v>
      </c>
      <c r="AU5200">
        <v>5199</v>
      </c>
    </row>
    <row r="5201" spans="1:47" x14ac:dyDescent="0.2">
      <c r="A5201" s="13">
        <v>6785</v>
      </c>
      <c r="B5201" s="57" t="s">
        <v>45</v>
      </c>
      <c r="C5201" s="57" t="s">
        <v>4456</v>
      </c>
      <c r="D5201" s="29"/>
      <c r="E5201" s="195" t="s">
        <v>5327</v>
      </c>
      <c r="F5201" s="19" t="s">
        <v>5327</v>
      </c>
      <c r="I5201" s="19" t="s">
        <v>6313</v>
      </c>
      <c r="K5201" s="19">
        <v>0</v>
      </c>
      <c r="L5201" s="33">
        <v>1</v>
      </c>
      <c r="N5201" s="31">
        <v>1</v>
      </c>
      <c r="S5201" s="33">
        <v>0</v>
      </c>
      <c r="T5201" s="31">
        <v>0</v>
      </c>
      <c r="U5201" s="31">
        <v>0</v>
      </c>
      <c r="V5201" s="31">
        <v>0</v>
      </c>
      <c r="W5201" s="47"/>
      <c r="Y5201" s="19"/>
      <c r="Z5201" s="19" t="s">
        <v>1846</v>
      </c>
      <c r="AA5201" s="34">
        <v>0.91666666666666663</v>
      </c>
      <c r="AB5201" s="34">
        <v>0.93402777777777779</v>
      </c>
      <c r="AE5201" s="31" t="s">
        <v>4756</v>
      </c>
      <c r="AQ5201" s="18" t="s">
        <v>6250</v>
      </c>
      <c r="AU5201">
        <v>5200</v>
      </c>
    </row>
    <row r="5202" spans="1:47" x14ac:dyDescent="0.2">
      <c r="A5202" s="13">
        <v>6785</v>
      </c>
      <c r="B5202" s="57" t="s">
        <v>45</v>
      </c>
      <c r="C5202" s="57" t="s">
        <v>4456</v>
      </c>
      <c r="D5202" s="29"/>
      <c r="E5202" s="57" t="s">
        <v>6183</v>
      </c>
      <c r="F5202" s="19" t="s">
        <v>6120</v>
      </c>
      <c r="G5202" s="19" t="s">
        <v>69</v>
      </c>
      <c r="I5202" s="19" t="s">
        <v>6314</v>
      </c>
      <c r="K5202" s="183">
        <f>415*2.2</f>
        <v>913.00000000000011</v>
      </c>
      <c r="L5202" s="33">
        <v>1</v>
      </c>
      <c r="S5202" s="33">
        <v>1</v>
      </c>
      <c r="T5202" s="31">
        <v>0</v>
      </c>
      <c r="U5202" s="31">
        <v>0</v>
      </c>
      <c r="V5202" s="31">
        <v>0</v>
      </c>
      <c r="W5202" s="47">
        <f>1600*39.37/12</f>
        <v>5249.333333333333</v>
      </c>
      <c r="Y5202" s="19" t="s">
        <v>51</v>
      </c>
      <c r="Z5202" s="19" t="s">
        <v>1846</v>
      </c>
      <c r="AA5202" s="34">
        <v>0.92361111111111116</v>
      </c>
      <c r="AB5202" s="34">
        <v>0.98263888888888884</v>
      </c>
      <c r="AC5202" s="49">
        <f>AVERAGE(AA5202:AB5202)</f>
        <v>0.953125</v>
      </c>
      <c r="AD5202" s="50">
        <f>(AB5202-AA5202)*24</f>
        <v>1.4166666666666643</v>
      </c>
      <c r="AE5202" s="31" t="s">
        <v>4756</v>
      </c>
      <c r="AF5202" s="31">
        <v>50</v>
      </c>
      <c r="AQ5202" s="18" t="s">
        <v>6250</v>
      </c>
      <c r="AU5202">
        <v>5201</v>
      </c>
    </row>
    <row r="5203" spans="1:47" x14ac:dyDescent="0.2">
      <c r="A5203" s="13">
        <v>6785</v>
      </c>
      <c r="B5203" s="57" t="s">
        <v>45</v>
      </c>
      <c r="C5203" s="57" t="s">
        <v>4456</v>
      </c>
      <c r="D5203" s="29"/>
      <c r="E5203" s="57" t="s">
        <v>1078</v>
      </c>
      <c r="F5203" s="31" t="s">
        <v>76</v>
      </c>
      <c r="G5203" s="31" t="s">
        <v>49</v>
      </c>
      <c r="I5203" s="19" t="s">
        <v>6315</v>
      </c>
      <c r="K5203" s="183">
        <f>415*2.2</f>
        <v>913.00000000000011</v>
      </c>
      <c r="L5203" s="33">
        <v>1</v>
      </c>
      <c r="S5203" s="33">
        <v>1</v>
      </c>
      <c r="T5203" s="31">
        <v>0</v>
      </c>
      <c r="U5203" s="31">
        <v>0</v>
      </c>
      <c r="V5203" s="31">
        <v>0</v>
      </c>
      <c r="W5203" s="47">
        <f>2000*39.37/12</f>
        <v>6561.666666666667</v>
      </c>
      <c r="Y5203" s="19" t="s">
        <v>51</v>
      </c>
      <c r="Z5203" s="19" t="s">
        <v>1846</v>
      </c>
      <c r="AA5203" s="34">
        <v>0.93055555555555547</v>
      </c>
      <c r="AB5203" s="34">
        <v>0.98611111111111116</v>
      </c>
      <c r="AC5203" s="49">
        <f>AVERAGE(AA5203:AB5203)</f>
        <v>0.95833333333333326</v>
      </c>
      <c r="AD5203" s="50">
        <f>(AB5203-AA5203)*24</f>
        <v>1.3333333333333366</v>
      </c>
      <c r="AE5203" s="31" t="s">
        <v>4756</v>
      </c>
      <c r="AF5203" s="31">
        <v>60</v>
      </c>
      <c r="AQ5203" s="18" t="s">
        <v>6250</v>
      </c>
      <c r="AU5203">
        <v>5202</v>
      </c>
    </row>
    <row r="5204" spans="1:47" x14ac:dyDescent="0.2">
      <c r="A5204" s="13">
        <v>6785</v>
      </c>
      <c r="B5204" s="57" t="s">
        <v>45</v>
      </c>
      <c r="C5204" s="57" t="s">
        <v>4456</v>
      </c>
      <c r="D5204" s="29"/>
      <c r="E5204" s="57" t="s">
        <v>4567</v>
      </c>
      <c r="F5204" s="31" t="s">
        <v>76</v>
      </c>
      <c r="G5204" s="31" t="s">
        <v>49</v>
      </c>
      <c r="I5204" s="19" t="s">
        <v>6316</v>
      </c>
      <c r="K5204" s="183">
        <f>415*2.2</f>
        <v>913.00000000000011</v>
      </c>
      <c r="L5204" s="33">
        <v>1</v>
      </c>
      <c r="S5204" s="33">
        <v>1</v>
      </c>
      <c r="T5204" s="31">
        <v>0</v>
      </c>
      <c r="U5204" s="31">
        <v>0</v>
      </c>
      <c r="V5204" s="31">
        <v>0</v>
      </c>
      <c r="W5204" s="47">
        <f>2200*39.37/12</f>
        <v>7217.833333333333</v>
      </c>
      <c r="Y5204" s="19" t="s">
        <v>51</v>
      </c>
      <c r="Z5204" s="19" t="s">
        <v>1846</v>
      </c>
      <c r="AA5204" s="34">
        <v>0.96875</v>
      </c>
      <c r="AB5204" s="34">
        <v>1.03125</v>
      </c>
      <c r="AC5204" s="49">
        <f>AVERAGE(AA5204:AB5204)</f>
        <v>1</v>
      </c>
      <c r="AD5204" s="50">
        <f>(AB5204-AA5204)*24</f>
        <v>1.5</v>
      </c>
      <c r="AE5204" s="31" t="s">
        <v>4756</v>
      </c>
      <c r="AF5204" s="31">
        <v>60</v>
      </c>
      <c r="AQ5204" s="18" t="s">
        <v>6250</v>
      </c>
      <c r="AU5204">
        <v>5203</v>
      </c>
    </row>
    <row r="5205" spans="1:47" x14ac:dyDescent="0.2">
      <c r="A5205" s="13">
        <v>6785</v>
      </c>
      <c r="B5205" s="57" t="s">
        <v>45</v>
      </c>
      <c r="C5205" s="57" t="s">
        <v>4456</v>
      </c>
      <c r="D5205" s="29"/>
      <c r="E5205" s="57" t="s">
        <v>6243</v>
      </c>
      <c r="F5205" s="31" t="s">
        <v>76</v>
      </c>
      <c r="G5205" s="31" t="s">
        <v>49</v>
      </c>
      <c r="I5205" s="19" t="s">
        <v>6317</v>
      </c>
      <c r="K5205" s="183">
        <f>415*2.2</f>
        <v>913.00000000000011</v>
      </c>
      <c r="L5205" s="33">
        <v>1</v>
      </c>
      <c r="S5205" s="33">
        <v>1</v>
      </c>
      <c r="T5205" s="31">
        <v>0</v>
      </c>
      <c r="U5205" s="31">
        <v>0</v>
      </c>
      <c r="V5205" s="31">
        <v>0</v>
      </c>
      <c r="W5205" s="47">
        <f>2000*39.37/12</f>
        <v>6561.666666666667</v>
      </c>
      <c r="Y5205" s="19" t="s">
        <v>51</v>
      </c>
      <c r="Z5205" s="19" t="s">
        <v>1846</v>
      </c>
      <c r="AA5205" s="34">
        <v>0.93402777777777779</v>
      </c>
      <c r="AB5205" s="34">
        <v>0.98611111111111116</v>
      </c>
      <c r="AC5205" s="49">
        <f>AVERAGE(AA5205:AB5205)</f>
        <v>0.96006944444444442</v>
      </c>
      <c r="AD5205" s="50">
        <f>(AB5205-AA5205)*24</f>
        <v>1.2500000000000009</v>
      </c>
      <c r="AE5205" s="31" t="s">
        <v>4756</v>
      </c>
      <c r="AF5205" s="31">
        <v>50</v>
      </c>
      <c r="AQ5205" s="18" t="s">
        <v>6250</v>
      </c>
      <c r="AU5205">
        <v>5204</v>
      </c>
    </row>
    <row r="5206" spans="1:47" x14ac:dyDescent="0.2">
      <c r="A5206" s="13">
        <v>6785</v>
      </c>
      <c r="B5206" s="57" t="s">
        <v>45</v>
      </c>
      <c r="C5206" s="57" t="s">
        <v>4456</v>
      </c>
      <c r="D5206" s="29"/>
      <c r="E5206" s="57" t="s">
        <v>5253</v>
      </c>
      <c r="F5206" s="19" t="s">
        <v>6120</v>
      </c>
      <c r="G5206" s="19" t="s">
        <v>69</v>
      </c>
      <c r="I5206" s="19" t="s">
        <v>6318</v>
      </c>
      <c r="K5206" s="183">
        <f>415*2.2</f>
        <v>913.00000000000011</v>
      </c>
      <c r="L5206" s="33">
        <v>1</v>
      </c>
      <c r="S5206" s="33">
        <v>1</v>
      </c>
      <c r="T5206" s="31">
        <v>0</v>
      </c>
      <c r="U5206" s="31">
        <v>0</v>
      </c>
      <c r="V5206" s="31">
        <v>0</v>
      </c>
      <c r="W5206" s="47">
        <f>1800*39.37/12</f>
        <v>5905.5</v>
      </c>
      <c r="Y5206" s="19" t="s">
        <v>51</v>
      </c>
      <c r="Z5206" s="19" t="s">
        <v>1846</v>
      </c>
      <c r="AA5206" s="34">
        <v>0.91666666666666663</v>
      </c>
      <c r="AB5206" s="34">
        <v>0.97569444444444453</v>
      </c>
      <c r="AC5206" s="49">
        <f>AVERAGE(AA5206:AB5206)</f>
        <v>0.94618055555555558</v>
      </c>
      <c r="AD5206" s="50">
        <f>(AB5206-AA5206)*24</f>
        <v>1.4166666666666696</v>
      </c>
      <c r="AE5206" s="31" t="s">
        <v>4756</v>
      </c>
      <c r="AF5206" s="31">
        <v>50</v>
      </c>
      <c r="AQ5206" s="18" t="s">
        <v>6250</v>
      </c>
      <c r="AU5206">
        <v>5205</v>
      </c>
    </row>
    <row r="5207" spans="1:47" x14ac:dyDescent="0.2">
      <c r="A5207" s="26">
        <v>6785</v>
      </c>
      <c r="B5207" s="27">
        <v>0.95833333333333337</v>
      </c>
      <c r="C5207" s="28"/>
      <c r="D5207" s="29"/>
      <c r="E5207" s="30" t="s">
        <v>464</v>
      </c>
      <c r="H5207" s="32">
        <v>0</v>
      </c>
      <c r="I5207" s="32" t="s">
        <v>6319</v>
      </c>
      <c r="AG5207" s="32">
        <v>0</v>
      </c>
      <c r="AH5207" s="32">
        <v>0</v>
      </c>
      <c r="AL5207" s="32">
        <v>1.25</v>
      </c>
      <c r="AO5207" s="32" t="s">
        <v>4067</v>
      </c>
      <c r="AP5207" s="32">
        <v>1.25</v>
      </c>
      <c r="AQ5207" s="32" t="s">
        <v>1522</v>
      </c>
      <c r="AU5207">
        <v>5206</v>
      </c>
    </row>
    <row r="5208" spans="1:47" x14ac:dyDescent="0.2">
      <c r="A5208" s="26">
        <v>6785</v>
      </c>
      <c r="B5208" s="27">
        <v>0.97916666666666663</v>
      </c>
      <c r="C5208" s="28"/>
      <c r="D5208" s="29"/>
      <c r="E5208" s="30" t="s">
        <v>5718</v>
      </c>
      <c r="H5208" s="32">
        <v>1</v>
      </c>
      <c r="I5208" s="32" t="s">
        <v>6320</v>
      </c>
      <c r="AG5208" s="32">
        <v>0</v>
      </c>
      <c r="AH5208" s="32">
        <v>0</v>
      </c>
      <c r="AI5208" s="32">
        <v>0</v>
      </c>
      <c r="AJ5208" s="32">
        <v>0</v>
      </c>
      <c r="AK5208" s="32">
        <v>4</v>
      </c>
      <c r="AL5208" s="32">
        <v>0</v>
      </c>
      <c r="AM5208" s="32">
        <v>0</v>
      </c>
      <c r="AO5208" s="32" t="s">
        <v>5720</v>
      </c>
      <c r="AQ5208" s="32">
        <v>380</v>
      </c>
      <c r="AU5208">
        <v>5207</v>
      </c>
    </row>
    <row r="5209" spans="1:47" x14ac:dyDescent="0.2">
      <c r="A5209" s="133">
        <v>6786</v>
      </c>
      <c r="B5209" s="39" t="s">
        <v>85</v>
      </c>
      <c r="C5209" s="39">
        <v>55</v>
      </c>
      <c r="D5209" s="29" t="b">
        <v>0</v>
      </c>
      <c r="E5209" s="39" t="s">
        <v>907</v>
      </c>
      <c r="F5209" s="47" t="s">
        <v>5877</v>
      </c>
      <c r="G5209" s="47" t="s">
        <v>49</v>
      </c>
      <c r="H5209"/>
      <c r="I5209" s="47" t="b">
        <v>0</v>
      </c>
      <c r="J5209" s="47" t="b">
        <v>1</v>
      </c>
      <c r="K5209" s="47">
        <v>2364</v>
      </c>
      <c r="L5209" s="48">
        <v>12</v>
      </c>
      <c r="M5209" s="47">
        <v>0</v>
      </c>
      <c r="N5209" s="47">
        <v>1</v>
      </c>
      <c r="O5209" s="47">
        <v>1</v>
      </c>
      <c r="P5209" s="47">
        <v>10</v>
      </c>
      <c r="Q5209" s="47">
        <v>0</v>
      </c>
      <c r="R5209" s="47">
        <v>0</v>
      </c>
      <c r="S5209" s="48">
        <v>10</v>
      </c>
      <c r="T5209" s="47">
        <v>0</v>
      </c>
      <c r="U5209" s="47">
        <v>0</v>
      </c>
      <c r="V5209" s="47">
        <v>0</v>
      </c>
      <c r="W5209" s="47">
        <v>14000</v>
      </c>
      <c r="X5209" s="47">
        <v>779</v>
      </c>
      <c r="Y5209" s="47" t="s">
        <v>120</v>
      </c>
      <c r="Z5209" s="47" t="s">
        <v>3618</v>
      </c>
      <c r="AA5209" s="49">
        <v>0.21875</v>
      </c>
      <c r="AB5209" s="49">
        <v>0.3576388888888889</v>
      </c>
      <c r="AC5209" s="49">
        <v>0.30902777777777779</v>
      </c>
      <c r="AD5209" s="50">
        <f>(AB5209-AA5209)*24</f>
        <v>3.3333333333333335</v>
      </c>
      <c r="AE5209" s="47" t="s">
        <v>5433</v>
      </c>
      <c r="AF5209" s="47">
        <v>125</v>
      </c>
      <c r="AG5209"/>
      <c r="AH5209"/>
      <c r="AI5209"/>
      <c r="AJ5209"/>
      <c r="AK5209">
        <v>34</v>
      </c>
      <c r="AL5209"/>
      <c r="AM5209"/>
      <c r="AN5209"/>
      <c r="AO5209"/>
      <c r="AP5209"/>
      <c r="AQ5209" t="s">
        <v>5434</v>
      </c>
      <c r="AU5209">
        <v>5208</v>
      </c>
    </row>
    <row r="5210" spans="1:47" x14ac:dyDescent="0.2">
      <c r="A5210" s="133">
        <v>6786</v>
      </c>
      <c r="B5210" s="39" t="s">
        <v>85</v>
      </c>
      <c r="C5210" s="39">
        <v>99</v>
      </c>
      <c r="D5210" s="29" t="b">
        <v>0</v>
      </c>
      <c r="E5210" s="39" t="s">
        <v>2640</v>
      </c>
      <c r="F5210" s="47" t="s">
        <v>48</v>
      </c>
      <c r="G5210" s="47" t="s">
        <v>49</v>
      </c>
      <c r="H5210"/>
      <c r="I5210" s="47" t="b">
        <v>0</v>
      </c>
      <c r="J5210" s="47" t="b">
        <v>1</v>
      </c>
      <c r="K5210" s="47">
        <v>1810</v>
      </c>
      <c r="L5210" s="48">
        <v>12</v>
      </c>
      <c r="M5210" s="47">
        <v>0</v>
      </c>
      <c r="N5210" s="47">
        <v>2</v>
      </c>
      <c r="O5210" s="47">
        <v>2</v>
      </c>
      <c r="P5210" s="47">
        <v>8</v>
      </c>
      <c r="Q5210" s="47">
        <v>0</v>
      </c>
      <c r="R5210" s="47">
        <v>0</v>
      </c>
      <c r="S5210" s="48">
        <v>8</v>
      </c>
      <c r="T5210" s="47">
        <v>1</v>
      </c>
      <c r="U5210" s="47">
        <v>0</v>
      </c>
      <c r="V5210" s="47">
        <v>1</v>
      </c>
      <c r="W5210" s="47">
        <v>13000</v>
      </c>
      <c r="X5210" s="47">
        <v>780</v>
      </c>
      <c r="Y5210" s="47" t="s">
        <v>120</v>
      </c>
      <c r="Z5210" s="47" t="s">
        <v>5139</v>
      </c>
      <c r="AA5210" s="49">
        <v>0.21180555555555555</v>
      </c>
      <c r="AB5210" s="49">
        <v>0.34722222222222227</v>
      </c>
      <c r="AC5210" s="49">
        <f>AVERAGE(AA5210:AB5210)</f>
        <v>0.2795138888888889</v>
      </c>
      <c r="AD5210" s="50">
        <f>(AB5210-AA5210)*24</f>
        <v>3.2500000000000009</v>
      </c>
      <c r="AE5210" s="47" t="s">
        <v>5433</v>
      </c>
      <c r="AF5210" s="47">
        <v>120</v>
      </c>
      <c r="AG5210"/>
      <c r="AH5210"/>
      <c r="AI5210"/>
      <c r="AJ5210"/>
      <c r="AK5210">
        <v>13</v>
      </c>
      <c r="AL5210"/>
      <c r="AM5210"/>
      <c r="AN5210"/>
      <c r="AO5210"/>
      <c r="AP5210"/>
      <c r="AQ5210" t="s">
        <v>2526</v>
      </c>
      <c r="AU5210">
        <v>5209</v>
      </c>
    </row>
    <row r="5211" spans="1:47" x14ac:dyDescent="0.2">
      <c r="A5211" s="133">
        <v>6786</v>
      </c>
      <c r="B5211" s="39" t="s">
        <v>45</v>
      </c>
      <c r="C5211" s="39">
        <v>216</v>
      </c>
      <c r="D5211" s="29" t="b">
        <v>0</v>
      </c>
      <c r="E5211" s="39" t="s">
        <v>6321</v>
      </c>
      <c r="F5211" s="47" t="s">
        <v>6322</v>
      </c>
      <c r="G5211" s="47" t="s">
        <v>459</v>
      </c>
      <c r="H5211"/>
      <c r="I5211" s="47" t="b">
        <v>1</v>
      </c>
      <c r="J5211" s="47" t="b">
        <v>1</v>
      </c>
      <c r="K5211" s="47">
        <v>6272</v>
      </c>
      <c r="L5211" s="48">
        <v>7</v>
      </c>
      <c r="M5211" s="47">
        <v>2</v>
      </c>
      <c r="N5211" s="47">
        <v>1</v>
      </c>
      <c r="O5211" s="47">
        <v>0</v>
      </c>
      <c r="P5211" s="47">
        <v>0</v>
      </c>
      <c r="Q5211" s="47">
        <v>0</v>
      </c>
      <c r="R5211" s="47">
        <v>0</v>
      </c>
      <c r="S5211" s="48">
        <v>4</v>
      </c>
      <c r="T5211" s="47">
        <v>0</v>
      </c>
      <c r="U5211" s="47">
        <v>0</v>
      </c>
      <c r="V5211" s="47">
        <v>1</v>
      </c>
      <c r="W5211" s="47">
        <v>6813</v>
      </c>
      <c r="X5211" s="47">
        <v>781</v>
      </c>
      <c r="Y5211" s="47"/>
      <c r="Z5211" s="47" t="s">
        <v>2466</v>
      </c>
      <c r="AA5211" s="49"/>
      <c r="AB5211" s="49"/>
      <c r="AC5211" s="49"/>
      <c r="AD5211" s="50"/>
      <c r="AE5211" s="47" t="s">
        <v>1312</v>
      </c>
      <c r="AF5211" s="31">
        <v>120</v>
      </c>
      <c r="AG5211"/>
      <c r="AH5211"/>
      <c r="AI5211"/>
      <c r="AJ5211"/>
      <c r="AK5211"/>
      <c r="AL5211"/>
      <c r="AM5211"/>
      <c r="AN5211"/>
      <c r="AO5211"/>
      <c r="AP5211"/>
      <c r="AQ5211" t="s">
        <v>2526</v>
      </c>
      <c r="AU5211">
        <v>5210</v>
      </c>
    </row>
    <row r="5212" spans="1:47" x14ac:dyDescent="0.2">
      <c r="A5212" s="133">
        <v>6786</v>
      </c>
      <c r="B5212" s="39" t="s">
        <v>45</v>
      </c>
      <c r="C5212" s="39">
        <v>216</v>
      </c>
      <c r="D5212" s="29" t="b">
        <v>0</v>
      </c>
      <c r="E5212" s="39" t="s">
        <v>1040</v>
      </c>
      <c r="F5212" s="47" t="s">
        <v>6323</v>
      </c>
      <c r="G5212" s="47" t="s">
        <v>459</v>
      </c>
      <c r="H5212"/>
      <c r="I5212" s="47" t="b">
        <v>0</v>
      </c>
      <c r="J5212" s="47" t="b">
        <v>0</v>
      </c>
      <c r="K5212" s="47">
        <v>2912</v>
      </c>
      <c r="L5212" s="48">
        <v>7</v>
      </c>
      <c r="M5212" s="47">
        <v>2</v>
      </c>
      <c r="N5212" s="47">
        <v>1</v>
      </c>
      <c r="O5212" s="47">
        <v>0</v>
      </c>
      <c r="P5212" s="47">
        <v>0</v>
      </c>
      <c r="Q5212" s="47">
        <v>0</v>
      </c>
      <c r="R5212" s="47">
        <v>0</v>
      </c>
      <c r="S5212" s="48">
        <v>3</v>
      </c>
      <c r="T5212" s="47">
        <v>0</v>
      </c>
      <c r="U5212" s="47">
        <v>0</v>
      </c>
      <c r="V5212" s="47">
        <v>1</v>
      </c>
      <c r="W5212" s="47">
        <v>6750</v>
      </c>
      <c r="X5212" s="47">
        <v>782</v>
      </c>
      <c r="Y5212" s="47"/>
      <c r="Z5212" s="47" t="s">
        <v>2466</v>
      </c>
      <c r="AA5212" s="49"/>
      <c r="AB5212" s="49"/>
      <c r="AC5212" s="49"/>
      <c r="AD5212" s="50"/>
      <c r="AE5212" s="47" t="s">
        <v>1312</v>
      </c>
      <c r="AF5212" s="31">
        <v>120</v>
      </c>
      <c r="AG5212"/>
      <c r="AH5212"/>
      <c r="AI5212"/>
      <c r="AJ5212"/>
      <c r="AK5212"/>
      <c r="AL5212"/>
      <c r="AM5212"/>
      <c r="AN5212"/>
      <c r="AO5212"/>
      <c r="AP5212"/>
      <c r="AQ5212" t="s">
        <v>2526</v>
      </c>
      <c r="AU5212">
        <v>5211</v>
      </c>
    </row>
    <row r="5213" spans="1:47" x14ac:dyDescent="0.2">
      <c r="A5213" s="133">
        <v>6786</v>
      </c>
      <c r="B5213" s="39" t="s">
        <v>45</v>
      </c>
      <c r="C5213" s="39">
        <v>216</v>
      </c>
      <c r="D5213" s="29" t="b">
        <v>0</v>
      </c>
      <c r="E5213" s="39" t="s">
        <v>1040</v>
      </c>
      <c r="F5213" s="47" t="s">
        <v>6324</v>
      </c>
      <c r="G5213" s="47" t="s">
        <v>459</v>
      </c>
      <c r="H5213"/>
      <c r="I5213" s="47" t="b">
        <v>0</v>
      </c>
      <c r="J5213" s="47" t="b">
        <v>0</v>
      </c>
      <c r="K5213" s="47">
        <v>1344</v>
      </c>
      <c r="L5213" s="48">
        <v>7</v>
      </c>
      <c r="M5213" s="47">
        <v>2</v>
      </c>
      <c r="N5213" s="47">
        <v>1</v>
      </c>
      <c r="O5213" s="47">
        <v>0</v>
      </c>
      <c r="P5213" s="47">
        <v>0</v>
      </c>
      <c r="Q5213" s="47">
        <v>0</v>
      </c>
      <c r="R5213" s="47">
        <v>0</v>
      </c>
      <c r="S5213" s="48">
        <v>3</v>
      </c>
      <c r="T5213" s="47">
        <v>0</v>
      </c>
      <c r="U5213" s="47">
        <v>0</v>
      </c>
      <c r="V5213" s="47">
        <v>1</v>
      </c>
      <c r="W5213" s="47">
        <v>6750</v>
      </c>
      <c r="X5213" s="47">
        <v>783</v>
      </c>
      <c r="Y5213" s="47"/>
      <c r="Z5213" s="47" t="s">
        <v>2466</v>
      </c>
      <c r="AA5213" s="49"/>
      <c r="AB5213" s="49"/>
      <c r="AC5213" s="49"/>
      <c r="AD5213" s="50"/>
      <c r="AE5213" s="47" t="s">
        <v>1312</v>
      </c>
      <c r="AF5213" s="31">
        <v>120</v>
      </c>
      <c r="AG5213"/>
      <c r="AH5213"/>
      <c r="AI5213"/>
      <c r="AJ5213"/>
      <c r="AK5213"/>
      <c r="AL5213"/>
      <c r="AM5213"/>
      <c r="AN5213"/>
      <c r="AO5213"/>
      <c r="AP5213"/>
      <c r="AQ5213" t="s">
        <v>2526</v>
      </c>
      <c r="AU5213">
        <v>5212</v>
      </c>
    </row>
    <row r="5214" spans="1:47" x14ac:dyDescent="0.2">
      <c r="A5214" s="133">
        <v>6786</v>
      </c>
      <c r="B5214" s="39" t="s">
        <v>45</v>
      </c>
      <c r="C5214" s="39">
        <v>216</v>
      </c>
      <c r="D5214" s="29" t="b">
        <v>0</v>
      </c>
      <c r="E5214" s="39" t="s">
        <v>1040</v>
      </c>
      <c r="F5214" s="47" t="s">
        <v>6325</v>
      </c>
      <c r="G5214" s="47" t="s">
        <v>459</v>
      </c>
      <c r="H5214"/>
      <c r="I5214" s="47" t="b">
        <v>0</v>
      </c>
      <c r="J5214" s="47" t="b">
        <v>0</v>
      </c>
      <c r="K5214" s="47">
        <v>224</v>
      </c>
      <c r="L5214" s="48">
        <v>7</v>
      </c>
      <c r="M5214" s="47">
        <v>2</v>
      </c>
      <c r="N5214" s="47">
        <v>1</v>
      </c>
      <c r="O5214" s="47">
        <v>0</v>
      </c>
      <c r="P5214" s="47">
        <v>0</v>
      </c>
      <c r="Q5214" s="47">
        <v>0</v>
      </c>
      <c r="R5214" s="47">
        <v>0</v>
      </c>
      <c r="S5214" s="48">
        <v>3</v>
      </c>
      <c r="T5214" s="47">
        <v>0</v>
      </c>
      <c r="U5214" s="47">
        <v>0</v>
      </c>
      <c r="V5214" s="47">
        <v>1</v>
      </c>
      <c r="W5214" s="47">
        <v>6750</v>
      </c>
      <c r="X5214" s="47">
        <v>784</v>
      </c>
      <c r="Y5214" s="47"/>
      <c r="Z5214" s="47" t="s">
        <v>2466</v>
      </c>
      <c r="AA5214" s="49"/>
      <c r="AB5214" s="49"/>
      <c r="AC5214" s="49"/>
      <c r="AD5214" s="50"/>
      <c r="AE5214" s="47" t="s">
        <v>1312</v>
      </c>
      <c r="AF5214" s="31">
        <v>120</v>
      </c>
      <c r="AG5214"/>
      <c r="AH5214"/>
      <c r="AI5214"/>
      <c r="AJ5214"/>
      <c r="AK5214"/>
      <c r="AL5214"/>
      <c r="AM5214"/>
      <c r="AN5214"/>
      <c r="AO5214"/>
      <c r="AP5214"/>
      <c r="AQ5214" t="s">
        <v>2526</v>
      </c>
      <c r="AU5214">
        <v>5213</v>
      </c>
    </row>
    <row r="5215" spans="1:47" x14ac:dyDescent="0.2">
      <c r="A5215" s="133">
        <v>6786</v>
      </c>
      <c r="B5215" s="39" t="s">
        <v>45</v>
      </c>
      <c r="C5215" s="39">
        <v>216</v>
      </c>
      <c r="D5215" s="29" t="b">
        <v>0</v>
      </c>
      <c r="E5215" s="39" t="s">
        <v>5791</v>
      </c>
      <c r="F5215" s="47" t="s">
        <v>48</v>
      </c>
      <c r="G5215" s="47" t="s">
        <v>49</v>
      </c>
      <c r="H5215"/>
      <c r="I5215" s="47" t="b">
        <v>0</v>
      </c>
      <c r="J5215" s="47" t="b">
        <v>0</v>
      </c>
      <c r="K5215" s="47">
        <v>1792</v>
      </c>
      <c r="L5215" s="48">
        <v>7</v>
      </c>
      <c r="M5215" s="47">
        <v>2</v>
      </c>
      <c r="N5215" s="47">
        <v>1</v>
      </c>
      <c r="O5215" s="47">
        <v>0</v>
      </c>
      <c r="P5215" s="47">
        <v>0</v>
      </c>
      <c r="Q5215" s="47">
        <v>0</v>
      </c>
      <c r="R5215" s="47">
        <v>0</v>
      </c>
      <c r="S5215" s="48">
        <v>1</v>
      </c>
      <c r="T5215" s="47">
        <v>0</v>
      </c>
      <c r="U5215" s="47">
        <v>0</v>
      </c>
      <c r="V5215" s="47">
        <v>1</v>
      </c>
      <c r="W5215" s="47">
        <v>7000</v>
      </c>
      <c r="X5215" s="47">
        <v>785</v>
      </c>
      <c r="Y5215" s="47"/>
      <c r="Z5215" s="47" t="s">
        <v>2466</v>
      </c>
      <c r="AA5215" s="49"/>
      <c r="AB5215" s="49"/>
      <c r="AC5215" s="49"/>
      <c r="AD5215" s="50"/>
      <c r="AE5215" s="47" t="s">
        <v>1312</v>
      </c>
      <c r="AF5215" s="47">
        <v>140</v>
      </c>
      <c r="AG5215"/>
      <c r="AH5215"/>
      <c r="AI5215"/>
      <c r="AJ5215"/>
      <c r="AK5215"/>
      <c r="AL5215"/>
      <c r="AM5215"/>
      <c r="AN5215"/>
      <c r="AO5215"/>
      <c r="AP5215"/>
      <c r="AQ5215" t="s">
        <v>2526</v>
      </c>
      <c r="AU5215">
        <v>5214</v>
      </c>
    </row>
    <row r="5216" spans="1:47" x14ac:dyDescent="0.2">
      <c r="A5216" s="26">
        <v>6786</v>
      </c>
      <c r="B5216" s="27">
        <v>0.45833333333333331</v>
      </c>
      <c r="C5216" s="28"/>
      <c r="D5216" s="29"/>
      <c r="E5216" s="30" t="s">
        <v>1282</v>
      </c>
      <c r="H5216" s="32">
        <v>0</v>
      </c>
      <c r="I5216" s="32" t="s">
        <v>6326</v>
      </c>
      <c r="AG5216" s="32">
        <v>0</v>
      </c>
      <c r="AH5216" s="32">
        <v>0</v>
      </c>
      <c r="AI5216" s="32">
        <v>0</v>
      </c>
      <c r="AK5216" s="32">
        <v>0</v>
      </c>
      <c r="AL5216" s="32">
        <f>1/3</f>
        <v>0.33333333333333331</v>
      </c>
      <c r="AP5216" s="32">
        <f>1/3</f>
        <v>0.33333333333333331</v>
      </c>
      <c r="AQ5216" s="32" t="s">
        <v>1101</v>
      </c>
      <c r="AU5216">
        <v>5215</v>
      </c>
    </row>
    <row r="5217" spans="1:47" x14ac:dyDescent="0.2">
      <c r="A5217" s="26">
        <v>6786</v>
      </c>
      <c r="B5217" s="27">
        <v>0.49652777777777773</v>
      </c>
      <c r="C5217" s="28"/>
      <c r="D5217" s="29"/>
      <c r="E5217" s="102" t="s">
        <v>1102</v>
      </c>
      <c r="H5217" s="32">
        <v>0</v>
      </c>
      <c r="I5217" s="32" t="s">
        <v>1103</v>
      </c>
      <c r="AG5217" s="32">
        <v>0</v>
      </c>
      <c r="AH5217" s="32">
        <v>0</v>
      </c>
      <c r="AI5217" s="32">
        <v>0</v>
      </c>
      <c r="AK5217" s="32">
        <v>0</v>
      </c>
      <c r="AL5217" s="32">
        <v>0.1</v>
      </c>
      <c r="AO5217" s="73" t="s">
        <v>1006</v>
      </c>
      <c r="AP5217" s="32">
        <v>0.1</v>
      </c>
      <c r="AQ5217" s="32" t="s">
        <v>589</v>
      </c>
      <c r="AU5217">
        <v>5216</v>
      </c>
    </row>
    <row r="5218" spans="1:47" x14ac:dyDescent="0.2">
      <c r="A5218" s="26">
        <v>6786</v>
      </c>
      <c r="B5218" s="27">
        <v>0.96180555555555547</v>
      </c>
      <c r="C5218" s="28"/>
      <c r="D5218" s="29"/>
      <c r="E5218" s="30" t="s">
        <v>464</v>
      </c>
      <c r="H5218" s="32">
        <v>0</v>
      </c>
      <c r="I5218" s="32" t="s">
        <v>6327</v>
      </c>
      <c r="AG5218" s="32">
        <v>0</v>
      </c>
      <c r="AH5218" s="32">
        <v>0</v>
      </c>
      <c r="AL5218" s="32">
        <f>5/6</f>
        <v>0.83333333333333337</v>
      </c>
      <c r="AO5218" s="32" t="s">
        <v>4067</v>
      </c>
      <c r="AP5218" s="32">
        <f>5/6</f>
        <v>0.83333333333333337</v>
      </c>
      <c r="AQ5218" s="32" t="s">
        <v>1522</v>
      </c>
      <c r="AU5218">
        <v>5217</v>
      </c>
    </row>
    <row r="5219" spans="1:47" x14ac:dyDescent="0.2">
      <c r="A5219" s="26">
        <v>6786</v>
      </c>
      <c r="B5219" s="27" t="s">
        <v>85</v>
      </c>
      <c r="C5219" s="28"/>
      <c r="D5219" s="29"/>
      <c r="E5219" s="30" t="s">
        <v>858</v>
      </c>
      <c r="H5219" s="32">
        <v>1</v>
      </c>
      <c r="I5219" s="32" t="s">
        <v>6328</v>
      </c>
      <c r="AG5219" s="32">
        <v>5</v>
      </c>
      <c r="AH5219" s="32">
        <v>5</v>
      </c>
      <c r="AI5219" s="32">
        <v>3500</v>
      </c>
      <c r="AQ5219" s="32" t="s">
        <v>6329</v>
      </c>
      <c r="AU5219">
        <v>5218</v>
      </c>
    </row>
    <row r="5220" spans="1:47" x14ac:dyDescent="0.2">
      <c r="A5220" s="133">
        <v>6787</v>
      </c>
      <c r="B5220" s="39" t="s">
        <v>85</v>
      </c>
      <c r="C5220" s="39">
        <v>55</v>
      </c>
      <c r="D5220" s="29" t="b">
        <v>0</v>
      </c>
      <c r="E5220" s="39" t="s">
        <v>2964</v>
      </c>
      <c r="F5220" s="47" t="s">
        <v>6330</v>
      </c>
      <c r="G5220" s="47" t="s">
        <v>459</v>
      </c>
      <c r="H5220"/>
      <c r="I5220" s="47" t="b">
        <v>0</v>
      </c>
      <c r="J5220" s="47" t="b">
        <v>1</v>
      </c>
      <c r="K5220" s="47">
        <v>2358</v>
      </c>
      <c r="L5220" s="48">
        <v>12</v>
      </c>
      <c r="M5220" s="47">
        <v>0</v>
      </c>
      <c r="N5220" s="47">
        <v>2</v>
      </c>
      <c r="O5220" s="47">
        <v>0</v>
      </c>
      <c r="P5220" s="47">
        <v>0</v>
      </c>
      <c r="Q5220" s="47">
        <v>0</v>
      </c>
      <c r="R5220" s="47">
        <v>0</v>
      </c>
      <c r="S5220" s="48">
        <v>10</v>
      </c>
      <c r="T5220" s="47">
        <v>0</v>
      </c>
      <c r="U5220" s="47">
        <v>0</v>
      </c>
      <c r="V5220" s="47">
        <v>0</v>
      </c>
      <c r="W5220" s="47">
        <v>14500</v>
      </c>
      <c r="X5220" s="47">
        <v>786</v>
      </c>
      <c r="Y5220" s="47" t="s">
        <v>51</v>
      </c>
      <c r="Z5220" s="47" t="s">
        <v>3618</v>
      </c>
      <c r="AA5220" s="49">
        <v>0.22222222222222221</v>
      </c>
      <c r="AB5220" s="49">
        <v>0.43055555555555558</v>
      </c>
      <c r="AC5220" s="49">
        <v>0.34027777777777773</v>
      </c>
      <c r="AD5220" s="50">
        <f>(AB5220-AA5220)*24</f>
        <v>5.0000000000000009</v>
      </c>
      <c r="AE5220" s="47" t="s">
        <v>5433</v>
      </c>
      <c r="AF5220" s="47">
        <f>140/0.62</f>
        <v>225.80645161290323</v>
      </c>
      <c r="AG5220"/>
      <c r="AH5220"/>
      <c r="AI5220"/>
      <c r="AJ5220"/>
      <c r="AK5220">
        <v>35</v>
      </c>
      <c r="AL5220"/>
      <c r="AM5220"/>
      <c r="AN5220"/>
      <c r="AO5220"/>
      <c r="AP5220"/>
      <c r="AQ5220" t="s">
        <v>5434</v>
      </c>
      <c r="AU5220">
        <v>5219</v>
      </c>
    </row>
    <row r="5221" spans="1:47" x14ac:dyDescent="0.2">
      <c r="A5221" s="133">
        <v>6787</v>
      </c>
      <c r="B5221" s="39" t="s">
        <v>85</v>
      </c>
      <c r="C5221" s="39">
        <v>99</v>
      </c>
      <c r="D5221" s="29" t="b">
        <v>0</v>
      </c>
      <c r="E5221" s="39" t="s">
        <v>858</v>
      </c>
      <c r="F5221" s="47" t="s">
        <v>4395</v>
      </c>
      <c r="G5221" s="47" t="s">
        <v>49</v>
      </c>
      <c r="H5221"/>
      <c r="I5221" s="47" t="b">
        <v>0</v>
      </c>
      <c r="J5221" s="47" t="b">
        <v>1</v>
      </c>
      <c r="K5221" s="47">
        <v>1132</v>
      </c>
      <c r="L5221" s="48">
        <v>12</v>
      </c>
      <c r="M5221" s="47">
        <v>0</v>
      </c>
      <c r="N5221" s="47">
        <v>3</v>
      </c>
      <c r="O5221" s="47">
        <v>0</v>
      </c>
      <c r="P5221" s="47">
        <v>0</v>
      </c>
      <c r="Q5221" s="47">
        <v>0</v>
      </c>
      <c r="R5221" s="47">
        <v>0</v>
      </c>
      <c r="S5221" s="48">
        <v>5</v>
      </c>
      <c r="T5221" s="47">
        <v>7</v>
      </c>
      <c r="U5221" s="47">
        <v>0</v>
      </c>
      <c r="V5221" s="47">
        <v>0</v>
      </c>
      <c r="W5221" s="47">
        <v>12500</v>
      </c>
      <c r="X5221" s="47">
        <v>787</v>
      </c>
      <c r="Y5221" s="47" t="s">
        <v>120</v>
      </c>
      <c r="Z5221" s="47" t="s">
        <v>5139</v>
      </c>
      <c r="AA5221" s="49">
        <v>0.22916666666666666</v>
      </c>
      <c r="AB5221" s="49">
        <v>0.35069444444444442</v>
      </c>
      <c r="AC5221" s="49">
        <f>AVERAGE(AA5221:AB5221)</f>
        <v>0.28993055555555552</v>
      </c>
      <c r="AD5221" s="50">
        <f>(AB5221-AA5221)*24</f>
        <v>2.9166666666666661</v>
      </c>
      <c r="AE5221" s="47" t="s">
        <v>5433</v>
      </c>
      <c r="AF5221" s="47">
        <v>90</v>
      </c>
      <c r="AG5221"/>
      <c r="AH5221"/>
      <c r="AI5221"/>
      <c r="AJ5221"/>
      <c r="AK5221">
        <v>8</v>
      </c>
      <c r="AL5221"/>
      <c r="AM5221"/>
      <c r="AN5221"/>
      <c r="AO5221"/>
      <c r="AP5221"/>
      <c r="AQ5221" t="s">
        <v>2526</v>
      </c>
      <c r="AU5221">
        <v>5220</v>
      </c>
    </row>
    <row r="5222" spans="1:47" x14ac:dyDescent="0.2">
      <c r="A5222" s="133">
        <v>6787</v>
      </c>
      <c r="B5222" s="39" t="s">
        <v>85</v>
      </c>
      <c r="C5222" s="39">
        <v>104</v>
      </c>
      <c r="D5222" s="29" t="b">
        <v>0</v>
      </c>
      <c r="E5222" s="39" t="s">
        <v>858</v>
      </c>
      <c r="F5222" s="47" t="s">
        <v>6331</v>
      </c>
      <c r="G5222" s="47" t="s">
        <v>49</v>
      </c>
      <c r="H5222"/>
      <c r="I5222" s="47" t="b">
        <v>0</v>
      </c>
      <c r="J5222" s="47" t="b">
        <v>1</v>
      </c>
      <c r="K5222" s="47">
        <v>2512</v>
      </c>
      <c r="L5222" s="48">
        <v>12</v>
      </c>
      <c r="M5222" s="47">
        <v>0</v>
      </c>
      <c r="N5222" s="47">
        <v>0</v>
      </c>
      <c r="O5222" s="47">
        <v>0</v>
      </c>
      <c r="P5222" s="47">
        <v>0</v>
      </c>
      <c r="Q5222" s="47">
        <v>0</v>
      </c>
      <c r="R5222" s="47">
        <v>0</v>
      </c>
      <c r="S5222" s="48">
        <v>12</v>
      </c>
      <c r="T5222" s="47">
        <v>0</v>
      </c>
      <c r="U5222" s="47">
        <v>0</v>
      </c>
      <c r="V5222" s="47">
        <v>1</v>
      </c>
      <c r="W5222" s="47">
        <v>13000</v>
      </c>
      <c r="X5222" s="47">
        <v>788</v>
      </c>
      <c r="Y5222" s="47" t="s">
        <v>120</v>
      </c>
      <c r="Z5222" s="47" t="s">
        <v>5139</v>
      </c>
      <c r="AA5222" s="49">
        <v>0.23611111111111113</v>
      </c>
      <c r="AB5222" s="49">
        <v>0.3888888888888889</v>
      </c>
      <c r="AC5222" s="49">
        <v>0.35416666666666669</v>
      </c>
      <c r="AD5222" s="50">
        <f>(AB5222-AA5222)*24</f>
        <v>3.6666666666666661</v>
      </c>
      <c r="AE5222" s="47" t="s">
        <v>5433</v>
      </c>
      <c r="AF5222" s="47">
        <v>90</v>
      </c>
      <c r="AG5222"/>
      <c r="AH5222"/>
      <c r="AI5222"/>
      <c r="AJ5222"/>
      <c r="AK5222">
        <v>14</v>
      </c>
      <c r="AL5222"/>
      <c r="AM5222"/>
      <c r="AN5222"/>
      <c r="AO5222"/>
      <c r="AP5222"/>
      <c r="AQ5222" t="s">
        <v>5485</v>
      </c>
      <c r="AU5222">
        <v>5221</v>
      </c>
    </row>
    <row r="5223" spans="1:47" x14ac:dyDescent="0.2">
      <c r="A5223" s="13">
        <v>6787</v>
      </c>
      <c r="B5223" s="57" t="s">
        <v>45</v>
      </c>
      <c r="C5223" s="57" t="s">
        <v>142</v>
      </c>
      <c r="D5223" s="29"/>
      <c r="E5223" s="39" t="s">
        <v>6332</v>
      </c>
      <c r="F5223" s="47" t="s">
        <v>6333</v>
      </c>
      <c r="G5223" s="47" t="s">
        <v>69</v>
      </c>
      <c r="H5223"/>
      <c r="I5223" s="47" t="b">
        <v>1</v>
      </c>
      <c r="J5223" s="47" t="b">
        <v>1</v>
      </c>
      <c r="K5223" s="47">
        <f>7390*2.2</f>
        <v>16258.000000000002</v>
      </c>
      <c r="L5223" s="48">
        <f>32+5</f>
        <v>37</v>
      </c>
      <c r="M5223" s="47"/>
      <c r="N5223" s="47">
        <v>1</v>
      </c>
      <c r="O5223" s="47">
        <v>3</v>
      </c>
      <c r="P5223" s="47"/>
      <c r="Q5223" s="47"/>
      <c r="R5223" s="47"/>
      <c r="S5223" s="48">
        <f>28+5</f>
        <v>33</v>
      </c>
      <c r="T5223" s="47">
        <v>0</v>
      </c>
      <c r="U5223" s="47">
        <v>0</v>
      </c>
      <c r="V5223" s="47">
        <v>0</v>
      </c>
      <c r="W5223" s="47"/>
      <c r="X5223" s="47"/>
      <c r="Y5223" s="47" t="s">
        <v>51</v>
      </c>
      <c r="Z5223" s="31" t="s">
        <v>3855</v>
      </c>
      <c r="AA5223" s="49"/>
      <c r="AB5223" s="49"/>
      <c r="AC5223" s="49"/>
      <c r="AD5223" s="50"/>
      <c r="AE5223" s="47" t="s">
        <v>4217</v>
      </c>
      <c r="AF5223" s="47"/>
      <c r="AG5223"/>
      <c r="AH5223"/>
      <c r="AI5223"/>
      <c r="AJ5223"/>
      <c r="AK5223">
        <f>89+11+78+4+45+37+6+11</f>
        <v>281</v>
      </c>
      <c r="AL5223"/>
      <c r="AM5223"/>
      <c r="AN5223"/>
      <c r="AO5223"/>
      <c r="AP5223"/>
      <c r="AQ5223" t="s">
        <v>6307</v>
      </c>
      <c r="AR5223" s="32" t="s">
        <v>6334</v>
      </c>
      <c r="AU5223">
        <v>5222</v>
      </c>
    </row>
    <row r="5224" spans="1:47" x14ac:dyDescent="0.2">
      <c r="A5224" s="13">
        <v>6787</v>
      </c>
      <c r="B5224" s="57" t="s">
        <v>45</v>
      </c>
      <c r="C5224" s="57" t="s">
        <v>142</v>
      </c>
      <c r="D5224" s="29"/>
      <c r="E5224" s="57" t="s">
        <v>5934</v>
      </c>
      <c r="F5224" s="31" t="s">
        <v>5578</v>
      </c>
      <c r="G5224" s="31" t="s">
        <v>69</v>
      </c>
      <c r="I5224" s="47" t="b">
        <v>0</v>
      </c>
      <c r="J5224" s="47" t="b">
        <v>0</v>
      </c>
      <c r="K5224" s="31">
        <v>6886</v>
      </c>
      <c r="S5224" s="33">
        <v>11</v>
      </c>
      <c r="Z5224" s="31" t="s">
        <v>3855</v>
      </c>
      <c r="AE5224" s="47" t="s">
        <v>4217</v>
      </c>
      <c r="AK5224" s="32">
        <v>134</v>
      </c>
      <c r="AQ5224" s="32" t="s">
        <v>6048</v>
      </c>
      <c r="AU5224">
        <v>5223</v>
      </c>
    </row>
    <row r="5225" spans="1:47" x14ac:dyDescent="0.2">
      <c r="A5225" s="13">
        <v>6787</v>
      </c>
      <c r="B5225" s="57" t="s">
        <v>45</v>
      </c>
      <c r="C5225" s="57" t="s">
        <v>142</v>
      </c>
      <c r="D5225" s="29"/>
      <c r="E5225" s="57" t="s">
        <v>6335</v>
      </c>
      <c r="F5225" s="31" t="s">
        <v>204</v>
      </c>
      <c r="G5225" s="31" t="s">
        <v>205</v>
      </c>
      <c r="I5225" s="47" t="b">
        <v>0</v>
      </c>
      <c r="J5225" s="47" t="b">
        <v>0</v>
      </c>
      <c r="K5225" s="31">
        <v>4972</v>
      </c>
      <c r="S5225" s="33">
        <v>9</v>
      </c>
      <c r="Z5225" s="31" t="s">
        <v>3855</v>
      </c>
      <c r="AE5225" s="47" t="s">
        <v>4217</v>
      </c>
      <c r="AK5225" s="32">
        <v>82</v>
      </c>
      <c r="AQ5225" s="32" t="s">
        <v>6048</v>
      </c>
      <c r="AU5225">
        <v>5224</v>
      </c>
    </row>
    <row r="5226" spans="1:47" x14ac:dyDescent="0.2">
      <c r="A5226" s="13">
        <v>6787</v>
      </c>
      <c r="B5226" s="57" t="s">
        <v>45</v>
      </c>
      <c r="C5226" s="57" t="s">
        <v>142</v>
      </c>
      <c r="D5226" s="29"/>
      <c r="E5226" s="57" t="s">
        <v>5676</v>
      </c>
      <c r="F5226" s="31" t="s">
        <v>204</v>
      </c>
      <c r="G5226" s="31" t="s">
        <v>205</v>
      </c>
      <c r="I5226" s="47" t="b">
        <v>0</v>
      </c>
      <c r="J5226" s="47" t="b">
        <v>0</v>
      </c>
      <c r="K5226" s="31">
        <v>671</v>
      </c>
      <c r="S5226" s="33">
        <v>2</v>
      </c>
      <c r="Z5226" s="31" t="s">
        <v>3855</v>
      </c>
      <c r="AE5226" s="47" t="s">
        <v>4217</v>
      </c>
      <c r="AF5226" s="31">
        <v>130</v>
      </c>
      <c r="AK5226" s="32">
        <v>8</v>
      </c>
      <c r="AQ5226" s="32" t="s">
        <v>6048</v>
      </c>
      <c r="AU5226">
        <v>5225</v>
      </c>
    </row>
    <row r="5227" spans="1:47" x14ac:dyDescent="0.2">
      <c r="A5227" s="13">
        <v>6787</v>
      </c>
      <c r="B5227" s="57" t="s">
        <v>45</v>
      </c>
      <c r="C5227" s="57" t="s">
        <v>142</v>
      </c>
      <c r="D5227" s="29"/>
      <c r="E5227" s="57" t="s">
        <v>5623</v>
      </c>
      <c r="F5227" s="31" t="s">
        <v>204</v>
      </c>
      <c r="G5227" s="31" t="s">
        <v>205</v>
      </c>
      <c r="I5227" s="47" t="b">
        <v>0</v>
      </c>
      <c r="J5227" s="47" t="b">
        <v>0</v>
      </c>
      <c r="K5227" s="31">
        <v>1188</v>
      </c>
      <c r="S5227" s="33">
        <v>2</v>
      </c>
      <c r="Z5227" s="31" t="s">
        <v>3855</v>
      </c>
      <c r="AE5227" s="47" t="s">
        <v>4217</v>
      </c>
      <c r="AF5227" s="31">
        <v>65</v>
      </c>
      <c r="AK5227" s="32">
        <v>21</v>
      </c>
      <c r="AQ5227" s="32" t="s">
        <v>6048</v>
      </c>
      <c r="AU5227">
        <v>5226</v>
      </c>
    </row>
    <row r="5228" spans="1:47" x14ac:dyDescent="0.2">
      <c r="A5228" s="13">
        <v>6787</v>
      </c>
      <c r="B5228" s="57" t="s">
        <v>45</v>
      </c>
      <c r="C5228" s="57" t="s">
        <v>142</v>
      </c>
      <c r="D5228" s="29"/>
      <c r="E5228" s="57" t="s">
        <v>5935</v>
      </c>
      <c r="F5228" s="31" t="s">
        <v>5578</v>
      </c>
      <c r="G5228" s="31" t="s">
        <v>69</v>
      </c>
      <c r="I5228" s="47" t="b">
        <v>0</v>
      </c>
      <c r="J5228" s="47" t="b">
        <v>0</v>
      </c>
      <c r="K5228" s="31">
        <v>2541</v>
      </c>
      <c r="S5228" s="33">
        <v>4</v>
      </c>
      <c r="Z5228" s="31" t="s">
        <v>3855</v>
      </c>
      <c r="AE5228" s="47" t="s">
        <v>4217</v>
      </c>
      <c r="AK5228" s="32">
        <v>36</v>
      </c>
      <c r="AQ5228" s="32" t="s">
        <v>6048</v>
      </c>
      <c r="AU5228">
        <v>5227</v>
      </c>
    </row>
    <row r="5229" spans="1:47" x14ac:dyDescent="0.2">
      <c r="A5229" s="13">
        <v>6787</v>
      </c>
      <c r="B5229" s="57" t="s">
        <v>45</v>
      </c>
      <c r="C5229" s="57" t="s">
        <v>4843</v>
      </c>
      <c r="D5229" s="29"/>
      <c r="E5229" s="57" t="s">
        <v>5934</v>
      </c>
      <c r="F5229" s="31" t="s">
        <v>5578</v>
      </c>
      <c r="G5229" s="31" t="s">
        <v>69</v>
      </c>
      <c r="K5229" s="31">
        <v>2640</v>
      </c>
      <c r="S5229" s="33">
        <v>7</v>
      </c>
      <c r="Z5229" s="31" t="s">
        <v>3814</v>
      </c>
      <c r="AE5229" s="31" t="s">
        <v>4411</v>
      </c>
      <c r="AK5229" s="32">
        <v>54</v>
      </c>
      <c r="AQ5229" s="32" t="s">
        <v>6048</v>
      </c>
      <c r="AU5229">
        <v>5228</v>
      </c>
    </row>
    <row r="5230" spans="1:47" x14ac:dyDescent="0.2">
      <c r="A5230" s="13">
        <v>6787</v>
      </c>
      <c r="B5230" s="57" t="s">
        <v>45</v>
      </c>
      <c r="C5230" s="57" t="s">
        <v>4843</v>
      </c>
      <c r="D5230" s="29"/>
      <c r="E5230" s="57" t="s">
        <v>5623</v>
      </c>
      <c r="F5230" s="31" t="s">
        <v>204</v>
      </c>
      <c r="G5230" s="31" t="s">
        <v>205</v>
      </c>
      <c r="K5230" s="31">
        <v>3575</v>
      </c>
      <c r="S5230" s="33">
        <v>8</v>
      </c>
      <c r="Z5230" s="31" t="s">
        <v>3814</v>
      </c>
      <c r="AE5230" s="31" t="s">
        <v>4411</v>
      </c>
      <c r="AF5230" s="31">
        <v>65</v>
      </c>
      <c r="AK5230" s="32">
        <v>71</v>
      </c>
      <c r="AQ5230" s="32" t="s">
        <v>6048</v>
      </c>
      <c r="AU5230">
        <v>5229</v>
      </c>
    </row>
    <row r="5231" spans="1:47" x14ac:dyDescent="0.2">
      <c r="A5231" s="13">
        <v>6787</v>
      </c>
      <c r="B5231" s="57" t="s">
        <v>45</v>
      </c>
      <c r="C5231" s="57" t="s">
        <v>4843</v>
      </c>
      <c r="D5231" s="29"/>
      <c r="E5231" s="57" t="s">
        <v>6335</v>
      </c>
      <c r="F5231" s="31" t="s">
        <v>204</v>
      </c>
      <c r="G5231" s="31" t="s">
        <v>205</v>
      </c>
      <c r="K5231" s="31">
        <v>3839</v>
      </c>
      <c r="S5231" s="33">
        <v>9</v>
      </c>
      <c r="Z5231" s="31" t="s">
        <v>3814</v>
      </c>
      <c r="AE5231" s="31" t="s">
        <v>4411</v>
      </c>
      <c r="AK5231" s="32">
        <v>80</v>
      </c>
      <c r="AQ5231" s="32" t="s">
        <v>6048</v>
      </c>
      <c r="AU5231">
        <v>5230</v>
      </c>
    </row>
    <row r="5232" spans="1:47" x14ac:dyDescent="0.2">
      <c r="A5232" s="13">
        <v>6787</v>
      </c>
      <c r="B5232" s="57" t="s">
        <v>45</v>
      </c>
      <c r="C5232" s="57" t="s">
        <v>6060</v>
      </c>
      <c r="D5232" s="29"/>
      <c r="E5232" s="57" t="s">
        <v>6336</v>
      </c>
      <c r="F5232" s="31" t="s">
        <v>204</v>
      </c>
      <c r="G5232" s="31" t="s">
        <v>205</v>
      </c>
      <c r="I5232" s="31" t="s">
        <v>6337</v>
      </c>
      <c r="K5232" s="63"/>
      <c r="Z5232" s="31" t="s">
        <v>1846</v>
      </c>
      <c r="AE5232" s="35" t="s">
        <v>2470</v>
      </c>
      <c r="AF5232" s="31">
        <v>60</v>
      </c>
      <c r="AQ5232" s="32" t="s">
        <v>6048</v>
      </c>
      <c r="AU5232">
        <v>5231</v>
      </c>
    </row>
    <row r="5233" spans="1:47" x14ac:dyDescent="0.2">
      <c r="A5233" s="13">
        <v>6787</v>
      </c>
      <c r="B5233" s="57" t="s">
        <v>45</v>
      </c>
      <c r="C5233" s="57" t="s">
        <v>6060</v>
      </c>
      <c r="D5233" s="29"/>
      <c r="E5233" s="57" t="s">
        <v>3816</v>
      </c>
      <c r="F5233" s="31" t="s">
        <v>76</v>
      </c>
      <c r="G5233" s="31" t="s">
        <v>49</v>
      </c>
      <c r="I5233" s="31" t="s">
        <v>6337</v>
      </c>
      <c r="K5233" s="63"/>
      <c r="Z5233" s="31" t="s">
        <v>1846</v>
      </c>
      <c r="AE5233" s="35" t="s">
        <v>2470</v>
      </c>
      <c r="AF5233" s="31">
        <v>110</v>
      </c>
      <c r="AQ5233" s="32" t="s">
        <v>6048</v>
      </c>
      <c r="AU5233">
        <v>5232</v>
      </c>
    </row>
    <row r="5234" spans="1:47" x14ac:dyDescent="0.2">
      <c r="A5234" s="13">
        <v>6787</v>
      </c>
      <c r="B5234" s="57" t="s">
        <v>45</v>
      </c>
      <c r="C5234" s="57" t="s">
        <v>6060</v>
      </c>
      <c r="D5234" s="29"/>
      <c r="E5234" s="57" t="s">
        <v>1397</v>
      </c>
      <c r="F5234" s="31" t="s">
        <v>76</v>
      </c>
      <c r="G5234" s="31" t="s">
        <v>49</v>
      </c>
      <c r="I5234" s="31" t="s">
        <v>6337</v>
      </c>
      <c r="K5234" s="63"/>
      <c r="Z5234" s="31" t="s">
        <v>1846</v>
      </c>
      <c r="AE5234" s="35" t="s">
        <v>2470</v>
      </c>
      <c r="AF5234" s="31">
        <v>80</v>
      </c>
      <c r="AQ5234" s="32" t="s">
        <v>6048</v>
      </c>
      <c r="AU5234">
        <v>5233</v>
      </c>
    </row>
    <row r="5235" spans="1:47" x14ac:dyDescent="0.2">
      <c r="A5235" s="13">
        <v>6787</v>
      </c>
      <c r="B5235" s="57" t="s">
        <v>45</v>
      </c>
      <c r="C5235" s="57" t="s">
        <v>6060</v>
      </c>
      <c r="D5235" s="29"/>
      <c r="E5235" s="57" t="s">
        <v>5935</v>
      </c>
      <c r="F5235" s="31" t="s">
        <v>83</v>
      </c>
      <c r="G5235" s="31" t="s">
        <v>69</v>
      </c>
      <c r="I5235" s="31" t="s">
        <v>6337</v>
      </c>
      <c r="K5235" s="63"/>
      <c r="Z5235" s="31" t="s">
        <v>1846</v>
      </c>
      <c r="AE5235" s="35" t="s">
        <v>2470</v>
      </c>
      <c r="AQ5235" s="32" t="s">
        <v>6048</v>
      </c>
      <c r="AU5235">
        <v>5234</v>
      </c>
    </row>
    <row r="5236" spans="1:47" x14ac:dyDescent="0.2">
      <c r="A5236" s="13">
        <v>6787</v>
      </c>
      <c r="B5236" s="57" t="s">
        <v>45</v>
      </c>
      <c r="C5236" s="57" t="s">
        <v>4456</v>
      </c>
      <c r="D5236" s="29"/>
      <c r="E5236" s="57" t="s">
        <v>5353</v>
      </c>
      <c r="F5236" s="31" t="s">
        <v>204</v>
      </c>
      <c r="G5236" s="31" t="s">
        <v>205</v>
      </c>
      <c r="I5236" s="31" t="s">
        <v>6338</v>
      </c>
      <c r="K5236" s="183">
        <f>409*2.2</f>
        <v>899.80000000000007</v>
      </c>
      <c r="L5236" s="33">
        <v>1</v>
      </c>
      <c r="S5236" s="33">
        <v>1</v>
      </c>
      <c r="T5236" s="31">
        <v>0</v>
      </c>
      <c r="U5236" s="31">
        <v>0</v>
      </c>
      <c r="V5236" s="31">
        <v>0</v>
      </c>
      <c r="W5236" s="47">
        <f>2000*39.37/12</f>
        <v>6561.666666666667</v>
      </c>
      <c r="Y5236" s="19" t="s">
        <v>51</v>
      </c>
      <c r="Z5236" s="19" t="s">
        <v>1846</v>
      </c>
      <c r="AA5236" s="34">
        <v>0.90277777777777779</v>
      </c>
      <c r="AB5236" s="34">
        <v>0.96527777777777779</v>
      </c>
      <c r="AC5236" s="49">
        <f>AVERAGE(AA5236:AB5236)</f>
        <v>0.93402777777777779</v>
      </c>
      <c r="AD5236" s="50">
        <f>(AB5236-AA5236)*24</f>
        <v>1.5</v>
      </c>
      <c r="AE5236" s="31" t="s">
        <v>4756</v>
      </c>
      <c r="AF5236" s="31">
        <v>60</v>
      </c>
      <c r="AQ5236" s="18" t="s">
        <v>6339</v>
      </c>
      <c r="AU5236">
        <v>5235</v>
      </c>
    </row>
    <row r="5237" spans="1:47" x14ac:dyDescent="0.2">
      <c r="A5237" s="13">
        <v>6787</v>
      </c>
      <c r="B5237" s="57" t="s">
        <v>45</v>
      </c>
      <c r="C5237" s="57" t="s">
        <v>4456</v>
      </c>
      <c r="D5237" s="29"/>
      <c r="E5237" s="57" t="s">
        <v>6336</v>
      </c>
      <c r="F5237" s="31" t="s">
        <v>204</v>
      </c>
      <c r="G5237" s="31" t="s">
        <v>205</v>
      </c>
      <c r="I5237" s="31" t="s">
        <v>6340</v>
      </c>
      <c r="K5237" s="183">
        <f>2*409*2.2</f>
        <v>1799.6000000000001</v>
      </c>
      <c r="L5237" s="33">
        <v>2</v>
      </c>
      <c r="S5237" s="33">
        <v>2</v>
      </c>
      <c r="T5237" s="31">
        <v>0</v>
      </c>
      <c r="U5237" s="31">
        <v>0</v>
      </c>
      <c r="V5237" s="31">
        <v>0</v>
      </c>
      <c r="W5237" s="47">
        <f>((2000+2100)/2)*39.37/12</f>
        <v>6725.708333333333</v>
      </c>
      <c r="Y5237" s="19" t="s">
        <v>51</v>
      </c>
      <c r="Z5237" s="19" t="s">
        <v>1846</v>
      </c>
      <c r="AA5237" s="34">
        <v>0.89930555555555547</v>
      </c>
      <c r="AB5237" s="34">
        <v>0.96875</v>
      </c>
      <c r="AC5237" s="49">
        <f>AVERAGE(AA5237:AB5237)</f>
        <v>0.93402777777777768</v>
      </c>
      <c r="AD5237" s="50">
        <f>(AB5237-AA5237)*24</f>
        <v>1.6666666666666687</v>
      </c>
      <c r="AE5237" s="31" t="s">
        <v>4756</v>
      </c>
      <c r="AF5237" s="31">
        <v>60</v>
      </c>
      <c r="AQ5237" s="18" t="s">
        <v>6339</v>
      </c>
      <c r="AU5237">
        <v>5236</v>
      </c>
    </row>
    <row r="5238" spans="1:47" x14ac:dyDescent="0.2">
      <c r="A5238" s="13">
        <v>6787</v>
      </c>
      <c r="B5238" s="57" t="s">
        <v>45</v>
      </c>
      <c r="C5238" s="57" t="s">
        <v>4456</v>
      </c>
      <c r="D5238" s="29"/>
      <c r="E5238" s="57" t="s">
        <v>6341</v>
      </c>
      <c r="F5238" s="31" t="s">
        <v>83</v>
      </c>
      <c r="G5238" s="31" t="s">
        <v>69</v>
      </c>
      <c r="I5238" s="31" t="s">
        <v>6342</v>
      </c>
      <c r="K5238" s="183">
        <f>4*409*2.2</f>
        <v>3599.2000000000003</v>
      </c>
      <c r="L5238" s="33">
        <v>4</v>
      </c>
      <c r="S5238" s="33">
        <v>4</v>
      </c>
      <c r="T5238" s="31">
        <v>0</v>
      </c>
      <c r="U5238" s="31">
        <v>0</v>
      </c>
      <c r="V5238" s="31">
        <v>0</v>
      </c>
      <c r="W5238" s="47">
        <f>((2000+2200+2200+2100)/4)*39.37/12</f>
        <v>6971.770833333333</v>
      </c>
      <c r="Y5238" s="19" t="s">
        <v>51</v>
      </c>
      <c r="Z5238" s="19" t="s">
        <v>1846</v>
      </c>
      <c r="AA5238" s="34">
        <v>1.7361111111111112E-2</v>
      </c>
      <c r="AB5238" s="34">
        <v>0.125</v>
      </c>
      <c r="AC5238" s="49">
        <f>AVERAGE(AA5238:AB5238)</f>
        <v>7.1180555555555552E-2</v>
      </c>
      <c r="AD5238" s="50">
        <v>1.25</v>
      </c>
      <c r="AE5238" s="31" t="s">
        <v>4756</v>
      </c>
      <c r="AF5238" s="31">
        <v>45</v>
      </c>
      <c r="AQ5238" s="18" t="s">
        <v>6339</v>
      </c>
      <c r="AU5238">
        <v>5237</v>
      </c>
    </row>
    <row r="5239" spans="1:47" x14ac:dyDescent="0.2">
      <c r="A5239" s="13">
        <v>6787</v>
      </c>
      <c r="B5239" s="57" t="s">
        <v>45</v>
      </c>
      <c r="C5239" s="57" t="s">
        <v>4456</v>
      </c>
      <c r="D5239" s="29"/>
      <c r="E5239" s="57" t="s">
        <v>6343</v>
      </c>
      <c r="F5239" s="31" t="s">
        <v>83</v>
      </c>
      <c r="G5239" s="31" t="s">
        <v>69</v>
      </c>
      <c r="I5239" s="31" t="s">
        <v>6344</v>
      </c>
      <c r="K5239" s="183">
        <f>409*2.2</f>
        <v>899.80000000000007</v>
      </c>
      <c r="L5239" s="33">
        <v>1</v>
      </c>
      <c r="S5239" s="33">
        <v>1</v>
      </c>
      <c r="T5239" s="31">
        <v>0</v>
      </c>
      <c r="U5239" s="31">
        <v>0</v>
      </c>
      <c r="V5239" s="31">
        <v>0</v>
      </c>
      <c r="W5239" s="47">
        <f>2200*39.37/12</f>
        <v>7217.833333333333</v>
      </c>
      <c r="Y5239" s="19" t="s">
        <v>51</v>
      </c>
      <c r="Z5239" s="19" t="s">
        <v>1846</v>
      </c>
      <c r="AA5239" s="34">
        <v>0.90277777777777779</v>
      </c>
      <c r="AB5239" s="34">
        <v>0.99652777777777779</v>
      </c>
      <c r="AC5239" s="49">
        <f>AVERAGE(AA5239:AB5239)</f>
        <v>0.94965277777777779</v>
      </c>
      <c r="AD5239" s="50">
        <f>(AB5239-AA5239)*24</f>
        <v>2.25</v>
      </c>
      <c r="AE5239" s="31" t="s">
        <v>4756</v>
      </c>
      <c r="AF5239" s="31">
        <v>75</v>
      </c>
      <c r="AQ5239" s="18" t="s">
        <v>6339</v>
      </c>
      <c r="AU5239">
        <v>5238</v>
      </c>
    </row>
    <row r="5240" spans="1:47" x14ac:dyDescent="0.2">
      <c r="A5240" s="26">
        <v>6787</v>
      </c>
      <c r="B5240" s="27">
        <v>0.20486111111111113</v>
      </c>
      <c r="C5240" s="28"/>
      <c r="D5240" s="29"/>
      <c r="E5240" s="30" t="s">
        <v>464</v>
      </c>
      <c r="H5240" s="32">
        <v>0</v>
      </c>
      <c r="I5240" s="32" t="s">
        <v>5766</v>
      </c>
      <c r="AG5240" s="32">
        <v>0</v>
      </c>
      <c r="AH5240" s="32">
        <v>0</v>
      </c>
      <c r="AI5240" s="32">
        <v>0</v>
      </c>
      <c r="AK5240" s="32">
        <v>0</v>
      </c>
      <c r="AL5240" s="32">
        <v>0.33300000000000002</v>
      </c>
      <c r="AO5240" s="32" t="s">
        <v>4067</v>
      </c>
      <c r="AP5240" s="32">
        <v>0.33300000000000002</v>
      </c>
      <c r="AQ5240" s="32" t="s">
        <v>1522</v>
      </c>
      <c r="AU5240">
        <v>5239</v>
      </c>
    </row>
    <row r="5241" spans="1:47" x14ac:dyDescent="0.2">
      <c r="A5241" s="26">
        <v>6787</v>
      </c>
      <c r="B5241" s="27">
        <v>0.3263888888888889</v>
      </c>
      <c r="C5241" s="28"/>
      <c r="D5241" s="29"/>
      <c r="E5241" s="30" t="s">
        <v>4219</v>
      </c>
      <c r="H5241" s="32">
        <v>1</v>
      </c>
      <c r="I5241" s="32"/>
      <c r="AL5241" s="32">
        <v>0.25</v>
      </c>
      <c r="AO5241" s="32" t="s">
        <v>858</v>
      </c>
      <c r="AP5241" s="32">
        <v>0.25</v>
      </c>
      <c r="AQ5241" s="32" t="s">
        <v>1101</v>
      </c>
      <c r="AU5241">
        <v>5240</v>
      </c>
    </row>
    <row r="5242" spans="1:47" x14ac:dyDescent="0.2">
      <c r="A5242" s="26">
        <v>6787</v>
      </c>
      <c r="B5242" s="27">
        <v>0.34236111111111112</v>
      </c>
      <c r="C5242" s="28"/>
      <c r="D5242" s="29"/>
      <c r="E5242" s="102" t="s">
        <v>1102</v>
      </c>
      <c r="H5242" s="32">
        <v>0</v>
      </c>
      <c r="I5242" s="32" t="s">
        <v>1103</v>
      </c>
      <c r="AG5242" s="32">
        <v>0</v>
      </c>
      <c r="AH5242" s="32">
        <v>0</v>
      </c>
      <c r="AI5242" s="32">
        <v>0</v>
      </c>
      <c r="AK5242" s="32">
        <v>0</v>
      </c>
      <c r="AL5242" s="32">
        <f>32/60</f>
        <v>0.53333333333333333</v>
      </c>
      <c r="AO5242" s="73" t="s">
        <v>1006</v>
      </c>
      <c r="AP5242" s="32">
        <f>32/60</f>
        <v>0.53333333333333333</v>
      </c>
      <c r="AQ5242" s="32" t="s">
        <v>589</v>
      </c>
      <c r="AU5242">
        <v>5241</v>
      </c>
    </row>
    <row r="5243" spans="1:47" x14ac:dyDescent="0.2">
      <c r="A5243" s="26">
        <v>6787</v>
      </c>
      <c r="B5243" s="27">
        <v>0.36388888888888887</v>
      </c>
      <c r="C5243" s="28"/>
      <c r="D5243" s="29"/>
      <c r="E5243" s="30" t="s">
        <v>2964</v>
      </c>
      <c r="H5243" s="32">
        <v>0</v>
      </c>
      <c r="I5243" s="32" t="s">
        <v>4158</v>
      </c>
      <c r="AG5243" s="32">
        <v>0</v>
      </c>
      <c r="AH5243" s="32">
        <v>0</v>
      </c>
      <c r="AI5243" s="32">
        <v>0</v>
      </c>
      <c r="AK5243" s="32">
        <v>0</v>
      </c>
      <c r="AL5243" s="32">
        <f>55/60</f>
        <v>0.91666666666666663</v>
      </c>
      <c r="AP5243" s="32">
        <f>55/60</f>
        <v>0.91666666666666663</v>
      </c>
      <c r="AQ5243" s="32" t="s">
        <v>1101</v>
      </c>
      <c r="AU5243">
        <v>5242</v>
      </c>
    </row>
    <row r="5244" spans="1:47" x14ac:dyDescent="0.2">
      <c r="A5244" s="26">
        <v>6787</v>
      </c>
      <c r="B5244" s="27">
        <v>0.3659722222222222</v>
      </c>
      <c r="C5244" s="28"/>
      <c r="D5244" s="29"/>
      <c r="E5244" s="102" t="s">
        <v>5200</v>
      </c>
      <c r="H5244" s="32">
        <v>0</v>
      </c>
      <c r="I5244" s="32" t="s">
        <v>5893</v>
      </c>
      <c r="AG5244" s="32">
        <v>0</v>
      </c>
      <c r="AH5244" s="32">
        <v>0</v>
      </c>
      <c r="AI5244" s="32">
        <v>0</v>
      </c>
      <c r="AK5244" s="32">
        <v>0</v>
      </c>
      <c r="AL5244" s="32">
        <f>77/60</f>
        <v>1.2833333333333334</v>
      </c>
      <c r="AO5244" s="73"/>
      <c r="AP5244" s="32">
        <f>77/60</f>
        <v>1.2833333333333334</v>
      </c>
      <c r="AQ5244" s="32" t="s">
        <v>589</v>
      </c>
      <c r="AU5244">
        <v>5243</v>
      </c>
    </row>
    <row r="5245" spans="1:47" x14ac:dyDescent="0.2">
      <c r="A5245" s="26">
        <v>6787</v>
      </c>
      <c r="B5245" s="27">
        <v>0.3756944444444445</v>
      </c>
      <c r="C5245" s="28"/>
      <c r="D5245" s="29"/>
      <c r="E5245" s="30" t="s">
        <v>110</v>
      </c>
      <c r="H5245" s="32">
        <v>0</v>
      </c>
      <c r="I5245" s="32" t="s">
        <v>3587</v>
      </c>
      <c r="AG5245" s="32">
        <v>0</v>
      </c>
      <c r="AH5245" s="32">
        <v>0</v>
      </c>
      <c r="AI5245" s="32">
        <v>0</v>
      </c>
      <c r="AK5245" s="32">
        <v>0</v>
      </c>
      <c r="AL5245" s="32">
        <f>49/60</f>
        <v>0.81666666666666665</v>
      </c>
      <c r="AP5245" s="32">
        <f>49/60</f>
        <v>0.81666666666666665</v>
      </c>
      <c r="AQ5245" s="32" t="s">
        <v>1101</v>
      </c>
      <c r="AU5245">
        <v>5244</v>
      </c>
    </row>
    <row r="5246" spans="1:47" x14ac:dyDescent="0.2">
      <c r="A5246" s="26">
        <v>6787</v>
      </c>
      <c r="B5246" s="27">
        <v>0.37777777777777777</v>
      </c>
      <c r="C5246" s="28"/>
      <c r="D5246" s="29"/>
      <c r="E5246" s="30" t="s">
        <v>3155</v>
      </c>
      <c r="H5246" s="32">
        <v>0</v>
      </c>
      <c r="I5246" s="32" t="s">
        <v>6345</v>
      </c>
      <c r="AG5246" s="32">
        <v>0</v>
      </c>
      <c r="AH5246" s="32">
        <v>0</v>
      </c>
      <c r="AI5246" s="32">
        <v>0</v>
      </c>
      <c r="AK5246" s="32">
        <v>0</v>
      </c>
      <c r="AP5246" s="32">
        <f>53/60</f>
        <v>0.8833333333333333</v>
      </c>
      <c r="AQ5246" s="32" t="s">
        <v>1101</v>
      </c>
      <c r="AU5246">
        <v>5245</v>
      </c>
    </row>
    <row r="5247" spans="1:47" x14ac:dyDescent="0.2">
      <c r="A5247" s="26">
        <v>6787</v>
      </c>
      <c r="B5247" s="27">
        <v>0.38750000000000001</v>
      </c>
      <c r="C5247" s="28"/>
      <c r="D5247" s="29"/>
      <c r="E5247" s="30" t="s">
        <v>869</v>
      </c>
      <c r="H5247" s="32">
        <v>0</v>
      </c>
      <c r="I5247" s="32" t="s">
        <v>2344</v>
      </c>
      <c r="AG5247" s="32">
        <v>0</v>
      </c>
      <c r="AH5247" s="32">
        <v>0</v>
      </c>
      <c r="AI5247" s="32">
        <v>0</v>
      </c>
      <c r="AK5247" s="32">
        <v>0</v>
      </c>
      <c r="AL5247" s="32">
        <f>9/60</f>
        <v>0.15</v>
      </c>
      <c r="AP5247" s="32">
        <f>9/60</f>
        <v>0.15</v>
      </c>
      <c r="AQ5247" s="32" t="s">
        <v>589</v>
      </c>
      <c r="AU5247">
        <v>5246</v>
      </c>
    </row>
    <row r="5248" spans="1:47" x14ac:dyDescent="0.2">
      <c r="A5248" s="26">
        <v>6787</v>
      </c>
      <c r="B5248" s="27">
        <v>0.39027777777777778</v>
      </c>
      <c r="C5248" s="28"/>
      <c r="D5248" s="29"/>
      <c r="E5248" s="30" t="s">
        <v>4709</v>
      </c>
      <c r="H5248" s="32">
        <v>0</v>
      </c>
      <c r="I5248" s="32" t="s">
        <v>4710</v>
      </c>
      <c r="AG5248" s="32">
        <v>0</v>
      </c>
      <c r="AH5248" s="32">
        <v>0</v>
      </c>
      <c r="AI5248" s="32">
        <v>0</v>
      </c>
      <c r="AK5248" s="32">
        <v>0</v>
      </c>
      <c r="AL5248" s="32">
        <f>33/60</f>
        <v>0.55000000000000004</v>
      </c>
      <c r="AM5248" s="32">
        <f>AL5248*(261300+974800)/18.75</f>
        <v>36258.933333333334</v>
      </c>
      <c r="AP5248" s="32">
        <f>33/60</f>
        <v>0.55000000000000004</v>
      </c>
      <c r="AQ5248" s="32" t="s">
        <v>589</v>
      </c>
      <c r="AU5248">
        <v>5247</v>
      </c>
    </row>
    <row r="5249" spans="1:47" x14ac:dyDescent="0.2">
      <c r="A5249" s="26">
        <v>6787</v>
      </c>
      <c r="B5249" s="27">
        <v>0.3972222222222222</v>
      </c>
      <c r="C5249" s="28"/>
      <c r="D5249" s="29"/>
      <c r="E5249" s="30" t="s">
        <v>3737</v>
      </c>
      <c r="H5249" s="32">
        <v>0</v>
      </c>
      <c r="I5249" s="32" t="s">
        <v>4926</v>
      </c>
      <c r="AG5249" s="32">
        <v>0</v>
      </c>
      <c r="AH5249" s="32">
        <v>0</v>
      </c>
      <c r="AI5249" s="32">
        <v>0</v>
      </c>
      <c r="AK5249" s="32">
        <v>0</v>
      </c>
      <c r="AL5249" s="32">
        <f>28/60</f>
        <v>0.46666666666666667</v>
      </c>
      <c r="AM5249" s="33">
        <f>(3125+3691)*AL5249</f>
        <v>3180.8</v>
      </c>
      <c r="AP5249" s="32">
        <f>28/60</f>
        <v>0.46666666666666667</v>
      </c>
      <c r="AQ5249" s="32" t="s">
        <v>1101</v>
      </c>
      <c r="AU5249">
        <v>5248</v>
      </c>
    </row>
    <row r="5250" spans="1:47" x14ac:dyDescent="0.2">
      <c r="A5250" s="26">
        <v>6787</v>
      </c>
      <c r="B5250" s="27">
        <v>0.41319444444444442</v>
      </c>
      <c r="C5250" s="28"/>
      <c r="D5250" s="29"/>
      <c r="E5250" s="30" t="s">
        <v>631</v>
      </c>
      <c r="H5250" s="32">
        <v>0</v>
      </c>
      <c r="I5250" s="32" t="s">
        <v>837</v>
      </c>
      <c r="AG5250" s="32">
        <v>0</v>
      </c>
      <c r="AH5250" s="32">
        <v>0</v>
      </c>
      <c r="AI5250" s="32">
        <v>0</v>
      </c>
      <c r="AK5250" s="32">
        <v>0</v>
      </c>
      <c r="AL5250" s="32">
        <v>0.25</v>
      </c>
      <c r="AP5250" s="32">
        <v>0.25</v>
      </c>
      <c r="AQ5250" s="32">
        <v>465</v>
      </c>
      <c r="AU5250">
        <v>5249</v>
      </c>
    </row>
    <row r="5251" spans="1:47" x14ac:dyDescent="0.2">
      <c r="A5251" s="26">
        <v>6787</v>
      </c>
      <c r="B5251" s="27"/>
      <c r="C5251" s="28"/>
      <c r="D5251" s="29"/>
      <c r="E5251" s="30" t="s">
        <v>4469</v>
      </c>
      <c r="H5251" s="32">
        <v>0</v>
      </c>
      <c r="I5251" s="32" t="s">
        <v>6346</v>
      </c>
      <c r="AG5251" s="32">
        <v>0</v>
      </c>
      <c r="AH5251" s="32">
        <v>0</v>
      </c>
      <c r="AI5251" s="32">
        <v>0</v>
      </c>
      <c r="AK5251" s="32">
        <v>0</v>
      </c>
      <c r="AL5251" s="32">
        <f>92/60</f>
        <v>1.5333333333333334</v>
      </c>
      <c r="AO5251" s="32" t="s">
        <v>5210</v>
      </c>
      <c r="AP5251" s="32">
        <f>92/60</f>
        <v>1.5333333333333334</v>
      </c>
      <c r="AQ5251" s="32" t="s">
        <v>5211</v>
      </c>
      <c r="AU5251">
        <v>5250</v>
      </c>
    </row>
    <row r="5252" spans="1:47" x14ac:dyDescent="0.2">
      <c r="A5252" s="26">
        <v>6787</v>
      </c>
      <c r="B5252" s="27"/>
      <c r="C5252" s="28"/>
      <c r="D5252" s="29"/>
      <c r="E5252" s="30" t="s">
        <v>5102</v>
      </c>
      <c r="H5252" s="32">
        <v>0</v>
      </c>
      <c r="I5252" s="32" t="s">
        <v>5103</v>
      </c>
      <c r="AG5252" s="32">
        <v>0</v>
      </c>
      <c r="AH5252" s="32">
        <v>0</v>
      </c>
      <c r="AI5252" s="32">
        <v>0</v>
      </c>
      <c r="AK5252" s="32">
        <v>0</v>
      </c>
      <c r="AL5252" s="18">
        <v>1.5</v>
      </c>
      <c r="AM5252" s="18">
        <f>300000/11</f>
        <v>27272.727272727272</v>
      </c>
      <c r="AN5252" s="18"/>
      <c r="AO5252" s="18"/>
      <c r="AP5252" s="18">
        <v>1.5</v>
      </c>
      <c r="AQ5252" s="32" t="s">
        <v>589</v>
      </c>
      <c r="AU5252">
        <v>5251</v>
      </c>
    </row>
    <row r="5253" spans="1:47" x14ac:dyDescent="0.2">
      <c r="A5253" s="133">
        <v>6788</v>
      </c>
      <c r="B5253" s="39" t="s">
        <v>85</v>
      </c>
      <c r="C5253" s="39">
        <v>55</v>
      </c>
      <c r="D5253" s="29" t="b">
        <v>0</v>
      </c>
      <c r="E5253" s="39" t="s">
        <v>5224</v>
      </c>
      <c r="F5253" s="47" t="s">
        <v>5496</v>
      </c>
      <c r="G5253" s="47" t="s">
        <v>49</v>
      </c>
      <c r="H5253"/>
      <c r="I5253" s="47" t="b">
        <v>0</v>
      </c>
      <c r="J5253" s="47" t="b">
        <v>1</v>
      </c>
      <c r="K5253" s="47">
        <v>2358</v>
      </c>
      <c r="L5253" s="48">
        <v>12</v>
      </c>
      <c r="M5253" s="47">
        <v>0</v>
      </c>
      <c r="N5253" s="47">
        <v>1</v>
      </c>
      <c r="O5253" s="47">
        <v>0</v>
      </c>
      <c r="P5253" s="47">
        <v>11</v>
      </c>
      <c r="Q5253" s="47">
        <v>0</v>
      </c>
      <c r="R5253" s="47">
        <v>0</v>
      </c>
      <c r="S5253" s="48">
        <v>11</v>
      </c>
      <c r="T5253" s="47">
        <v>0</v>
      </c>
      <c r="U5253" s="47">
        <v>0</v>
      </c>
      <c r="V5253" s="47">
        <v>0</v>
      </c>
      <c r="W5253" s="47">
        <v>15000</v>
      </c>
      <c r="X5253" s="47">
        <v>789</v>
      </c>
      <c r="Y5253" s="47" t="s">
        <v>51</v>
      </c>
      <c r="Z5253" s="47" t="s">
        <v>3618</v>
      </c>
      <c r="AA5253" s="49">
        <v>0.22222222222222221</v>
      </c>
      <c r="AB5253" s="49">
        <v>0.43402777777777773</v>
      </c>
      <c r="AC5253" s="49">
        <v>0.35416666666666669</v>
      </c>
      <c r="AD5253" s="50">
        <f>(AB5253-AA5253)*24</f>
        <v>5.0833333333333321</v>
      </c>
      <c r="AE5253" s="47" t="s">
        <v>5433</v>
      </c>
      <c r="AF5253" s="47">
        <v>230</v>
      </c>
      <c r="AG5253"/>
      <c r="AH5253"/>
      <c r="AI5253"/>
      <c r="AJ5253"/>
      <c r="AK5253">
        <v>35</v>
      </c>
      <c r="AL5253"/>
      <c r="AM5253"/>
      <c r="AN5253"/>
      <c r="AO5253"/>
      <c r="AP5253"/>
      <c r="AQ5253" t="s">
        <v>5434</v>
      </c>
      <c r="AU5253">
        <v>5252</v>
      </c>
    </row>
    <row r="5254" spans="1:47" x14ac:dyDescent="0.2">
      <c r="A5254" s="133">
        <v>6788</v>
      </c>
      <c r="B5254" s="39" t="s">
        <v>85</v>
      </c>
      <c r="C5254" s="39">
        <v>104</v>
      </c>
      <c r="D5254" s="29" t="b">
        <v>0</v>
      </c>
      <c r="E5254" s="39" t="s">
        <v>1006</v>
      </c>
      <c r="F5254" s="47" t="s">
        <v>6347</v>
      </c>
      <c r="G5254" s="47" t="s">
        <v>49</v>
      </c>
      <c r="H5254"/>
      <c r="I5254" s="47" t="b">
        <v>0</v>
      </c>
      <c r="J5254" s="47" t="b">
        <v>1</v>
      </c>
      <c r="K5254" s="47">
        <v>2282</v>
      </c>
      <c r="L5254" s="48">
        <v>12</v>
      </c>
      <c r="M5254" s="47">
        <v>0</v>
      </c>
      <c r="N5254" s="47">
        <v>2</v>
      </c>
      <c r="O5254" s="47">
        <v>0</v>
      </c>
      <c r="P5254" s="47">
        <v>10</v>
      </c>
      <c r="Q5254" s="47">
        <v>0</v>
      </c>
      <c r="R5254" s="47">
        <v>0</v>
      </c>
      <c r="S5254" s="48">
        <v>10</v>
      </c>
      <c r="T5254" s="47">
        <v>1</v>
      </c>
      <c r="U5254" s="47">
        <v>0</v>
      </c>
      <c r="V5254" s="47">
        <v>0</v>
      </c>
      <c r="W5254" s="47">
        <v>13000</v>
      </c>
      <c r="X5254" s="47">
        <v>790</v>
      </c>
      <c r="Y5254" s="47" t="s">
        <v>120</v>
      </c>
      <c r="Z5254" s="47" t="s">
        <v>5139</v>
      </c>
      <c r="AA5254" s="49">
        <v>0.21875</v>
      </c>
      <c r="AB5254" s="49">
        <v>0.38194444444444442</v>
      </c>
      <c r="AC5254" s="49">
        <v>0.33333333333333331</v>
      </c>
      <c r="AD5254" s="50">
        <f>(AB5254-AA5254)*24</f>
        <v>3.9166666666666661</v>
      </c>
      <c r="AE5254" s="47" t="s">
        <v>5433</v>
      </c>
      <c r="AF5254" s="47">
        <v>130</v>
      </c>
      <c r="AG5254"/>
      <c r="AH5254"/>
      <c r="AI5254"/>
      <c r="AJ5254"/>
      <c r="AK5254">
        <v>13</v>
      </c>
      <c r="AL5254"/>
      <c r="AM5254"/>
      <c r="AN5254"/>
      <c r="AO5254"/>
      <c r="AP5254"/>
      <c r="AQ5254" t="s">
        <v>5485</v>
      </c>
      <c r="AU5254">
        <v>5253</v>
      </c>
    </row>
    <row r="5255" spans="1:47" x14ac:dyDescent="0.2">
      <c r="A5255" s="133">
        <v>6788</v>
      </c>
      <c r="B5255" s="39" t="s">
        <v>85</v>
      </c>
      <c r="C5255" s="39" t="s">
        <v>5533</v>
      </c>
      <c r="D5255" s="29"/>
      <c r="E5255" s="39" t="s">
        <v>788</v>
      </c>
      <c r="F5255" s="47" t="s">
        <v>714</v>
      </c>
      <c r="G5255" s="47" t="s">
        <v>49</v>
      </c>
      <c r="H5255"/>
      <c r="I5255" s="47" t="s">
        <v>6348</v>
      </c>
      <c r="J5255" s="47"/>
      <c r="K5255" s="47">
        <f>48*20*2.2</f>
        <v>2112</v>
      </c>
      <c r="L5255" s="48">
        <v>10</v>
      </c>
      <c r="M5255" s="47"/>
      <c r="N5255" s="47">
        <v>2</v>
      </c>
      <c r="O5255" s="47"/>
      <c r="P5255" s="47"/>
      <c r="Q5255" s="47"/>
      <c r="R5255" s="47"/>
      <c r="S5255" s="48">
        <v>8</v>
      </c>
      <c r="T5255" s="47"/>
      <c r="U5255" s="47"/>
      <c r="V5255" s="47">
        <v>1</v>
      </c>
      <c r="W5255" s="47"/>
      <c r="X5255" s="47"/>
      <c r="Y5255" s="47"/>
      <c r="Z5255" s="31" t="s">
        <v>3724</v>
      </c>
      <c r="AA5255" s="49">
        <v>0.67083333333333339</v>
      </c>
      <c r="AB5255" s="49"/>
      <c r="AC5255" s="49"/>
      <c r="AD5255" s="50"/>
      <c r="AE5255" s="47" t="s">
        <v>5536</v>
      </c>
      <c r="AF5255" s="47">
        <v>70</v>
      </c>
      <c r="AG5255"/>
      <c r="AH5255"/>
      <c r="AI5255"/>
      <c r="AJ5255"/>
      <c r="AK5255"/>
      <c r="AL5255"/>
      <c r="AM5255"/>
      <c r="AN5255"/>
      <c r="AO5255"/>
      <c r="AP5255"/>
      <c r="AQ5255"/>
      <c r="AU5255">
        <v>5254</v>
      </c>
    </row>
    <row r="5256" spans="1:47" x14ac:dyDescent="0.2">
      <c r="A5256" s="13">
        <v>6788</v>
      </c>
      <c r="B5256" s="57" t="s">
        <v>45</v>
      </c>
      <c r="C5256" s="57" t="s">
        <v>142</v>
      </c>
      <c r="D5256" s="29"/>
      <c r="E5256" s="39" t="s">
        <v>6349</v>
      </c>
      <c r="F5256" s="47" t="s">
        <v>5292</v>
      </c>
      <c r="G5256" s="47" t="s">
        <v>49</v>
      </c>
      <c r="H5256"/>
      <c r="I5256" s="47" t="b">
        <v>1</v>
      </c>
      <c r="J5256" s="47" t="b">
        <v>1</v>
      </c>
      <c r="K5256" s="47">
        <f>6400*2.2</f>
        <v>14080.000000000002</v>
      </c>
      <c r="L5256" s="48">
        <f>23+1</f>
        <v>24</v>
      </c>
      <c r="M5256" s="47"/>
      <c r="N5256" s="47"/>
      <c r="O5256" s="47"/>
      <c r="P5256" s="47"/>
      <c r="Q5256" s="47"/>
      <c r="R5256" s="47"/>
      <c r="S5256" s="48">
        <f>23+1</f>
        <v>24</v>
      </c>
      <c r="T5256" s="47">
        <v>0</v>
      </c>
      <c r="U5256" s="47">
        <v>0</v>
      </c>
      <c r="V5256" s="47">
        <v>0</v>
      </c>
      <c r="W5256" s="47"/>
      <c r="X5256" s="47"/>
      <c r="Y5256" s="47" t="s">
        <v>51</v>
      </c>
      <c r="Z5256" s="31" t="s">
        <v>3855</v>
      </c>
      <c r="AA5256" s="49"/>
      <c r="AB5256" s="49"/>
      <c r="AC5256" s="49">
        <v>0.89236111111111116</v>
      </c>
      <c r="AD5256" s="50"/>
      <c r="AE5256" s="47" t="s">
        <v>4217</v>
      </c>
      <c r="AF5256" s="47"/>
      <c r="AG5256"/>
      <c r="AH5256"/>
      <c r="AI5256"/>
      <c r="AJ5256"/>
      <c r="AK5256">
        <f>80+55+7+4+48+5+2+32</f>
        <v>233</v>
      </c>
      <c r="AL5256"/>
      <c r="AM5256"/>
      <c r="AN5256"/>
      <c r="AO5256"/>
      <c r="AP5256"/>
      <c r="AQ5256" t="s">
        <v>6350</v>
      </c>
      <c r="AR5256" s="32" t="s">
        <v>6351</v>
      </c>
      <c r="AU5256">
        <v>5255</v>
      </c>
    </row>
    <row r="5257" spans="1:47" x14ac:dyDescent="0.2">
      <c r="A5257" s="13">
        <v>6788</v>
      </c>
      <c r="B5257" s="57" t="s">
        <v>45</v>
      </c>
      <c r="C5257" s="57" t="s">
        <v>142</v>
      </c>
      <c r="D5257" s="29"/>
      <c r="E5257" s="57" t="s">
        <v>3936</v>
      </c>
      <c r="F5257" s="31" t="s">
        <v>76</v>
      </c>
      <c r="G5257" s="47" t="s">
        <v>49</v>
      </c>
      <c r="I5257" s="47" t="b">
        <v>0</v>
      </c>
      <c r="J5257" s="47" t="b">
        <v>0</v>
      </c>
      <c r="K5257" s="31">
        <v>4983</v>
      </c>
      <c r="S5257" s="33">
        <v>8</v>
      </c>
      <c r="Z5257" s="31" t="s">
        <v>3855</v>
      </c>
      <c r="AE5257" s="47" t="s">
        <v>4217</v>
      </c>
      <c r="AF5257" s="31">
        <v>65</v>
      </c>
      <c r="AK5257" s="32">
        <v>84</v>
      </c>
      <c r="AQ5257" s="32" t="s">
        <v>6352</v>
      </c>
      <c r="AU5257">
        <v>5256</v>
      </c>
    </row>
    <row r="5258" spans="1:47" x14ac:dyDescent="0.2">
      <c r="A5258" s="13">
        <v>6788</v>
      </c>
      <c r="B5258" s="57" t="s">
        <v>45</v>
      </c>
      <c r="C5258" s="57" t="s">
        <v>142</v>
      </c>
      <c r="D5258" s="29"/>
      <c r="E5258" s="57" t="s">
        <v>1031</v>
      </c>
      <c r="F5258" s="31" t="s">
        <v>76</v>
      </c>
      <c r="G5258" s="47" t="s">
        <v>49</v>
      </c>
      <c r="I5258" s="47" t="b">
        <v>0</v>
      </c>
      <c r="J5258" s="47" t="b">
        <v>0</v>
      </c>
      <c r="K5258" s="31">
        <v>3080</v>
      </c>
      <c r="S5258" s="33">
        <v>5</v>
      </c>
      <c r="Z5258" s="31" t="s">
        <v>3855</v>
      </c>
      <c r="AE5258" s="47" t="s">
        <v>4217</v>
      </c>
      <c r="AF5258" s="31">
        <v>75</v>
      </c>
      <c r="AK5258" s="32">
        <v>41</v>
      </c>
      <c r="AQ5258" s="32" t="s">
        <v>6352</v>
      </c>
      <c r="AU5258">
        <v>5257</v>
      </c>
    </row>
    <row r="5259" spans="1:47" x14ac:dyDescent="0.2">
      <c r="A5259" s="13">
        <v>6788</v>
      </c>
      <c r="B5259" s="57" t="s">
        <v>45</v>
      </c>
      <c r="C5259" s="57" t="s">
        <v>142</v>
      </c>
      <c r="D5259" s="29"/>
      <c r="E5259" s="57" t="s">
        <v>1064</v>
      </c>
      <c r="F5259" s="31" t="s">
        <v>76</v>
      </c>
      <c r="G5259" s="47" t="s">
        <v>49</v>
      </c>
      <c r="I5259" s="47" t="b">
        <v>0</v>
      </c>
      <c r="J5259" s="47" t="b">
        <v>0</v>
      </c>
      <c r="K5259" s="31">
        <v>2904</v>
      </c>
      <c r="S5259" s="33">
        <v>5</v>
      </c>
      <c r="Z5259" s="31" t="s">
        <v>3855</v>
      </c>
      <c r="AE5259" s="47" t="s">
        <v>4217</v>
      </c>
      <c r="AF5259" s="31">
        <v>60</v>
      </c>
      <c r="AK5259" s="32">
        <v>65</v>
      </c>
      <c r="AQ5259" s="32" t="s">
        <v>6352</v>
      </c>
      <c r="AU5259">
        <v>5258</v>
      </c>
    </row>
    <row r="5260" spans="1:47" x14ac:dyDescent="0.2">
      <c r="A5260" s="13">
        <v>6788</v>
      </c>
      <c r="B5260" s="57" t="s">
        <v>45</v>
      </c>
      <c r="C5260" s="57" t="s">
        <v>142</v>
      </c>
      <c r="D5260" s="29"/>
      <c r="E5260" s="57" t="s">
        <v>6353</v>
      </c>
      <c r="F5260" s="31" t="s">
        <v>6354</v>
      </c>
      <c r="G5260" s="47" t="s">
        <v>69</v>
      </c>
      <c r="I5260" s="47" t="b">
        <v>0</v>
      </c>
      <c r="J5260" s="47" t="b">
        <v>0</v>
      </c>
      <c r="K5260" s="31">
        <v>1276</v>
      </c>
      <c r="S5260" s="33">
        <v>2</v>
      </c>
      <c r="Z5260" s="31" t="s">
        <v>3855</v>
      </c>
      <c r="AE5260" s="47" t="s">
        <v>4217</v>
      </c>
      <c r="AF5260" s="31">
        <v>65</v>
      </c>
      <c r="AK5260" s="32">
        <v>17</v>
      </c>
      <c r="AQ5260" s="32" t="s">
        <v>6352</v>
      </c>
      <c r="AU5260">
        <v>5259</v>
      </c>
    </row>
    <row r="5261" spans="1:47" x14ac:dyDescent="0.2">
      <c r="A5261" s="13">
        <v>6788</v>
      </c>
      <c r="B5261" s="57" t="s">
        <v>45</v>
      </c>
      <c r="C5261" s="57" t="s">
        <v>142</v>
      </c>
      <c r="D5261" s="29"/>
      <c r="E5261" s="57" t="s">
        <v>3875</v>
      </c>
      <c r="F5261" s="31" t="s">
        <v>76</v>
      </c>
      <c r="G5261" s="47" t="s">
        <v>49</v>
      </c>
      <c r="I5261" s="47" t="b">
        <v>0</v>
      </c>
      <c r="J5261" s="47" t="b">
        <v>0</v>
      </c>
      <c r="K5261" s="31">
        <v>572</v>
      </c>
      <c r="S5261" s="33">
        <v>1</v>
      </c>
      <c r="Z5261" s="31" t="s">
        <v>3855</v>
      </c>
      <c r="AE5261" s="47" t="s">
        <v>4217</v>
      </c>
      <c r="AF5261" s="31">
        <v>60</v>
      </c>
      <c r="AK5261" s="32">
        <v>8</v>
      </c>
      <c r="AQ5261" s="32" t="s">
        <v>6352</v>
      </c>
      <c r="AU5261">
        <v>5260</v>
      </c>
    </row>
    <row r="5262" spans="1:47" x14ac:dyDescent="0.2">
      <c r="A5262" s="13">
        <v>6788</v>
      </c>
      <c r="B5262" s="57" t="s">
        <v>45</v>
      </c>
      <c r="C5262" s="57" t="s">
        <v>142</v>
      </c>
      <c r="D5262" s="29"/>
      <c r="E5262" s="57" t="s">
        <v>4502</v>
      </c>
      <c r="F5262" s="31" t="s">
        <v>76</v>
      </c>
      <c r="G5262" s="47" t="s">
        <v>49</v>
      </c>
      <c r="I5262" s="47" t="b">
        <v>0</v>
      </c>
      <c r="J5262" s="47" t="b">
        <v>0</v>
      </c>
      <c r="K5262" s="31">
        <v>616</v>
      </c>
      <c r="S5262" s="33">
        <v>1</v>
      </c>
      <c r="Z5262" s="31" t="s">
        <v>3855</v>
      </c>
      <c r="AE5262" s="47" t="s">
        <v>4217</v>
      </c>
      <c r="AF5262" s="31">
        <v>60</v>
      </c>
      <c r="AK5262" s="32">
        <v>7</v>
      </c>
      <c r="AQ5262" s="32" t="s">
        <v>6352</v>
      </c>
      <c r="AU5262">
        <v>5261</v>
      </c>
    </row>
    <row r="5263" spans="1:47" x14ac:dyDescent="0.2">
      <c r="A5263" s="13">
        <v>6788</v>
      </c>
      <c r="B5263" s="57" t="s">
        <v>45</v>
      </c>
      <c r="C5263" s="57" t="s">
        <v>142</v>
      </c>
      <c r="D5263" s="29"/>
      <c r="E5263" s="57" t="s">
        <v>6355</v>
      </c>
      <c r="F5263" s="31" t="s">
        <v>76</v>
      </c>
      <c r="G5263" s="47" t="s">
        <v>49</v>
      </c>
      <c r="I5263" s="47" t="b">
        <v>0</v>
      </c>
      <c r="J5263" s="47" t="b">
        <v>0</v>
      </c>
      <c r="K5263" s="31">
        <v>649</v>
      </c>
      <c r="S5263" s="33">
        <v>1</v>
      </c>
      <c r="Z5263" s="31" t="s">
        <v>3855</v>
      </c>
      <c r="AE5263" s="47" t="s">
        <v>4217</v>
      </c>
      <c r="AF5263" s="31">
        <v>65</v>
      </c>
      <c r="AK5263" s="32">
        <v>10</v>
      </c>
      <c r="AQ5263" s="32" t="s">
        <v>6352</v>
      </c>
      <c r="AU5263">
        <v>5262</v>
      </c>
    </row>
    <row r="5264" spans="1:47" x14ac:dyDescent="0.2">
      <c r="A5264" s="13">
        <v>6788</v>
      </c>
      <c r="B5264" s="57" t="s">
        <v>45</v>
      </c>
      <c r="C5264" s="57" t="s">
        <v>1367</v>
      </c>
      <c r="D5264" s="29"/>
      <c r="E5264" s="57" t="s">
        <v>6356</v>
      </c>
      <c r="F5264" s="31" t="s">
        <v>3992</v>
      </c>
      <c r="G5264" s="47" t="s">
        <v>49</v>
      </c>
      <c r="I5264" s="19" t="s">
        <v>6357</v>
      </c>
      <c r="K5264" s="31">
        <f>11440*8/13</f>
        <v>7040</v>
      </c>
      <c r="S5264" s="33">
        <f>13-5</f>
        <v>8</v>
      </c>
      <c r="Z5264" s="31" t="s">
        <v>1846</v>
      </c>
      <c r="AE5264" s="31" t="s">
        <v>4756</v>
      </c>
      <c r="AQ5264" s="32" t="s">
        <v>6352</v>
      </c>
      <c r="AU5264">
        <v>5263</v>
      </c>
    </row>
    <row r="5265" spans="1:47" x14ac:dyDescent="0.2">
      <c r="A5265" s="13">
        <v>6788</v>
      </c>
      <c r="B5265" s="57" t="s">
        <v>45</v>
      </c>
      <c r="C5265" s="57" t="s">
        <v>4456</v>
      </c>
      <c r="D5265" s="29"/>
      <c r="E5265" s="166" t="s">
        <v>6358</v>
      </c>
      <c r="F5265" s="19" t="s">
        <v>5299</v>
      </c>
      <c r="G5265" s="17" t="s">
        <v>49</v>
      </c>
      <c r="I5265" s="19" t="s">
        <v>6359</v>
      </c>
      <c r="K5265" s="135">
        <v>880</v>
      </c>
      <c r="L5265" s="33">
        <v>1</v>
      </c>
      <c r="S5265" s="33">
        <v>1</v>
      </c>
      <c r="T5265" s="31">
        <v>0</v>
      </c>
      <c r="U5265" s="31">
        <v>0</v>
      </c>
      <c r="V5265" s="31">
        <v>0</v>
      </c>
      <c r="W5265" s="47">
        <f>1900*39.37/12</f>
        <v>6233.583333333333</v>
      </c>
      <c r="Y5265" s="19" t="s">
        <v>51</v>
      </c>
      <c r="Z5265" s="19" t="s">
        <v>1846</v>
      </c>
      <c r="AA5265" s="34">
        <v>0.9375</v>
      </c>
      <c r="AB5265" s="34">
        <v>1</v>
      </c>
      <c r="AC5265" s="49">
        <f>AVERAGE(AA5265:AB5265)</f>
        <v>0.96875</v>
      </c>
      <c r="AD5265" s="50">
        <f>(AB5265-AA5265)*24</f>
        <v>1.5</v>
      </c>
      <c r="AE5265" s="31" t="s">
        <v>4756</v>
      </c>
      <c r="AQ5265" s="32" t="s">
        <v>6360</v>
      </c>
      <c r="AU5265">
        <v>5264</v>
      </c>
    </row>
    <row r="5266" spans="1:47" x14ac:dyDescent="0.2">
      <c r="A5266" s="13">
        <v>6788</v>
      </c>
      <c r="B5266" s="57" t="s">
        <v>45</v>
      </c>
      <c r="C5266" s="57" t="s">
        <v>4456</v>
      </c>
      <c r="D5266" s="29"/>
      <c r="E5266" s="166" t="s">
        <v>1397</v>
      </c>
      <c r="F5266" s="19" t="s">
        <v>220</v>
      </c>
      <c r="G5266" s="17" t="s">
        <v>49</v>
      </c>
      <c r="I5266" s="19" t="s">
        <v>6361</v>
      </c>
      <c r="K5266" s="135">
        <f>3*880</f>
        <v>2640</v>
      </c>
      <c r="L5266" s="33">
        <v>4</v>
      </c>
      <c r="N5266" s="31">
        <v>1</v>
      </c>
      <c r="S5266" s="33">
        <v>3</v>
      </c>
      <c r="T5266" s="31">
        <v>0</v>
      </c>
      <c r="U5266" s="31">
        <v>0</v>
      </c>
      <c r="V5266" s="31">
        <v>0</v>
      </c>
      <c r="W5266" s="47">
        <f>((2000+1800+1700)/3)*39.37/12</f>
        <v>6014.8611111111104</v>
      </c>
      <c r="Y5266" s="19" t="s">
        <v>51</v>
      </c>
      <c r="Z5266" s="19" t="s">
        <v>1846</v>
      </c>
      <c r="AA5266" s="34">
        <v>0.91319444444444453</v>
      </c>
      <c r="AB5266" s="34">
        <v>1.0034722222222221</v>
      </c>
      <c r="AC5266" s="49">
        <f>AVERAGE(AA5266:AB5266)</f>
        <v>0.95833333333333326</v>
      </c>
      <c r="AD5266" s="50">
        <v>1.75</v>
      </c>
      <c r="AE5266" s="31" t="s">
        <v>4756</v>
      </c>
      <c r="AF5266" s="31">
        <v>80</v>
      </c>
      <c r="AQ5266" s="32" t="s">
        <v>6360</v>
      </c>
      <c r="AU5266">
        <v>5265</v>
      </c>
    </row>
    <row r="5267" spans="1:47" x14ac:dyDescent="0.2">
      <c r="A5267" s="13">
        <v>6788</v>
      </c>
      <c r="B5267" s="57" t="s">
        <v>45</v>
      </c>
      <c r="C5267" s="57" t="s">
        <v>4456</v>
      </c>
      <c r="D5267" s="29"/>
      <c r="E5267" s="166" t="s">
        <v>5253</v>
      </c>
      <c r="F5267" s="19" t="s">
        <v>220</v>
      </c>
      <c r="G5267" s="17" t="s">
        <v>49</v>
      </c>
      <c r="I5267" s="19" t="s">
        <v>6362</v>
      </c>
      <c r="K5267" s="135">
        <v>880</v>
      </c>
      <c r="L5267" s="33">
        <v>1</v>
      </c>
      <c r="S5267" s="33">
        <v>1</v>
      </c>
      <c r="T5267" s="31">
        <v>0</v>
      </c>
      <c r="U5267" s="31">
        <v>0</v>
      </c>
      <c r="V5267" s="31">
        <v>0</v>
      </c>
      <c r="W5267" s="47">
        <f>2100*39.37/12</f>
        <v>6889.75</v>
      </c>
      <c r="Y5267" s="19" t="s">
        <v>51</v>
      </c>
      <c r="Z5267" s="19" t="s">
        <v>1846</v>
      </c>
      <c r="AA5267" s="34">
        <v>0.92361111111111116</v>
      </c>
      <c r="AB5267" s="34">
        <v>0.97916666666666663</v>
      </c>
      <c r="AC5267" s="49">
        <f>AVERAGE(AA5267:AB5267)</f>
        <v>0.95138888888888884</v>
      </c>
      <c r="AD5267" s="50">
        <f>(AB5267-AA5267)*24</f>
        <v>1.3333333333333313</v>
      </c>
      <c r="AE5267" s="31" t="s">
        <v>4756</v>
      </c>
      <c r="AF5267" s="31">
        <v>50</v>
      </c>
      <c r="AQ5267" s="32" t="s">
        <v>6360</v>
      </c>
      <c r="AU5267">
        <v>5266</v>
      </c>
    </row>
    <row r="5268" spans="1:47" x14ac:dyDescent="0.2">
      <c r="A5268" s="13">
        <v>6788</v>
      </c>
      <c r="B5268" s="57" t="s">
        <v>45</v>
      </c>
      <c r="C5268" s="57" t="s">
        <v>4805</v>
      </c>
      <c r="D5268" s="29"/>
      <c r="E5268" s="57" t="s">
        <v>6356</v>
      </c>
      <c r="F5268" s="31" t="s">
        <v>3992</v>
      </c>
      <c r="G5268" s="47" t="s">
        <v>49</v>
      </c>
      <c r="K5268" s="31">
        <v>3049.2</v>
      </c>
      <c r="S5268" s="33">
        <v>3</v>
      </c>
      <c r="Z5268" s="31" t="s">
        <v>1846</v>
      </c>
      <c r="AE5268" s="31" t="s">
        <v>4756</v>
      </c>
      <c r="AQ5268" s="32" t="s">
        <v>6352</v>
      </c>
      <c r="AU5268">
        <v>5267</v>
      </c>
    </row>
    <row r="5269" spans="1:47" x14ac:dyDescent="0.2">
      <c r="A5269" s="13">
        <v>6788</v>
      </c>
      <c r="B5269" s="57" t="s">
        <v>45</v>
      </c>
      <c r="C5269" s="57" t="s">
        <v>4843</v>
      </c>
      <c r="D5269" s="29"/>
      <c r="E5269" s="57" t="s">
        <v>1031</v>
      </c>
      <c r="F5269" s="31" t="s">
        <v>76</v>
      </c>
      <c r="G5269" s="47" t="s">
        <v>49</v>
      </c>
      <c r="K5269" s="31">
        <v>3520</v>
      </c>
      <c r="S5269" s="33">
        <v>7</v>
      </c>
      <c r="Z5269" s="31" t="s">
        <v>3814</v>
      </c>
      <c r="AE5269" s="31" t="s">
        <v>4411</v>
      </c>
      <c r="AF5269" s="31">
        <v>70</v>
      </c>
      <c r="AK5269" s="32">
        <v>40</v>
      </c>
      <c r="AQ5269" s="32" t="s">
        <v>6352</v>
      </c>
      <c r="AU5269">
        <v>5268</v>
      </c>
    </row>
    <row r="5270" spans="1:47" x14ac:dyDescent="0.2">
      <c r="A5270" s="13">
        <v>6788</v>
      </c>
      <c r="B5270" s="57" t="s">
        <v>45</v>
      </c>
      <c r="C5270" s="57" t="s">
        <v>4843</v>
      </c>
      <c r="D5270" s="29"/>
      <c r="E5270" s="57" t="s">
        <v>3936</v>
      </c>
      <c r="F5270" s="31" t="s">
        <v>76</v>
      </c>
      <c r="G5270" s="47" t="s">
        <v>49</v>
      </c>
      <c r="K5270" s="31">
        <v>4554</v>
      </c>
      <c r="S5270" s="33">
        <v>10</v>
      </c>
      <c r="Z5270" s="31" t="s">
        <v>3814</v>
      </c>
      <c r="AE5270" s="31" t="s">
        <v>4411</v>
      </c>
      <c r="AF5270" s="31">
        <v>60</v>
      </c>
      <c r="AK5270" s="32">
        <v>48</v>
      </c>
      <c r="AQ5270" s="32" t="s">
        <v>6352</v>
      </c>
      <c r="AU5270">
        <v>5269</v>
      </c>
    </row>
    <row r="5271" spans="1:47" x14ac:dyDescent="0.2">
      <c r="A5271" s="13">
        <v>6788</v>
      </c>
      <c r="B5271" s="57" t="s">
        <v>45</v>
      </c>
      <c r="C5271" s="57" t="s">
        <v>4843</v>
      </c>
      <c r="D5271" s="29"/>
      <c r="E5271" s="57" t="s">
        <v>1064</v>
      </c>
      <c r="F5271" s="31" t="s">
        <v>76</v>
      </c>
      <c r="G5271" s="47" t="s">
        <v>49</v>
      </c>
      <c r="K5271" s="31">
        <v>1056</v>
      </c>
      <c r="S5271" s="33">
        <v>2</v>
      </c>
      <c r="Z5271" s="31" t="s">
        <v>3814</v>
      </c>
      <c r="AE5271" s="31" t="s">
        <v>4411</v>
      </c>
      <c r="AF5271" s="31">
        <v>55</v>
      </c>
      <c r="AK5271" s="32">
        <v>15</v>
      </c>
      <c r="AQ5271" s="32" t="s">
        <v>6352</v>
      </c>
      <c r="AU5271">
        <v>5270</v>
      </c>
    </row>
    <row r="5272" spans="1:47" x14ac:dyDescent="0.2">
      <c r="A5272" s="13">
        <v>6788</v>
      </c>
      <c r="B5272" s="57" t="s">
        <v>45</v>
      </c>
      <c r="C5272" s="57" t="s">
        <v>4843</v>
      </c>
      <c r="D5272" s="29"/>
      <c r="E5272" s="57" t="s">
        <v>6353</v>
      </c>
      <c r="F5272" s="31" t="s">
        <v>6354</v>
      </c>
      <c r="G5272" s="31" t="s">
        <v>69</v>
      </c>
      <c r="K5272" s="31">
        <v>1760</v>
      </c>
      <c r="S5272" s="33">
        <v>3</v>
      </c>
      <c r="Z5272" s="31" t="s">
        <v>3814</v>
      </c>
      <c r="AE5272" s="31" t="s">
        <v>4411</v>
      </c>
      <c r="AF5272" s="31">
        <v>60</v>
      </c>
      <c r="AK5272" s="32">
        <v>20</v>
      </c>
      <c r="AQ5272" s="32" t="s">
        <v>6352</v>
      </c>
      <c r="AU5272">
        <v>5271</v>
      </c>
    </row>
    <row r="5273" spans="1:47" x14ac:dyDescent="0.2">
      <c r="A5273" s="26">
        <v>6788</v>
      </c>
      <c r="B5273" s="27">
        <v>8.3333333333333329E-2</v>
      </c>
      <c r="C5273" s="28"/>
      <c r="D5273" s="29"/>
      <c r="E5273" s="30" t="s">
        <v>4713</v>
      </c>
      <c r="H5273" s="32">
        <v>0</v>
      </c>
      <c r="I5273" s="32" t="s">
        <v>4714</v>
      </c>
      <c r="AG5273" s="32">
        <v>0</v>
      </c>
      <c r="AH5273" s="32">
        <v>0</v>
      </c>
      <c r="AI5273" s="32">
        <v>0</v>
      </c>
      <c r="AK5273" s="32">
        <v>0</v>
      </c>
      <c r="AL5273" s="32">
        <v>1</v>
      </c>
      <c r="AP5273" s="32">
        <v>1</v>
      </c>
      <c r="AQ5273" s="32" t="s">
        <v>1101</v>
      </c>
      <c r="AU5273">
        <v>5272</v>
      </c>
    </row>
    <row r="5274" spans="1:47" x14ac:dyDescent="0.2">
      <c r="A5274" s="26">
        <v>6788</v>
      </c>
      <c r="B5274" s="27">
        <v>9.2361111111111116E-2</v>
      </c>
      <c r="C5274" s="28"/>
      <c r="D5274" s="29"/>
      <c r="E5274" s="102" t="s">
        <v>5200</v>
      </c>
      <c r="H5274" s="32">
        <v>0</v>
      </c>
      <c r="I5274" s="32" t="s">
        <v>5893</v>
      </c>
      <c r="AG5274" s="32">
        <v>0</v>
      </c>
      <c r="AH5274" s="32">
        <v>0</v>
      </c>
      <c r="AI5274" s="32">
        <v>0</v>
      </c>
      <c r="AK5274" s="32">
        <v>0</v>
      </c>
      <c r="AL5274" s="32">
        <f>37/60</f>
        <v>0.6166666666666667</v>
      </c>
      <c r="AO5274" s="73"/>
      <c r="AP5274" s="32">
        <f>37/60</f>
        <v>0.6166666666666667</v>
      </c>
      <c r="AQ5274" s="32" t="s">
        <v>589</v>
      </c>
      <c r="AU5274">
        <v>5273</v>
      </c>
    </row>
    <row r="5275" spans="1:47" x14ac:dyDescent="0.2">
      <c r="A5275" s="26">
        <v>6788</v>
      </c>
      <c r="B5275" s="27">
        <v>0.35416666666666669</v>
      </c>
      <c r="C5275" s="28"/>
      <c r="D5275" s="29"/>
      <c r="E5275" s="30" t="s">
        <v>1144</v>
      </c>
      <c r="H5275" s="32">
        <v>1</v>
      </c>
      <c r="I5275" s="32" t="s">
        <v>6363</v>
      </c>
      <c r="AG5275" s="32">
        <v>0</v>
      </c>
      <c r="AH5275" s="32">
        <v>5</v>
      </c>
      <c r="AI5275" s="32">
        <v>189824</v>
      </c>
      <c r="AK5275" s="32">
        <v>14</v>
      </c>
      <c r="AL5275" s="32">
        <v>1</v>
      </c>
      <c r="AO5275" s="32" t="s">
        <v>1006</v>
      </c>
      <c r="AP5275" s="32">
        <v>1</v>
      </c>
      <c r="AQ5275" s="32">
        <v>423</v>
      </c>
      <c r="AU5275">
        <v>5274</v>
      </c>
    </row>
    <row r="5276" spans="1:47" x14ac:dyDescent="0.2">
      <c r="A5276" s="26">
        <v>6788</v>
      </c>
      <c r="B5276" s="27">
        <v>0.3576388888888889</v>
      </c>
      <c r="C5276" s="28"/>
      <c r="D5276" s="29"/>
      <c r="E5276" s="30" t="s">
        <v>4219</v>
      </c>
      <c r="H5276" s="32">
        <v>0</v>
      </c>
      <c r="I5276" s="32" t="s">
        <v>4249</v>
      </c>
      <c r="AG5276" s="32">
        <v>0</v>
      </c>
      <c r="AH5276" s="32">
        <v>0</v>
      </c>
      <c r="AI5276" s="32">
        <v>0</v>
      </c>
      <c r="AK5276" s="32">
        <v>0</v>
      </c>
      <c r="AL5276" s="32">
        <v>0.5</v>
      </c>
      <c r="AO5276" s="32" t="s">
        <v>858</v>
      </c>
      <c r="AP5276" s="32">
        <v>0.5</v>
      </c>
      <c r="AQ5276" s="32" t="s">
        <v>1101</v>
      </c>
      <c r="AU5276">
        <v>5275</v>
      </c>
    </row>
    <row r="5277" spans="1:47" x14ac:dyDescent="0.2">
      <c r="A5277" s="26">
        <v>6788</v>
      </c>
      <c r="B5277" s="27">
        <v>0.36458333333333331</v>
      </c>
      <c r="C5277" s="28"/>
      <c r="D5277" s="29"/>
      <c r="E5277" s="30" t="s">
        <v>2964</v>
      </c>
      <c r="H5277" s="32">
        <v>0</v>
      </c>
      <c r="I5277" s="32" t="s">
        <v>6364</v>
      </c>
      <c r="AG5277" s="32">
        <v>0</v>
      </c>
      <c r="AH5277" s="32">
        <v>0</v>
      </c>
      <c r="AI5277" s="32">
        <v>0</v>
      </c>
      <c r="AK5277" s="32">
        <v>0</v>
      </c>
      <c r="AL5277" s="32">
        <f>78/60</f>
        <v>1.3</v>
      </c>
      <c r="AP5277" s="32">
        <f>78/60</f>
        <v>1.3</v>
      </c>
      <c r="AQ5277" s="32" t="s">
        <v>1101</v>
      </c>
      <c r="AU5277">
        <v>5276</v>
      </c>
    </row>
    <row r="5278" spans="1:47" x14ac:dyDescent="0.2">
      <c r="A5278" s="26">
        <v>6788</v>
      </c>
      <c r="B5278" s="27">
        <v>0.37777777777777777</v>
      </c>
      <c r="C5278" s="28"/>
      <c r="D5278" s="29"/>
      <c r="E5278" s="102" t="s">
        <v>5200</v>
      </c>
      <c r="H5278" s="32">
        <v>0</v>
      </c>
      <c r="I5278" s="32" t="s">
        <v>6365</v>
      </c>
      <c r="AG5278" s="32">
        <v>0</v>
      </c>
      <c r="AH5278" s="32">
        <v>0</v>
      </c>
      <c r="AI5278" s="32">
        <v>0</v>
      </c>
      <c r="AK5278" s="32">
        <v>0</v>
      </c>
      <c r="AL5278" s="32">
        <f>67/60</f>
        <v>1.1166666666666667</v>
      </c>
      <c r="AO5278" s="73"/>
      <c r="AP5278" s="32">
        <f>67/60</f>
        <v>1.1166666666666667</v>
      </c>
      <c r="AQ5278" s="32" t="s">
        <v>589</v>
      </c>
      <c r="AU5278">
        <v>5277</v>
      </c>
    </row>
    <row r="5279" spans="1:47" x14ac:dyDescent="0.2">
      <c r="A5279" s="26">
        <v>6788</v>
      </c>
      <c r="B5279" s="27">
        <v>0.38611111111111113</v>
      </c>
      <c r="C5279" s="28"/>
      <c r="D5279" s="29"/>
      <c r="E5279" s="30" t="s">
        <v>110</v>
      </c>
      <c r="H5279" s="32">
        <v>0</v>
      </c>
      <c r="I5279" s="32" t="s">
        <v>6366</v>
      </c>
      <c r="AG5279" s="32">
        <v>0</v>
      </c>
      <c r="AH5279" s="32">
        <v>0</v>
      </c>
      <c r="AI5279" s="32">
        <v>0</v>
      </c>
      <c r="AK5279" s="32">
        <v>0</v>
      </c>
      <c r="AL5279" s="32">
        <f>42/60</f>
        <v>0.7</v>
      </c>
      <c r="AP5279" s="32">
        <f>42/60</f>
        <v>0.7</v>
      </c>
      <c r="AQ5279" s="32" t="s">
        <v>1101</v>
      </c>
      <c r="AU5279">
        <v>5278</v>
      </c>
    </row>
    <row r="5280" spans="1:47" x14ac:dyDescent="0.2">
      <c r="A5280" s="26">
        <v>6788</v>
      </c>
      <c r="B5280" s="27">
        <v>0.38819444444444445</v>
      </c>
      <c r="C5280" s="28"/>
      <c r="D5280" s="29"/>
      <c r="E5280" s="30" t="s">
        <v>4709</v>
      </c>
      <c r="H5280" s="32">
        <v>0</v>
      </c>
      <c r="I5280" s="32" t="s">
        <v>6367</v>
      </c>
      <c r="AG5280" s="32">
        <v>0</v>
      </c>
      <c r="AH5280" s="32">
        <v>0</v>
      </c>
      <c r="AI5280" s="32">
        <v>0</v>
      </c>
      <c r="AK5280" s="32">
        <v>0</v>
      </c>
      <c r="AL5280" s="32">
        <f>97/60</f>
        <v>1.6166666666666667</v>
      </c>
      <c r="AM5280" s="32">
        <f>AL5280*(261300+974800)/18.75</f>
        <v>106579.2888888889</v>
      </c>
      <c r="AP5280" s="32">
        <f>97/60</f>
        <v>1.6166666666666667</v>
      </c>
      <c r="AQ5280" s="32" t="s">
        <v>589</v>
      </c>
      <c r="AU5280">
        <v>5279</v>
      </c>
    </row>
    <row r="5281" spans="1:47" x14ac:dyDescent="0.2">
      <c r="A5281" s="26">
        <v>6788</v>
      </c>
      <c r="B5281" s="27">
        <v>0.40277777777777773</v>
      </c>
      <c r="C5281" s="28"/>
      <c r="D5281" s="29"/>
      <c r="E5281" s="30" t="s">
        <v>3155</v>
      </c>
      <c r="H5281" s="32">
        <v>0</v>
      </c>
      <c r="I5281" s="32" t="s">
        <v>3156</v>
      </c>
      <c r="AG5281" s="32">
        <v>0</v>
      </c>
      <c r="AH5281" s="32">
        <v>0</v>
      </c>
      <c r="AI5281" s="32">
        <v>0</v>
      </c>
      <c r="AK5281" s="32">
        <v>0</v>
      </c>
      <c r="AP5281" s="32">
        <f>49/60</f>
        <v>0.81666666666666665</v>
      </c>
      <c r="AQ5281" s="32" t="s">
        <v>1101</v>
      </c>
      <c r="AU5281">
        <v>5280</v>
      </c>
    </row>
    <row r="5282" spans="1:47" x14ac:dyDescent="0.2">
      <c r="A5282" s="26">
        <v>6788</v>
      </c>
      <c r="B5282" s="27">
        <v>0.4236111111111111</v>
      </c>
      <c r="C5282" s="28"/>
      <c r="D5282" s="29"/>
      <c r="E5282" s="102" t="s">
        <v>1102</v>
      </c>
      <c r="H5282" s="32">
        <v>0</v>
      </c>
      <c r="I5282" s="32" t="s">
        <v>6368</v>
      </c>
      <c r="AG5282" s="32">
        <v>0</v>
      </c>
      <c r="AH5282" s="32">
        <v>0</v>
      </c>
      <c r="AI5282" s="32">
        <v>0</v>
      </c>
      <c r="AK5282" s="32">
        <v>0</v>
      </c>
      <c r="AL5282" s="32">
        <f>42/60</f>
        <v>0.7</v>
      </c>
      <c r="AO5282" s="73" t="s">
        <v>1006</v>
      </c>
      <c r="AP5282" s="32">
        <f>42/60</f>
        <v>0.7</v>
      </c>
      <c r="AQ5282" s="32" t="s">
        <v>589</v>
      </c>
      <c r="AU5282">
        <v>5281</v>
      </c>
    </row>
    <row r="5283" spans="1:47" x14ac:dyDescent="0.2">
      <c r="A5283" s="26">
        <v>6788</v>
      </c>
      <c r="B5283" s="27">
        <v>0.52430555555555558</v>
      </c>
      <c r="C5283" s="28"/>
      <c r="D5283" s="29"/>
      <c r="E5283" s="30" t="s">
        <v>2964</v>
      </c>
      <c r="H5283" s="32">
        <v>0</v>
      </c>
      <c r="I5283" s="32" t="s">
        <v>6369</v>
      </c>
      <c r="AG5283" s="32">
        <v>0</v>
      </c>
      <c r="AH5283" s="32">
        <v>0</v>
      </c>
      <c r="AI5283" s="32">
        <v>0</v>
      </c>
      <c r="AK5283" s="32">
        <v>0</v>
      </c>
      <c r="AL5283" s="32">
        <f>100/60</f>
        <v>1.6666666666666667</v>
      </c>
      <c r="AP5283" s="32">
        <f>100/60</f>
        <v>1.6666666666666667</v>
      </c>
      <c r="AQ5283" s="32" t="s">
        <v>1101</v>
      </c>
      <c r="AU5283">
        <v>5282</v>
      </c>
    </row>
    <row r="5284" spans="1:47" x14ac:dyDescent="0.2">
      <c r="A5284" s="26">
        <v>6788</v>
      </c>
      <c r="B5284" s="27">
        <v>0.53472222222222221</v>
      </c>
      <c r="C5284" s="28"/>
      <c r="D5284" s="29"/>
      <c r="E5284" s="30" t="s">
        <v>464</v>
      </c>
      <c r="H5284" s="32">
        <v>0</v>
      </c>
      <c r="I5284" s="32" t="s">
        <v>6370</v>
      </c>
      <c r="AG5284" s="32">
        <v>0</v>
      </c>
      <c r="AH5284" s="32">
        <v>0</v>
      </c>
      <c r="AL5284" s="32">
        <v>0.75</v>
      </c>
      <c r="AO5284" s="32" t="s">
        <v>4067</v>
      </c>
      <c r="AP5284" s="32">
        <v>0.75</v>
      </c>
      <c r="AQ5284" s="32" t="s">
        <v>1522</v>
      </c>
      <c r="AU5284">
        <v>5283</v>
      </c>
    </row>
    <row r="5285" spans="1:47" x14ac:dyDescent="0.2">
      <c r="A5285" s="26">
        <v>6788</v>
      </c>
      <c r="B5285" s="27">
        <v>0.53888888888888886</v>
      </c>
      <c r="C5285" s="28"/>
      <c r="D5285" s="29"/>
      <c r="E5285" s="102" t="s">
        <v>5200</v>
      </c>
      <c r="H5285" s="32">
        <v>0</v>
      </c>
      <c r="I5285" s="32" t="s">
        <v>6371</v>
      </c>
      <c r="AG5285" s="32">
        <v>0</v>
      </c>
      <c r="AH5285" s="32">
        <v>0</v>
      </c>
      <c r="AI5285" s="32">
        <v>0</v>
      </c>
      <c r="AK5285" s="32">
        <v>0</v>
      </c>
      <c r="AL5285" s="32">
        <f>69/60</f>
        <v>1.1499999999999999</v>
      </c>
      <c r="AO5285" s="73"/>
      <c r="AP5285" s="32">
        <f>69/60</f>
        <v>1.1499999999999999</v>
      </c>
      <c r="AQ5285" s="32" t="s">
        <v>589</v>
      </c>
      <c r="AU5285">
        <v>5284</v>
      </c>
    </row>
    <row r="5286" spans="1:47" x14ac:dyDescent="0.2">
      <c r="A5286" s="26">
        <v>6788</v>
      </c>
      <c r="B5286" s="27">
        <v>0.5444444444444444</v>
      </c>
      <c r="C5286" s="28"/>
      <c r="D5286" s="29"/>
      <c r="E5286" s="30" t="s">
        <v>110</v>
      </c>
      <c r="H5286" s="32">
        <v>0</v>
      </c>
      <c r="I5286" s="32" t="s">
        <v>6372</v>
      </c>
      <c r="AG5286" s="32">
        <v>0</v>
      </c>
      <c r="AH5286" s="32">
        <v>0</v>
      </c>
      <c r="AI5286" s="32">
        <v>0</v>
      </c>
      <c r="AK5286" s="32">
        <v>0</v>
      </c>
      <c r="AL5286" s="32">
        <f>56/60</f>
        <v>0.93333333333333335</v>
      </c>
      <c r="AP5286" s="32">
        <f>56/60</f>
        <v>0.93333333333333335</v>
      </c>
      <c r="AQ5286" s="32" t="s">
        <v>1101</v>
      </c>
      <c r="AU5286">
        <v>5285</v>
      </c>
    </row>
    <row r="5287" spans="1:47" x14ac:dyDescent="0.2">
      <c r="A5287" s="26">
        <v>6788</v>
      </c>
      <c r="B5287" s="27">
        <v>0.55208333333333337</v>
      </c>
      <c r="C5287" s="28"/>
      <c r="D5287" s="29"/>
      <c r="E5287" s="30" t="s">
        <v>4713</v>
      </c>
      <c r="H5287" s="32">
        <v>0</v>
      </c>
      <c r="I5287" s="32" t="s">
        <v>4714</v>
      </c>
      <c r="AG5287" s="32">
        <v>0</v>
      </c>
      <c r="AH5287" s="32">
        <v>0</v>
      </c>
      <c r="AI5287" s="32">
        <v>0</v>
      </c>
      <c r="AK5287" s="32">
        <v>0</v>
      </c>
      <c r="AL5287" s="32">
        <v>0.5</v>
      </c>
      <c r="AP5287" s="32">
        <v>0.5</v>
      </c>
      <c r="AQ5287" s="32" t="s">
        <v>1101</v>
      </c>
      <c r="AU5287">
        <v>5286</v>
      </c>
    </row>
    <row r="5288" spans="1:47" x14ac:dyDescent="0.2">
      <c r="A5288" s="26">
        <v>6788</v>
      </c>
      <c r="B5288" s="27" t="s">
        <v>85</v>
      </c>
      <c r="C5288" s="28"/>
      <c r="D5288" s="29"/>
      <c r="E5288" s="30" t="s">
        <v>5224</v>
      </c>
      <c r="H5288" s="32">
        <v>1</v>
      </c>
      <c r="I5288" s="32" t="s">
        <v>6373</v>
      </c>
      <c r="AG5288" s="32">
        <v>16</v>
      </c>
      <c r="AH5288" s="32">
        <v>18</v>
      </c>
      <c r="AI5288" s="32">
        <v>170561</v>
      </c>
      <c r="AK5288" s="32">
        <v>30</v>
      </c>
      <c r="AL5288" s="32">
        <v>3.5</v>
      </c>
      <c r="AO5288" s="32" t="s">
        <v>6374</v>
      </c>
      <c r="AP5288" s="32">
        <v>3.5</v>
      </c>
      <c r="AQ5288" s="32" t="s">
        <v>6375</v>
      </c>
      <c r="AU5288">
        <v>5287</v>
      </c>
    </row>
    <row r="5289" spans="1:47" x14ac:dyDescent="0.2">
      <c r="A5289" s="26">
        <v>6788</v>
      </c>
      <c r="B5289" s="27" t="s">
        <v>85</v>
      </c>
      <c r="C5289" s="28"/>
      <c r="D5289" s="29"/>
      <c r="E5289" s="30" t="s">
        <v>1531</v>
      </c>
      <c r="H5289" s="32">
        <v>0</v>
      </c>
      <c r="I5289" s="32" t="s">
        <v>6376</v>
      </c>
      <c r="AG5289" s="32">
        <v>0</v>
      </c>
      <c r="AH5289" s="32">
        <v>0</v>
      </c>
      <c r="AI5289" s="32">
        <v>0</v>
      </c>
      <c r="AK5289" s="32">
        <v>0</v>
      </c>
      <c r="AM5289" s="32">
        <f>498*50</f>
        <v>24900</v>
      </c>
      <c r="AO5289" s="32" t="s">
        <v>1533</v>
      </c>
      <c r="AQ5289" s="32" t="s">
        <v>1101</v>
      </c>
      <c r="AU5289">
        <v>5288</v>
      </c>
    </row>
    <row r="5290" spans="1:47" x14ac:dyDescent="0.2">
      <c r="A5290" s="26">
        <v>6788</v>
      </c>
      <c r="B5290" s="27"/>
      <c r="C5290" s="28"/>
      <c r="D5290" s="29"/>
      <c r="E5290" s="30" t="s">
        <v>5102</v>
      </c>
      <c r="H5290" s="32">
        <v>0</v>
      </c>
      <c r="I5290" s="32" t="s">
        <v>5103</v>
      </c>
      <c r="AG5290" s="32">
        <v>0</v>
      </c>
      <c r="AH5290" s="32">
        <v>0</v>
      </c>
      <c r="AI5290" s="32">
        <v>0</v>
      </c>
      <c r="AK5290" s="32">
        <v>0</v>
      </c>
      <c r="AL5290" s="18">
        <v>1.5</v>
      </c>
      <c r="AM5290" s="18">
        <f>300000/11</f>
        <v>27272.727272727272</v>
      </c>
      <c r="AN5290" s="18"/>
      <c r="AO5290" s="18"/>
      <c r="AP5290" s="18">
        <v>1.5</v>
      </c>
      <c r="AQ5290" s="32" t="s">
        <v>589</v>
      </c>
      <c r="AU5290">
        <v>5289</v>
      </c>
    </row>
    <row r="5291" spans="1:47" x14ac:dyDescent="0.2">
      <c r="A5291" s="26">
        <v>6790</v>
      </c>
      <c r="B5291" s="27">
        <v>0.28819444444444448</v>
      </c>
      <c r="C5291" s="28"/>
      <c r="D5291" s="29"/>
      <c r="E5291" s="30" t="s">
        <v>464</v>
      </c>
      <c r="H5291" s="32">
        <v>0</v>
      </c>
      <c r="I5291" s="32" t="s">
        <v>4220</v>
      </c>
      <c r="AG5291" s="32">
        <v>0</v>
      </c>
      <c r="AH5291" s="32">
        <v>0</v>
      </c>
      <c r="AL5291" s="32">
        <v>0.25</v>
      </c>
      <c r="AO5291" s="32" t="s">
        <v>4067</v>
      </c>
      <c r="AP5291" s="32">
        <v>0.25</v>
      </c>
      <c r="AQ5291" s="32" t="s">
        <v>1522</v>
      </c>
      <c r="AU5291">
        <v>5290</v>
      </c>
    </row>
    <row r="5292" spans="1:47" x14ac:dyDescent="0.2">
      <c r="A5292" s="13">
        <v>6794</v>
      </c>
      <c r="B5292" s="57" t="s">
        <v>45</v>
      </c>
      <c r="C5292" s="57" t="s">
        <v>142</v>
      </c>
      <c r="D5292" s="29"/>
      <c r="E5292" s="57" t="s">
        <v>1064</v>
      </c>
      <c r="F5292" s="31" t="s">
        <v>76</v>
      </c>
      <c r="G5292" s="31" t="s">
        <v>49</v>
      </c>
      <c r="I5292" s="31" t="s">
        <v>6377</v>
      </c>
      <c r="K5292" s="31">
        <f>915*2.2</f>
        <v>2013.0000000000002</v>
      </c>
      <c r="L5292" s="33">
        <v>8</v>
      </c>
      <c r="M5292" s="31">
        <v>5</v>
      </c>
      <c r="S5292" s="33">
        <v>3</v>
      </c>
      <c r="T5292" s="31">
        <v>0</v>
      </c>
      <c r="U5292" s="31">
        <v>0</v>
      </c>
      <c r="V5292" s="31">
        <v>1</v>
      </c>
      <c r="Y5292" s="31" t="s">
        <v>51</v>
      </c>
      <c r="Z5292" s="31" t="s">
        <v>3855</v>
      </c>
      <c r="AE5292" s="47" t="s">
        <v>4217</v>
      </c>
      <c r="AF5292" s="31">
        <v>60</v>
      </c>
      <c r="AK5292" s="32">
        <f>7+17+6</f>
        <v>30</v>
      </c>
      <c r="AQ5292" s="32" t="s">
        <v>6378</v>
      </c>
      <c r="AU5292">
        <v>5291</v>
      </c>
    </row>
    <row r="5293" spans="1:47" x14ac:dyDescent="0.2">
      <c r="A5293" s="13">
        <v>6794</v>
      </c>
      <c r="B5293" s="57" t="s">
        <v>45</v>
      </c>
      <c r="C5293" s="57" t="s">
        <v>4843</v>
      </c>
      <c r="D5293" s="29"/>
      <c r="E5293" s="57" t="s">
        <v>3936</v>
      </c>
      <c r="F5293" s="31" t="s">
        <v>76</v>
      </c>
      <c r="G5293" s="31" t="s">
        <v>49</v>
      </c>
      <c r="K5293" s="31">
        <v>528</v>
      </c>
      <c r="S5293" s="33">
        <v>1</v>
      </c>
      <c r="Z5293" s="31" t="s">
        <v>3814</v>
      </c>
      <c r="AE5293" s="31" t="s">
        <v>4411</v>
      </c>
      <c r="AF5293" s="31">
        <v>60</v>
      </c>
      <c r="AK5293" s="32">
        <v>6</v>
      </c>
      <c r="AQ5293" s="32" t="s">
        <v>6352</v>
      </c>
      <c r="AU5293">
        <v>5292</v>
      </c>
    </row>
    <row r="5294" spans="1:47" x14ac:dyDescent="0.2">
      <c r="A5294" s="13">
        <v>6794</v>
      </c>
      <c r="B5294" s="57" t="s">
        <v>45</v>
      </c>
      <c r="C5294" s="57" t="s">
        <v>4843</v>
      </c>
      <c r="D5294" s="29"/>
      <c r="E5294" s="57" t="s">
        <v>1064</v>
      </c>
      <c r="F5294" s="31" t="s">
        <v>76</v>
      </c>
      <c r="G5294" s="31" t="s">
        <v>49</v>
      </c>
      <c r="K5294" s="31">
        <v>1166</v>
      </c>
      <c r="S5294" s="33">
        <v>2</v>
      </c>
      <c r="Z5294" s="31" t="s">
        <v>3814</v>
      </c>
      <c r="AE5294" s="31" t="s">
        <v>4411</v>
      </c>
      <c r="AF5294" s="31">
        <v>55</v>
      </c>
      <c r="AK5294" s="32">
        <v>17</v>
      </c>
      <c r="AQ5294" s="32" t="s">
        <v>6352</v>
      </c>
      <c r="AU5294">
        <v>5293</v>
      </c>
    </row>
    <row r="5295" spans="1:47" x14ac:dyDescent="0.2">
      <c r="A5295" s="13">
        <v>6794</v>
      </c>
      <c r="B5295" s="57" t="s">
        <v>45</v>
      </c>
      <c r="C5295" s="57" t="s">
        <v>4179</v>
      </c>
      <c r="D5295" s="29"/>
      <c r="E5295" s="57" t="s">
        <v>1593</v>
      </c>
      <c r="F5295" s="31" t="s">
        <v>76</v>
      </c>
      <c r="G5295" s="31" t="s">
        <v>49</v>
      </c>
      <c r="I5295" s="31" t="s">
        <v>6379</v>
      </c>
      <c r="J5295" s="33"/>
      <c r="K5295" s="193"/>
      <c r="Z5295" s="31" t="s">
        <v>3814</v>
      </c>
      <c r="AE5295" s="31" t="s">
        <v>4892</v>
      </c>
      <c r="AF5295" s="31">
        <v>55</v>
      </c>
      <c r="AQ5295" s="32" t="s">
        <v>6142</v>
      </c>
      <c r="AU5295">
        <v>5294</v>
      </c>
    </row>
    <row r="5296" spans="1:47" x14ac:dyDescent="0.2">
      <c r="A5296" s="26">
        <v>6794</v>
      </c>
      <c r="B5296" s="27">
        <v>0.66666666666666663</v>
      </c>
      <c r="C5296" s="28"/>
      <c r="D5296" s="29"/>
      <c r="E5296" s="30" t="s">
        <v>5987</v>
      </c>
      <c r="H5296" s="32">
        <v>1</v>
      </c>
      <c r="I5296" s="32" t="s">
        <v>6380</v>
      </c>
      <c r="AG5296" s="32">
        <v>0</v>
      </c>
      <c r="AH5296" s="32">
        <v>0</v>
      </c>
      <c r="AP5296" s="32">
        <f>1/6</f>
        <v>0.16666666666666666</v>
      </c>
      <c r="AQ5296" s="32">
        <v>490</v>
      </c>
      <c r="AU5296">
        <v>5295</v>
      </c>
    </row>
    <row r="5297" spans="1:47" x14ac:dyDescent="0.2">
      <c r="A5297" s="133">
        <v>6795</v>
      </c>
      <c r="B5297" s="39" t="s">
        <v>85</v>
      </c>
      <c r="C5297" s="39">
        <v>55</v>
      </c>
      <c r="D5297" s="29" t="b">
        <v>0</v>
      </c>
      <c r="E5297" s="39" t="s">
        <v>6381</v>
      </c>
      <c r="F5297" s="47" t="s">
        <v>6382</v>
      </c>
      <c r="G5297" s="47" t="s">
        <v>481</v>
      </c>
      <c r="H5297"/>
      <c r="I5297" s="47" t="b">
        <v>0</v>
      </c>
      <c r="J5297" s="47" t="b">
        <v>1</v>
      </c>
      <c r="K5297" s="47">
        <v>2364</v>
      </c>
      <c r="L5297" s="48">
        <v>12</v>
      </c>
      <c r="M5297" s="47">
        <v>0</v>
      </c>
      <c r="N5297" s="47">
        <v>1</v>
      </c>
      <c r="O5297" s="47">
        <v>0</v>
      </c>
      <c r="P5297" s="47">
        <v>10</v>
      </c>
      <c r="Q5297" s="47">
        <v>0</v>
      </c>
      <c r="R5297" s="47">
        <v>0</v>
      </c>
      <c r="S5297" s="48">
        <v>11</v>
      </c>
      <c r="T5297" s="47">
        <v>0</v>
      </c>
      <c r="U5297" s="47">
        <v>0</v>
      </c>
      <c r="V5297" s="47">
        <v>0</v>
      </c>
      <c r="W5297" s="47">
        <v>15000</v>
      </c>
      <c r="X5297" s="47">
        <v>791</v>
      </c>
      <c r="Y5297" s="47" t="s">
        <v>120</v>
      </c>
      <c r="Z5297" s="47" t="s">
        <v>3618</v>
      </c>
      <c r="AA5297" s="49">
        <v>0.41875000000000001</v>
      </c>
      <c r="AB5297" s="49">
        <v>0.5625</v>
      </c>
      <c r="AC5297" s="49">
        <v>0.51388888888888895</v>
      </c>
      <c r="AD5297" s="50">
        <f>(AB5297-AA5297)*24</f>
        <v>3.4499999999999997</v>
      </c>
      <c r="AE5297" s="47" t="s">
        <v>5433</v>
      </c>
      <c r="AF5297" s="47">
        <v>75</v>
      </c>
      <c r="AG5297"/>
      <c r="AH5297"/>
      <c r="AI5297"/>
      <c r="AJ5297"/>
      <c r="AK5297">
        <v>34</v>
      </c>
      <c r="AL5297"/>
      <c r="AM5297"/>
      <c r="AN5297"/>
      <c r="AO5297"/>
      <c r="AP5297"/>
      <c r="AQ5297" t="s">
        <v>5434</v>
      </c>
      <c r="AU5297">
        <v>5296</v>
      </c>
    </row>
    <row r="5298" spans="1:47" x14ac:dyDescent="0.2">
      <c r="A5298" s="133">
        <v>6795</v>
      </c>
      <c r="B5298" s="39" t="s">
        <v>85</v>
      </c>
      <c r="C5298" s="39" t="s">
        <v>5626</v>
      </c>
      <c r="D5298" s="29"/>
      <c r="E5298" s="39" t="s">
        <v>6383</v>
      </c>
      <c r="F5298" s="47" t="s">
        <v>409</v>
      </c>
      <c r="G5298" s="47" t="s">
        <v>49</v>
      </c>
      <c r="H5298"/>
      <c r="I5298" s="47" t="s">
        <v>6384</v>
      </c>
      <c r="J5298" s="47"/>
      <c r="K5298" s="47"/>
      <c r="L5298" s="48"/>
      <c r="M5298" s="47"/>
      <c r="N5298" s="47"/>
      <c r="O5298" s="47"/>
      <c r="P5298" s="47"/>
      <c r="Q5298" s="47"/>
      <c r="R5298" s="47"/>
      <c r="S5298" s="48"/>
      <c r="T5298" s="47"/>
      <c r="U5298" s="47"/>
      <c r="V5298" s="47"/>
      <c r="W5298" s="47"/>
      <c r="X5298" s="47"/>
      <c r="Y5298" s="47"/>
      <c r="Z5298" s="47"/>
      <c r="AA5298" s="49"/>
      <c r="AB5298" s="49"/>
      <c r="AC5298" s="49"/>
      <c r="AD5298" s="50"/>
      <c r="AE5298" s="31" t="s">
        <v>6385</v>
      </c>
      <c r="AF5298" s="47"/>
      <c r="AG5298"/>
      <c r="AH5298"/>
      <c r="AI5298"/>
      <c r="AJ5298"/>
      <c r="AK5298"/>
      <c r="AL5298"/>
      <c r="AM5298"/>
      <c r="AN5298"/>
      <c r="AO5298"/>
      <c r="AP5298"/>
      <c r="AQ5298" t="s">
        <v>6386</v>
      </c>
      <c r="AU5298">
        <v>5297</v>
      </c>
    </row>
    <row r="5299" spans="1:47" x14ac:dyDescent="0.2">
      <c r="A5299" s="13">
        <v>6795</v>
      </c>
      <c r="B5299" s="57" t="s">
        <v>45</v>
      </c>
      <c r="C5299" s="57" t="s">
        <v>4179</v>
      </c>
      <c r="D5299" s="29"/>
      <c r="E5299" s="57" t="s">
        <v>4881</v>
      </c>
      <c r="F5299" s="31" t="s">
        <v>76</v>
      </c>
      <c r="G5299" s="31" t="s">
        <v>49</v>
      </c>
      <c r="K5299" s="31">
        <v>358.6</v>
      </c>
      <c r="Z5299" s="31" t="s">
        <v>3814</v>
      </c>
      <c r="AE5299" s="31" t="s">
        <v>4892</v>
      </c>
      <c r="AF5299" s="31">
        <v>65</v>
      </c>
      <c r="AK5299" s="32">
        <v>11</v>
      </c>
      <c r="AQ5299" s="32" t="s">
        <v>6142</v>
      </c>
      <c r="AU5299">
        <v>5298</v>
      </c>
    </row>
    <row r="5300" spans="1:47" x14ac:dyDescent="0.2">
      <c r="A5300" s="13">
        <v>6795</v>
      </c>
      <c r="B5300" s="57" t="s">
        <v>45</v>
      </c>
      <c r="C5300" s="57" t="s">
        <v>4179</v>
      </c>
      <c r="D5300" s="29"/>
      <c r="E5300" s="57" t="s">
        <v>6387</v>
      </c>
      <c r="F5300" s="31" t="s">
        <v>76</v>
      </c>
      <c r="G5300" s="31" t="s">
        <v>49</v>
      </c>
      <c r="I5300" s="31" t="s">
        <v>6388</v>
      </c>
      <c r="K5300" s="31">
        <v>3649.8</v>
      </c>
      <c r="Z5300" s="31" t="s">
        <v>3814</v>
      </c>
      <c r="AE5300" s="31" t="s">
        <v>4892</v>
      </c>
      <c r="AF5300" s="31">
        <v>70</v>
      </c>
      <c r="AK5300" s="32">
        <v>53</v>
      </c>
      <c r="AQ5300" s="32" t="s">
        <v>6142</v>
      </c>
      <c r="AU5300">
        <v>5299</v>
      </c>
    </row>
    <row r="5301" spans="1:47" x14ac:dyDescent="0.2">
      <c r="A5301" s="13">
        <v>6795</v>
      </c>
      <c r="B5301" s="57" t="s">
        <v>45</v>
      </c>
      <c r="C5301" s="57" t="s">
        <v>4179</v>
      </c>
      <c r="D5301" s="29"/>
      <c r="E5301" s="57" t="s">
        <v>1830</v>
      </c>
      <c r="F5301" s="31" t="s">
        <v>76</v>
      </c>
      <c r="G5301" s="31" t="s">
        <v>49</v>
      </c>
      <c r="I5301" s="31" t="s">
        <v>6389</v>
      </c>
      <c r="J5301" s="33"/>
      <c r="K5301" s="193"/>
      <c r="Z5301" s="31" t="s">
        <v>3814</v>
      </c>
      <c r="AE5301" s="31" t="s">
        <v>4892</v>
      </c>
      <c r="AF5301" s="31">
        <v>75</v>
      </c>
      <c r="AQ5301" s="32" t="s">
        <v>6142</v>
      </c>
      <c r="AU5301">
        <v>5300</v>
      </c>
    </row>
    <row r="5302" spans="1:47" x14ac:dyDescent="0.2">
      <c r="A5302" s="13">
        <v>6795</v>
      </c>
      <c r="B5302" s="57" t="s">
        <v>45</v>
      </c>
      <c r="C5302" s="57" t="s">
        <v>4179</v>
      </c>
      <c r="D5302" s="29"/>
      <c r="E5302" s="57" t="s">
        <v>1593</v>
      </c>
      <c r="F5302" s="31" t="s">
        <v>76</v>
      </c>
      <c r="G5302" s="31" t="s">
        <v>49</v>
      </c>
      <c r="I5302" s="31" t="s">
        <v>6379</v>
      </c>
      <c r="J5302" s="33"/>
      <c r="K5302" s="193"/>
      <c r="Z5302" s="31" t="s">
        <v>3814</v>
      </c>
      <c r="AE5302" s="31" t="s">
        <v>4892</v>
      </c>
      <c r="AF5302" s="31">
        <v>55</v>
      </c>
      <c r="AQ5302" s="32" t="s">
        <v>6142</v>
      </c>
      <c r="AU5302">
        <v>5301</v>
      </c>
    </row>
    <row r="5303" spans="1:47" x14ac:dyDescent="0.2">
      <c r="A5303" s="13">
        <v>6795</v>
      </c>
      <c r="B5303" s="57" t="s">
        <v>45</v>
      </c>
      <c r="C5303" s="57" t="s">
        <v>5860</v>
      </c>
      <c r="D5303" s="29"/>
      <c r="E5303" s="57" t="s">
        <v>6390</v>
      </c>
      <c r="F5303" s="31" t="s">
        <v>6391</v>
      </c>
      <c r="G5303" s="31" t="s">
        <v>69</v>
      </c>
      <c r="I5303" s="31" t="s">
        <v>6392</v>
      </c>
      <c r="K5303" s="63"/>
      <c r="AE5303" s="31" t="s">
        <v>6393</v>
      </c>
      <c r="AF5303" s="31">
        <v>100</v>
      </c>
      <c r="AQ5303" s="32" t="s">
        <v>6142</v>
      </c>
      <c r="AU5303">
        <v>5302</v>
      </c>
    </row>
    <row r="5304" spans="1:47" x14ac:dyDescent="0.2">
      <c r="A5304" s="26">
        <v>6795</v>
      </c>
      <c r="B5304" s="27">
        <v>0.55902777777777779</v>
      </c>
      <c r="C5304" s="28"/>
      <c r="D5304" s="29"/>
      <c r="E5304" s="30" t="s">
        <v>1282</v>
      </c>
      <c r="H5304" s="32">
        <v>0</v>
      </c>
      <c r="I5304" s="32" t="s">
        <v>6394</v>
      </c>
      <c r="AG5304" s="32">
        <v>0</v>
      </c>
      <c r="AH5304" s="32">
        <v>0</v>
      </c>
      <c r="AI5304" s="32">
        <v>0</v>
      </c>
      <c r="AK5304" s="32">
        <v>0</v>
      </c>
      <c r="AL5304" s="32">
        <f>3/60</f>
        <v>0.05</v>
      </c>
      <c r="AP5304" s="32">
        <v>0.05</v>
      </c>
      <c r="AQ5304" s="32" t="s">
        <v>1101</v>
      </c>
      <c r="AU5304">
        <v>5303</v>
      </c>
    </row>
    <row r="5305" spans="1:47" x14ac:dyDescent="0.2">
      <c r="A5305" s="26">
        <v>6795</v>
      </c>
      <c r="B5305" s="27" t="s">
        <v>85</v>
      </c>
      <c r="C5305" s="28"/>
      <c r="D5305" s="29"/>
      <c r="E5305" s="30" t="s">
        <v>586</v>
      </c>
      <c r="H5305" s="32">
        <v>1</v>
      </c>
      <c r="I5305" s="32" t="s">
        <v>6395</v>
      </c>
      <c r="AI5305" s="32">
        <v>40467</v>
      </c>
      <c r="AK5305" s="32">
        <v>23</v>
      </c>
      <c r="AL5305" s="32">
        <v>8</v>
      </c>
      <c r="AO5305" s="46" t="s">
        <v>588</v>
      </c>
      <c r="AQ5305" s="32" t="s">
        <v>6396</v>
      </c>
      <c r="AU5305">
        <v>5304</v>
      </c>
    </row>
    <row r="5306" spans="1:47" x14ac:dyDescent="0.2">
      <c r="A5306" s="26">
        <v>6795</v>
      </c>
      <c r="B5306" s="27"/>
      <c r="C5306" s="28"/>
      <c r="D5306" s="29"/>
      <c r="E5306" s="30" t="s">
        <v>4666</v>
      </c>
      <c r="H5306" s="32">
        <v>1</v>
      </c>
      <c r="I5306" s="32" t="s">
        <v>6397</v>
      </c>
      <c r="AG5306" s="32">
        <v>0</v>
      </c>
      <c r="AH5306" s="32">
        <v>0</v>
      </c>
      <c r="AI5306" s="32">
        <v>0</v>
      </c>
      <c r="AL5306" s="32">
        <v>0.5</v>
      </c>
      <c r="AO5306" s="32" t="s">
        <v>4668</v>
      </c>
      <c r="AP5306" s="32">
        <v>0.5</v>
      </c>
      <c r="AQ5306" s="32">
        <v>410</v>
      </c>
      <c r="AU5306">
        <v>5305</v>
      </c>
    </row>
    <row r="5307" spans="1:47" x14ac:dyDescent="0.2">
      <c r="A5307" s="13">
        <v>6796</v>
      </c>
      <c r="B5307" s="39" t="s">
        <v>85</v>
      </c>
      <c r="C5307" s="39" t="s">
        <v>5626</v>
      </c>
      <c r="D5307" s="29"/>
      <c r="E5307" s="39" t="s">
        <v>6398</v>
      </c>
      <c r="F5307" s="31" t="s">
        <v>6399</v>
      </c>
      <c r="G5307" s="31" t="s">
        <v>69</v>
      </c>
      <c r="H5307" s="32"/>
      <c r="I5307" s="137" t="s">
        <v>6400</v>
      </c>
      <c r="K5307" s="31">
        <f>17330*2.2</f>
        <v>38126</v>
      </c>
      <c r="L5307" s="33">
        <v>81</v>
      </c>
      <c r="S5307" s="33">
        <v>76</v>
      </c>
      <c r="T5307" s="31">
        <v>0</v>
      </c>
      <c r="U5307" s="31">
        <v>0</v>
      </c>
      <c r="V5307" s="31">
        <v>1</v>
      </c>
      <c r="W5307" s="47">
        <f>1250*39.37/12</f>
        <v>4101.041666666667</v>
      </c>
      <c r="Y5307" s="31" t="s">
        <v>120</v>
      </c>
      <c r="Z5307" s="31" t="s">
        <v>3724</v>
      </c>
      <c r="AA5307" s="34">
        <v>0.53125</v>
      </c>
      <c r="AC5307" s="34">
        <v>0.625</v>
      </c>
      <c r="AE5307" s="31" t="s">
        <v>6385</v>
      </c>
      <c r="AQ5307" s="32" t="s">
        <v>6401</v>
      </c>
      <c r="AU5307">
        <v>5306</v>
      </c>
    </row>
    <row r="5308" spans="1:47" x14ac:dyDescent="0.2">
      <c r="A5308" s="13">
        <v>6796</v>
      </c>
      <c r="B5308" s="57" t="s">
        <v>45</v>
      </c>
      <c r="C5308" s="57" t="s">
        <v>142</v>
      </c>
      <c r="D5308" s="29"/>
      <c r="E5308" s="57" t="s">
        <v>6402</v>
      </c>
      <c r="F5308" s="31" t="s">
        <v>5327</v>
      </c>
      <c r="G5308" s="31" t="s">
        <v>73</v>
      </c>
      <c r="I5308" s="47" t="b">
        <v>1</v>
      </c>
      <c r="J5308" s="47" t="b">
        <v>1</v>
      </c>
      <c r="K5308" s="31">
        <f>3230*2.2</f>
        <v>7106.0000000000009</v>
      </c>
      <c r="L5308" s="33">
        <v>14</v>
      </c>
      <c r="M5308" s="31">
        <v>3</v>
      </c>
      <c r="S5308" s="33">
        <v>11</v>
      </c>
      <c r="T5308" s="31">
        <v>0</v>
      </c>
      <c r="U5308" s="31">
        <v>0</v>
      </c>
      <c r="V5308" s="31">
        <v>0</v>
      </c>
      <c r="Y5308" s="31" t="s">
        <v>51</v>
      </c>
      <c r="Z5308" s="31" t="s">
        <v>3855</v>
      </c>
      <c r="AE5308" s="47" t="s">
        <v>4217</v>
      </c>
      <c r="AK5308" s="32">
        <f>33+37+6+2+20+18+3</f>
        <v>119</v>
      </c>
      <c r="AQ5308" s="32" t="s">
        <v>6403</v>
      </c>
      <c r="AR5308" s="32" t="s">
        <v>6404</v>
      </c>
      <c r="AU5308">
        <v>5307</v>
      </c>
    </row>
    <row r="5309" spans="1:47" x14ac:dyDescent="0.2">
      <c r="A5309" s="13">
        <v>6796</v>
      </c>
      <c r="B5309" s="57" t="s">
        <v>45</v>
      </c>
      <c r="C5309" s="57" t="s">
        <v>142</v>
      </c>
      <c r="D5309" s="29"/>
      <c r="E5309" s="57" t="s">
        <v>1078</v>
      </c>
      <c r="F5309" s="31" t="s">
        <v>76</v>
      </c>
      <c r="G5309" s="31" t="s">
        <v>49</v>
      </c>
      <c r="I5309" s="47" t="b">
        <v>0</v>
      </c>
      <c r="J5309" s="47" t="b">
        <v>0</v>
      </c>
      <c r="K5309" s="31">
        <v>660</v>
      </c>
      <c r="S5309" s="33">
        <v>1</v>
      </c>
      <c r="Z5309" s="31" t="s">
        <v>3855</v>
      </c>
      <c r="AE5309" s="47" t="s">
        <v>4217</v>
      </c>
      <c r="AF5309" s="31">
        <v>70</v>
      </c>
      <c r="AK5309" s="32">
        <v>17</v>
      </c>
      <c r="AQ5309" s="32" t="s">
        <v>6352</v>
      </c>
      <c r="AU5309">
        <v>5308</v>
      </c>
    </row>
    <row r="5310" spans="1:47" x14ac:dyDescent="0.2">
      <c r="A5310" s="13">
        <v>6796</v>
      </c>
      <c r="B5310" s="57" t="s">
        <v>45</v>
      </c>
      <c r="C5310" s="57" t="s">
        <v>142</v>
      </c>
      <c r="D5310" s="29"/>
      <c r="E5310" s="57" t="s">
        <v>3936</v>
      </c>
      <c r="F5310" s="31" t="s">
        <v>76</v>
      </c>
      <c r="G5310" s="31" t="s">
        <v>49</v>
      </c>
      <c r="I5310" s="47" t="b">
        <v>0</v>
      </c>
      <c r="J5310" s="47" t="b">
        <v>0</v>
      </c>
      <c r="K5310" s="31">
        <v>770</v>
      </c>
      <c r="S5310" s="33">
        <v>2</v>
      </c>
      <c r="Z5310" s="31" t="s">
        <v>3855</v>
      </c>
      <c r="AE5310" s="47" t="s">
        <v>4217</v>
      </c>
      <c r="AF5310" s="31">
        <v>65</v>
      </c>
      <c r="AK5310" s="32">
        <v>20</v>
      </c>
      <c r="AQ5310" s="32" t="s">
        <v>6352</v>
      </c>
      <c r="AU5310">
        <v>5309</v>
      </c>
    </row>
    <row r="5311" spans="1:47" x14ac:dyDescent="0.2">
      <c r="A5311" s="13">
        <v>6796</v>
      </c>
      <c r="B5311" s="57" t="s">
        <v>45</v>
      </c>
      <c r="C5311" s="57" t="s">
        <v>142</v>
      </c>
      <c r="D5311" s="29"/>
      <c r="E5311" s="57" t="s">
        <v>1064</v>
      </c>
      <c r="F5311" s="31" t="s">
        <v>76</v>
      </c>
      <c r="G5311" s="31" t="s">
        <v>49</v>
      </c>
      <c r="I5311" s="47" t="b">
        <v>0</v>
      </c>
      <c r="J5311" s="47" t="b">
        <v>0</v>
      </c>
      <c r="K5311" s="31">
        <v>1936</v>
      </c>
      <c r="S5311" s="33">
        <v>3</v>
      </c>
      <c r="Z5311" s="31" t="s">
        <v>3855</v>
      </c>
      <c r="AE5311" s="47" t="s">
        <v>4217</v>
      </c>
      <c r="AF5311" s="31">
        <v>60</v>
      </c>
      <c r="AK5311" s="32">
        <v>23</v>
      </c>
      <c r="AQ5311" s="32" t="s">
        <v>6352</v>
      </c>
      <c r="AU5311">
        <v>5310</v>
      </c>
    </row>
    <row r="5312" spans="1:47" x14ac:dyDescent="0.2">
      <c r="A5312" s="13">
        <v>6796</v>
      </c>
      <c r="B5312" s="57" t="s">
        <v>45</v>
      </c>
      <c r="C5312" s="57" t="s">
        <v>142</v>
      </c>
      <c r="D5312" s="29"/>
      <c r="E5312" s="57" t="s">
        <v>6405</v>
      </c>
      <c r="F5312" s="31" t="s">
        <v>6354</v>
      </c>
      <c r="G5312" s="31" t="s">
        <v>69</v>
      </c>
      <c r="I5312" s="47" t="b">
        <v>0</v>
      </c>
      <c r="J5312" s="47" t="b">
        <v>0</v>
      </c>
      <c r="K5312" s="31">
        <v>3300</v>
      </c>
      <c r="S5312" s="33">
        <v>5</v>
      </c>
      <c r="Z5312" s="31" t="s">
        <v>3855</v>
      </c>
      <c r="AE5312" s="47" t="s">
        <v>4217</v>
      </c>
      <c r="AF5312" s="31">
        <v>75</v>
      </c>
      <c r="AK5312" s="32">
        <v>50</v>
      </c>
      <c r="AQ5312" s="32" t="s">
        <v>6352</v>
      </c>
      <c r="AU5312">
        <v>5311</v>
      </c>
    </row>
    <row r="5313" spans="1:47" x14ac:dyDescent="0.2">
      <c r="A5313" s="13">
        <v>6796</v>
      </c>
      <c r="B5313" s="57" t="s">
        <v>45</v>
      </c>
      <c r="C5313" s="57" t="s">
        <v>4843</v>
      </c>
      <c r="D5313" s="29"/>
      <c r="E5313" s="57" t="s">
        <v>1064</v>
      </c>
      <c r="F5313" s="31" t="s">
        <v>6354</v>
      </c>
      <c r="G5313" s="31" t="s">
        <v>69</v>
      </c>
      <c r="K5313" s="31">
        <v>4367</v>
      </c>
      <c r="S5313" s="33">
        <v>8</v>
      </c>
      <c r="Z5313" s="31" t="s">
        <v>3814</v>
      </c>
      <c r="AE5313" s="31" t="s">
        <v>4411</v>
      </c>
      <c r="AF5313" s="31">
        <v>55</v>
      </c>
      <c r="AK5313" s="32">
        <v>62</v>
      </c>
      <c r="AQ5313" s="32" t="s">
        <v>6352</v>
      </c>
      <c r="AU5313">
        <v>5312</v>
      </c>
    </row>
    <row r="5314" spans="1:47" x14ac:dyDescent="0.2">
      <c r="A5314" s="13">
        <v>6796</v>
      </c>
      <c r="B5314" s="57" t="s">
        <v>45</v>
      </c>
      <c r="C5314" s="57" t="s">
        <v>4843</v>
      </c>
      <c r="D5314" s="29"/>
      <c r="E5314" s="57" t="s">
        <v>1064</v>
      </c>
      <c r="F5314" s="31" t="s">
        <v>76</v>
      </c>
      <c r="G5314" s="31" t="s">
        <v>49</v>
      </c>
      <c r="K5314" s="31">
        <v>616</v>
      </c>
      <c r="S5314" s="33">
        <v>1</v>
      </c>
      <c r="Z5314" s="31" t="s">
        <v>3814</v>
      </c>
      <c r="AE5314" s="31" t="s">
        <v>4411</v>
      </c>
      <c r="AF5314" s="31">
        <v>55</v>
      </c>
      <c r="AK5314" s="32">
        <v>7</v>
      </c>
      <c r="AQ5314" s="32" t="s">
        <v>6352</v>
      </c>
      <c r="AU5314">
        <v>5313</v>
      </c>
    </row>
    <row r="5315" spans="1:47" x14ac:dyDescent="0.2">
      <c r="A5315" s="13">
        <v>6796</v>
      </c>
      <c r="B5315" s="57" t="s">
        <v>45</v>
      </c>
      <c r="C5315" s="57" t="s">
        <v>4179</v>
      </c>
      <c r="D5315" s="29"/>
      <c r="E5315" s="57" t="s">
        <v>6406</v>
      </c>
      <c r="F5315" s="31" t="s">
        <v>83</v>
      </c>
      <c r="G5315" s="31" t="s">
        <v>69</v>
      </c>
      <c r="I5315" s="31" t="s">
        <v>6407</v>
      </c>
      <c r="K5315" s="63"/>
      <c r="Z5315" s="31" t="s">
        <v>3814</v>
      </c>
      <c r="AE5315" s="31" t="s">
        <v>4892</v>
      </c>
      <c r="AF5315" s="31">
        <v>70</v>
      </c>
      <c r="AQ5315" s="32" t="s">
        <v>6142</v>
      </c>
      <c r="AU5315">
        <v>5314</v>
      </c>
    </row>
    <row r="5316" spans="1:47" x14ac:dyDescent="0.2">
      <c r="A5316" s="13">
        <v>6796</v>
      </c>
      <c r="B5316" s="57" t="s">
        <v>45</v>
      </c>
      <c r="C5316" s="57" t="s">
        <v>4179</v>
      </c>
      <c r="D5316" s="29"/>
      <c r="E5316" s="57" t="s">
        <v>1830</v>
      </c>
      <c r="F5316" s="31" t="s">
        <v>76</v>
      </c>
      <c r="G5316" s="31" t="s">
        <v>49</v>
      </c>
      <c r="I5316" s="31" t="s">
        <v>6389</v>
      </c>
      <c r="J5316" s="33"/>
      <c r="K5316" s="193"/>
      <c r="Z5316" s="31" t="s">
        <v>3814</v>
      </c>
      <c r="AE5316" s="31" t="s">
        <v>4892</v>
      </c>
      <c r="AF5316" s="31">
        <v>75</v>
      </c>
      <c r="AQ5316" s="32" t="s">
        <v>6142</v>
      </c>
      <c r="AU5316">
        <v>5315</v>
      </c>
    </row>
    <row r="5317" spans="1:47" x14ac:dyDescent="0.2">
      <c r="A5317" s="13">
        <v>6796</v>
      </c>
      <c r="B5317" s="57" t="s">
        <v>45</v>
      </c>
      <c r="C5317" s="57" t="s">
        <v>4179</v>
      </c>
      <c r="D5317" s="29"/>
      <c r="E5317" s="57" t="s">
        <v>124</v>
      </c>
      <c r="F5317" s="31" t="s">
        <v>76</v>
      </c>
      <c r="G5317" s="31" t="s">
        <v>49</v>
      </c>
      <c r="I5317" s="31" t="s">
        <v>6408</v>
      </c>
      <c r="K5317" s="63"/>
      <c r="Z5317" s="31" t="s">
        <v>3814</v>
      </c>
      <c r="AE5317" s="31" t="s">
        <v>4892</v>
      </c>
      <c r="AF5317" s="31">
        <v>90</v>
      </c>
      <c r="AQ5317" s="32" t="s">
        <v>6142</v>
      </c>
      <c r="AU5317">
        <v>5316</v>
      </c>
    </row>
    <row r="5318" spans="1:47" x14ac:dyDescent="0.2">
      <c r="A5318" s="13">
        <v>6796</v>
      </c>
      <c r="B5318" s="57" t="s">
        <v>45</v>
      </c>
      <c r="C5318" s="57" t="s">
        <v>5860</v>
      </c>
      <c r="D5318" s="29"/>
      <c r="E5318" s="57" t="s">
        <v>6387</v>
      </c>
      <c r="F5318" s="31" t="s">
        <v>76</v>
      </c>
      <c r="G5318" s="31" t="s">
        <v>49</v>
      </c>
      <c r="I5318" s="31" t="s">
        <v>6409</v>
      </c>
      <c r="K5318" s="31">
        <v>1650</v>
      </c>
      <c r="S5318" s="33">
        <v>1</v>
      </c>
      <c r="AE5318" s="31" t="s">
        <v>6393</v>
      </c>
      <c r="AF5318" s="31">
        <v>90</v>
      </c>
      <c r="AK5318" s="32">
        <v>15</v>
      </c>
      <c r="AQ5318" s="32" t="s">
        <v>6142</v>
      </c>
      <c r="AU5318">
        <v>5317</v>
      </c>
    </row>
    <row r="5319" spans="1:47" x14ac:dyDescent="0.2">
      <c r="A5319" s="13">
        <v>6796</v>
      </c>
      <c r="B5319" s="57" t="s">
        <v>45</v>
      </c>
      <c r="C5319" s="57" t="s">
        <v>5860</v>
      </c>
      <c r="D5319" s="29"/>
      <c r="E5319" s="57" t="s">
        <v>4881</v>
      </c>
      <c r="F5319" s="31" t="s">
        <v>76</v>
      </c>
      <c r="G5319" s="31" t="s">
        <v>49</v>
      </c>
      <c r="I5319" s="31" t="s">
        <v>6410</v>
      </c>
      <c r="K5319" s="63"/>
      <c r="AE5319" s="31" t="s">
        <v>6393</v>
      </c>
      <c r="AF5319" s="31">
        <v>85</v>
      </c>
      <c r="AQ5319" s="32" t="s">
        <v>6142</v>
      </c>
      <c r="AU5319">
        <v>5318</v>
      </c>
    </row>
    <row r="5320" spans="1:47" x14ac:dyDescent="0.2">
      <c r="A5320" s="13">
        <v>6796</v>
      </c>
      <c r="B5320" s="57" t="s">
        <v>45</v>
      </c>
      <c r="C5320" s="57" t="s">
        <v>5860</v>
      </c>
      <c r="D5320" s="29"/>
      <c r="E5320" s="57" t="s">
        <v>6390</v>
      </c>
      <c r="F5320" s="31" t="s">
        <v>6391</v>
      </c>
      <c r="G5320" s="31" t="s">
        <v>69</v>
      </c>
      <c r="I5320" s="31" t="s">
        <v>6392</v>
      </c>
      <c r="K5320" s="63"/>
      <c r="AE5320" s="31" t="s">
        <v>6393</v>
      </c>
      <c r="AF5320" s="31">
        <v>100</v>
      </c>
      <c r="AQ5320" s="32" t="s">
        <v>6142</v>
      </c>
      <c r="AU5320">
        <v>5319</v>
      </c>
    </row>
    <row r="5321" spans="1:47" x14ac:dyDescent="0.2">
      <c r="A5321" s="133">
        <v>6797</v>
      </c>
      <c r="B5321" s="39" t="s">
        <v>85</v>
      </c>
      <c r="C5321" s="39" t="s">
        <v>5626</v>
      </c>
      <c r="D5321" s="29"/>
      <c r="E5321" s="39" t="s">
        <v>6411</v>
      </c>
      <c r="F5321" s="31" t="s">
        <v>6412</v>
      </c>
      <c r="G5321" s="31" t="s">
        <v>69</v>
      </c>
      <c r="H5321" s="32"/>
      <c r="I5321" s="31" t="s">
        <v>6413</v>
      </c>
      <c r="K5321" s="31">
        <f>3400*2.2</f>
        <v>7480.0000000000009</v>
      </c>
      <c r="S5321" s="33">
        <v>24</v>
      </c>
      <c r="T5321" s="31">
        <v>0</v>
      </c>
      <c r="W5321" s="47">
        <f>4300*39.37/12</f>
        <v>14107.583333333334</v>
      </c>
      <c r="Y5321" s="31" t="s">
        <v>51</v>
      </c>
      <c r="Z5321" s="34" t="s">
        <v>3724</v>
      </c>
      <c r="AC5321" s="34">
        <v>0.52083333333333337</v>
      </c>
      <c r="AE5321" s="31" t="s">
        <v>6385</v>
      </c>
      <c r="AQ5321" s="32" t="s">
        <v>6414</v>
      </c>
      <c r="AU5321">
        <v>5320</v>
      </c>
    </row>
    <row r="5322" spans="1:47" x14ac:dyDescent="0.2">
      <c r="A5322" s="133">
        <v>6797</v>
      </c>
      <c r="B5322" s="39" t="s">
        <v>85</v>
      </c>
      <c r="C5322" s="39" t="s">
        <v>5626</v>
      </c>
      <c r="D5322" s="29"/>
      <c r="E5322" s="39" t="s">
        <v>6415</v>
      </c>
      <c r="F5322" s="31" t="s">
        <v>6416</v>
      </c>
      <c r="G5322" s="31" t="s">
        <v>69</v>
      </c>
      <c r="H5322" s="32"/>
      <c r="I5322" s="31" t="s">
        <v>6417</v>
      </c>
      <c r="K5322" s="31">
        <f>17000*2.2</f>
        <v>37400</v>
      </c>
      <c r="S5322" s="33">
        <v>68</v>
      </c>
      <c r="W5322" s="47">
        <f>1500*39.37/12</f>
        <v>4921.2499999999991</v>
      </c>
      <c r="Y5322" s="31" t="s">
        <v>120</v>
      </c>
      <c r="Z5322" s="34" t="s">
        <v>3724</v>
      </c>
      <c r="AC5322" s="34">
        <v>0.6875</v>
      </c>
      <c r="AE5322" s="31" t="s">
        <v>6385</v>
      </c>
      <c r="AF5322" s="31">
        <v>70</v>
      </c>
      <c r="AQ5322" s="32" t="s">
        <v>6418</v>
      </c>
      <c r="AU5322">
        <v>5321</v>
      </c>
    </row>
    <row r="5323" spans="1:47" x14ac:dyDescent="0.2">
      <c r="A5323" s="13">
        <v>6797</v>
      </c>
      <c r="B5323" s="57" t="s">
        <v>45</v>
      </c>
      <c r="C5323" s="57" t="s">
        <v>142</v>
      </c>
      <c r="D5323" s="29"/>
      <c r="E5323" s="57" t="s">
        <v>6419</v>
      </c>
      <c r="F5323" s="31" t="s">
        <v>5327</v>
      </c>
      <c r="G5323" s="31" t="s">
        <v>49</v>
      </c>
      <c r="H5323" s="32"/>
      <c r="I5323" s="47" t="b">
        <v>1</v>
      </c>
      <c r="J5323" s="47" t="b">
        <v>1</v>
      </c>
      <c r="K5323" s="31">
        <f>5925*2.2</f>
        <v>13035.000000000002</v>
      </c>
      <c r="L5323" s="33">
        <f>21+4</f>
        <v>25</v>
      </c>
      <c r="N5323" s="31">
        <v>1</v>
      </c>
      <c r="S5323" s="33">
        <f>20+4</f>
        <v>24</v>
      </c>
      <c r="T5323" s="31">
        <v>0</v>
      </c>
      <c r="U5323" s="31">
        <v>0</v>
      </c>
      <c r="V5323" s="31">
        <v>0</v>
      </c>
      <c r="Y5323" s="31" t="s">
        <v>51</v>
      </c>
      <c r="Z5323" s="31" t="s">
        <v>5406</v>
      </c>
      <c r="AE5323" s="47" t="s">
        <v>4217</v>
      </c>
      <c r="AK5323" s="32">
        <f>22+50+71+16+3+2+9+33</f>
        <v>206</v>
      </c>
      <c r="AQ5323" t="s">
        <v>6403</v>
      </c>
      <c r="AR5323" s="32" t="s">
        <v>6420</v>
      </c>
      <c r="AU5323">
        <v>5322</v>
      </c>
    </row>
    <row r="5324" spans="1:47" x14ac:dyDescent="0.2">
      <c r="A5324" s="13">
        <v>6797</v>
      </c>
      <c r="B5324" s="57" t="s">
        <v>45</v>
      </c>
      <c r="C5324" s="57" t="s">
        <v>142</v>
      </c>
      <c r="D5324" s="29"/>
      <c r="E5324" s="57" t="s">
        <v>3936</v>
      </c>
      <c r="F5324" s="31" t="s">
        <v>76</v>
      </c>
      <c r="G5324" s="31" t="s">
        <v>49</v>
      </c>
      <c r="I5324" s="47" t="b">
        <v>0</v>
      </c>
      <c r="J5324" s="47" t="b">
        <v>0</v>
      </c>
      <c r="K5324" s="31">
        <v>5610</v>
      </c>
      <c r="S5324" s="33">
        <v>9</v>
      </c>
      <c r="AE5324" s="47" t="s">
        <v>4217</v>
      </c>
      <c r="AF5324" s="31">
        <v>65</v>
      </c>
      <c r="AK5324" s="32">
        <v>87</v>
      </c>
      <c r="AQ5324" s="32" t="s">
        <v>6352</v>
      </c>
      <c r="AU5324">
        <v>5323</v>
      </c>
    </row>
    <row r="5325" spans="1:47" x14ac:dyDescent="0.2">
      <c r="A5325" s="13">
        <v>6797</v>
      </c>
      <c r="B5325" s="57" t="s">
        <v>45</v>
      </c>
      <c r="C5325" s="57" t="s">
        <v>142</v>
      </c>
      <c r="D5325" s="29"/>
      <c r="E5325" s="57" t="s">
        <v>1078</v>
      </c>
      <c r="F5325" s="31" t="s">
        <v>76</v>
      </c>
      <c r="G5325" s="31" t="s">
        <v>49</v>
      </c>
      <c r="I5325" s="47" t="b">
        <v>0</v>
      </c>
      <c r="J5325" s="47" t="b">
        <v>0</v>
      </c>
      <c r="K5325" s="31">
        <v>2629</v>
      </c>
      <c r="S5325" s="33">
        <v>4</v>
      </c>
      <c r="AE5325" s="47" t="s">
        <v>4217</v>
      </c>
      <c r="AF5325" s="31">
        <v>70</v>
      </c>
      <c r="AK5325" s="32">
        <v>45</v>
      </c>
      <c r="AQ5325" s="32" t="s">
        <v>6352</v>
      </c>
      <c r="AU5325">
        <v>5324</v>
      </c>
    </row>
    <row r="5326" spans="1:47" x14ac:dyDescent="0.2">
      <c r="A5326" s="13">
        <v>6797</v>
      </c>
      <c r="B5326" s="57" t="s">
        <v>45</v>
      </c>
      <c r="C5326" s="57" t="s">
        <v>142</v>
      </c>
      <c r="D5326" s="45"/>
      <c r="E5326" s="144" t="s">
        <v>6421</v>
      </c>
      <c r="F5326" s="31" t="s">
        <v>6354</v>
      </c>
      <c r="G5326" s="31" t="s">
        <v>69</v>
      </c>
      <c r="I5326" s="47" t="b">
        <v>0</v>
      </c>
      <c r="J5326" s="47" t="b">
        <v>0</v>
      </c>
      <c r="K5326" s="31">
        <v>2629</v>
      </c>
      <c r="S5326" s="33">
        <v>4</v>
      </c>
      <c r="AE5326" s="47" t="s">
        <v>4217</v>
      </c>
      <c r="AF5326" s="31">
        <v>75</v>
      </c>
      <c r="AK5326" s="32">
        <v>34</v>
      </c>
      <c r="AQ5326" s="32" t="s">
        <v>6352</v>
      </c>
      <c r="AU5326">
        <v>5325</v>
      </c>
    </row>
    <row r="5327" spans="1:47" x14ac:dyDescent="0.2">
      <c r="A5327" s="13">
        <v>6797</v>
      </c>
      <c r="B5327" s="57" t="s">
        <v>45</v>
      </c>
      <c r="C5327" s="57" t="s">
        <v>142</v>
      </c>
      <c r="D5327" s="29"/>
      <c r="E5327" s="57" t="s">
        <v>1064</v>
      </c>
      <c r="F5327" s="31" t="s">
        <v>76</v>
      </c>
      <c r="G5327" s="31" t="s">
        <v>49</v>
      </c>
      <c r="I5327" s="47" t="b">
        <v>0</v>
      </c>
      <c r="J5327" s="47" t="b">
        <v>0</v>
      </c>
      <c r="K5327" s="31">
        <v>2167</v>
      </c>
      <c r="S5327" s="33">
        <v>3</v>
      </c>
      <c r="AE5327" s="47" t="s">
        <v>4217</v>
      </c>
      <c r="AF5327" s="31">
        <v>60</v>
      </c>
      <c r="AK5327" s="32">
        <v>40</v>
      </c>
      <c r="AQ5327" s="32" t="s">
        <v>6352</v>
      </c>
      <c r="AU5327">
        <v>5326</v>
      </c>
    </row>
    <row r="5328" spans="1:47" x14ac:dyDescent="0.2">
      <c r="A5328" s="13">
        <v>6797</v>
      </c>
      <c r="B5328" s="57" t="s">
        <v>45</v>
      </c>
      <c r="C5328" s="57" t="s">
        <v>4843</v>
      </c>
      <c r="D5328" s="29"/>
      <c r="E5328" s="57" t="s">
        <v>3936</v>
      </c>
      <c r="F5328" s="31" t="s">
        <v>76</v>
      </c>
      <c r="G5328" s="31" t="s">
        <v>49</v>
      </c>
      <c r="K5328" s="31">
        <v>9768</v>
      </c>
      <c r="S5328" s="33">
        <v>19</v>
      </c>
      <c r="Z5328" s="31" t="s">
        <v>3814</v>
      </c>
      <c r="AE5328" s="31" t="s">
        <v>4411</v>
      </c>
      <c r="AF5328" s="31">
        <v>60</v>
      </c>
      <c r="AK5328" s="32">
        <v>144</v>
      </c>
      <c r="AQ5328" s="32" t="s">
        <v>6352</v>
      </c>
      <c r="AU5328">
        <v>5327</v>
      </c>
    </row>
    <row r="5329" spans="1:47" x14ac:dyDescent="0.2">
      <c r="A5329" s="13">
        <v>6797</v>
      </c>
      <c r="B5329" s="57" t="s">
        <v>45</v>
      </c>
      <c r="C5329" s="57" t="s">
        <v>4843</v>
      </c>
      <c r="D5329" s="29"/>
      <c r="E5329" s="57" t="s">
        <v>6421</v>
      </c>
      <c r="F5329" s="31" t="s">
        <v>6354</v>
      </c>
      <c r="G5329" s="31" t="s">
        <v>69</v>
      </c>
      <c r="K5329" s="31">
        <v>693</v>
      </c>
      <c r="S5329" s="33">
        <v>1</v>
      </c>
      <c r="Z5329" s="31" t="s">
        <v>3814</v>
      </c>
      <c r="AE5329" s="31" t="s">
        <v>4411</v>
      </c>
      <c r="AF5329" s="31">
        <v>70</v>
      </c>
      <c r="AK5329" s="32">
        <v>9</v>
      </c>
      <c r="AQ5329" s="32" t="s">
        <v>6352</v>
      </c>
      <c r="AU5329">
        <v>5328</v>
      </c>
    </row>
    <row r="5330" spans="1:47" x14ac:dyDescent="0.2">
      <c r="A5330" s="13">
        <v>6797</v>
      </c>
      <c r="B5330" s="57" t="s">
        <v>45</v>
      </c>
      <c r="C5330" s="57" t="s">
        <v>4843</v>
      </c>
      <c r="D5330" s="29"/>
      <c r="E5330" s="57" t="s">
        <v>1064</v>
      </c>
      <c r="F5330" s="31" t="s">
        <v>76</v>
      </c>
      <c r="G5330" s="31" t="s">
        <v>49</v>
      </c>
      <c r="K5330" s="31">
        <v>1386</v>
      </c>
      <c r="S5330" s="33">
        <v>3</v>
      </c>
      <c r="Z5330" s="31" t="s">
        <v>3814</v>
      </c>
      <c r="AE5330" s="31" t="s">
        <v>4411</v>
      </c>
      <c r="AF5330" s="31">
        <v>55</v>
      </c>
      <c r="AK5330" s="32">
        <v>21</v>
      </c>
      <c r="AQ5330" s="32" t="s">
        <v>6352</v>
      </c>
      <c r="AU5330">
        <v>5329</v>
      </c>
    </row>
    <row r="5331" spans="1:47" x14ac:dyDescent="0.2">
      <c r="A5331" s="13">
        <v>6797</v>
      </c>
      <c r="B5331" s="57" t="s">
        <v>45</v>
      </c>
      <c r="C5331" s="57" t="s">
        <v>4843</v>
      </c>
      <c r="D5331" s="29"/>
      <c r="E5331" s="57" t="s">
        <v>1078</v>
      </c>
      <c r="F5331" s="31" t="s">
        <v>76</v>
      </c>
      <c r="G5331" s="31" t="s">
        <v>49</v>
      </c>
      <c r="K5331" s="31">
        <v>3575</v>
      </c>
      <c r="S5331" s="33">
        <v>7</v>
      </c>
      <c r="Z5331" s="31" t="s">
        <v>3814</v>
      </c>
      <c r="AE5331" s="31" t="s">
        <v>4411</v>
      </c>
      <c r="AF5331" s="31">
        <v>70</v>
      </c>
      <c r="AK5331" s="32">
        <v>70</v>
      </c>
      <c r="AQ5331" s="32" t="s">
        <v>6352</v>
      </c>
      <c r="AU5331">
        <v>5330</v>
      </c>
    </row>
    <row r="5332" spans="1:47" x14ac:dyDescent="0.2">
      <c r="A5332" s="13">
        <v>6797</v>
      </c>
      <c r="B5332" s="57" t="s">
        <v>45</v>
      </c>
      <c r="C5332" s="57" t="s">
        <v>4843</v>
      </c>
      <c r="D5332" s="29"/>
      <c r="E5332" s="57" t="s">
        <v>6422</v>
      </c>
      <c r="F5332" s="31" t="s">
        <v>76</v>
      </c>
      <c r="G5332" s="31" t="s">
        <v>49</v>
      </c>
      <c r="K5332" s="31">
        <v>2475</v>
      </c>
      <c r="S5332" s="33">
        <v>5</v>
      </c>
      <c r="Z5332" s="31" t="s">
        <v>3814</v>
      </c>
      <c r="AE5332" s="31" t="s">
        <v>4411</v>
      </c>
      <c r="AF5332" s="31">
        <v>80</v>
      </c>
      <c r="AK5332" s="32">
        <v>33</v>
      </c>
      <c r="AQ5332" s="32" t="s">
        <v>6352</v>
      </c>
      <c r="AU5332">
        <v>5331</v>
      </c>
    </row>
    <row r="5333" spans="1:47" x14ac:dyDescent="0.2">
      <c r="A5333" s="13">
        <v>6797</v>
      </c>
      <c r="B5333" s="57" t="s">
        <v>45</v>
      </c>
      <c r="C5333" s="57" t="s">
        <v>4179</v>
      </c>
      <c r="D5333" s="29"/>
      <c r="E5333" s="57" t="s">
        <v>6406</v>
      </c>
      <c r="F5333" s="31" t="s">
        <v>83</v>
      </c>
      <c r="G5333" s="31" t="s">
        <v>69</v>
      </c>
      <c r="I5333" s="31" t="s">
        <v>6407</v>
      </c>
      <c r="K5333" s="63"/>
      <c r="Z5333" s="31" t="s">
        <v>3814</v>
      </c>
      <c r="AE5333" s="31" t="s">
        <v>4892</v>
      </c>
      <c r="AF5333" s="31">
        <v>70</v>
      </c>
      <c r="AQ5333" s="32" t="s">
        <v>6142</v>
      </c>
      <c r="AU5333">
        <v>5332</v>
      </c>
    </row>
    <row r="5334" spans="1:47" x14ac:dyDescent="0.2">
      <c r="A5334" s="13">
        <v>6797</v>
      </c>
      <c r="B5334" s="57" t="s">
        <v>45</v>
      </c>
      <c r="C5334" s="57" t="s">
        <v>4179</v>
      </c>
      <c r="D5334" s="29"/>
      <c r="E5334" s="57" t="s">
        <v>124</v>
      </c>
      <c r="F5334" s="31" t="s">
        <v>76</v>
      </c>
      <c r="G5334" s="31" t="s">
        <v>49</v>
      </c>
      <c r="I5334" s="31" t="s">
        <v>6408</v>
      </c>
      <c r="K5334" s="63"/>
      <c r="Z5334" s="31" t="s">
        <v>3814</v>
      </c>
      <c r="AE5334" s="31" t="s">
        <v>4892</v>
      </c>
      <c r="AF5334" s="31">
        <v>90</v>
      </c>
      <c r="AQ5334" s="32" t="s">
        <v>6142</v>
      </c>
      <c r="AU5334">
        <v>5333</v>
      </c>
    </row>
    <row r="5335" spans="1:47" x14ac:dyDescent="0.2">
      <c r="A5335" s="13">
        <v>6797</v>
      </c>
      <c r="B5335" s="57" t="s">
        <v>45</v>
      </c>
      <c r="C5335" s="57" t="s">
        <v>4179</v>
      </c>
      <c r="D5335" s="29"/>
      <c r="E5335" s="57" t="s">
        <v>1576</v>
      </c>
      <c r="F5335" s="31" t="s">
        <v>76</v>
      </c>
      <c r="G5335" s="31" t="s">
        <v>49</v>
      </c>
      <c r="I5335" s="31" t="s">
        <v>6423</v>
      </c>
      <c r="K5335" s="63"/>
      <c r="Z5335" s="31" t="s">
        <v>3814</v>
      </c>
      <c r="AE5335" s="31" t="s">
        <v>4892</v>
      </c>
      <c r="AF5335" s="31">
        <v>65</v>
      </c>
      <c r="AQ5335" s="32" t="s">
        <v>6142</v>
      </c>
      <c r="AU5335">
        <v>5334</v>
      </c>
    </row>
    <row r="5336" spans="1:47" x14ac:dyDescent="0.2">
      <c r="A5336" s="13">
        <v>6797</v>
      </c>
      <c r="B5336" s="57" t="s">
        <v>45</v>
      </c>
      <c r="C5336" s="57" t="s">
        <v>5860</v>
      </c>
      <c r="D5336" s="29"/>
      <c r="E5336" s="57" t="s">
        <v>6424</v>
      </c>
      <c r="F5336" s="31" t="s">
        <v>76</v>
      </c>
      <c r="G5336" s="31" t="s">
        <v>49</v>
      </c>
      <c r="K5336" s="31">
        <v>2530</v>
      </c>
      <c r="S5336" s="33">
        <v>2</v>
      </c>
      <c r="AE5336" s="31" t="s">
        <v>6393</v>
      </c>
      <c r="AF5336" s="31">
        <v>85</v>
      </c>
      <c r="AK5336" s="32">
        <v>19</v>
      </c>
      <c r="AQ5336" s="32" t="s">
        <v>6142</v>
      </c>
      <c r="AU5336">
        <v>5335</v>
      </c>
    </row>
    <row r="5337" spans="1:47" x14ac:dyDescent="0.2">
      <c r="A5337" s="13">
        <v>6797</v>
      </c>
      <c r="B5337" s="57" t="s">
        <v>45</v>
      </c>
      <c r="C5337" s="57" t="s">
        <v>5860</v>
      </c>
      <c r="D5337" s="29"/>
      <c r="E5337" s="57" t="s">
        <v>447</v>
      </c>
      <c r="F5337" s="31" t="s">
        <v>76</v>
      </c>
      <c r="G5337" s="31" t="s">
        <v>49</v>
      </c>
      <c r="I5337" s="31" t="s">
        <v>6425</v>
      </c>
      <c r="K5337" s="63"/>
      <c r="AE5337" s="31" t="s">
        <v>6393</v>
      </c>
      <c r="AF5337" s="31">
        <v>115</v>
      </c>
      <c r="AQ5337" s="32" t="s">
        <v>6142</v>
      </c>
      <c r="AU5337">
        <v>5336</v>
      </c>
    </row>
    <row r="5338" spans="1:47" x14ac:dyDescent="0.2">
      <c r="A5338" s="13">
        <v>6797</v>
      </c>
      <c r="B5338" s="57" t="s">
        <v>45</v>
      </c>
      <c r="C5338" s="57" t="s">
        <v>5860</v>
      </c>
      <c r="D5338" s="29"/>
      <c r="E5338" s="57" t="s">
        <v>1830</v>
      </c>
      <c r="F5338" s="31" t="s">
        <v>76</v>
      </c>
      <c r="G5338" s="31" t="s">
        <v>49</v>
      </c>
      <c r="I5338" s="31" t="s">
        <v>6426</v>
      </c>
      <c r="K5338" s="63"/>
      <c r="AE5338" s="31" t="s">
        <v>6393</v>
      </c>
      <c r="AF5338" s="31">
        <v>100</v>
      </c>
      <c r="AQ5338" s="32" t="s">
        <v>6142</v>
      </c>
      <c r="AU5338">
        <v>5337</v>
      </c>
    </row>
    <row r="5339" spans="1:47" x14ac:dyDescent="0.2">
      <c r="A5339" s="13">
        <v>6797</v>
      </c>
      <c r="B5339" s="57" t="s">
        <v>45</v>
      </c>
      <c r="C5339" s="57" t="s">
        <v>5860</v>
      </c>
      <c r="D5339" s="29"/>
      <c r="E5339" s="57" t="s">
        <v>6390</v>
      </c>
      <c r="F5339" s="31" t="s">
        <v>6391</v>
      </c>
      <c r="G5339" s="31" t="s">
        <v>69</v>
      </c>
      <c r="I5339" s="31" t="s">
        <v>6392</v>
      </c>
      <c r="K5339" s="63"/>
      <c r="AE5339" s="31" t="s">
        <v>6393</v>
      </c>
      <c r="AF5339" s="31">
        <v>100</v>
      </c>
      <c r="AQ5339" s="32" t="s">
        <v>6142</v>
      </c>
      <c r="AU5339">
        <v>5338</v>
      </c>
    </row>
    <row r="5340" spans="1:47" x14ac:dyDescent="0.2">
      <c r="A5340" s="26">
        <v>6797</v>
      </c>
      <c r="B5340" s="27">
        <v>0.93055555555555547</v>
      </c>
      <c r="C5340" s="28"/>
      <c r="D5340" s="29"/>
      <c r="E5340" s="30" t="s">
        <v>464</v>
      </c>
      <c r="H5340" s="32">
        <v>0</v>
      </c>
      <c r="I5340" s="32" t="s">
        <v>6427</v>
      </c>
      <c r="AG5340" s="32">
        <v>0</v>
      </c>
      <c r="AH5340" s="32">
        <v>0</v>
      </c>
      <c r="AL5340" s="32">
        <f>175/60</f>
        <v>2.9166666666666665</v>
      </c>
      <c r="AO5340" s="32" t="s">
        <v>4067</v>
      </c>
      <c r="AP5340" s="32">
        <f>175/60</f>
        <v>2.9166666666666665</v>
      </c>
      <c r="AQ5340" s="32" t="s">
        <v>1522</v>
      </c>
      <c r="AU5340">
        <v>5339</v>
      </c>
    </row>
    <row r="5341" spans="1:47" x14ac:dyDescent="0.2">
      <c r="A5341" s="26">
        <v>6797</v>
      </c>
      <c r="B5341" s="27">
        <v>0.97916666666666663</v>
      </c>
      <c r="C5341" s="28"/>
      <c r="D5341" s="29"/>
      <c r="E5341" s="30" t="s">
        <v>1282</v>
      </c>
      <c r="H5341" s="32">
        <v>0</v>
      </c>
      <c r="I5341" s="32" t="s">
        <v>6428</v>
      </c>
      <c r="AG5341" s="32">
        <v>0</v>
      </c>
      <c r="AH5341" s="32">
        <v>0</v>
      </c>
      <c r="AI5341" s="32">
        <v>0</v>
      </c>
      <c r="AK5341" s="32">
        <v>0</v>
      </c>
      <c r="AL5341" s="32">
        <f>1+51/60</f>
        <v>1.85</v>
      </c>
      <c r="AP5341" s="32">
        <v>1.85</v>
      </c>
      <c r="AQ5341" s="32" t="s">
        <v>1101</v>
      </c>
      <c r="AU5341">
        <v>5340</v>
      </c>
    </row>
    <row r="5342" spans="1:47" x14ac:dyDescent="0.2">
      <c r="A5342" s="26">
        <v>6797</v>
      </c>
      <c r="B5342" s="27" t="s">
        <v>85</v>
      </c>
      <c r="C5342" s="28"/>
      <c r="D5342" s="29"/>
      <c r="E5342" s="30" t="s">
        <v>586</v>
      </c>
      <c r="H5342" s="32">
        <v>1</v>
      </c>
      <c r="I5342" s="32" t="s">
        <v>6429</v>
      </c>
      <c r="AI5342" s="32">
        <v>18199</v>
      </c>
      <c r="AO5342" s="46" t="s">
        <v>588</v>
      </c>
      <c r="AQ5342" s="32" t="s">
        <v>589</v>
      </c>
      <c r="AU5342">
        <v>5341</v>
      </c>
    </row>
    <row r="5343" spans="1:47" x14ac:dyDescent="0.2">
      <c r="A5343" s="37">
        <v>6798</v>
      </c>
      <c r="B5343" s="38" t="s">
        <v>6430</v>
      </c>
      <c r="C5343" s="39" t="s">
        <v>6431</v>
      </c>
      <c r="D5343" s="29"/>
      <c r="E5343" s="38" t="s">
        <v>1576</v>
      </c>
      <c r="F5343" s="32"/>
      <c r="G5343" s="47"/>
      <c r="H5343"/>
      <c r="I5343" s="32" t="s">
        <v>6432</v>
      </c>
      <c r="J5343" s="47"/>
      <c r="K5343" s="47"/>
      <c r="L5343" s="48">
        <v>168</v>
      </c>
      <c r="M5343" s="47"/>
      <c r="N5343" s="47"/>
      <c r="O5343" s="47"/>
      <c r="P5343" s="47"/>
      <c r="Q5343" s="47"/>
      <c r="R5343" s="47"/>
      <c r="S5343" s="48"/>
      <c r="T5343" s="47"/>
      <c r="U5343" s="47"/>
      <c r="V5343" s="47"/>
      <c r="W5343" s="47"/>
      <c r="X5343" s="47"/>
      <c r="Y5343" s="47"/>
      <c r="Z5343" s="31" t="s">
        <v>3724</v>
      </c>
      <c r="AA5343" s="49"/>
      <c r="AB5343" s="49"/>
      <c r="AC5343" s="49"/>
      <c r="AD5343" s="50"/>
      <c r="AE5343" s="47"/>
      <c r="AF5343" s="47"/>
      <c r="AG5343"/>
      <c r="AH5343"/>
      <c r="AI5343"/>
      <c r="AJ5343"/>
      <c r="AK5343"/>
      <c r="AL5343"/>
      <c r="AM5343"/>
      <c r="AN5343"/>
      <c r="AO5343"/>
      <c r="AP5343"/>
      <c r="AQ5343" t="s">
        <v>6433</v>
      </c>
      <c r="AU5343">
        <v>5342</v>
      </c>
    </row>
    <row r="5344" spans="1:47" x14ac:dyDescent="0.2">
      <c r="A5344" s="133">
        <v>6798</v>
      </c>
      <c r="B5344" s="39" t="s">
        <v>85</v>
      </c>
      <c r="C5344" s="39">
        <v>55</v>
      </c>
      <c r="D5344" s="29" t="b">
        <v>0</v>
      </c>
      <c r="E5344" s="39" t="s">
        <v>6434</v>
      </c>
      <c r="F5344" s="47" t="s">
        <v>6435</v>
      </c>
      <c r="G5344" s="47" t="s">
        <v>205</v>
      </c>
      <c r="H5344"/>
      <c r="I5344" s="47" t="b">
        <v>1</v>
      </c>
      <c r="J5344" s="47" t="b">
        <v>1</v>
      </c>
      <c r="K5344" s="47">
        <v>902</v>
      </c>
      <c r="L5344" s="48">
        <v>22</v>
      </c>
      <c r="M5344" s="47">
        <v>0</v>
      </c>
      <c r="N5344" s="47">
        <v>4</v>
      </c>
      <c r="O5344" s="47">
        <v>1</v>
      </c>
      <c r="P5344" s="47">
        <v>5</v>
      </c>
      <c r="Q5344" s="47">
        <v>0</v>
      </c>
      <c r="R5344" s="47">
        <v>0</v>
      </c>
      <c r="S5344" s="48">
        <v>4</v>
      </c>
      <c r="T5344" s="47">
        <v>0</v>
      </c>
      <c r="U5344" s="47">
        <v>0</v>
      </c>
      <c r="V5344" s="47">
        <v>0</v>
      </c>
      <c r="W5344" s="47">
        <v>10000</v>
      </c>
      <c r="X5344" s="47">
        <v>792</v>
      </c>
      <c r="Y5344" s="47" t="s">
        <v>120</v>
      </c>
      <c r="Z5344" s="47" t="s">
        <v>3618</v>
      </c>
      <c r="AA5344" s="49">
        <v>0.30555555555555552</v>
      </c>
      <c r="AB5344" s="49">
        <v>0.41666666666666669</v>
      </c>
      <c r="AC5344" s="49">
        <f>AVERAGE(AA5344:AB5344)</f>
        <v>0.3611111111111111</v>
      </c>
      <c r="AD5344" s="50">
        <f>(AB5344-AA5344)*24</f>
        <v>2.6666666666666679</v>
      </c>
      <c r="AE5344" s="47" t="s">
        <v>5433</v>
      </c>
      <c r="AF5344" s="47">
        <v>140</v>
      </c>
      <c r="AG5344"/>
      <c r="AH5344"/>
      <c r="AI5344"/>
      <c r="AJ5344"/>
      <c r="AK5344"/>
      <c r="AL5344"/>
      <c r="AM5344"/>
      <c r="AN5344"/>
      <c r="AO5344"/>
      <c r="AP5344"/>
      <c r="AQ5344" t="s">
        <v>5434</v>
      </c>
      <c r="AU5344">
        <v>5343</v>
      </c>
    </row>
    <row r="5345" spans="1:47" x14ac:dyDescent="0.2">
      <c r="A5345" s="133">
        <v>6798</v>
      </c>
      <c r="B5345" s="39" t="s">
        <v>85</v>
      </c>
      <c r="C5345" s="39">
        <v>55</v>
      </c>
      <c r="D5345" s="29" t="b">
        <v>0</v>
      </c>
      <c r="E5345" s="39" t="s">
        <v>3575</v>
      </c>
      <c r="F5345" s="47" t="s">
        <v>529</v>
      </c>
      <c r="G5345" s="47" t="s">
        <v>205</v>
      </c>
      <c r="H5345"/>
      <c r="I5345" s="47" t="b">
        <v>0</v>
      </c>
      <c r="J5345" s="47" t="b">
        <v>0</v>
      </c>
      <c r="K5345" s="47">
        <v>678</v>
      </c>
      <c r="L5345" s="48">
        <v>12</v>
      </c>
      <c r="M5345" s="47">
        <v>0</v>
      </c>
      <c r="N5345" s="47">
        <v>1</v>
      </c>
      <c r="O5345" s="47">
        <v>0</v>
      </c>
      <c r="P5345" s="47">
        <v>0</v>
      </c>
      <c r="Q5345" s="47">
        <v>0</v>
      </c>
      <c r="R5345" s="47">
        <v>0</v>
      </c>
      <c r="S5345" s="48">
        <v>3</v>
      </c>
      <c r="T5345" s="47">
        <v>0</v>
      </c>
      <c r="U5345" s="47">
        <v>0</v>
      </c>
      <c r="V5345" s="47">
        <v>0</v>
      </c>
      <c r="W5345" s="47">
        <v>10000</v>
      </c>
      <c r="X5345" s="47">
        <v>793</v>
      </c>
      <c r="Y5345" s="47" t="s">
        <v>120</v>
      </c>
      <c r="Z5345" s="47" t="s">
        <v>3618</v>
      </c>
      <c r="AA5345" s="49">
        <v>0.30555555555555552</v>
      </c>
      <c r="AB5345" s="49">
        <v>0.41666666666666669</v>
      </c>
      <c r="AC5345" s="49">
        <f>AVERAGE(AA5345:AB5345)</f>
        <v>0.3611111111111111</v>
      </c>
      <c r="AD5345" s="50">
        <f>(AB5345-AA5345)*24</f>
        <v>2.6666666666666679</v>
      </c>
      <c r="AE5345" s="47" t="s">
        <v>5433</v>
      </c>
      <c r="AF5345" s="47">
        <v>140</v>
      </c>
      <c r="AG5345"/>
      <c r="AH5345"/>
      <c r="AI5345"/>
      <c r="AJ5345"/>
      <c r="AK5345">
        <v>5</v>
      </c>
      <c r="AL5345"/>
      <c r="AM5345"/>
      <c r="AN5345"/>
      <c r="AO5345"/>
      <c r="AP5345"/>
      <c r="AQ5345" t="s">
        <v>5434</v>
      </c>
      <c r="AU5345">
        <v>5344</v>
      </c>
    </row>
    <row r="5346" spans="1:47" x14ac:dyDescent="0.2">
      <c r="A5346" s="133">
        <v>6798</v>
      </c>
      <c r="B5346" s="39" t="s">
        <v>85</v>
      </c>
      <c r="C5346" s="39">
        <v>55</v>
      </c>
      <c r="D5346" s="29" t="b">
        <v>0</v>
      </c>
      <c r="E5346" s="39" t="s">
        <v>1168</v>
      </c>
      <c r="F5346" s="47" t="s">
        <v>5176</v>
      </c>
      <c r="G5346" s="47" t="s">
        <v>49</v>
      </c>
      <c r="H5346"/>
      <c r="I5346" s="47" t="b">
        <v>0</v>
      </c>
      <c r="J5346" s="47" t="b">
        <v>0</v>
      </c>
      <c r="K5346" s="47">
        <v>224</v>
      </c>
      <c r="L5346" s="48">
        <v>10</v>
      </c>
      <c r="M5346" s="47">
        <v>0</v>
      </c>
      <c r="N5346" s="47">
        <v>3</v>
      </c>
      <c r="O5346" s="47">
        <v>1</v>
      </c>
      <c r="P5346" s="47">
        <v>0</v>
      </c>
      <c r="Q5346" s="47">
        <v>0</v>
      </c>
      <c r="R5346" s="47">
        <v>0</v>
      </c>
      <c r="S5346" s="48">
        <v>1</v>
      </c>
      <c r="T5346" s="47">
        <v>0</v>
      </c>
      <c r="U5346" s="47">
        <v>0</v>
      </c>
      <c r="V5346" s="47">
        <v>0</v>
      </c>
      <c r="W5346" s="47">
        <v>10000</v>
      </c>
      <c r="X5346" s="47">
        <v>794</v>
      </c>
      <c r="Y5346" s="47" t="s">
        <v>120</v>
      </c>
      <c r="Z5346" s="47" t="s">
        <v>3618</v>
      </c>
      <c r="AA5346" s="49">
        <v>0.30555555555555552</v>
      </c>
      <c r="AB5346" s="49">
        <v>0.41666666666666669</v>
      </c>
      <c r="AC5346" s="49">
        <f>AVERAGE(AA5346:AB5346)</f>
        <v>0.3611111111111111</v>
      </c>
      <c r="AD5346" s="50">
        <f>(AB5346-AA5346)*24</f>
        <v>2.6666666666666679</v>
      </c>
      <c r="AE5346" s="47" t="s">
        <v>5433</v>
      </c>
      <c r="AF5346" s="47">
        <v>55</v>
      </c>
      <c r="AG5346"/>
      <c r="AH5346"/>
      <c r="AI5346"/>
      <c r="AJ5346"/>
      <c r="AK5346"/>
      <c r="AL5346"/>
      <c r="AM5346"/>
      <c r="AN5346"/>
      <c r="AO5346"/>
      <c r="AP5346"/>
      <c r="AQ5346" t="s">
        <v>5434</v>
      </c>
      <c r="AU5346">
        <v>5345</v>
      </c>
    </row>
    <row r="5347" spans="1:47" x14ac:dyDescent="0.2">
      <c r="A5347" s="133">
        <v>6798</v>
      </c>
      <c r="B5347" s="39" t="s">
        <v>85</v>
      </c>
      <c r="C5347" s="39">
        <v>104</v>
      </c>
      <c r="D5347" s="29" t="b">
        <v>0</v>
      </c>
      <c r="E5347" s="39" t="s">
        <v>720</v>
      </c>
      <c r="F5347" s="47" t="s">
        <v>48</v>
      </c>
      <c r="G5347" s="47" t="s">
        <v>49</v>
      </c>
      <c r="H5347"/>
      <c r="I5347" s="47" t="b">
        <v>0</v>
      </c>
      <c r="J5347" s="47" t="b">
        <v>1</v>
      </c>
      <c r="K5347" s="47">
        <v>2506</v>
      </c>
      <c r="L5347" s="48">
        <v>12</v>
      </c>
      <c r="M5347" s="47">
        <v>0</v>
      </c>
      <c r="N5347" s="47">
        <v>0</v>
      </c>
      <c r="O5347" s="47">
        <v>1</v>
      </c>
      <c r="P5347" s="47">
        <v>11</v>
      </c>
      <c r="Q5347" s="47">
        <v>0</v>
      </c>
      <c r="R5347" s="47">
        <v>0</v>
      </c>
      <c r="S5347" s="48">
        <v>10</v>
      </c>
      <c r="T5347" s="47">
        <v>1</v>
      </c>
      <c r="U5347" s="47">
        <v>0</v>
      </c>
      <c r="V5347" s="47">
        <v>0</v>
      </c>
      <c r="W5347" s="47">
        <v>9000</v>
      </c>
      <c r="X5347" s="47">
        <v>795</v>
      </c>
      <c r="Y5347" s="47" t="s">
        <v>120</v>
      </c>
      <c r="Z5347" s="47" t="s">
        <v>5139</v>
      </c>
      <c r="AA5347" s="49">
        <v>0.2951388888888889</v>
      </c>
      <c r="AB5347" s="49">
        <v>0.46180555555555558</v>
      </c>
      <c r="AC5347" s="49">
        <v>0.40277777777777773</v>
      </c>
      <c r="AD5347" s="50">
        <f>(AB5347-AA5347)*24</f>
        <v>4</v>
      </c>
      <c r="AE5347" s="47" t="s">
        <v>5433</v>
      </c>
      <c r="AF5347" s="47">
        <v>165</v>
      </c>
      <c r="AG5347"/>
      <c r="AH5347"/>
      <c r="AI5347"/>
      <c r="AJ5347"/>
      <c r="AK5347">
        <v>15</v>
      </c>
      <c r="AL5347"/>
      <c r="AM5347"/>
      <c r="AN5347"/>
      <c r="AO5347"/>
      <c r="AP5347"/>
      <c r="AQ5347" t="s">
        <v>5485</v>
      </c>
      <c r="AU5347">
        <v>5346</v>
      </c>
    </row>
    <row r="5348" spans="1:47" x14ac:dyDescent="0.2">
      <c r="A5348" s="37">
        <v>6798</v>
      </c>
      <c r="B5348" s="38" t="s">
        <v>85</v>
      </c>
      <c r="C5348" s="39" t="s">
        <v>5626</v>
      </c>
      <c r="D5348" s="29"/>
      <c r="E5348" s="38" t="s">
        <v>1895</v>
      </c>
      <c r="F5348" s="31" t="s">
        <v>6207</v>
      </c>
      <c r="G5348" s="47" t="s">
        <v>69</v>
      </c>
      <c r="H5348"/>
      <c r="I5348" s="32" t="s">
        <v>6436</v>
      </c>
      <c r="J5348" s="47"/>
      <c r="K5348" s="47">
        <f>7720*2.2</f>
        <v>16984</v>
      </c>
      <c r="L5348" s="48">
        <v>70</v>
      </c>
      <c r="M5348" s="47"/>
      <c r="N5348" s="47"/>
      <c r="O5348" s="47"/>
      <c r="P5348" s="47"/>
      <c r="Q5348" s="47"/>
      <c r="R5348" s="47"/>
      <c r="S5348" s="48">
        <v>62</v>
      </c>
      <c r="T5348" s="47">
        <v>0</v>
      </c>
      <c r="U5348" s="47"/>
      <c r="V5348" s="47"/>
      <c r="W5348" s="47">
        <f>5000*39.37/12</f>
        <v>16404.166666666668</v>
      </c>
      <c r="X5348" s="47"/>
      <c r="Y5348" s="47" t="s">
        <v>120</v>
      </c>
      <c r="Z5348" s="47" t="s">
        <v>3724</v>
      </c>
      <c r="AA5348" s="49"/>
      <c r="AB5348" s="49"/>
      <c r="AC5348" s="49">
        <v>0.46875</v>
      </c>
      <c r="AD5348" s="50"/>
      <c r="AE5348" s="31" t="s">
        <v>6385</v>
      </c>
      <c r="AF5348" s="47">
        <v>80</v>
      </c>
      <c r="AG5348"/>
      <c r="AH5348"/>
      <c r="AI5348"/>
      <c r="AJ5348"/>
      <c r="AK5348"/>
      <c r="AL5348"/>
      <c r="AM5348"/>
      <c r="AN5348"/>
      <c r="AO5348"/>
      <c r="AP5348"/>
      <c r="AQ5348" t="s">
        <v>6437</v>
      </c>
      <c r="AU5348">
        <v>5347</v>
      </c>
    </row>
    <row r="5349" spans="1:47" x14ac:dyDescent="0.2">
      <c r="A5349" s="37">
        <v>6798</v>
      </c>
      <c r="B5349" s="38" t="s">
        <v>85</v>
      </c>
      <c r="C5349" s="39" t="s">
        <v>5626</v>
      </c>
      <c r="D5349" s="29"/>
      <c r="E5349" s="38" t="s">
        <v>6438</v>
      </c>
      <c r="F5349" s="31" t="s">
        <v>6207</v>
      </c>
      <c r="G5349" s="47" t="s">
        <v>69</v>
      </c>
      <c r="H5349"/>
      <c r="I5349" s="32" t="s">
        <v>6439</v>
      </c>
      <c r="J5349" s="47"/>
      <c r="K5349" s="47">
        <f>(24690-7720)*2.2</f>
        <v>37334</v>
      </c>
      <c r="L5349" s="48"/>
      <c r="M5349" s="47"/>
      <c r="N5349" s="47"/>
      <c r="O5349" s="47"/>
      <c r="P5349" s="47"/>
      <c r="Q5349" s="47"/>
      <c r="R5349" s="47"/>
      <c r="S5349" s="48">
        <v>62</v>
      </c>
      <c r="T5349" s="47">
        <v>1</v>
      </c>
      <c r="U5349" s="47"/>
      <c r="V5349" s="47"/>
      <c r="W5349" s="47"/>
      <c r="X5349" s="47"/>
      <c r="Y5349" s="47" t="s">
        <v>120</v>
      </c>
      <c r="Z5349" s="47" t="s">
        <v>3724</v>
      </c>
      <c r="AA5349" s="49"/>
      <c r="AB5349" s="49"/>
      <c r="AC5349" s="49">
        <v>0.78819444444444453</v>
      </c>
      <c r="AD5349" s="50"/>
      <c r="AE5349" s="31" t="s">
        <v>6385</v>
      </c>
      <c r="AF5349" s="47"/>
      <c r="AG5349"/>
      <c r="AH5349"/>
      <c r="AI5349"/>
      <c r="AJ5349"/>
      <c r="AK5349"/>
      <c r="AL5349"/>
      <c r="AM5349"/>
      <c r="AN5349"/>
      <c r="AO5349"/>
      <c r="AP5349"/>
      <c r="AQ5349" t="s">
        <v>6437</v>
      </c>
      <c r="AU5349">
        <v>5348</v>
      </c>
    </row>
    <row r="5350" spans="1:47" x14ac:dyDescent="0.2">
      <c r="A5350" s="37">
        <v>6798</v>
      </c>
      <c r="B5350" s="38" t="s">
        <v>85</v>
      </c>
      <c r="C5350" s="39" t="s">
        <v>5533</v>
      </c>
      <c r="D5350" s="29"/>
      <c r="E5350" s="38" t="s">
        <v>6440</v>
      </c>
      <c r="F5350" s="32" t="s">
        <v>714</v>
      </c>
      <c r="G5350" s="47" t="s">
        <v>49</v>
      </c>
      <c r="H5350"/>
      <c r="I5350" s="32" t="s">
        <v>6441</v>
      </c>
      <c r="J5350" s="47"/>
      <c r="K5350" s="47">
        <f>56*20*2.2</f>
        <v>2464</v>
      </c>
      <c r="L5350" s="48">
        <v>10</v>
      </c>
      <c r="M5350" s="47"/>
      <c r="N5350" s="47">
        <v>3</v>
      </c>
      <c r="O5350" s="47"/>
      <c r="P5350" s="47">
        <v>7</v>
      </c>
      <c r="Q5350" s="47"/>
      <c r="R5350" s="47"/>
      <c r="S5350" s="48">
        <v>7</v>
      </c>
      <c r="T5350" s="47">
        <v>0</v>
      </c>
      <c r="U5350" s="47">
        <v>1</v>
      </c>
      <c r="V5350" s="47">
        <v>1</v>
      </c>
      <c r="W5350" s="47">
        <f>4500*39.37/12</f>
        <v>14763.75</v>
      </c>
      <c r="X5350" s="47"/>
      <c r="Y5350" s="47" t="s">
        <v>51</v>
      </c>
      <c r="Z5350" s="31" t="s">
        <v>3724</v>
      </c>
      <c r="AA5350" s="49">
        <v>0.4375</v>
      </c>
      <c r="AB5350" s="49">
        <v>0.56944444444444442</v>
      </c>
      <c r="AC5350" s="49">
        <f>AVERAGE(AA5350:AB5350)</f>
        <v>0.50347222222222221</v>
      </c>
      <c r="AD5350" s="50">
        <f>(AB5350-AA5350)*24</f>
        <v>3.1666666666666661</v>
      </c>
      <c r="AE5350" s="47" t="s">
        <v>5536</v>
      </c>
      <c r="AF5350" s="47">
        <v>100</v>
      </c>
      <c r="AG5350"/>
      <c r="AH5350"/>
      <c r="AI5350"/>
      <c r="AJ5350"/>
      <c r="AK5350">
        <v>56</v>
      </c>
      <c r="AL5350"/>
      <c r="AM5350"/>
      <c r="AN5350"/>
      <c r="AO5350"/>
      <c r="AP5350"/>
      <c r="AQ5350" t="s">
        <v>6442</v>
      </c>
      <c r="AU5350">
        <v>5349</v>
      </c>
    </row>
    <row r="5351" spans="1:47" x14ac:dyDescent="0.2">
      <c r="A5351" s="37">
        <v>6798</v>
      </c>
      <c r="B5351" s="38" t="s">
        <v>6443</v>
      </c>
      <c r="C5351" s="39" t="s">
        <v>6431</v>
      </c>
      <c r="D5351" s="29"/>
      <c r="E5351" s="38" t="s">
        <v>1576</v>
      </c>
      <c r="F5351" s="32"/>
      <c r="G5351" s="47"/>
      <c r="H5351"/>
      <c r="I5351" s="32" t="s">
        <v>6444</v>
      </c>
      <c r="J5351" s="47"/>
      <c r="K5351" s="47"/>
      <c r="L5351" s="48"/>
      <c r="M5351" s="47"/>
      <c r="N5351" s="47"/>
      <c r="O5351" s="47"/>
      <c r="P5351" s="47"/>
      <c r="Q5351" s="47"/>
      <c r="R5351" s="47"/>
      <c r="S5351" s="48"/>
      <c r="T5351" s="47"/>
      <c r="U5351" s="47"/>
      <c r="V5351" s="47"/>
      <c r="W5351" s="47"/>
      <c r="X5351" s="47"/>
      <c r="Y5351" s="47"/>
      <c r="Z5351" s="47"/>
      <c r="AA5351" s="49"/>
      <c r="AB5351" s="49"/>
      <c r="AC5351" s="49"/>
      <c r="AD5351" s="50"/>
      <c r="AE5351" s="47"/>
      <c r="AF5351" s="47"/>
      <c r="AG5351"/>
      <c r="AH5351"/>
      <c r="AI5351"/>
      <c r="AJ5351"/>
      <c r="AK5351"/>
      <c r="AL5351"/>
      <c r="AM5351"/>
      <c r="AN5351"/>
      <c r="AO5351"/>
      <c r="AP5351"/>
      <c r="AQ5351" t="s">
        <v>6433</v>
      </c>
      <c r="AU5351">
        <v>5350</v>
      </c>
    </row>
    <row r="5352" spans="1:47" x14ac:dyDescent="0.2">
      <c r="A5352" s="133">
        <v>6798</v>
      </c>
      <c r="B5352" s="39" t="s">
        <v>45</v>
      </c>
      <c r="C5352" s="39">
        <v>100</v>
      </c>
      <c r="D5352" s="29" t="b">
        <v>0</v>
      </c>
      <c r="E5352" s="39" t="s">
        <v>1551</v>
      </c>
      <c r="F5352" s="47" t="s">
        <v>529</v>
      </c>
      <c r="G5352" s="47" t="s">
        <v>205</v>
      </c>
      <c r="H5352"/>
      <c r="I5352" s="47" t="b">
        <v>0</v>
      </c>
      <c r="J5352" s="47" t="b">
        <v>1</v>
      </c>
      <c r="K5352" s="47">
        <v>624</v>
      </c>
      <c r="L5352" s="48">
        <v>2</v>
      </c>
      <c r="M5352" s="47">
        <v>0</v>
      </c>
      <c r="N5352" s="47">
        <v>0</v>
      </c>
      <c r="O5352" s="47">
        <v>0</v>
      </c>
      <c r="P5352" s="47">
        <v>0</v>
      </c>
      <c r="Q5352" s="47">
        <v>0</v>
      </c>
      <c r="R5352" s="47">
        <v>0</v>
      </c>
      <c r="S5352" s="48">
        <v>2</v>
      </c>
      <c r="T5352" s="47">
        <v>0</v>
      </c>
      <c r="U5352" s="47">
        <v>0</v>
      </c>
      <c r="V5352" s="47">
        <v>0</v>
      </c>
      <c r="W5352" s="47"/>
      <c r="X5352" s="47">
        <v>796</v>
      </c>
      <c r="Y5352" s="47"/>
      <c r="Z5352" s="47" t="s">
        <v>2524</v>
      </c>
      <c r="AA5352" s="49"/>
      <c r="AB5352" s="49"/>
      <c r="AC5352" s="49"/>
      <c r="AD5352" s="50"/>
      <c r="AE5352" s="47" t="s">
        <v>6445</v>
      </c>
      <c r="AF5352" s="47">
        <v>55</v>
      </c>
      <c r="AG5352"/>
      <c r="AH5352"/>
      <c r="AI5352"/>
      <c r="AJ5352"/>
      <c r="AK5352"/>
      <c r="AL5352"/>
      <c r="AM5352"/>
      <c r="AN5352"/>
      <c r="AO5352"/>
      <c r="AP5352"/>
      <c r="AQ5352" t="s">
        <v>2526</v>
      </c>
      <c r="AU5352">
        <v>5351</v>
      </c>
    </row>
    <row r="5353" spans="1:47" x14ac:dyDescent="0.2">
      <c r="A5353" s="133">
        <v>6798</v>
      </c>
      <c r="B5353" s="39" t="s">
        <v>45</v>
      </c>
      <c r="C5353" s="39">
        <v>216</v>
      </c>
      <c r="D5353" s="29" t="b">
        <v>0</v>
      </c>
      <c r="E5353" s="121" t="s">
        <v>3575</v>
      </c>
      <c r="F5353" s="47" t="s">
        <v>529</v>
      </c>
      <c r="G5353" s="47" t="s">
        <v>205</v>
      </c>
      <c r="H5353"/>
      <c r="I5353" s="47" t="b">
        <v>0</v>
      </c>
      <c r="J5353" s="47" t="b">
        <v>1</v>
      </c>
      <c r="K5353" s="47">
        <v>1344</v>
      </c>
      <c r="L5353" s="48">
        <v>1</v>
      </c>
      <c r="M5353" s="47">
        <v>0</v>
      </c>
      <c r="N5353" s="47">
        <v>0</v>
      </c>
      <c r="O5353" s="47">
        <v>0</v>
      </c>
      <c r="P5353" s="47">
        <v>0</v>
      </c>
      <c r="Q5353" s="47">
        <v>0</v>
      </c>
      <c r="R5353" s="47">
        <v>0</v>
      </c>
      <c r="S5353" s="48">
        <v>1</v>
      </c>
      <c r="T5353" s="47">
        <v>0</v>
      </c>
      <c r="U5353" s="47">
        <v>0</v>
      </c>
      <c r="V5353" s="47">
        <v>0</v>
      </c>
      <c r="W5353" s="47"/>
      <c r="X5353" s="47">
        <v>797</v>
      </c>
      <c r="Y5353" s="47"/>
      <c r="Z5353" s="47" t="s">
        <v>2466</v>
      </c>
      <c r="AA5353" s="49"/>
      <c r="AB5353" s="49"/>
      <c r="AC5353" s="49"/>
      <c r="AD5353" s="50"/>
      <c r="AE5353" s="47" t="s">
        <v>1312</v>
      </c>
      <c r="AF5353" s="31">
        <v>160</v>
      </c>
      <c r="AG5353"/>
      <c r="AH5353"/>
      <c r="AI5353"/>
      <c r="AJ5353"/>
      <c r="AK5353"/>
      <c r="AL5353"/>
      <c r="AM5353"/>
      <c r="AN5353"/>
      <c r="AO5353"/>
      <c r="AP5353"/>
      <c r="AQ5353" t="s">
        <v>2526</v>
      </c>
      <c r="AU5353">
        <v>5352</v>
      </c>
    </row>
    <row r="5354" spans="1:47" x14ac:dyDescent="0.2">
      <c r="A5354" s="37">
        <v>6798</v>
      </c>
      <c r="B5354" s="38" t="s">
        <v>45</v>
      </c>
      <c r="C5354" s="39" t="s">
        <v>253</v>
      </c>
      <c r="D5354" s="29"/>
      <c r="E5354" s="38" t="s">
        <v>6446</v>
      </c>
      <c r="F5354" s="32" t="s">
        <v>6447</v>
      </c>
      <c r="G5354" s="47"/>
      <c r="H5354"/>
      <c r="I5354" s="32"/>
      <c r="J5354" s="47"/>
      <c r="K5354" s="47"/>
      <c r="L5354" s="48"/>
      <c r="M5354" s="47"/>
      <c r="N5354" s="47"/>
      <c r="O5354" s="47"/>
      <c r="P5354" s="47"/>
      <c r="Q5354" s="47"/>
      <c r="R5354" s="47"/>
      <c r="S5354" s="48"/>
      <c r="T5354" s="47"/>
      <c r="U5354" s="47"/>
      <c r="V5354" s="47"/>
      <c r="W5354" s="47"/>
      <c r="X5354" s="47"/>
      <c r="Y5354" s="47"/>
      <c r="Z5354" s="47"/>
      <c r="AA5354" s="49"/>
      <c r="AB5354" s="49"/>
      <c r="AC5354" s="49"/>
      <c r="AD5354" s="50"/>
      <c r="AE5354" s="47"/>
      <c r="AF5354" s="47"/>
      <c r="AG5354"/>
      <c r="AH5354"/>
      <c r="AI5354"/>
      <c r="AJ5354"/>
      <c r="AK5354"/>
      <c r="AL5354"/>
      <c r="AM5354"/>
      <c r="AN5354"/>
      <c r="AO5354"/>
      <c r="AP5354"/>
      <c r="AQ5354"/>
      <c r="AU5354">
        <v>5353</v>
      </c>
    </row>
    <row r="5355" spans="1:47" x14ac:dyDescent="0.2">
      <c r="A5355" s="13">
        <v>6798</v>
      </c>
      <c r="B5355" s="57" t="s">
        <v>45</v>
      </c>
      <c r="C5355" s="57" t="s">
        <v>142</v>
      </c>
      <c r="D5355" s="29"/>
      <c r="E5355" s="57" t="s">
        <v>6448</v>
      </c>
      <c r="F5355" s="31" t="s">
        <v>5327</v>
      </c>
      <c r="G5355" s="31" t="s">
        <v>69</v>
      </c>
      <c r="I5355" s="47" t="b">
        <v>1</v>
      </c>
      <c r="J5355" s="47" t="b">
        <v>1</v>
      </c>
      <c r="K5355" s="31">
        <f>3525*2.2</f>
        <v>7755.0000000000009</v>
      </c>
      <c r="L5355" s="33">
        <v>15</v>
      </c>
      <c r="M5355" s="31">
        <v>2</v>
      </c>
      <c r="N5355" s="31">
        <v>2</v>
      </c>
      <c r="S5355" s="33">
        <v>11</v>
      </c>
      <c r="T5355" s="31">
        <v>0</v>
      </c>
      <c r="U5355" s="31">
        <v>0</v>
      </c>
      <c r="V5355" s="31">
        <v>0</v>
      </c>
      <c r="Y5355" s="31" t="s">
        <v>51</v>
      </c>
      <c r="AE5355" s="47" t="s">
        <v>4217</v>
      </c>
      <c r="AK5355" s="32">
        <f>10+10+62+6+2+2+1+9</f>
        <v>102</v>
      </c>
      <c r="AQ5355" s="32" t="s">
        <v>6449</v>
      </c>
      <c r="AR5355" s="32" t="s">
        <v>6450</v>
      </c>
      <c r="AU5355">
        <v>5354</v>
      </c>
    </row>
    <row r="5356" spans="1:47" x14ac:dyDescent="0.2">
      <c r="A5356" s="13">
        <v>6798</v>
      </c>
      <c r="B5356" s="57" t="s">
        <v>45</v>
      </c>
      <c r="C5356" s="57" t="s">
        <v>142</v>
      </c>
      <c r="D5356" s="29"/>
      <c r="E5356" s="57" t="s">
        <v>6451</v>
      </c>
      <c r="F5356" s="31" t="s">
        <v>6354</v>
      </c>
      <c r="G5356" s="31" t="s">
        <v>69</v>
      </c>
      <c r="I5356" s="47" t="b">
        <v>0</v>
      </c>
      <c r="J5356" s="47" t="b">
        <v>0</v>
      </c>
      <c r="K5356" s="31">
        <v>4389</v>
      </c>
      <c r="S5356" s="33">
        <v>6</v>
      </c>
      <c r="AE5356" s="47" t="s">
        <v>4217</v>
      </c>
      <c r="AK5356" s="32">
        <v>53</v>
      </c>
      <c r="AQ5356" s="32" t="s">
        <v>6352</v>
      </c>
      <c r="AU5356">
        <v>5355</v>
      </c>
    </row>
    <row r="5357" spans="1:47" x14ac:dyDescent="0.2">
      <c r="A5357" s="13">
        <v>6798</v>
      </c>
      <c r="B5357" s="57" t="s">
        <v>45</v>
      </c>
      <c r="C5357" s="57" t="s">
        <v>142</v>
      </c>
      <c r="D5357" s="29"/>
      <c r="E5357" s="57" t="s">
        <v>6405</v>
      </c>
      <c r="F5357" s="31" t="s">
        <v>6354</v>
      </c>
      <c r="G5357" s="31" t="s">
        <v>69</v>
      </c>
      <c r="I5357" s="47" t="b">
        <v>0</v>
      </c>
      <c r="J5357" s="47" t="b">
        <v>0</v>
      </c>
      <c r="K5357" s="31">
        <v>1309</v>
      </c>
      <c r="S5357" s="33">
        <v>2</v>
      </c>
      <c r="AE5357" s="47" t="s">
        <v>4217</v>
      </c>
      <c r="AF5357" s="31">
        <v>75</v>
      </c>
      <c r="AK5357" s="32">
        <v>24</v>
      </c>
      <c r="AQ5357" s="32" t="s">
        <v>6352</v>
      </c>
      <c r="AU5357">
        <v>5356</v>
      </c>
    </row>
    <row r="5358" spans="1:47" x14ac:dyDescent="0.2">
      <c r="A5358" s="13">
        <v>6798</v>
      </c>
      <c r="B5358" s="57" t="s">
        <v>45</v>
      </c>
      <c r="C5358" s="57" t="s">
        <v>142</v>
      </c>
      <c r="D5358" s="29"/>
      <c r="E5358" s="57" t="s">
        <v>1064</v>
      </c>
      <c r="F5358" s="31" t="s">
        <v>76</v>
      </c>
      <c r="G5358" s="31" t="s">
        <v>49</v>
      </c>
      <c r="I5358" s="47" t="b">
        <v>0</v>
      </c>
      <c r="J5358" s="47" t="b">
        <v>0</v>
      </c>
      <c r="K5358" s="31">
        <v>1331</v>
      </c>
      <c r="S5358" s="33">
        <v>2</v>
      </c>
      <c r="AE5358" s="47" t="s">
        <v>4217</v>
      </c>
      <c r="AF5358" s="31">
        <v>60</v>
      </c>
      <c r="AK5358" s="32">
        <v>17</v>
      </c>
      <c r="AQ5358" s="32" t="s">
        <v>6352</v>
      </c>
      <c r="AU5358">
        <v>5357</v>
      </c>
    </row>
    <row r="5359" spans="1:47" x14ac:dyDescent="0.2">
      <c r="A5359" s="13">
        <v>6798</v>
      </c>
      <c r="B5359" s="57" t="s">
        <v>45</v>
      </c>
      <c r="C5359" s="57" t="s">
        <v>142</v>
      </c>
      <c r="D5359" s="29"/>
      <c r="E5359" s="57" t="s">
        <v>5882</v>
      </c>
      <c r="F5359" s="31" t="s">
        <v>76</v>
      </c>
      <c r="G5359" s="31" t="s">
        <v>49</v>
      </c>
      <c r="I5359" s="47" t="b">
        <v>0</v>
      </c>
      <c r="J5359" s="47" t="b">
        <v>0</v>
      </c>
      <c r="K5359" s="31">
        <v>726</v>
      </c>
      <c r="S5359" s="33">
        <v>1</v>
      </c>
      <c r="AE5359" s="47" t="s">
        <v>4217</v>
      </c>
      <c r="AF5359" s="31">
        <v>65</v>
      </c>
      <c r="AK5359" s="32">
        <v>8</v>
      </c>
      <c r="AQ5359" s="32" t="s">
        <v>6352</v>
      </c>
      <c r="AU5359">
        <v>5358</v>
      </c>
    </row>
    <row r="5360" spans="1:47" x14ac:dyDescent="0.2">
      <c r="A5360" s="13">
        <v>6798</v>
      </c>
      <c r="B5360" s="57" t="s">
        <v>45</v>
      </c>
      <c r="C5360" s="57" t="s">
        <v>4843</v>
      </c>
      <c r="D5360" s="29"/>
      <c r="E5360" s="57" t="s">
        <v>1064</v>
      </c>
      <c r="F5360" s="31" t="s">
        <v>76</v>
      </c>
      <c r="G5360" s="31" t="s">
        <v>49</v>
      </c>
      <c r="K5360" s="31">
        <v>1023</v>
      </c>
      <c r="S5360" s="33">
        <v>2</v>
      </c>
      <c r="Z5360" s="31" t="s">
        <v>3814</v>
      </c>
      <c r="AE5360" s="31" t="s">
        <v>4411</v>
      </c>
      <c r="AF5360" s="31">
        <v>55</v>
      </c>
      <c r="AK5360" s="32">
        <v>14</v>
      </c>
      <c r="AQ5360" s="32" t="s">
        <v>6352</v>
      </c>
      <c r="AU5360">
        <v>5359</v>
      </c>
    </row>
    <row r="5361" spans="1:47" x14ac:dyDescent="0.2">
      <c r="A5361" s="13">
        <v>6798</v>
      </c>
      <c r="B5361" s="57" t="s">
        <v>45</v>
      </c>
      <c r="C5361" s="57" t="s">
        <v>4843</v>
      </c>
      <c r="D5361" s="29"/>
      <c r="E5361" s="57" t="s">
        <v>1078</v>
      </c>
      <c r="F5361" s="31" t="s">
        <v>76</v>
      </c>
      <c r="G5361" s="31" t="s">
        <v>49</v>
      </c>
      <c r="K5361" s="31">
        <v>1628</v>
      </c>
      <c r="S5361" s="33">
        <v>3</v>
      </c>
      <c r="Z5361" s="31" t="s">
        <v>3814</v>
      </c>
      <c r="AE5361" s="31" t="s">
        <v>4411</v>
      </c>
      <c r="AF5361" s="31">
        <v>70</v>
      </c>
      <c r="AK5361" s="32">
        <v>26</v>
      </c>
      <c r="AQ5361" s="32" t="s">
        <v>6352</v>
      </c>
      <c r="AU5361">
        <v>5360</v>
      </c>
    </row>
    <row r="5362" spans="1:47" x14ac:dyDescent="0.2">
      <c r="A5362" s="13">
        <v>6798</v>
      </c>
      <c r="B5362" s="57" t="s">
        <v>45</v>
      </c>
      <c r="C5362" s="57" t="s">
        <v>4843</v>
      </c>
      <c r="D5362" s="29"/>
      <c r="E5362" s="57" t="s">
        <v>5882</v>
      </c>
      <c r="F5362" s="31" t="s">
        <v>76</v>
      </c>
      <c r="G5362" s="31" t="s">
        <v>49</v>
      </c>
      <c r="K5362" s="31">
        <v>4884</v>
      </c>
      <c r="S5362" s="33">
        <v>9</v>
      </c>
      <c r="Z5362" s="31" t="s">
        <v>3814</v>
      </c>
      <c r="AE5362" s="31" t="s">
        <v>4411</v>
      </c>
      <c r="AF5362" s="31">
        <v>65</v>
      </c>
      <c r="AK5362" s="32">
        <v>69</v>
      </c>
      <c r="AQ5362" s="32" t="s">
        <v>6352</v>
      </c>
      <c r="AU5362">
        <v>5361</v>
      </c>
    </row>
    <row r="5363" spans="1:47" x14ac:dyDescent="0.2">
      <c r="A5363" s="13">
        <v>6798</v>
      </c>
      <c r="B5363" s="57" t="s">
        <v>45</v>
      </c>
      <c r="C5363" s="57" t="s">
        <v>4843</v>
      </c>
      <c r="D5363" s="29"/>
      <c r="E5363" s="57" t="s">
        <v>5379</v>
      </c>
      <c r="F5363" s="31" t="s">
        <v>76</v>
      </c>
      <c r="G5363" s="31" t="s">
        <v>49</v>
      </c>
      <c r="K5363" s="31">
        <v>528</v>
      </c>
      <c r="S5363" s="33">
        <v>1</v>
      </c>
      <c r="Z5363" s="31" t="s">
        <v>3814</v>
      </c>
      <c r="AE5363" s="31" t="s">
        <v>4411</v>
      </c>
      <c r="AF5363" s="31">
        <v>75</v>
      </c>
      <c r="AK5363" s="32">
        <v>6</v>
      </c>
      <c r="AQ5363" s="32" t="s">
        <v>6352</v>
      </c>
      <c r="AU5363">
        <v>5362</v>
      </c>
    </row>
    <row r="5364" spans="1:47" x14ac:dyDescent="0.2">
      <c r="A5364" s="13">
        <v>6798</v>
      </c>
      <c r="B5364" s="57" t="s">
        <v>45</v>
      </c>
      <c r="C5364" s="57" t="s">
        <v>4843</v>
      </c>
      <c r="D5364" s="29"/>
      <c r="E5364" s="57" t="s">
        <v>3936</v>
      </c>
      <c r="F5364" s="31" t="s">
        <v>76</v>
      </c>
      <c r="G5364" s="31" t="s">
        <v>49</v>
      </c>
      <c r="K5364" s="31">
        <v>616</v>
      </c>
      <c r="S5364" s="33">
        <v>1</v>
      </c>
      <c r="Z5364" s="31" t="s">
        <v>3814</v>
      </c>
      <c r="AE5364" s="31" t="s">
        <v>4411</v>
      </c>
      <c r="AF5364" s="31">
        <v>60</v>
      </c>
      <c r="AK5364" s="32">
        <v>7</v>
      </c>
      <c r="AQ5364" s="32" t="s">
        <v>6352</v>
      </c>
      <c r="AU5364">
        <v>5363</v>
      </c>
    </row>
    <row r="5365" spans="1:47" x14ac:dyDescent="0.2">
      <c r="A5365" s="13">
        <v>6798</v>
      </c>
      <c r="B5365" s="57" t="s">
        <v>45</v>
      </c>
      <c r="C5365" s="57" t="s">
        <v>4179</v>
      </c>
      <c r="D5365" s="29"/>
      <c r="E5365" s="57" t="s">
        <v>6406</v>
      </c>
      <c r="F5365" s="31" t="s">
        <v>83</v>
      </c>
      <c r="G5365" s="31" t="s">
        <v>69</v>
      </c>
      <c r="I5365" s="31" t="s">
        <v>6407</v>
      </c>
      <c r="K5365" s="63"/>
      <c r="Z5365" s="31" t="s">
        <v>3814</v>
      </c>
      <c r="AE5365" s="31" t="s">
        <v>4892</v>
      </c>
      <c r="AF5365" s="31">
        <v>70</v>
      </c>
      <c r="AQ5365" s="32" t="s">
        <v>6142</v>
      </c>
      <c r="AU5365">
        <v>5364</v>
      </c>
    </row>
    <row r="5366" spans="1:47" x14ac:dyDescent="0.2">
      <c r="A5366" s="13">
        <v>6798</v>
      </c>
      <c r="B5366" s="57" t="s">
        <v>45</v>
      </c>
      <c r="C5366" s="57" t="s">
        <v>4179</v>
      </c>
      <c r="D5366" s="29"/>
      <c r="E5366" s="57" t="s">
        <v>124</v>
      </c>
      <c r="F5366" s="31" t="s">
        <v>76</v>
      </c>
      <c r="G5366" s="31" t="s">
        <v>49</v>
      </c>
      <c r="I5366" s="31" t="s">
        <v>6408</v>
      </c>
      <c r="K5366" s="63"/>
      <c r="Z5366" s="31" t="s">
        <v>3814</v>
      </c>
      <c r="AE5366" s="31" t="s">
        <v>4892</v>
      </c>
      <c r="AF5366" s="31">
        <v>90</v>
      </c>
      <c r="AQ5366" s="32" t="s">
        <v>6142</v>
      </c>
      <c r="AU5366">
        <v>5365</v>
      </c>
    </row>
    <row r="5367" spans="1:47" x14ac:dyDescent="0.2">
      <c r="A5367" s="13">
        <v>6798</v>
      </c>
      <c r="B5367" s="57" t="s">
        <v>45</v>
      </c>
      <c r="C5367" s="57" t="s">
        <v>4179</v>
      </c>
      <c r="D5367" s="29"/>
      <c r="E5367" s="57" t="s">
        <v>1576</v>
      </c>
      <c r="F5367" s="31" t="s">
        <v>76</v>
      </c>
      <c r="G5367" s="31" t="s">
        <v>49</v>
      </c>
      <c r="I5367" s="31" t="s">
        <v>6423</v>
      </c>
      <c r="K5367" s="63"/>
      <c r="Z5367" s="31" t="s">
        <v>3814</v>
      </c>
      <c r="AE5367" s="31" t="s">
        <v>4892</v>
      </c>
      <c r="AF5367" s="31">
        <v>65</v>
      </c>
      <c r="AQ5367" s="32" t="s">
        <v>6142</v>
      </c>
      <c r="AU5367">
        <v>5366</v>
      </c>
    </row>
    <row r="5368" spans="1:47" x14ac:dyDescent="0.2">
      <c r="A5368" s="13">
        <v>6798</v>
      </c>
      <c r="B5368" s="57" t="s">
        <v>45</v>
      </c>
      <c r="C5368" s="57" t="s">
        <v>5860</v>
      </c>
      <c r="D5368" s="29"/>
      <c r="E5368" s="57" t="s">
        <v>6390</v>
      </c>
      <c r="F5368" s="31" t="s">
        <v>6391</v>
      </c>
      <c r="G5368" s="31" t="s">
        <v>69</v>
      </c>
      <c r="I5368" s="31" t="s">
        <v>6392</v>
      </c>
      <c r="K5368" s="63"/>
      <c r="AE5368" s="31" t="s">
        <v>6393</v>
      </c>
      <c r="AF5368" s="31">
        <v>100</v>
      </c>
      <c r="AQ5368" s="32" t="s">
        <v>6142</v>
      </c>
      <c r="AU5368">
        <v>5367</v>
      </c>
    </row>
    <row r="5369" spans="1:47" x14ac:dyDescent="0.2">
      <c r="A5369" s="26">
        <v>6798</v>
      </c>
      <c r="B5369" s="27">
        <v>0.43611111111111112</v>
      </c>
      <c r="C5369" s="28"/>
      <c r="D5369" s="29"/>
      <c r="E5369" s="30" t="s">
        <v>3737</v>
      </c>
      <c r="H5369" s="32">
        <v>0</v>
      </c>
      <c r="I5369" s="32" t="s">
        <v>4926</v>
      </c>
      <c r="AG5369" s="32">
        <v>0</v>
      </c>
      <c r="AH5369" s="32">
        <v>0</v>
      </c>
      <c r="AI5369" s="32">
        <v>0</v>
      </c>
      <c r="AK5369" s="32">
        <v>0</v>
      </c>
      <c r="AL5369" s="32">
        <f>31/60</f>
        <v>0.51666666666666672</v>
      </c>
      <c r="AM5369" s="33">
        <f>(3125+3691)*AL5369</f>
        <v>3521.6000000000004</v>
      </c>
      <c r="AP5369" s="32">
        <f>31/60</f>
        <v>0.51666666666666672</v>
      </c>
      <c r="AQ5369" s="32" t="s">
        <v>1101</v>
      </c>
      <c r="AU5369">
        <v>5368</v>
      </c>
    </row>
    <row r="5370" spans="1:47" x14ac:dyDescent="0.2">
      <c r="A5370" s="26">
        <v>6798</v>
      </c>
      <c r="B5370" s="27">
        <v>0.43888888888888888</v>
      </c>
      <c r="C5370" s="28"/>
      <c r="D5370" s="29"/>
      <c r="E5370" s="30" t="s">
        <v>3155</v>
      </c>
      <c r="H5370" s="32">
        <v>0</v>
      </c>
      <c r="I5370" s="32" t="s">
        <v>3156</v>
      </c>
      <c r="AG5370" s="32">
        <v>0</v>
      </c>
      <c r="AH5370" s="32">
        <v>0</v>
      </c>
      <c r="AI5370" s="32">
        <v>0</v>
      </c>
      <c r="AK5370" s="32">
        <v>0</v>
      </c>
      <c r="AP5370" s="32">
        <f>87/60</f>
        <v>1.45</v>
      </c>
      <c r="AQ5370" s="32" t="s">
        <v>1101</v>
      </c>
      <c r="AU5370">
        <v>5369</v>
      </c>
    </row>
    <row r="5371" spans="1:47" x14ac:dyDescent="0.2">
      <c r="A5371" s="26">
        <v>6798</v>
      </c>
      <c r="B5371" s="27">
        <v>0.44097222222222227</v>
      </c>
      <c r="C5371" s="28"/>
      <c r="D5371" s="29"/>
      <c r="E5371" s="30" t="s">
        <v>464</v>
      </c>
      <c r="H5371" s="32">
        <v>0</v>
      </c>
      <c r="I5371" s="32" t="s">
        <v>5766</v>
      </c>
      <c r="AG5371" s="32">
        <v>0</v>
      </c>
      <c r="AH5371" s="32">
        <v>0</v>
      </c>
      <c r="AI5371" s="32">
        <v>0</v>
      </c>
      <c r="AK5371" s="32">
        <v>0</v>
      </c>
      <c r="AL5371" s="32">
        <v>0.33300000000000002</v>
      </c>
      <c r="AO5371" s="32" t="s">
        <v>4067</v>
      </c>
      <c r="AP5371" s="32">
        <v>0.33300000000000002</v>
      </c>
      <c r="AQ5371" s="32" t="s">
        <v>1522</v>
      </c>
      <c r="AU5371">
        <v>5370</v>
      </c>
    </row>
    <row r="5372" spans="1:47" x14ac:dyDescent="0.2">
      <c r="A5372" s="26">
        <v>6798</v>
      </c>
      <c r="B5372" s="27">
        <v>0.51736111111111105</v>
      </c>
      <c r="C5372" s="28"/>
      <c r="D5372" s="29"/>
      <c r="E5372" s="30" t="s">
        <v>4219</v>
      </c>
      <c r="H5372" s="32">
        <v>0</v>
      </c>
      <c r="I5372" s="32" t="s">
        <v>4249</v>
      </c>
      <c r="AG5372" s="32">
        <v>0</v>
      </c>
      <c r="AH5372" s="32">
        <v>0</v>
      </c>
      <c r="AI5372" s="32">
        <v>0</v>
      </c>
      <c r="AK5372" s="32">
        <v>0</v>
      </c>
      <c r="AL5372" s="32">
        <f>5/60</f>
        <v>8.3333333333333329E-2</v>
      </c>
      <c r="AO5372" s="32" t="s">
        <v>858</v>
      </c>
      <c r="AP5372" s="32">
        <f>5/60</f>
        <v>8.3333333333333329E-2</v>
      </c>
      <c r="AQ5372" s="32" t="s">
        <v>1101</v>
      </c>
      <c r="AU5372">
        <v>5371</v>
      </c>
    </row>
    <row r="5373" spans="1:47" x14ac:dyDescent="0.2">
      <c r="A5373" s="26">
        <v>6798</v>
      </c>
      <c r="B5373" s="27">
        <v>0.75</v>
      </c>
      <c r="C5373" s="28"/>
      <c r="D5373" s="29"/>
      <c r="E5373" s="30" t="s">
        <v>464</v>
      </c>
      <c r="H5373" s="32">
        <v>0</v>
      </c>
      <c r="I5373" s="32" t="s">
        <v>4561</v>
      </c>
      <c r="AG5373" s="32">
        <v>0</v>
      </c>
      <c r="AH5373" s="32">
        <v>0</v>
      </c>
      <c r="AL5373" s="32">
        <v>0.5</v>
      </c>
      <c r="AO5373" s="32" t="s">
        <v>4067</v>
      </c>
      <c r="AP5373" s="32">
        <v>0.5</v>
      </c>
      <c r="AQ5373" s="32" t="s">
        <v>1522</v>
      </c>
      <c r="AU5373">
        <v>5372</v>
      </c>
    </row>
    <row r="5374" spans="1:47" x14ac:dyDescent="0.2">
      <c r="A5374" s="26">
        <v>6798</v>
      </c>
      <c r="B5374" s="27" t="s">
        <v>85</v>
      </c>
      <c r="C5374" s="28"/>
      <c r="D5374" s="29"/>
      <c r="E5374" s="30" t="s">
        <v>720</v>
      </c>
      <c r="H5374" s="32">
        <v>1</v>
      </c>
      <c r="I5374" s="32" t="s">
        <v>6452</v>
      </c>
      <c r="AG5374" s="32">
        <v>0</v>
      </c>
      <c r="AH5374" s="32">
        <v>6</v>
      </c>
      <c r="AI5374" s="32">
        <v>130000</v>
      </c>
      <c r="AK5374" s="32">
        <v>11</v>
      </c>
      <c r="AQ5374" s="32" t="s">
        <v>6453</v>
      </c>
      <c r="AU5374">
        <v>5373</v>
      </c>
    </row>
    <row r="5375" spans="1:47" x14ac:dyDescent="0.2">
      <c r="A5375" s="26">
        <v>6798</v>
      </c>
      <c r="B5375" s="27" t="s">
        <v>85</v>
      </c>
      <c r="C5375" s="28"/>
      <c r="D5375" s="29"/>
      <c r="E5375" s="30" t="s">
        <v>1531</v>
      </c>
      <c r="H5375" s="32">
        <v>0</v>
      </c>
      <c r="I5375" s="32" t="s">
        <v>5874</v>
      </c>
      <c r="AG5375" s="32">
        <v>0</v>
      </c>
      <c r="AH5375" s="32">
        <v>0</v>
      </c>
      <c r="AI5375" s="32">
        <v>0</v>
      </c>
      <c r="AK5375" s="32">
        <v>0</v>
      </c>
      <c r="AM5375" s="32">
        <f>498*10</f>
        <v>4980</v>
      </c>
      <c r="AO5375" s="32" t="s">
        <v>1533</v>
      </c>
      <c r="AQ5375" s="32" t="s">
        <v>1101</v>
      </c>
      <c r="AU5375">
        <v>5374</v>
      </c>
    </row>
    <row r="5376" spans="1:47" x14ac:dyDescent="0.2">
      <c r="A5376" s="26">
        <v>6798</v>
      </c>
      <c r="B5376" s="27" t="s">
        <v>45</v>
      </c>
      <c r="C5376" s="28"/>
      <c r="D5376" s="29"/>
      <c r="E5376" s="30" t="s">
        <v>1531</v>
      </c>
      <c r="H5376" s="32">
        <v>0</v>
      </c>
      <c r="I5376" s="32" t="s">
        <v>5875</v>
      </c>
      <c r="AG5376" s="32">
        <v>0</v>
      </c>
      <c r="AH5376" s="32">
        <v>0</v>
      </c>
      <c r="AI5376" s="32">
        <v>0</v>
      </c>
      <c r="AK5376" s="32">
        <v>0</v>
      </c>
      <c r="AM5376" s="32">
        <f>498*16</f>
        <v>7968</v>
      </c>
      <c r="AO5376" s="32" t="s">
        <v>1533</v>
      </c>
      <c r="AQ5376" s="32" t="s">
        <v>1101</v>
      </c>
      <c r="AU5376">
        <v>5375</v>
      </c>
    </row>
    <row r="5377" spans="1:47" x14ac:dyDescent="0.2">
      <c r="A5377" s="26">
        <v>6798</v>
      </c>
      <c r="B5377" s="27" t="s">
        <v>45</v>
      </c>
      <c r="C5377" s="28"/>
      <c r="D5377" s="29"/>
      <c r="E5377" s="150" t="s">
        <v>2286</v>
      </c>
      <c r="H5377" s="32">
        <v>0</v>
      </c>
      <c r="I5377" s="32" t="s">
        <v>1824</v>
      </c>
      <c r="AG5377" s="32">
        <v>0</v>
      </c>
      <c r="AH5377" s="32">
        <v>0</v>
      </c>
      <c r="AI5377" s="32">
        <v>0</v>
      </c>
      <c r="AK5377" s="32">
        <v>0</v>
      </c>
      <c r="AM5377" s="32">
        <v>3000</v>
      </c>
      <c r="AO5377" s="73" t="s">
        <v>75</v>
      </c>
      <c r="AQ5377" s="32" t="s">
        <v>589</v>
      </c>
      <c r="AU5377">
        <v>5376</v>
      </c>
    </row>
    <row r="5378" spans="1:47" x14ac:dyDescent="0.2">
      <c r="A5378" s="26">
        <v>6798</v>
      </c>
      <c r="B5378" s="27"/>
      <c r="C5378" s="28"/>
      <c r="D5378" s="29"/>
      <c r="E5378" s="30" t="s">
        <v>4469</v>
      </c>
      <c r="H5378" s="32">
        <v>0</v>
      </c>
      <c r="I5378" s="32" t="s">
        <v>6454</v>
      </c>
      <c r="AG5378" s="32">
        <v>0</v>
      </c>
      <c r="AH5378" s="32">
        <v>0</v>
      </c>
      <c r="AI5378" s="32">
        <v>0</v>
      </c>
      <c r="AK5378" s="32">
        <v>0</v>
      </c>
      <c r="AL5378" s="32">
        <f>17/60</f>
        <v>0.28333333333333333</v>
      </c>
      <c r="AO5378" s="32" t="s">
        <v>5210</v>
      </c>
      <c r="AP5378" s="32">
        <f>17/60</f>
        <v>0.28333333333333333</v>
      </c>
      <c r="AQ5378" s="32" t="s">
        <v>5211</v>
      </c>
      <c r="AU5378">
        <v>5377</v>
      </c>
    </row>
    <row r="5379" spans="1:47" x14ac:dyDescent="0.2">
      <c r="A5379" s="26">
        <v>6798</v>
      </c>
      <c r="B5379" s="27"/>
      <c r="C5379" s="28"/>
      <c r="D5379" s="29"/>
      <c r="E5379" s="30" t="s">
        <v>4469</v>
      </c>
      <c r="H5379" s="32">
        <v>0</v>
      </c>
      <c r="I5379" s="32" t="s">
        <v>6455</v>
      </c>
      <c r="AG5379" s="32">
        <v>0</v>
      </c>
      <c r="AH5379" s="32">
        <v>0</v>
      </c>
      <c r="AI5379" s="32">
        <v>0</v>
      </c>
      <c r="AK5379" s="32">
        <v>0</v>
      </c>
      <c r="AL5379" s="32">
        <f>33/60</f>
        <v>0.55000000000000004</v>
      </c>
      <c r="AO5379" s="32" t="s">
        <v>5210</v>
      </c>
      <c r="AP5379" s="32">
        <f>33/60</f>
        <v>0.55000000000000004</v>
      </c>
      <c r="AQ5379" s="32" t="s">
        <v>5211</v>
      </c>
      <c r="AU5379">
        <v>5378</v>
      </c>
    </row>
    <row r="5380" spans="1:47" x14ac:dyDescent="0.2">
      <c r="A5380" s="133">
        <v>6799</v>
      </c>
      <c r="B5380" s="39" t="s">
        <v>85</v>
      </c>
      <c r="C5380" s="39">
        <v>55</v>
      </c>
      <c r="D5380" s="29" t="b">
        <v>0</v>
      </c>
      <c r="E5380" s="39" t="s">
        <v>3542</v>
      </c>
      <c r="F5380" s="47" t="s">
        <v>6456</v>
      </c>
      <c r="G5380" s="47" t="s">
        <v>49</v>
      </c>
      <c r="H5380"/>
      <c r="I5380" s="47" t="b">
        <v>0</v>
      </c>
      <c r="J5380" s="47" t="b">
        <v>1</v>
      </c>
      <c r="K5380" s="47">
        <v>2756</v>
      </c>
      <c r="L5380" s="48">
        <v>12</v>
      </c>
      <c r="M5380" s="47">
        <v>0</v>
      </c>
      <c r="N5380" s="47">
        <v>0</v>
      </c>
      <c r="O5380" s="47">
        <v>0</v>
      </c>
      <c r="P5380" s="47">
        <v>0</v>
      </c>
      <c r="Q5380" s="47">
        <v>0</v>
      </c>
      <c r="R5380" s="47">
        <v>0</v>
      </c>
      <c r="S5380" s="48">
        <v>12</v>
      </c>
      <c r="T5380" s="47">
        <v>0</v>
      </c>
      <c r="U5380" s="47">
        <v>0</v>
      </c>
      <c r="V5380" s="47">
        <v>0</v>
      </c>
      <c r="W5380" s="47">
        <v>14000</v>
      </c>
      <c r="X5380" s="47">
        <v>798</v>
      </c>
      <c r="Y5380" s="47" t="s">
        <v>120</v>
      </c>
      <c r="Z5380" s="47" t="s">
        <v>3618</v>
      </c>
      <c r="AA5380" s="49">
        <v>0.22222222222222221</v>
      </c>
      <c r="AB5380" s="49">
        <v>0.4513888888888889</v>
      </c>
      <c r="AC5380" s="49">
        <v>0.33333333333333331</v>
      </c>
      <c r="AD5380" s="50">
        <f>(AB5380-AA5380)*24</f>
        <v>5.5</v>
      </c>
      <c r="AE5380" s="47" t="s">
        <v>5433</v>
      </c>
      <c r="AF5380" s="47">
        <v>230</v>
      </c>
      <c r="AG5380"/>
      <c r="AH5380"/>
      <c r="AI5380"/>
      <c r="AJ5380"/>
      <c r="AK5380">
        <v>30</v>
      </c>
      <c r="AL5380"/>
      <c r="AM5380"/>
      <c r="AN5380"/>
      <c r="AO5380"/>
      <c r="AP5380"/>
      <c r="AQ5380" t="s">
        <v>5434</v>
      </c>
      <c r="AU5380">
        <v>5379</v>
      </c>
    </row>
    <row r="5381" spans="1:47" x14ac:dyDescent="0.2">
      <c r="A5381" s="133">
        <v>6799</v>
      </c>
      <c r="B5381" s="39" t="s">
        <v>85</v>
      </c>
      <c r="C5381" s="39">
        <v>104</v>
      </c>
      <c r="D5381" s="29" t="b">
        <v>0</v>
      </c>
      <c r="E5381" s="39" t="s">
        <v>5791</v>
      </c>
      <c r="F5381" s="47" t="s">
        <v>529</v>
      </c>
      <c r="G5381" s="47" t="s">
        <v>205</v>
      </c>
      <c r="H5381"/>
      <c r="I5381" s="47" t="b">
        <v>0</v>
      </c>
      <c r="J5381" s="47" t="b">
        <v>1</v>
      </c>
      <c r="K5381" s="47">
        <v>2500</v>
      </c>
      <c r="L5381" s="48">
        <v>11</v>
      </c>
      <c r="M5381" s="47">
        <v>0</v>
      </c>
      <c r="N5381" s="47">
        <v>0</v>
      </c>
      <c r="O5381" s="47">
        <v>0</v>
      </c>
      <c r="P5381" s="47">
        <v>0</v>
      </c>
      <c r="Q5381" s="47">
        <v>0</v>
      </c>
      <c r="R5381" s="47">
        <v>0</v>
      </c>
      <c r="S5381" s="48">
        <v>11</v>
      </c>
      <c r="T5381" s="47">
        <v>2</v>
      </c>
      <c r="U5381" s="47">
        <v>0</v>
      </c>
      <c r="V5381" s="47">
        <v>0</v>
      </c>
      <c r="W5381" s="47">
        <v>13000</v>
      </c>
      <c r="X5381" s="47">
        <v>799</v>
      </c>
      <c r="Y5381" s="47" t="s">
        <v>120</v>
      </c>
      <c r="Z5381" s="47" t="s">
        <v>5139</v>
      </c>
      <c r="AA5381" s="49">
        <v>0.22916666666666666</v>
      </c>
      <c r="AB5381" s="49">
        <v>0.37847222222222227</v>
      </c>
      <c r="AC5381" s="49">
        <v>0.32291666666666669</v>
      </c>
      <c r="AD5381" s="50">
        <f>(AB5381-AA5381)*24</f>
        <v>3.5833333333333348</v>
      </c>
      <c r="AE5381" s="47" t="s">
        <v>5433</v>
      </c>
      <c r="AF5381" s="47">
        <v>115</v>
      </c>
      <c r="AG5381"/>
      <c r="AH5381"/>
      <c r="AI5381"/>
      <c r="AJ5381"/>
      <c r="AK5381">
        <v>16</v>
      </c>
      <c r="AL5381"/>
      <c r="AM5381"/>
      <c r="AN5381"/>
      <c r="AO5381"/>
      <c r="AP5381"/>
      <c r="AQ5381" t="s">
        <v>5485</v>
      </c>
      <c r="AU5381">
        <v>5380</v>
      </c>
    </row>
    <row r="5382" spans="1:47" x14ac:dyDescent="0.2">
      <c r="A5382" s="133">
        <v>6799</v>
      </c>
      <c r="B5382" s="39" t="s">
        <v>85</v>
      </c>
      <c r="C5382" s="39" t="s">
        <v>5533</v>
      </c>
      <c r="D5382" s="29"/>
      <c r="E5382" s="39" t="s">
        <v>788</v>
      </c>
      <c r="F5382" s="47" t="s">
        <v>714</v>
      </c>
      <c r="G5382" s="47" t="s">
        <v>49</v>
      </c>
      <c r="H5382"/>
      <c r="I5382" s="47" t="s">
        <v>6457</v>
      </c>
      <c r="J5382" s="47"/>
      <c r="K5382" s="47">
        <f>30*20*2.2</f>
        <v>1320</v>
      </c>
      <c r="L5382" s="48">
        <v>9</v>
      </c>
      <c r="M5382" s="47"/>
      <c r="N5382" s="47">
        <v>3</v>
      </c>
      <c r="O5382" s="47"/>
      <c r="P5382" s="47"/>
      <c r="Q5382" s="47"/>
      <c r="R5382" s="47"/>
      <c r="S5382" s="48">
        <v>6</v>
      </c>
      <c r="T5382" s="47">
        <v>0</v>
      </c>
      <c r="U5382" s="47">
        <v>0</v>
      </c>
      <c r="V5382" s="47">
        <v>0</v>
      </c>
      <c r="W5382" s="47"/>
      <c r="X5382" s="47"/>
      <c r="Y5382" s="47" t="s">
        <v>51</v>
      </c>
      <c r="Z5382" s="31" t="s">
        <v>3724</v>
      </c>
      <c r="AA5382" s="49"/>
      <c r="AB5382" s="49"/>
      <c r="AC5382" s="49"/>
      <c r="AD5382" s="50"/>
      <c r="AE5382" s="47" t="s">
        <v>5536</v>
      </c>
      <c r="AF5382" s="47">
        <v>70</v>
      </c>
      <c r="AG5382"/>
      <c r="AH5382"/>
      <c r="AI5382"/>
      <c r="AJ5382"/>
      <c r="AK5382">
        <v>30</v>
      </c>
      <c r="AL5382"/>
      <c r="AM5382"/>
      <c r="AN5382"/>
      <c r="AO5382"/>
      <c r="AP5382"/>
      <c r="AQ5382" t="s">
        <v>6458</v>
      </c>
      <c r="AU5382">
        <v>5381</v>
      </c>
    </row>
    <row r="5383" spans="1:47" x14ac:dyDescent="0.2">
      <c r="A5383" s="133">
        <v>6799</v>
      </c>
      <c r="B5383" s="39" t="s">
        <v>45</v>
      </c>
      <c r="C5383" s="39">
        <v>100</v>
      </c>
      <c r="D5383" s="29" t="b">
        <v>0</v>
      </c>
      <c r="E5383" s="39" t="s">
        <v>6459</v>
      </c>
      <c r="F5383" s="47" t="s">
        <v>6460</v>
      </c>
      <c r="G5383" s="47" t="s">
        <v>205</v>
      </c>
      <c r="H5383"/>
      <c r="I5383" s="47" t="b">
        <v>1</v>
      </c>
      <c r="J5383" s="47" t="b">
        <v>1</v>
      </c>
      <c r="K5383" s="47">
        <v>3142</v>
      </c>
      <c r="L5383" s="48">
        <v>11</v>
      </c>
      <c r="M5383" s="47">
        <v>0</v>
      </c>
      <c r="N5383" s="47">
        <v>0</v>
      </c>
      <c r="O5383" s="47">
        <v>0</v>
      </c>
      <c r="P5383" s="47">
        <v>0</v>
      </c>
      <c r="Q5383" s="47">
        <v>0</v>
      </c>
      <c r="R5383" s="47">
        <v>0</v>
      </c>
      <c r="S5383" s="48">
        <v>11</v>
      </c>
      <c r="T5383" s="47">
        <v>0</v>
      </c>
      <c r="U5383" s="47">
        <v>0</v>
      </c>
      <c r="V5383" s="47">
        <v>0</v>
      </c>
      <c r="W5383" s="47">
        <v>13000</v>
      </c>
      <c r="X5383" s="47">
        <v>800</v>
      </c>
      <c r="Y5383" s="47"/>
      <c r="Z5383" s="47" t="s">
        <v>2524</v>
      </c>
      <c r="AA5383" s="49"/>
      <c r="AB5383" s="49"/>
      <c r="AC5383" s="49"/>
      <c r="AD5383" s="50"/>
      <c r="AE5383" s="47" t="s">
        <v>6445</v>
      </c>
      <c r="AF5383" s="47"/>
      <c r="AG5383"/>
      <c r="AH5383"/>
      <c r="AI5383"/>
      <c r="AJ5383"/>
      <c r="AK5383"/>
      <c r="AL5383"/>
      <c r="AM5383"/>
      <c r="AN5383"/>
      <c r="AO5383"/>
      <c r="AP5383"/>
      <c r="AQ5383" t="s">
        <v>2526</v>
      </c>
      <c r="AU5383">
        <v>5382</v>
      </c>
    </row>
    <row r="5384" spans="1:47" x14ac:dyDescent="0.2">
      <c r="A5384" s="133">
        <v>6799</v>
      </c>
      <c r="B5384" s="39" t="s">
        <v>45</v>
      </c>
      <c r="C5384" s="39">
        <v>100</v>
      </c>
      <c r="D5384" s="29" t="b">
        <v>0</v>
      </c>
      <c r="E5384" s="39" t="s">
        <v>153</v>
      </c>
      <c r="F5384" s="47" t="s">
        <v>6461</v>
      </c>
      <c r="G5384" s="47" t="s">
        <v>49</v>
      </c>
      <c r="H5384"/>
      <c r="I5384" s="47" t="b">
        <v>0</v>
      </c>
      <c r="J5384" s="47" t="b">
        <v>0</v>
      </c>
      <c r="K5384" s="47">
        <v>624</v>
      </c>
      <c r="L5384" s="48">
        <v>2</v>
      </c>
      <c r="M5384" s="47">
        <v>0</v>
      </c>
      <c r="N5384" s="47">
        <v>0</v>
      </c>
      <c r="O5384" s="47">
        <v>0</v>
      </c>
      <c r="P5384" s="47">
        <v>0</v>
      </c>
      <c r="Q5384" s="47">
        <v>0</v>
      </c>
      <c r="R5384" s="47">
        <v>0</v>
      </c>
      <c r="S5384" s="48">
        <v>2</v>
      </c>
      <c r="T5384" s="47">
        <v>0</v>
      </c>
      <c r="U5384" s="47">
        <v>0</v>
      </c>
      <c r="V5384" s="47">
        <v>0</v>
      </c>
      <c r="W5384" s="47">
        <v>13000</v>
      </c>
      <c r="X5384" s="47">
        <v>801</v>
      </c>
      <c r="Y5384" s="47"/>
      <c r="Z5384" s="47" t="s">
        <v>2524</v>
      </c>
      <c r="AA5384" s="49"/>
      <c r="AB5384" s="49"/>
      <c r="AC5384" s="49"/>
      <c r="AD5384" s="50"/>
      <c r="AE5384" s="47" t="s">
        <v>6445</v>
      </c>
      <c r="AF5384" s="47">
        <v>45</v>
      </c>
      <c r="AG5384"/>
      <c r="AH5384"/>
      <c r="AI5384"/>
      <c r="AJ5384"/>
      <c r="AK5384"/>
      <c r="AL5384"/>
      <c r="AM5384"/>
      <c r="AN5384"/>
      <c r="AO5384"/>
      <c r="AP5384"/>
      <c r="AQ5384" t="s">
        <v>2526</v>
      </c>
      <c r="AU5384">
        <v>5383</v>
      </c>
    </row>
    <row r="5385" spans="1:47" x14ac:dyDescent="0.2">
      <c r="A5385" s="133">
        <v>6799</v>
      </c>
      <c r="B5385" s="39" t="s">
        <v>45</v>
      </c>
      <c r="C5385" s="39">
        <v>100</v>
      </c>
      <c r="D5385" s="29" t="b">
        <v>0</v>
      </c>
      <c r="E5385" s="39" t="s">
        <v>1551</v>
      </c>
      <c r="F5385" s="47" t="s">
        <v>529</v>
      </c>
      <c r="G5385" s="47" t="s">
        <v>205</v>
      </c>
      <c r="H5385"/>
      <c r="I5385" s="47" t="b">
        <v>0</v>
      </c>
      <c r="J5385" s="47" t="b">
        <v>0</v>
      </c>
      <c r="K5385" s="47">
        <v>2206</v>
      </c>
      <c r="L5385" s="48">
        <v>8</v>
      </c>
      <c r="M5385" s="47">
        <v>0</v>
      </c>
      <c r="N5385" s="47">
        <v>0</v>
      </c>
      <c r="O5385" s="47">
        <v>0</v>
      </c>
      <c r="P5385" s="47">
        <v>0</v>
      </c>
      <c r="Q5385" s="47">
        <v>0</v>
      </c>
      <c r="R5385" s="47">
        <v>0</v>
      </c>
      <c r="S5385" s="48">
        <v>8</v>
      </c>
      <c r="T5385" s="47">
        <v>0</v>
      </c>
      <c r="U5385" s="47">
        <v>0</v>
      </c>
      <c r="V5385" s="47">
        <v>0</v>
      </c>
      <c r="W5385" s="47">
        <v>13000</v>
      </c>
      <c r="X5385" s="47">
        <v>802</v>
      </c>
      <c r="Y5385" s="47"/>
      <c r="Z5385" s="47" t="s">
        <v>2524</v>
      </c>
      <c r="AA5385" s="49"/>
      <c r="AB5385" s="49"/>
      <c r="AC5385" s="49"/>
      <c r="AD5385" s="50"/>
      <c r="AE5385" s="47" t="s">
        <v>6445</v>
      </c>
      <c r="AF5385" s="47">
        <v>55</v>
      </c>
      <c r="AG5385"/>
      <c r="AH5385"/>
      <c r="AI5385"/>
      <c r="AJ5385"/>
      <c r="AK5385"/>
      <c r="AL5385"/>
      <c r="AM5385"/>
      <c r="AN5385"/>
      <c r="AO5385"/>
      <c r="AP5385"/>
      <c r="AQ5385" t="s">
        <v>2526</v>
      </c>
      <c r="AU5385">
        <v>5384</v>
      </c>
    </row>
    <row r="5386" spans="1:47" x14ac:dyDescent="0.2">
      <c r="A5386" s="133">
        <v>6799</v>
      </c>
      <c r="B5386" s="39" t="s">
        <v>45</v>
      </c>
      <c r="C5386" s="39">
        <v>100</v>
      </c>
      <c r="D5386" s="29" t="b">
        <v>0</v>
      </c>
      <c r="E5386" s="39" t="s">
        <v>2434</v>
      </c>
      <c r="F5386" s="47" t="s">
        <v>57</v>
      </c>
      <c r="G5386" s="47" t="s">
        <v>49</v>
      </c>
      <c r="H5386"/>
      <c r="I5386" s="47" t="b">
        <v>0</v>
      </c>
      <c r="J5386" s="47" t="b">
        <v>0</v>
      </c>
      <c r="K5386" s="47">
        <v>312</v>
      </c>
      <c r="L5386" s="48">
        <v>1</v>
      </c>
      <c r="M5386" s="47">
        <v>0</v>
      </c>
      <c r="N5386" s="47">
        <v>0</v>
      </c>
      <c r="O5386" s="47">
        <v>0</v>
      </c>
      <c r="P5386" s="47">
        <v>0</v>
      </c>
      <c r="Q5386" s="47">
        <v>0</v>
      </c>
      <c r="R5386" s="47">
        <v>0</v>
      </c>
      <c r="S5386" s="48">
        <v>1</v>
      </c>
      <c r="T5386" s="47">
        <v>0</v>
      </c>
      <c r="U5386" s="47">
        <v>0</v>
      </c>
      <c r="V5386" s="47">
        <v>0</v>
      </c>
      <c r="W5386" s="47">
        <v>13000</v>
      </c>
      <c r="X5386" s="47">
        <v>803</v>
      </c>
      <c r="Y5386" s="47"/>
      <c r="Z5386" s="47" t="s">
        <v>2524</v>
      </c>
      <c r="AA5386" s="49"/>
      <c r="AB5386" s="49"/>
      <c r="AC5386" s="49"/>
      <c r="AD5386" s="50"/>
      <c r="AE5386" s="47" t="s">
        <v>6445</v>
      </c>
      <c r="AF5386" s="47"/>
      <c r="AG5386"/>
      <c r="AH5386"/>
      <c r="AI5386"/>
      <c r="AJ5386"/>
      <c r="AK5386"/>
      <c r="AL5386"/>
      <c r="AM5386"/>
      <c r="AN5386"/>
      <c r="AO5386"/>
      <c r="AP5386"/>
      <c r="AQ5386" t="s">
        <v>2526</v>
      </c>
      <c r="AU5386">
        <v>5385</v>
      </c>
    </row>
    <row r="5387" spans="1:47" x14ac:dyDescent="0.2">
      <c r="A5387" s="13">
        <v>6799</v>
      </c>
      <c r="B5387" s="57" t="s">
        <v>45</v>
      </c>
      <c r="C5387" s="57" t="s">
        <v>142</v>
      </c>
      <c r="D5387" s="29"/>
      <c r="E5387" s="57" t="s">
        <v>6462</v>
      </c>
      <c r="F5387" s="31" t="s">
        <v>6463</v>
      </c>
      <c r="G5387" s="31" t="s">
        <v>69</v>
      </c>
      <c r="I5387" s="47" t="b">
        <v>1</v>
      </c>
      <c r="J5387" s="47" t="b">
        <v>1</v>
      </c>
      <c r="K5387" s="31">
        <f>2600*2.2</f>
        <v>5720.0000000000009</v>
      </c>
      <c r="L5387" s="33">
        <v>15</v>
      </c>
      <c r="N5387" s="31">
        <v>6</v>
      </c>
      <c r="S5387" s="33">
        <v>9</v>
      </c>
      <c r="T5387" s="31">
        <v>0</v>
      </c>
      <c r="U5387" s="31">
        <v>2</v>
      </c>
      <c r="V5387" s="31">
        <v>0</v>
      </c>
      <c r="Y5387" s="31" t="s">
        <v>51</v>
      </c>
      <c r="Z5387" s="31" t="s">
        <v>5406</v>
      </c>
      <c r="AE5387" s="47" t="s">
        <v>4217</v>
      </c>
      <c r="AK5387" s="32">
        <f>9+2+47+1+2+2+23</f>
        <v>86</v>
      </c>
      <c r="AQ5387" s="32" t="s">
        <v>6464</v>
      </c>
      <c r="AR5387" s="32" t="s">
        <v>6465</v>
      </c>
      <c r="AU5387">
        <v>5386</v>
      </c>
    </row>
    <row r="5388" spans="1:47" x14ac:dyDescent="0.2">
      <c r="A5388" s="13">
        <v>6799</v>
      </c>
      <c r="B5388" s="57" t="s">
        <v>45</v>
      </c>
      <c r="C5388" s="57" t="s">
        <v>142</v>
      </c>
      <c r="D5388" s="29"/>
      <c r="E5388" s="57" t="s">
        <v>6466</v>
      </c>
      <c r="F5388" s="31" t="s">
        <v>6354</v>
      </c>
      <c r="G5388" s="31" t="s">
        <v>69</v>
      </c>
      <c r="I5388" s="47" t="b">
        <v>0</v>
      </c>
      <c r="J5388" s="47" t="b">
        <v>0</v>
      </c>
      <c r="K5388" s="31">
        <v>3355</v>
      </c>
      <c r="S5388" s="33">
        <v>5</v>
      </c>
      <c r="AE5388" s="47" t="s">
        <v>4217</v>
      </c>
      <c r="AK5388" s="32">
        <v>49</v>
      </c>
      <c r="AQ5388" s="32" t="s">
        <v>6352</v>
      </c>
      <c r="AU5388">
        <v>5387</v>
      </c>
    </row>
    <row r="5389" spans="1:47" x14ac:dyDescent="0.2">
      <c r="A5389" s="13">
        <v>6799</v>
      </c>
      <c r="B5389" s="57" t="s">
        <v>45</v>
      </c>
      <c r="C5389" s="57" t="s">
        <v>142</v>
      </c>
      <c r="D5389" s="29"/>
      <c r="E5389" s="57" t="s">
        <v>1064</v>
      </c>
      <c r="F5389" s="31" t="s">
        <v>76</v>
      </c>
      <c r="G5389" s="31" t="s">
        <v>49</v>
      </c>
      <c r="I5389" s="47" t="b">
        <v>0</v>
      </c>
      <c r="J5389" s="47" t="b">
        <v>0</v>
      </c>
      <c r="K5389" s="31">
        <v>1078</v>
      </c>
      <c r="S5389" s="33">
        <v>2</v>
      </c>
      <c r="AE5389" s="47" t="s">
        <v>4217</v>
      </c>
      <c r="AF5389" s="31">
        <v>60</v>
      </c>
      <c r="AK5389" s="32">
        <v>19</v>
      </c>
      <c r="AQ5389" s="32" t="s">
        <v>6352</v>
      </c>
      <c r="AU5389">
        <v>5388</v>
      </c>
    </row>
    <row r="5390" spans="1:47" x14ac:dyDescent="0.2">
      <c r="A5390" s="13">
        <v>6799</v>
      </c>
      <c r="B5390" s="57" t="s">
        <v>45</v>
      </c>
      <c r="C5390" s="57" t="s">
        <v>142</v>
      </c>
      <c r="D5390" s="29"/>
      <c r="E5390" s="57" t="s">
        <v>1078</v>
      </c>
      <c r="F5390" s="31" t="s">
        <v>76</v>
      </c>
      <c r="G5390" s="31" t="s">
        <v>49</v>
      </c>
      <c r="I5390" s="47" t="b">
        <v>0</v>
      </c>
      <c r="J5390" s="47" t="b">
        <v>0</v>
      </c>
      <c r="K5390" s="31">
        <v>1287</v>
      </c>
      <c r="S5390" s="33">
        <v>2</v>
      </c>
      <c r="AE5390" s="47" t="s">
        <v>4217</v>
      </c>
      <c r="AF5390" s="31">
        <v>70</v>
      </c>
      <c r="AK5390" s="32">
        <v>18</v>
      </c>
      <c r="AQ5390" s="32" t="s">
        <v>6352</v>
      </c>
      <c r="AU5390">
        <v>5389</v>
      </c>
    </row>
    <row r="5391" spans="1:47" x14ac:dyDescent="0.2">
      <c r="A5391" s="13">
        <v>6799</v>
      </c>
      <c r="B5391" s="57" t="s">
        <v>45</v>
      </c>
      <c r="C5391" s="57" t="s">
        <v>4843</v>
      </c>
      <c r="D5391" s="29"/>
      <c r="E5391" s="57" t="s">
        <v>5882</v>
      </c>
      <c r="F5391" s="31" t="s">
        <v>76</v>
      </c>
      <c r="G5391" s="31" t="s">
        <v>49</v>
      </c>
      <c r="K5391" s="31">
        <v>1606</v>
      </c>
      <c r="S5391" s="33">
        <v>3</v>
      </c>
      <c r="Z5391" s="31" t="s">
        <v>3814</v>
      </c>
      <c r="AE5391" s="31" t="s">
        <v>4411</v>
      </c>
      <c r="AF5391" s="31">
        <v>65</v>
      </c>
      <c r="AK5391" s="32">
        <v>18</v>
      </c>
      <c r="AQ5391" s="32" t="s">
        <v>6352</v>
      </c>
      <c r="AU5391">
        <v>5390</v>
      </c>
    </row>
    <row r="5392" spans="1:47" x14ac:dyDescent="0.2">
      <c r="A5392" s="13">
        <v>6799</v>
      </c>
      <c r="B5392" s="57" t="s">
        <v>45</v>
      </c>
      <c r="C5392" s="57" t="s">
        <v>4843</v>
      </c>
      <c r="D5392" s="29"/>
      <c r="E5392" s="57" t="s">
        <v>1064</v>
      </c>
      <c r="F5392" s="31" t="s">
        <v>76</v>
      </c>
      <c r="G5392" s="31" t="s">
        <v>49</v>
      </c>
      <c r="K5392" s="31">
        <v>1661</v>
      </c>
      <c r="S5392" s="33">
        <v>3</v>
      </c>
      <c r="Z5392" s="31" t="s">
        <v>3814</v>
      </c>
      <c r="AE5392" s="31" t="s">
        <v>4411</v>
      </c>
      <c r="AF5392" s="31">
        <v>55</v>
      </c>
      <c r="AK5392" s="32">
        <v>24</v>
      </c>
      <c r="AQ5392" s="32" t="s">
        <v>6352</v>
      </c>
      <c r="AU5392">
        <v>5391</v>
      </c>
    </row>
    <row r="5393" spans="1:47" x14ac:dyDescent="0.2">
      <c r="A5393" s="13">
        <v>6799</v>
      </c>
      <c r="B5393" s="57" t="s">
        <v>45</v>
      </c>
      <c r="C5393" s="57" t="s">
        <v>4843</v>
      </c>
      <c r="D5393" s="29"/>
      <c r="E5393" s="57" t="s">
        <v>3936</v>
      </c>
      <c r="F5393" s="31" t="s">
        <v>76</v>
      </c>
      <c r="G5393" s="31" t="s">
        <v>49</v>
      </c>
      <c r="K5393" s="31">
        <v>2244</v>
      </c>
      <c r="S5393" s="33">
        <v>4</v>
      </c>
      <c r="Z5393" s="31" t="s">
        <v>3814</v>
      </c>
      <c r="AE5393" s="31" t="s">
        <v>4411</v>
      </c>
      <c r="AF5393" s="31">
        <v>60</v>
      </c>
      <c r="AK5393" s="32">
        <v>31</v>
      </c>
      <c r="AQ5393" s="32" t="s">
        <v>6352</v>
      </c>
      <c r="AU5393">
        <v>5392</v>
      </c>
    </row>
    <row r="5394" spans="1:47" x14ac:dyDescent="0.2">
      <c r="A5394" s="13">
        <v>6799</v>
      </c>
      <c r="B5394" s="57" t="s">
        <v>45</v>
      </c>
      <c r="C5394" s="57" t="s">
        <v>4843</v>
      </c>
      <c r="D5394" s="29"/>
      <c r="E5394" s="57" t="s">
        <v>6466</v>
      </c>
      <c r="F5394" s="31" t="s">
        <v>6354</v>
      </c>
      <c r="G5394" s="31" t="s">
        <v>69</v>
      </c>
      <c r="K5394" s="31">
        <v>2376</v>
      </c>
      <c r="S5394" s="33">
        <v>5</v>
      </c>
      <c r="Z5394" s="31" t="s">
        <v>3814</v>
      </c>
      <c r="AE5394" s="31" t="s">
        <v>4411</v>
      </c>
      <c r="AF5394" s="31">
        <v>65</v>
      </c>
      <c r="AK5394" s="32">
        <v>40</v>
      </c>
      <c r="AQ5394" s="32" t="s">
        <v>6352</v>
      </c>
      <c r="AU5394">
        <v>5393</v>
      </c>
    </row>
    <row r="5395" spans="1:47" x14ac:dyDescent="0.2">
      <c r="A5395" s="13">
        <v>6799</v>
      </c>
      <c r="B5395" s="57" t="s">
        <v>45</v>
      </c>
      <c r="C5395" s="57" t="s">
        <v>4843</v>
      </c>
      <c r="D5395" s="29"/>
      <c r="E5395" s="57" t="s">
        <v>1078</v>
      </c>
      <c r="F5395" s="31" t="s">
        <v>76</v>
      </c>
      <c r="G5395" s="31" t="s">
        <v>49</v>
      </c>
      <c r="K5395" s="31">
        <v>2706</v>
      </c>
      <c r="S5395" s="33">
        <v>6</v>
      </c>
      <c r="Z5395" s="31" t="s">
        <v>3814</v>
      </c>
      <c r="AE5395" s="31" t="s">
        <v>4411</v>
      </c>
      <c r="AF5395" s="31">
        <v>70</v>
      </c>
      <c r="AK5395" s="32">
        <v>63</v>
      </c>
      <c r="AQ5395" s="32" t="s">
        <v>6352</v>
      </c>
      <c r="AU5395">
        <v>5394</v>
      </c>
    </row>
    <row r="5396" spans="1:47" x14ac:dyDescent="0.2">
      <c r="A5396" s="13">
        <v>6799</v>
      </c>
      <c r="B5396" s="57" t="s">
        <v>45</v>
      </c>
      <c r="C5396" s="57" t="s">
        <v>4179</v>
      </c>
      <c r="D5396" s="29"/>
      <c r="E5396" s="57" t="s">
        <v>6406</v>
      </c>
      <c r="F5396" s="31" t="s">
        <v>83</v>
      </c>
      <c r="G5396" s="31" t="s">
        <v>69</v>
      </c>
      <c r="I5396" s="31" t="s">
        <v>6407</v>
      </c>
      <c r="K5396" s="63"/>
      <c r="Z5396" s="31" t="s">
        <v>3814</v>
      </c>
      <c r="AE5396" s="31" t="s">
        <v>4892</v>
      </c>
      <c r="AF5396" s="31">
        <v>70</v>
      </c>
      <c r="AQ5396" s="32" t="s">
        <v>6142</v>
      </c>
      <c r="AU5396">
        <v>5395</v>
      </c>
    </row>
    <row r="5397" spans="1:47" x14ac:dyDescent="0.2">
      <c r="A5397" s="13">
        <v>6799</v>
      </c>
      <c r="B5397" s="57" t="s">
        <v>45</v>
      </c>
      <c r="C5397" s="57" t="s">
        <v>4179</v>
      </c>
      <c r="D5397" s="29"/>
      <c r="E5397" s="57" t="s">
        <v>124</v>
      </c>
      <c r="F5397" s="31" t="s">
        <v>76</v>
      </c>
      <c r="G5397" s="31" t="s">
        <v>49</v>
      </c>
      <c r="I5397" s="31" t="s">
        <v>6408</v>
      </c>
      <c r="K5397" s="63"/>
      <c r="Z5397" s="31" t="s">
        <v>3814</v>
      </c>
      <c r="AE5397" s="31" t="s">
        <v>4892</v>
      </c>
      <c r="AF5397" s="31">
        <v>90</v>
      </c>
      <c r="AQ5397" s="32" t="s">
        <v>6142</v>
      </c>
      <c r="AU5397">
        <v>5396</v>
      </c>
    </row>
    <row r="5398" spans="1:47" x14ac:dyDescent="0.2">
      <c r="A5398" s="13">
        <v>6799</v>
      </c>
      <c r="B5398" s="57" t="s">
        <v>45</v>
      </c>
      <c r="C5398" s="57" t="s">
        <v>4179</v>
      </c>
      <c r="D5398" s="29"/>
      <c r="E5398" s="57" t="s">
        <v>1576</v>
      </c>
      <c r="F5398" s="31" t="s">
        <v>76</v>
      </c>
      <c r="G5398" s="31" t="s">
        <v>49</v>
      </c>
      <c r="I5398" s="31" t="s">
        <v>6423</v>
      </c>
      <c r="K5398" s="63"/>
      <c r="Z5398" s="31" t="s">
        <v>3814</v>
      </c>
      <c r="AE5398" s="31" t="s">
        <v>4892</v>
      </c>
      <c r="AF5398" s="31">
        <v>65</v>
      </c>
      <c r="AQ5398" s="32" t="s">
        <v>6142</v>
      </c>
      <c r="AU5398">
        <v>5397</v>
      </c>
    </row>
    <row r="5399" spans="1:47" x14ac:dyDescent="0.2">
      <c r="A5399" s="13">
        <v>6799</v>
      </c>
      <c r="B5399" s="57" t="s">
        <v>45</v>
      </c>
      <c r="C5399" s="57" t="s">
        <v>5860</v>
      </c>
      <c r="D5399" s="29"/>
      <c r="E5399" s="57" t="s">
        <v>6467</v>
      </c>
      <c r="F5399" s="31" t="s">
        <v>76</v>
      </c>
      <c r="G5399" s="31" t="s">
        <v>49</v>
      </c>
      <c r="K5399" s="31">
        <v>880</v>
      </c>
      <c r="S5399" s="33">
        <v>2</v>
      </c>
      <c r="AE5399" s="31" t="s">
        <v>6393</v>
      </c>
      <c r="AK5399" s="32">
        <v>16</v>
      </c>
      <c r="AQ5399" s="32" t="s">
        <v>6142</v>
      </c>
      <c r="AU5399">
        <v>5398</v>
      </c>
    </row>
    <row r="5400" spans="1:47" x14ac:dyDescent="0.2">
      <c r="A5400" s="13">
        <v>6799</v>
      </c>
      <c r="B5400" s="57" t="s">
        <v>45</v>
      </c>
      <c r="C5400" s="57" t="s">
        <v>5860</v>
      </c>
      <c r="D5400" s="29"/>
      <c r="E5400" s="57" t="s">
        <v>4881</v>
      </c>
      <c r="F5400" s="31" t="s">
        <v>76</v>
      </c>
      <c r="G5400" s="31" t="s">
        <v>49</v>
      </c>
      <c r="I5400" s="31" t="s">
        <v>6410</v>
      </c>
      <c r="K5400" s="63"/>
      <c r="AE5400" s="31" t="s">
        <v>6393</v>
      </c>
      <c r="AF5400" s="31">
        <v>85</v>
      </c>
      <c r="AQ5400" s="32" t="s">
        <v>6142</v>
      </c>
      <c r="AU5400">
        <v>5399</v>
      </c>
    </row>
    <row r="5401" spans="1:47" x14ac:dyDescent="0.2">
      <c r="A5401" s="13">
        <v>6799</v>
      </c>
      <c r="B5401" s="57" t="s">
        <v>45</v>
      </c>
      <c r="C5401" s="57" t="s">
        <v>5860</v>
      </c>
      <c r="D5401" s="29"/>
      <c r="E5401" s="57" t="s">
        <v>447</v>
      </c>
      <c r="F5401" s="31" t="s">
        <v>76</v>
      </c>
      <c r="G5401" s="31" t="s">
        <v>49</v>
      </c>
      <c r="I5401" s="31" t="s">
        <v>6425</v>
      </c>
      <c r="K5401" s="63"/>
      <c r="AE5401" s="31" t="s">
        <v>6393</v>
      </c>
      <c r="AF5401" s="31">
        <v>115</v>
      </c>
      <c r="AQ5401" s="32" t="s">
        <v>6142</v>
      </c>
      <c r="AU5401">
        <v>5400</v>
      </c>
    </row>
    <row r="5402" spans="1:47" x14ac:dyDescent="0.2">
      <c r="A5402" s="13">
        <v>6799</v>
      </c>
      <c r="B5402" s="57" t="s">
        <v>45</v>
      </c>
      <c r="C5402" s="57" t="s">
        <v>5860</v>
      </c>
      <c r="D5402" s="29"/>
      <c r="E5402" s="57" t="s">
        <v>6390</v>
      </c>
      <c r="F5402" s="31" t="s">
        <v>6391</v>
      </c>
      <c r="G5402" s="31" t="s">
        <v>69</v>
      </c>
      <c r="I5402" s="31" t="s">
        <v>6392</v>
      </c>
      <c r="K5402" s="63"/>
      <c r="AE5402" s="31" t="s">
        <v>6393</v>
      </c>
      <c r="AF5402" s="31">
        <v>100</v>
      </c>
      <c r="AQ5402" s="32" t="s">
        <v>6142</v>
      </c>
      <c r="AU5402">
        <v>5401</v>
      </c>
    </row>
    <row r="5403" spans="1:47" x14ac:dyDescent="0.2">
      <c r="A5403" s="26">
        <v>6799</v>
      </c>
      <c r="B5403" s="27">
        <v>0.3347222222222222</v>
      </c>
      <c r="C5403" s="28"/>
      <c r="D5403" s="29"/>
      <c r="E5403" s="30" t="s">
        <v>3737</v>
      </c>
      <c r="H5403" s="32">
        <v>0</v>
      </c>
      <c r="I5403" s="32" t="s">
        <v>6468</v>
      </c>
      <c r="AG5403" s="32">
        <v>0</v>
      </c>
      <c r="AH5403" s="32">
        <v>0</v>
      </c>
      <c r="AI5403" s="32">
        <v>0</v>
      </c>
      <c r="AK5403" s="32">
        <v>0</v>
      </c>
      <c r="AL5403" s="32">
        <f>81/60</f>
        <v>1.35</v>
      </c>
      <c r="AM5403" s="33">
        <f>(3125+3691)*AL5403</f>
        <v>9201.6</v>
      </c>
      <c r="AP5403" s="32">
        <f>81/60</f>
        <v>1.35</v>
      </c>
      <c r="AQ5403" s="32" t="s">
        <v>1101</v>
      </c>
      <c r="AU5403">
        <v>5402</v>
      </c>
    </row>
    <row r="5404" spans="1:47" x14ac:dyDescent="0.2">
      <c r="A5404" s="26">
        <v>6799</v>
      </c>
      <c r="B5404" s="27">
        <v>0.35486111111111113</v>
      </c>
      <c r="C5404" s="28"/>
      <c r="D5404" s="29"/>
      <c r="E5404" s="30" t="s">
        <v>2964</v>
      </c>
      <c r="H5404" s="32">
        <v>0</v>
      </c>
      <c r="I5404" s="32" t="s">
        <v>4158</v>
      </c>
      <c r="AG5404" s="32">
        <v>0</v>
      </c>
      <c r="AH5404" s="32">
        <v>0</v>
      </c>
      <c r="AI5404" s="32">
        <v>0</v>
      </c>
      <c r="AK5404" s="32">
        <v>0</v>
      </c>
      <c r="AL5404" s="32">
        <f>59/60</f>
        <v>0.98333333333333328</v>
      </c>
      <c r="AP5404" s="32">
        <f>59/60</f>
        <v>0.98333333333333328</v>
      </c>
      <c r="AQ5404" s="32" t="s">
        <v>1101</v>
      </c>
      <c r="AU5404">
        <v>5403</v>
      </c>
    </row>
    <row r="5405" spans="1:47" x14ac:dyDescent="0.2">
      <c r="A5405" s="26">
        <v>6799</v>
      </c>
      <c r="B5405" s="27">
        <v>0.40208333333333335</v>
      </c>
      <c r="C5405" s="28"/>
      <c r="D5405" s="45"/>
      <c r="E5405" s="182" t="s">
        <v>3155</v>
      </c>
      <c r="H5405" s="32">
        <v>0</v>
      </c>
      <c r="I5405" s="32" t="s">
        <v>6469</v>
      </c>
      <c r="AG5405" s="32">
        <v>0</v>
      </c>
      <c r="AH5405" s="32">
        <v>0</v>
      </c>
      <c r="AI5405" s="32">
        <v>0</v>
      </c>
      <c r="AK5405" s="32">
        <v>0</v>
      </c>
      <c r="AP5405" s="32">
        <f>46/60</f>
        <v>0.76666666666666672</v>
      </c>
      <c r="AQ5405" s="32" t="s">
        <v>1101</v>
      </c>
      <c r="AU5405">
        <v>5404</v>
      </c>
    </row>
    <row r="5406" spans="1:47" x14ac:dyDescent="0.2">
      <c r="A5406" s="26">
        <v>6799</v>
      </c>
      <c r="B5406" s="27" t="s">
        <v>85</v>
      </c>
      <c r="C5406" s="28"/>
      <c r="D5406" s="29"/>
      <c r="E5406" s="30" t="s">
        <v>2478</v>
      </c>
      <c r="H5406" s="32">
        <v>1</v>
      </c>
      <c r="I5406" s="32" t="s">
        <v>6470</v>
      </c>
      <c r="AG5406" s="32">
        <v>16</v>
      </c>
      <c r="AH5406" s="32">
        <v>26</v>
      </c>
      <c r="AI5406" s="32">
        <v>703539.49329359166</v>
      </c>
      <c r="AK5406" s="32">
        <v>33</v>
      </c>
      <c r="AQ5406" s="32" t="s">
        <v>6471</v>
      </c>
      <c r="AU5406">
        <v>5405</v>
      </c>
    </row>
    <row r="5407" spans="1:47" x14ac:dyDescent="0.2">
      <c r="A5407" s="26">
        <v>6799</v>
      </c>
      <c r="B5407" s="27"/>
      <c r="C5407" s="28"/>
      <c r="D5407" s="29"/>
      <c r="E5407" s="30" t="s">
        <v>153</v>
      </c>
      <c r="H5407" s="32">
        <v>1</v>
      </c>
      <c r="I5407" s="32"/>
      <c r="AG5407" s="32">
        <v>0</v>
      </c>
      <c r="AH5407" s="32">
        <v>0</v>
      </c>
      <c r="AJ5407" s="32">
        <v>0</v>
      </c>
      <c r="AK5407" s="32">
        <v>17</v>
      </c>
      <c r="AO5407" s="46" t="s">
        <v>155</v>
      </c>
      <c r="AP5407" s="46"/>
      <c r="AQ5407" s="32">
        <v>448</v>
      </c>
      <c r="AU5407">
        <v>5406</v>
      </c>
    </row>
    <row r="5408" spans="1:47" x14ac:dyDescent="0.2">
      <c r="A5408" s="26">
        <v>6799</v>
      </c>
      <c r="B5408" s="27"/>
      <c r="C5408" s="28"/>
      <c r="D5408" s="29"/>
      <c r="E5408" s="30" t="s">
        <v>4469</v>
      </c>
      <c r="H5408" s="32">
        <v>0</v>
      </c>
      <c r="I5408" s="32" t="s">
        <v>6472</v>
      </c>
      <c r="AG5408" s="32">
        <v>0</v>
      </c>
      <c r="AH5408" s="32">
        <v>0</v>
      </c>
      <c r="AI5408" s="32">
        <v>0</v>
      </c>
      <c r="AK5408" s="32">
        <v>0</v>
      </c>
      <c r="AL5408" s="32">
        <f>82/60</f>
        <v>1.3666666666666667</v>
      </c>
      <c r="AO5408" s="32" t="s">
        <v>5210</v>
      </c>
      <c r="AP5408" s="32">
        <f>82/60</f>
        <v>1.3666666666666667</v>
      </c>
      <c r="AQ5408" s="32" t="s">
        <v>5211</v>
      </c>
      <c r="AU5408">
        <v>5407</v>
      </c>
    </row>
    <row r="5409" spans="1:47" x14ac:dyDescent="0.2">
      <c r="A5409" s="133">
        <v>6800</v>
      </c>
      <c r="B5409" s="39" t="s">
        <v>85</v>
      </c>
      <c r="C5409" s="39">
        <v>55</v>
      </c>
      <c r="D5409" s="29" t="b">
        <v>0</v>
      </c>
      <c r="E5409" s="39" t="s">
        <v>3575</v>
      </c>
      <c r="F5409" s="47" t="s">
        <v>529</v>
      </c>
      <c r="G5409" s="47" t="s">
        <v>205</v>
      </c>
      <c r="H5409"/>
      <c r="I5409" s="47" t="b">
        <v>0</v>
      </c>
      <c r="J5409" s="47" t="b">
        <v>1</v>
      </c>
      <c r="K5409" s="47">
        <v>2308</v>
      </c>
      <c r="L5409" s="48">
        <v>10</v>
      </c>
      <c r="M5409" s="47">
        <v>0</v>
      </c>
      <c r="N5409" s="47">
        <v>0</v>
      </c>
      <c r="O5409" s="47">
        <v>0</v>
      </c>
      <c r="P5409" s="47">
        <v>0</v>
      </c>
      <c r="Q5409" s="47">
        <v>0</v>
      </c>
      <c r="R5409" s="47">
        <v>0</v>
      </c>
      <c r="S5409" s="48">
        <v>10</v>
      </c>
      <c r="T5409" s="47">
        <v>0</v>
      </c>
      <c r="U5409" s="47">
        <v>0</v>
      </c>
      <c r="V5409" s="47">
        <v>0</v>
      </c>
      <c r="W5409" s="47">
        <v>14000</v>
      </c>
      <c r="X5409" s="47">
        <v>804</v>
      </c>
      <c r="Y5409" s="47" t="s">
        <v>120</v>
      </c>
      <c r="Z5409" s="47" t="s">
        <v>3618</v>
      </c>
      <c r="AA5409" s="49">
        <v>0.47222222222222227</v>
      </c>
      <c r="AB5409" s="49">
        <v>0.59722222222222221</v>
      </c>
      <c r="AC5409" s="49">
        <v>0.53125</v>
      </c>
      <c r="AD5409" s="50">
        <f>(AB5409-AA5409)*24</f>
        <v>2.9999999999999987</v>
      </c>
      <c r="AE5409" s="47" t="s">
        <v>5433</v>
      </c>
      <c r="AF5409" s="47">
        <v>140</v>
      </c>
      <c r="AG5409"/>
      <c r="AH5409"/>
      <c r="AI5409"/>
      <c r="AJ5409"/>
      <c r="AK5409">
        <v>26</v>
      </c>
      <c r="AL5409"/>
      <c r="AM5409"/>
      <c r="AN5409"/>
      <c r="AO5409"/>
      <c r="AP5409"/>
      <c r="AQ5409" t="s">
        <v>5434</v>
      </c>
      <c r="AU5409">
        <v>5408</v>
      </c>
    </row>
    <row r="5410" spans="1:47" x14ac:dyDescent="0.2">
      <c r="A5410" s="133">
        <v>6800</v>
      </c>
      <c r="B5410" s="39" t="s">
        <v>85</v>
      </c>
      <c r="C5410" s="39">
        <v>104</v>
      </c>
      <c r="D5410" s="29" t="b">
        <v>0</v>
      </c>
      <c r="E5410" s="39" t="s">
        <v>1764</v>
      </c>
      <c r="F5410" s="47" t="s">
        <v>5810</v>
      </c>
      <c r="G5410" s="47" t="s">
        <v>49</v>
      </c>
      <c r="H5410"/>
      <c r="I5410" s="47" t="b">
        <v>0</v>
      </c>
      <c r="J5410" s="47" t="b">
        <v>1</v>
      </c>
      <c r="K5410" s="47">
        <v>2500</v>
      </c>
      <c r="L5410" s="48">
        <v>12</v>
      </c>
      <c r="M5410" s="47">
        <v>0</v>
      </c>
      <c r="N5410" s="47">
        <v>1</v>
      </c>
      <c r="O5410" s="47">
        <v>0</v>
      </c>
      <c r="P5410" s="47">
        <v>11</v>
      </c>
      <c r="Q5410" s="47">
        <v>0</v>
      </c>
      <c r="R5410" s="47">
        <v>0</v>
      </c>
      <c r="S5410" s="48">
        <v>11</v>
      </c>
      <c r="T5410" s="47">
        <v>3</v>
      </c>
      <c r="U5410" s="47">
        <v>0</v>
      </c>
      <c r="V5410" s="47">
        <v>0</v>
      </c>
      <c r="W5410" s="47">
        <v>12000</v>
      </c>
      <c r="X5410" s="47">
        <v>805</v>
      </c>
      <c r="Y5410" s="47" t="s">
        <v>120</v>
      </c>
      <c r="Z5410" s="47" t="s">
        <v>5139</v>
      </c>
      <c r="AA5410" s="49">
        <v>0.54861111111111105</v>
      </c>
      <c r="AB5410" s="49">
        <v>0.6875</v>
      </c>
      <c r="AC5410" s="49">
        <v>0.65625</v>
      </c>
      <c r="AD5410" s="50">
        <f>(AB5410-AA5410)*24</f>
        <v>3.3333333333333348</v>
      </c>
      <c r="AE5410" s="47" t="s">
        <v>5433</v>
      </c>
      <c r="AF5410" s="47">
        <v>85</v>
      </c>
      <c r="AG5410"/>
      <c r="AH5410"/>
      <c r="AI5410"/>
      <c r="AJ5410"/>
      <c r="AK5410">
        <v>16</v>
      </c>
      <c r="AL5410"/>
      <c r="AM5410"/>
      <c r="AN5410"/>
      <c r="AO5410"/>
      <c r="AP5410"/>
      <c r="AQ5410" t="s">
        <v>5485</v>
      </c>
      <c r="AU5410">
        <v>5409</v>
      </c>
    </row>
    <row r="5411" spans="1:47" x14ac:dyDescent="0.2">
      <c r="A5411" s="133">
        <v>6800</v>
      </c>
      <c r="B5411" s="39" t="s">
        <v>85</v>
      </c>
      <c r="C5411" s="39" t="s">
        <v>5533</v>
      </c>
      <c r="D5411" s="29"/>
      <c r="E5411" s="39" t="s">
        <v>2191</v>
      </c>
      <c r="F5411" s="47" t="s">
        <v>714</v>
      </c>
      <c r="G5411" s="47" t="s">
        <v>49</v>
      </c>
      <c r="H5411"/>
      <c r="I5411" s="47"/>
      <c r="J5411" s="47"/>
      <c r="K5411" s="47"/>
      <c r="L5411" s="48"/>
      <c r="M5411" s="47"/>
      <c r="N5411" s="47"/>
      <c r="O5411" s="47"/>
      <c r="P5411" s="47"/>
      <c r="Q5411" s="47"/>
      <c r="R5411" s="47"/>
      <c r="S5411" s="48"/>
      <c r="T5411" s="47"/>
      <c r="U5411" s="47"/>
      <c r="V5411" s="47"/>
      <c r="W5411" s="47"/>
      <c r="X5411" s="47"/>
      <c r="Y5411" s="47"/>
      <c r="Z5411" s="31" t="s">
        <v>3724</v>
      </c>
      <c r="AA5411" s="49"/>
      <c r="AB5411" s="49"/>
      <c r="AC5411" s="49"/>
      <c r="AD5411" s="50"/>
      <c r="AE5411" s="47" t="s">
        <v>5536</v>
      </c>
      <c r="AF5411" s="47">
        <v>85</v>
      </c>
      <c r="AG5411"/>
      <c r="AH5411"/>
      <c r="AI5411"/>
      <c r="AJ5411"/>
      <c r="AK5411"/>
      <c r="AL5411"/>
      <c r="AM5411"/>
      <c r="AN5411"/>
      <c r="AO5411"/>
      <c r="AP5411"/>
      <c r="AQ5411"/>
      <c r="AU5411">
        <v>5410</v>
      </c>
    </row>
    <row r="5412" spans="1:47" x14ac:dyDescent="0.2">
      <c r="A5412" s="133">
        <v>6800</v>
      </c>
      <c r="B5412" s="39" t="s">
        <v>45</v>
      </c>
      <c r="C5412" s="39">
        <v>100</v>
      </c>
      <c r="D5412" s="29" t="b">
        <v>0</v>
      </c>
      <c r="E5412" s="39" t="s">
        <v>6473</v>
      </c>
      <c r="F5412" s="47" t="s">
        <v>6474</v>
      </c>
      <c r="G5412" s="47" t="s">
        <v>205</v>
      </c>
      <c r="H5412"/>
      <c r="I5412" s="47" t="b">
        <v>1</v>
      </c>
      <c r="J5412" s="47" t="b">
        <v>1</v>
      </c>
      <c r="K5412" s="47">
        <v>2394</v>
      </c>
      <c r="L5412" s="48">
        <v>9</v>
      </c>
      <c r="M5412" s="47">
        <v>0</v>
      </c>
      <c r="N5412" s="47">
        <v>0</v>
      </c>
      <c r="O5412" s="47">
        <v>0</v>
      </c>
      <c r="P5412" s="47">
        <v>0</v>
      </c>
      <c r="Q5412" s="47">
        <v>0</v>
      </c>
      <c r="R5412" s="47">
        <v>0</v>
      </c>
      <c r="S5412" s="48">
        <v>9</v>
      </c>
      <c r="T5412" s="47">
        <v>0</v>
      </c>
      <c r="U5412" s="47">
        <v>0</v>
      </c>
      <c r="V5412" s="47">
        <v>0</v>
      </c>
      <c r="W5412" s="47">
        <v>2000</v>
      </c>
      <c r="X5412" s="47">
        <v>806</v>
      </c>
      <c r="Y5412" s="47"/>
      <c r="Z5412" s="47" t="s">
        <v>2524</v>
      </c>
      <c r="AA5412" s="49"/>
      <c r="AB5412" s="49"/>
      <c r="AC5412" s="49"/>
      <c r="AD5412" s="50"/>
      <c r="AE5412" s="47" t="s">
        <v>6445</v>
      </c>
      <c r="AF5412" s="47"/>
      <c r="AG5412"/>
      <c r="AH5412"/>
      <c r="AI5412"/>
      <c r="AJ5412"/>
      <c r="AK5412"/>
      <c r="AL5412"/>
      <c r="AM5412"/>
      <c r="AN5412"/>
      <c r="AO5412"/>
      <c r="AP5412"/>
      <c r="AQ5412" t="s">
        <v>2526</v>
      </c>
      <c r="AU5412">
        <v>5411</v>
      </c>
    </row>
    <row r="5413" spans="1:47" x14ac:dyDescent="0.2">
      <c r="A5413" s="133">
        <v>6800</v>
      </c>
      <c r="B5413" s="39" t="s">
        <v>45</v>
      </c>
      <c r="C5413" s="39">
        <v>100</v>
      </c>
      <c r="D5413" s="29" t="b">
        <v>0</v>
      </c>
      <c r="E5413" s="39" t="s">
        <v>3575</v>
      </c>
      <c r="F5413" s="47" t="s">
        <v>529</v>
      </c>
      <c r="G5413" s="47" t="s">
        <v>205</v>
      </c>
      <c r="H5413"/>
      <c r="I5413" s="47" t="b">
        <v>0</v>
      </c>
      <c r="J5413" s="47" t="b">
        <v>0</v>
      </c>
      <c r="K5413" s="47">
        <v>1228</v>
      </c>
      <c r="L5413" s="48">
        <v>4</v>
      </c>
      <c r="M5413" s="47">
        <v>0</v>
      </c>
      <c r="N5413" s="47">
        <v>0</v>
      </c>
      <c r="O5413" s="47">
        <v>0</v>
      </c>
      <c r="P5413" s="47">
        <v>0</v>
      </c>
      <c r="Q5413" s="47">
        <v>0</v>
      </c>
      <c r="R5413" s="47">
        <v>0</v>
      </c>
      <c r="S5413" s="48">
        <v>4</v>
      </c>
      <c r="T5413" s="47">
        <v>0</v>
      </c>
      <c r="U5413" s="47">
        <v>0</v>
      </c>
      <c r="V5413" s="47">
        <v>0</v>
      </c>
      <c r="W5413" s="47">
        <v>2000</v>
      </c>
      <c r="X5413" s="47">
        <v>807</v>
      </c>
      <c r="Y5413" s="47"/>
      <c r="Z5413" s="47" t="s">
        <v>2524</v>
      </c>
      <c r="AA5413" s="49"/>
      <c r="AB5413" s="49"/>
      <c r="AC5413" s="49"/>
      <c r="AD5413" s="50"/>
      <c r="AE5413" s="47" t="s">
        <v>6445</v>
      </c>
      <c r="AF5413" s="47">
        <v>115</v>
      </c>
      <c r="AG5413"/>
      <c r="AH5413"/>
      <c r="AI5413"/>
      <c r="AJ5413"/>
      <c r="AK5413"/>
      <c r="AL5413"/>
      <c r="AM5413"/>
      <c r="AN5413"/>
      <c r="AO5413"/>
      <c r="AP5413"/>
      <c r="AQ5413" t="s">
        <v>2526</v>
      </c>
      <c r="AU5413">
        <v>5412</v>
      </c>
    </row>
    <row r="5414" spans="1:47" x14ac:dyDescent="0.2">
      <c r="A5414" s="133">
        <v>6800</v>
      </c>
      <c r="B5414" s="39" t="s">
        <v>45</v>
      </c>
      <c r="C5414" s="39">
        <v>100</v>
      </c>
      <c r="D5414" s="29" t="b">
        <v>0</v>
      </c>
      <c r="E5414" s="39" t="s">
        <v>1551</v>
      </c>
      <c r="F5414" s="47" t="s">
        <v>529</v>
      </c>
      <c r="G5414" s="47" t="s">
        <v>205</v>
      </c>
      <c r="H5414"/>
      <c r="I5414" s="47" t="b">
        <v>0</v>
      </c>
      <c r="J5414" s="47" t="b">
        <v>0</v>
      </c>
      <c r="K5414" s="47">
        <v>200</v>
      </c>
      <c r="L5414" s="48">
        <v>1</v>
      </c>
      <c r="M5414" s="47">
        <v>0</v>
      </c>
      <c r="N5414" s="47">
        <v>0</v>
      </c>
      <c r="O5414" s="47">
        <v>0</v>
      </c>
      <c r="P5414" s="47">
        <v>0</v>
      </c>
      <c r="Q5414" s="47">
        <v>0</v>
      </c>
      <c r="R5414" s="47">
        <v>0</v>
      </c>
      <c r="S5414" s="48">
        <v>1</v>
      </c>
      <c r="T5414" s="47">
        <v>0</v>
      </c>
      <c r="U5414" s="47">
        <v>0</v>
      </c>
      <c r="V5414" s="47">
        <v>0</v>
      </c>
      <c r="W5414" s="47">
        <v>2000</v>
      </c>
      <c r="X5414" s="47">
        <v>808</v>
      </c>
      <c r="Y5414" s="47"/>
      <c r="Z5414" s="47" t="s">
        <v>2524</v>
      </c>
      <c r="AA5414" s="49"/>
      <c r="AB5414" s="49"/>
      <c r="AC5414" s="49"/>
      <c r="AD5414" s="50"/>
      <c r="AE5414" s="47" t="s">
        <v>6445</v>
      </c>
      <c r="AF5414" s="47">
        <v>55</v>
      </c>
      <c r="AG5414"/>
      <c r="AH5414"/>
      <c r="AI5414"/>
      <c r="AJ5414"/>
      <c r="AK5414"/>
      <c r="AL5414"/>
      <c r="AM5414"/>
      <c r="AN5414"/>
      <c r="AO5414"/>
      <c r="AP5414"/>
      <c r="AQ5414" t="s">
        <v>2526</v>
      </c>
      <c r="AU5414">
        <v>5413</v>
      </c>
    </row>
    <row r="5415" spans="1:47" x14ac:dyDescent="0.2">
      <c r="A5415" s="133">
        <v>6800</v>
      </c>
      <c r="B5415" s="39" t="s">
        <v>45</v>
      </c>
      <c r="C5415" s="39">
        <v>100</v>
      </c>
      <c r="D5415" s="29" t="b">
        <v>0</v>
      </c>
      <c r="E5415" s="39" t="s">
        <v>6475</v>
      </c>
      <c r="F5415" s="47" t="s">
        <v>348</v>
      </c>
      <c r="G5415" s="47" t="s">
        <v>49</v>
      </c>
      <c r="H5415"/>
      <c r="I5415" s="47" t="b">
        <v>0</v>
      </c>
      <c r="J5415" s="47" t="b">
        <v>0</v>
      </c>
      <c r="K5415" s="47">
        <v>791</v>
      </c>
      <c r="L5415" s="48">
        <v>3</v>
      </c>
      <c r="M5415" s="47">
        <v>0</v>
      </c>
      <c r="N5415" s="47">
        <v>0</v>
      </c>
      <c r="O5415" s="47">
        <v>0</v>
      </c>
      <c r="P5415" s="47">
        <v>0</v>
      </c>
      <c r="Q5415" s="47">
        <v>0</v>
      </c>
      <c r="R5415" s="47">
        <v>0</v>
      </c>
      <c r="S5415" s="48">
        <v>3</v>
      </c>
      <c r="T5415" s="47">
        <v>0</v>
      </c>
      <c r="U5415" s="47">
        <v>0</v>
      </c>
      <c r="V5415" s="47">
        <v>0</v>
      </c>
      <c r="W5415" s="47">
        <v>2000</v>
      </c>
      <c r="X5415" s="47">
        <v>809</v>
      </c>
      <c r="Y5415" s="47"/>
      <c r="Z5415" s="47" t="s">
        <v>2524</v>
      </c>
      <c r="AA5415" s="49"/>
      <c r="AB5415" s="49"/>
      <c r="AC5415" s="49"/>
      <c r="AD5415" s="50"/>
      <c r="AE5415" s="47" t="s">
        <v>6445</v>
      </c>
      <c r="AF5415" s="47">
        <v>130</v>
      </c>
      <c r="AG5415"/>
      <c r="AH5415"/>
      <c r="AI5415"/>
      <c r="AJ5415"/>
      <c r="AK5415"/>
      <c r="AL5415"/>
      <c r="AM5415"/>
      <c r="AN5415"/>
      <c r="AO5415"/>
      <c r="AP5415"/>
      <c r="AQ5415" t="s">
        <v>2526</v>
      </c>
      <c r="AU5415">
        <v>5414</v>
      </c>
    </row>
    <row r="5416" spans="1:47" x14ac:dyDescent="0.2">
      <c r="A5416" s="133">
        <v>6800</v>
      </c>
      <c r="B5416" s="39" t="s">
        <v>45</v>
      </c>
      <c r="C5416" s="39">
        <v>100</v>
      </c>
      <c r="D5416" s="29" t="b">
        <v>0</v>
      </c>
      <c r="E5416" s="39" t="s">
        <v>6476</v>
      </c>
      <c r="F5416" s="47" t="s">
        <v>3699</v>
      </c>
      <c r="G5416" s="47" t="s">
        <v>481</v>
      </c>
      <c r="H5416"/>
      <c r="I5416" s="47" t="b">
        <v>0</v>
      </c>
      <c r="J5416" s="47" t="b">
        <v>0</v>
      </c>
      <c r="K5416" s="47">
        <v>175</v>
      </c>
      <c r="L5416" s="48">
        <v>1</v>
      </c>
      <c r="M5416" s="47">
        <v>0</v>
      </c>
      <c r="N5416" s="47">
        <v>0</v>
      </c>
      <c r="O5416" s="47">
        <v>0</v>
      </c>
      <c r="P5416" s="47">
        <v>0</v>
      </c>
      <c r="Q5416" s="47">
        <v>0</v>
      </c>
      <c r="R5416" s="47">
        <v>0</v>
      </c>
      <c r="S5416" s="48">
        <v>1</v>
      </c>
      <c r="T5416" s="47">
        <v>0</v>
      </c>
      <c r="U5416" s="47">
        <v>0</v>
      </c>
      <c r="V5416" s="47">
        <v>0</v>
      </c>
      <c r="W5416" s="47">
        <v>2000</v>
      </c>
      <c r="X5416" s="47">
        <v>810</v>
      </c>
      <c r="Y5416" s="47"/>
      <c r="Z5416" s="47" t="s">
        <v>2524</v>
      </c>
      <c r="AA5416" s="49"/>
      <c r="AB5416" s="49"/>
      <c r="AC5416" s="49"/>
      <c r="AD5416" s="50"/>
      <c r="AE5416" s="47" t="s">
        <v>6445</v>
      </c>
      <c r="AF5416" s="47"/>
      <c r="AG5416"/>
      <c r="AH5416"/>
      <c r="AI5416"/>
      <c r="AJ5416"/>
      <c r="AK5416"/>
      <c r="AL5416"/>
      <c r="AM5416"/>
      <c r="AN5416"/>
      <c r="AO5416"/>
      <c r="AP5416"/>
      <c r="AQ5416" t="s">
        <v>2526</v>
      </c>
      <c r="AU5416">
        <v>5415</v>
      </c>
    </row>
    <row r="5417" spans="1:47" x14ac:dyDescent="0.2">
      <c r="A5417" s="133">
        <v>6800</v>
      </c>
      <c r="B5417" s="39" t="s">
        <v>45</v>
      </c>
      <c r="C5417" s="39">
        <v>216</v>
      </c>
      <c r="D5417" s="29" t="b">
        <v>0</v>
      </c>
      <c r="E5417" s="39" t="s">
        <v>1764</v>
      </c>
      <c r="F5417" s="47" t="s">
        <v>48</v>
      </c>
      <c r="G5417" s="47" t="s">
        <v>49</v>
      </c>
      <c r="H5417"/>
      <c r="I5417" s="47" t="b">
        <v>0</v>
      </c>
      <c r="J5417" s="47" t="b">
        <v>1</v>
      </c>
      <c r="K5417" s="47">
        <v>1207</v>
      </c>
      <c r="L5417" s="48">
        <v>4</v>
      </c>
      <c r="M5417" s="47">
        <v>3</v>
      </c>
      <c r="N5417" s="47">
        <v>0</v>
      </c>
      <c r="O5417" s="47">
        <v>0</v>
      </c>
      <c r="P5417" s="47">
        <v>1</v>
      </c>
      <c r="Q5417" s="47">
        <v>0</v>
      </c>
      <c r="R5417" s="47">
        <v>0</v>
      </c>
      <c r="S5417" s="48">
        <v>1</v>
      </c>
      <c r="T5417" s="47">
        <v>0</v>
      </c>
      <c r="U5417" s="47">
        <v>0</v>
      </c>
      <c r="V5417" s="47">
        <v>0</v>
      </c>
      <c r="W5417" s="47">
        <v>6500</v>
      </c>
      <c r="X5417" s="47">
        <v>811</v>
      </c>
      <c r="Y5417" s="47"/>
      <c r="Z5417" s="47" t="s">
        <v>2466</v>
      </c>
      <c r="AA5417" s="49"/>
      <c r="AB5417" s="49"/>
      <c r="AC5417" s="49"/>
      <c r="AD5417" s="50"/>
      <c r="AE5417" s="47" t="s">
        <v>1312</v>
      </c>
      <c r="AF5417" s="31">
        <v>85</v>
      </c>
      <c r="AG5417"/>
      <c r="AH5417"/>
      <c r="AI5417"/>
      <c r="AJ5417"/>
      <c r="AK5417"/>
      <c r="AL5417"/>
      <c r="AM5417"/>
      <c r="AN5417"/>
      <c r="AO5417"/>
      <c r="AP5417"/>
      <c r="AQ5417" t="s">
        <v>2526</v>
      </c>
      <c r="AU5417">
        <v>5416</v>
      </c>
    </row>
    <row r="5418" spans="1:47" x14ac:dyDescent="0.2">
      <c r="A5418" s="13">
        <v>6800</v>
      </c>
      <c r="B5418" s="57" t="s">
        <v>45</v>
      </c>
      <c r="C5418" s="57" t="s">
        <v>142</v>
      </c>
      <c r="D5418" s="29"/>
      <c r="E5418" s="39" t="s">
        <v>6477</v>
      </c>
      <c r="F5418" s="47" t="s">
        <v>5327</v>
      </c>
      <c r="G5418" s="47" t="s">
        <v>49</v>
      </c>
      <c r="H5418"/>
      <c r="I5418" s="47" t="b">
        <v>1</v>
      </c>
      <c r="J5418" s="47" t="b">
        <v>1</v>
      </c>
      <c r="K5418" s="47">
        <f>2190*2.2</f>
        <v>4818</v>
      </c>
      <c r="L5418" s="48">
        <v>12</v>
      </c>
      <c r="M5418" s="47"/>
      <c r="N5418" s="47">
        <v>2</v>
      </c>
      <c r="O5418" s="47"/>
      <c r="P5418" s="47"/>
      <c r="Q5418" s="47"/>
      <c r="R5418" s="47"/>
      <c r="S5418" s="48">
        <v>10</v>
      </c>
      <c r="T5418" s="47">
        <v>0</v>
      </c>
      <c r="U5418" s="47">
        <v>0</v>
      </c>
      <c r="V5418" s="47">
        <v>0</v>
      </c>
      <c r="W5418" s="47"/>
      <c r="X5418" s="47"/>
      <c r="Y5418" s="47" t="s">
        <v>51</v>
      </c>
      <c r="Z5418" s="31" t="s">
        <v>5406</v>
      </c>
      <c r="AA5418" s="49"/>
      <c r="AB5418" s="49"/>
      <c r="AC5418" s="49"/>
      <c r="AD5418" s="50"/>
      <c r="AE5418" s="47" t="s">
        <v>4217</v>
      </c>
      <c r="AF5418" s="47"/>
      <c r="AG5418"/>
      <c r="AH5418"/>
      <c r="AI5418"/>
      <c r="AJ5418"/>
      <c r="AK5418">
        <f>32+26+10+3+3+4</f>
        <v>78</v>
      </c>
      <c r="AL5418"/>
      <c r="AM5418"/>
      <c r="AN5418"/>
      <c r="AO5418"/>
      <c r="AP5418"/>
      <c r="AQ5418" t="s">
        <v>6478</v>
      </c>
      <c r="AR5418" s="32" t="s">
        <v>6479</v>
      </c>
      <c r="AU5418">
        <v>5417</v>
      </c>
    </row>
    <row r="5419" spans="1:47" x14ac:dyDescent="0.2">
      <c r="A5419" s="13">
        <v>6800</v>
      </c>
      <c r="B5419" s="57" t="s">
        <v>45</v>
      </c>
      <c r="C5419" s="57" t="s">
        <v>142</v>
      </c>
      <c r="D5419" s="29"/>
      <c r="E5419" s="57" t="s">
        <v>5882</v>
      </c>
      <c r="F5419" s="31" t="s">
        <v>76</v>
      </c>
      <c r="G5419" s="31" t="s">
        <v>49</v>
      </c>
      <c r="I5419" s="47" t="b">
        <v>0</v>
      </c>
      <c r="J5419" s="47" t="b">
        <v>0</v>
      </c>
      <c r="K5419" s="31">
        <v>2948</v>
      </c>
      <c r="S5419" s="33">
        <v>4</v>
      </c>
      <c r="AE5419" s="47" t="s">
        <v>4217</v>
      </c>
      <c r="AF5419" s="31">
        <v>65</v>
      </c>
      <c r="AK5419" s="32">
        <v>38</v>
      </c>
      <c r="AQ5419" s="32" t="s">
        <v>6352</v>
      </c>
      <c r="AU5419">
        <v>5418</v>
      </c>
    </row>
    <row r="5420" spans="1:47" x14ac:dyDescent="0.2">
      <c r="A5420" s="13">
        <v>6800</v>
      </c>
      <c r="B5420" s="57" t="s">
        <v>45</v>
      </c>
      <c r="C5420" s="57" t="s">
        <v>142</v>
      </c>
      <c r="D5420" s="29"/>
      <c r="E5420" s="57" t="s">
        <v>1064</v>
      </c>
      <c r="F5420" s="31" t="s">
        <v>76</v>
      </c>
      <c r="G5420" s="31" t="s">
        <v>49</v>
      </c>
      <c r="I5420" s="47" t="b">
        <v>0</v>
      </c>
      <c r="J5420" s="47" t="b">
        <v>0</v>
      </c>
      <c r="K5420" s="31">
        <v>1859</v>
      </c>
      <c r="S5420" s="33">
        <v>3</v>
      </c>
      <c r="AE5420" s="47" t="s">
        <v>4217</v>
      </c>
      <c r="AF5420" s="31">
        <v>60</v>
      </c>
      <c r="AK5420" s="32">
        <v>25</v>
      </c>
      <c r="AQ5420" s="32" t="s">
        <v>6352</v>
      </c>
      <c r="AU5420">
        <v>5419</v>
      </c>
    </row>
    <row r="5421" spans="1:47" x14ac:dyDescent="0.2">
      <c r="A5421" s="13">
        <v>6800</v>
      </c>
      <c r="B5421" s="57" t="s">
        <v>45</v>
      </c>
      <c r="C5421" s="57" t="s">
        <v>142</v>
      </c>
      <c r="D5421" s="29"/>
      <c r="E5421" s="57" t="s">
        <v>1078</v>
      </c>
      <c r="F5421" s="31" t="s">
        <v>76</v>
      </c>
      <c r="G5421" s="31" t="s">
        <v>49</v>
      </c>
      <c r="I5421" s="47" t="b">
        <v>0</v>
      </c>
      <c r="J5421" s="47" t="b">
        <v>0</v>
      </c>
      <c r="K5421" s="31">
        <v>616</v>
      </c>
      <c r="S5421" s="33">
        <v>1</v>
      </c>
      <c r="AE5421" s="47" t="s">
        <v>4217</v>
      </c>
      <c r="AF5421" s="31">
        <v>70</v>
      </c>
      <c r="AK5421" s="32">
        <v>7</v>
      </c>
      <c r="AQ5421" s="32" t="s">
        <v>6352</v>
      </c>
      <c r="AU5421">
        <v>5420</v>
      </c>
    </row>
    <row r="5422" spans="1:47" x14ac:dyDescent="0.2">
      <c r="A5422" s="13">
        <v>6800</v>
      </c>
      <c r="B5422" s="57" t="s">
        <v>45</v>
      </c>
      <c r="C5422" s="57" t="s">
        <v>142</v>
      </c>
      <c r="D5422" s="29"/>
      <c r="E5422" s="57" t="s">
        <v>5379</v>
      </c>
      <c r="F5422" s="31" t="s">
        <v>76</v>
      </c>
      <c r="G5422" s="31" t="s">
        <v>49</v>
      </c>
      <c r="I5422" s="47" t="b">
        <v>0</v>
      </c>
      <c r="J5422" s="47" t="b">
        <v>0</v>
      </c>
      <c r="K5422" s="31">
        <v>1023</v>
      </c>
      <c r="S5422" s="33">
        <v>2</v>
      </c>
      <c r="AE5422" s="47" t="s">
        <v>4217</v>
      </c>
      <c r="AF5422" s="31">
        <v>75</v>
      </c>
      <c r="AK5422" s="32">
        <v>18</v>
      </c>
      <c r="AQ5422" s="32" t="s">
        <v>6352</v>
      </c>
      <c r="AU5422">
        <v>5421</v>
      </c>
    </row>
    <row r="5423" spans="1:47" x14ac:dyDescent="0.2">
      <c r="A5423" s="13">
        <v>6800</v>
      </c>
      <c r="B5423" s="57" t="s">
        <v>45</v>
      </c>
      <c r="C5423" s="57" t="s">
        <v>4843</v>
      </c>
      <c r="D5423" s="29"/>
      <c r="E5423" s="57" t="s">
        <v>6187</v>
      </c>
      <c r="F5423" s="31" t="s">
        <v>6354</v>
      </c>
      <c r="G5423" s="31" t="s">
        <v>69</v>
      </c>
      <c r="K5423" s="31">
        <v>1694</v>
      </c>
      <c r="S5423" s="33">
        <v>3</v>
      </c>
      <c r="Z5423" s="31" t="s">
        <v>3814</v>
      </c>
      <c r="AE5423" s="31" t="s">
        <v>4411</v>
      </c>
      <c r="AF5423" s="31">
        <v>65</v>
      </c>
      <c r="AK5423" s="32">
        <v>29</v>
      </c>
      <c r="AQ5423" s="32" t="s">
        <v>6352</v>
      </c>
      <c r="AU5423">
        <v>5422</v>
      </c>
    </row>
    <row r="5424" spans="1:47" x14ac:dyDescent="0.2">
      <c r="A5424" s="13">
        <v>6800</v>
      </c>
      <c r="B5424" s="57" t="s">
        <v>45</v>
      </c>
      <c r="C5424" s="57" t="s">
        <v>4843</v>
      </c>
      <c r="D5424" s="29"/>
      <c r="E5424" s="57" t="s">
        <v>1078</v>
      </c>
      <c r="F5424" s="31" t="s">
        <v>76</v>
      </c>
      <c r="G5424" s="31" t="s">
        <v>49</v>
      </c>
      <c r="K5424" s="31">
        <v>2354</v>
      </c>
      <c r="S5424" s="33">
        <v>4</v>
      </c>
      <c r="Z5424" s="31" t="s">
        <v>3814</v>
      </c>
      <c r="AE5424" s="31" t="s">
        <v>4411</v>
      </c>
      <c r="AF5424" s="31">
        <v>70</v>
      </c>
      <c r="AK5424" s="32">
        <v>38</v>
      </c>
      <c r="AQ5424" s="32" t="s">
        <v>6352</v>
      </c>
      <c r="AU5424">
        <v>5423</v>
      </c>
    </row>
    <row r="5425" spans="1:47" x14ac:dyDescent="0.2">
      <c r="A5425" s="13">
        <v>6800</v>
      </c>
      <c r="B5425" s="57" t="s">
        <v>45</v>
      </c>
      <c r="C5425" s="57" t="s">
        <v>4843</v>
      </c>
      <c r="D5425" s="29"/>
      <c r="E5425" s="57" t="s">
        <v>1064</v>
      </c>
      <c r="F5425" s="31" t="s">
        <v>76</v>
      </c>
      <c r="G5425" s="31" t="s">
        <v>49</v>
      </c>
      <c r="K5425" s="31">
        <v>2519</v>
      </c>
      <c r="S5425" s="33">
        <v>5</v>
      </c>
      <c r="Z5425" s="31" t="s">
        <v>3814</v>
      </c>
      <c r="AE5425" s="31" t="s">
        <v>4411</v>
      </c>
      <c r="AF5425" s="31">
        <v>55</v>
      </c>
      <c r="AK5425" s="32">
        <v>35</v>
      </c>
      <c r="AQ5425" s="32" t="s">
        <v>6352</v>
      </c>
      <c r="AU5425">
        <v>5424</v>
      </c>
    </row>
    <row r="5426" spans="1:47" x14ac:dyDescent="0.2">
      <c r="A5426" s="13">
        <v>6800</v>
      </c>
      <c r="B5426" s="57" t="s">
        <v>45</v>
      </c>
      <c r="C5426" s="57" t="s">
        <v>4843</v>
      </c>
      <c r="D5426" s="29"/>
      <c r="E5426" s="57" t="s">
        <v>3936</v>
      </c>
      <c r="F5426" s="31" t="s">
        <v>76</v>
      </c>
      <c r="G5426" s="31" t="s">
        <v>49</v>
      </c>
      <c r="K5426" s="31">
        <v>2783</v>
      </c>
      <c r="S5426" s="33">
        <v>5</v>
      </c>
      <c r="Z5426" s="31" t="s">
        <v>3814</v>
      </c>
      <c r="AE5426" s="31" t="s">
        <v>4411</v>
      </c>
      <c r="AF5426" s="31">
        <v>60</v>
      </c>
      <c r="AK5426" s="32">
        <v>45</v>
      </c>
      <c r="AQ5426" s="32" t="s">
        <v>6352</v>
      </c>
      <c r="AU5426">
        <v>5425</v>
      </c>
    </row>
    <row r="5427" spans="1:47" x14ac:dyDescent="0.2">
      <c r="A5427" s="13">
        <v>6800</v>
      </c>
      <c r="B5427" s="57" t="s">
        <v>45</v>
      </c>
      <c r="C5427" s="57" t="s">
        <v>4843</v>
      </c>
      <c r="D5427" s="29"/>
      <c r="E5427" s="57" t="s">
        <v>1031</v>
      </c>
      <c r="F5427" s="31" t="s">
        <v>76</v>
      </c>
      <c r="G5427" s="31" t="s">
        <v>49</v>
      </c>
      <c r="K5427" s="31">
        <v>4378</v>
      </c>
      <c r="S5427" s="33">
        <v>11</v>
      </c>
      <c r="Z5427" s="31" t="s">
        <v>3814</v>
      </c>
      <c r="AE5427" s="31" t="s">
        <v>4411</v>
      </c>
      <c r="AF5427" s="31">
        <v>70</v>
      </c>
      <c r="AK5427" s="32">
        <v>70</v>
      </c>
      <c r="AQ5427" s="32" t="s">
        <v>6352</v>
      </c>
      <c r="AU5427">
        <v>5426</v>
      </c>
    </row>
    <row r="5428" spans="1:47" x14ac:dyDescent="0.2">
      <c r="A5428" s="13">
        <v>6800</v>
      </c>
      <c r="B5428" s="57" t="s">
        <v>45</v>
      </c>
      <c r="C5428" s="57" t="s">
        <v>4843</v>
      </c>
      <c r="D5428" s="29"/>
      <c r="E5428" s="57" t="s">
        <v>5882</v>
      </c>
      <c r="F5428" s="31" t="s">
        <v>76</v>
      </c>
      <c r="G5428" s="31" t="s">
        <v>49</v>
      </c>
      <c r="K5428" s="31">
        <v>5841</v>
      </c>
      <c r="S5428" s="33">
        <v>12</v>
      </c>
      <c r="Z5428" s="31" t="s">
        <v>3814</v>
      </c>
      <c r="AE5428" s="31" t="s">
        <v>4411</v>
      </c>
      <c r="AF5428" s="31">
        <v>65</v>
      </c>
      <c r="AK5428" s="32">
        <v>86</v>
      </c>
      <c r="AQ5428" s="32" t="s">
        <v>6352</v>
      </c>
      <c r="AU5428">
        <v>5427</v>
      </c>
    </row>
    <row r="5429" spans="1:47" x14ac:dyDescent="0.2">
      <c r="A5429" s="13">
        <v>6800</v>
      </c>
      <c r="B5429" s="57" t="s">
        <v>45</v>
      </c>
      <c r="C5429" s="57" t="s">
        <v>4179</v>
      </c>
      <c r="D5429" s="29"/>
      <c r="E5429" s="57" t="s">
        <v>6406</v>
      </c>
      <c r="F5429" s="31" t="s">
        <v>83</v>
      </c>
      <c r="G5429" s="31" t="s">
        <v>69</v>
      </c>
      <c r="I5429" s="31" t="s">
        <v>6407</v>
      </c>
      <c r="K5429" s="63"/>
      <c r="Z5429" s="31" t="s">
        <v>3814</v>
      </c>
      <c r="AE5429" s="31" t="s">
        <v>4892</v>
      </c>
      <c r="AF5429" s="31">
        <v>70</v>
      </c>
      <c r="AQ5429" s="32" t="s">
        <v>6142</v>
      </c>
      <c r="AU5429">
        <v>5428</v>
      </c>
    </row>
    <row r="5430" spans="1:47" x14ac:dyDescent="0.2">
      <c r="A5430" s="13">
        <v>6800</v>
      </c>
      <c r="B5430" s="57" t="s">
        <v>45</v>
      </c>
      <c r="C5430" s="57" t="s">
        <v>4179</v>
      </c>
      <c r="D5430" s="29"/>
      <c r="E5430" s="57" t="s">
        <v>124</v>
      </c>
      <c r="F5430" s="31" t="s">
        <v>76</v>
      </c>
      <c r="G5430" s="31" t="s">
        <v>49</v>
      </c>
      <c r="I5430" s="31" t="s">
        <v>6408</v>
      </c>
      <c r="K5430" s="63"/>
      <c r="Z5430" s="31" t="s">
        <v>3814</v>
      </c>
      <c r="AE5430" s="31" t="s">
        <v>4892</v>
      </c>
      <c r="AF5430" s="31">
        <v>90</v>
      </c>
      <c r="AQ5430" s="32" t="s">
        <v>6142</v>
      </c>
      <c r="AU5430">
        <v>5429</v>
      </c>
    </row>
    <row r="5431" spans="1:47" x14ac:dyDescent="0.2">
      <c r="A5431" s="13">
        <v>6800</v>
      </c>
      <c r="B5431" s="57" t="s">
        <v>45</v>
      </c>
      <c r="C5431" s="57" t="s">
        <v>4179</v>
      </c>
      <c r="D5431" s="29"/>
      <c r="E5431" s="57" t="s">
        <v>1576</v>
      </c>
      <c r="F5431" s="31" t="s">
        <v>76</v>
      </c>
      <c r="G5431" s="31" t="s">
        <v>49</v>
      </c>
      <c r="I5431" s="31" t="s">
        <v>6423</v>
      </c>
      <c r="K5431" s="63"/>
      <c r="Z5431" s="31" t="s">
        <v>3814</v>
      </c>
      <c r="AE5431" s="31" t="s">
        <v>4892</v>
      </c>
      <c r="AF5431" s="31">
        <v>65</v>
      </c>
      <c r="AQ5431" s="32" t="s">
        <v>6142</v>
      </c>
      <c r="AU5431">
        <v>5430</v>
      </c>
    </row>
    <row r="5432" spans="1:47" x14ac:dyDescent="0.2">
      <c r="A5432" s="13">
        <v>6800</v>
      </c>
      <c r="B5432" s="57" t="s">
        <v>45</v>
      </c>
      <c r="C5432" s="57" t="s">
        <v>5860</v>
      </c>
      <c r="D5432" s="29"/>
      <c r="E5432" s="57" t="s">
        <v>3597</v>
      </c>
      <c r="K5432" s="31">
        <v>220</v>
      </c>
      <c r="S5432" s="33">
        <v>1</v>
      </c>
      <c r="AE5432" s="31" t="s">
        <v>6393</v>
      </c>
      <c r="AF5432" s="31">
        <v>130</v>
      </c>
      <c r="AK5432" s="32">
        <v>4</v>
      </c>
      <c r="AQ5432" s="32" t="s">
        <v>6142</v>
      </c>
      <c r="AU5432">
        <v>5431</v>
      </c>
    </row>
    <row r="5433" spans="1:47" x14ac:dyDescent="0.2">
      <c r="A5433" s="13">
        <v>6800</v>
      </c>
      <c r="B5433" s="57" t="s">
        <v>45</v>
      </c>
      <c r="C5433" s="57" t="s">
        <v>5860</v>
      </c>
      <c r="D5433" s="29"/>
      <c r="E5433" s="57" t="s">
        <v>6390</v>
      </c>
      <c r="F5433" s="31" t="s">
        <v>6391</v>
      </c>
      <c r="G5433" s="31" t="s">
        <v>69</v>
      </c>
      <c r="I5433" s="31" t="s">
        <v>6392</v>
      </c>
      <c r="K5433" s="63"/>
      <c r="AE5433" s="31" t="s">
        <v>6393</v>
      </c>
      <c r="AF5433" s="31">
        <v>100</v>
      </c>
      <c r="AQ5433" s="32" t="s">
        <v>6142</v>
      </c>
      <c r="AU5433">
        <v>5432</v>
      </c>
    </row>
    <row r="5434" spans="1:47" x14ac:dyDescent="0.2">
      <c r="A5434" s="26">
        <v>6800</v>
      </c>
      <c r="B5434" s="27">
        <v>0.54166666666666663</v>
      </c>
      <c r="C5434" s="28"/>
      <c r="D5434" s="29"/>
      <c r="E5434" s="30" t="s">
        <v>1282</v>
      </c>
      <c r="H5434" s="32">
        <v>0</v>
      </c>
      <c r="I5434" s="32" t="s">
        <v>6480</v>
      </c>
      <c r="AG5434" s="32">
        <v>0</v>
      </c>
      <c r="AH5434" s="32">
        <v>0</v>
      </c>
      <c r="AI5434" s="32">
        <v>0</v>
      </c>
      <c r="AK5434" s="32">
        <v>0</v>
      </c>
      <c r="AL5434" s="32">
        <f>69/60</f>
        <v>1.1499999999999999</v>
      </c>
      <c r="AP5434" s="32">
        <v>1.1499999999999999</v>
      </c>
      <c r="AQ5434" s="32" t="s">
        <v>1101</v>
      </c>
      <c r="AU5434">
        <v>5433</v>
      </c>
    </row>
    <row r="5435" spans="1:47" x14ac:dyDescent="0.2">
      <c r="A5435" s="26">
        <v>6800</v>
      </c>
      <c r="B5435" s="27">
        <v>0.60347222222222219</v>
      </c>
      <c r="C5435" s="28"/>
      <c r="D5435" s="29"/>
      <c r="E5435" s="30" t="s">
        <v>3155</v>
      </c>
      <c r="H5435" s="32">
        <v>0</v>
      </c>
      <c r="I5435" s="32" t="s">
        <v>3156</v>
      </c>
      <c r="AG5435" s="32">
        <v>0</v>
      </c>
      <c r="AH5435" s="32">
        <v>0</v>
      </c>
      <c r="AI5435" s="32">
        <v>0</v>
      </c>
      <c r="AK5435" s="32">
        <v>0</v>
      </c>
      <c r="AP5435" s="32">
        <f>39/60</f>
        <v>0.65</v>
      </c>
      <c r="AQ5435" s="32" t="s">
        <v>1101</v>
      </c>
      <c r="AU5435">
        <v>5434</v>
      </c>
    </row>
    <row r="5436" spans="1:47" x14ac:dyDescent="0.2">
      <c r="A5436" s="26">
        <v>6800</v>
      </c>
      <c r="B5436" s="27">
        <v>0.68055555555555547</v>
      </c>
      <c r="C5436" s="28"/>
      <c r="D5436" s="45"/>
      <c r="E5436" s="182" t="s">
        <v>464</v>
      </c>
      <c r="H5436" s="32">
        <v>1</v>
      </c>
      <c r="I5436" s="32" t="s">
        <v>6481</v>
      </c>
      <c r="AG5436" s="32">
        <v>1</v>
      </c>
      <c r="AH5436" s="32">
        <v>0</v>
      </c>
      <c r="AL5436" s="32">
        <v>0.5</v>
      </c>
      <c r="AO5436" s="32" t="s">
        <v>3085</v>
      </c>
      <c r="AP5436" s="32">
        <v>0.5</v>
      </c>
      <c r="AQ5436" s="32" t="s">
        <v>6482</v>
      </c>
      <c r="AU5436">
        <v>5435</v>
      </c>
    </row>
    <row r="5437" spans="1:47" x14ac:dyDescent="0.2">
      <c r="A5437" s="26">
        <v>6800</v>
      </c>
      <c r="B5437" s="27">
        <v>0.98958333333333337</v>
      </c>
      <c r="C5437" s="28"/>
      <c r="D5437" s="29"/>
      <c r="E5437" s="30" t="s">
        <v>140</v>
      </c>
      <c r="H5437" s="32">
        <v>1</v>
      </c>
      <c r="I5437" s="32" t="s">
        <v>6483</v>
      </c>
      <c r="AI5437" s="32">
        <v>5000</v>
      </c>
      <c r="AK5437" s="32">
        <v>16</v>
      </c>
      <c r="AL5437" s="32">
        <v>17</v>
      </c>
      <c r="AQ5437" s="32" t="s">
        <v>6484</v>
      </c>
      <c r="AU5437">
        <v>5436</v>
      </c>
    </row>
    <row r="5438" spans="1:47" x14ac:dyDescent="0.2">
      <c r="A5438" s="26">
        <v>6800</v>
      </c>
      <c r="B5438" s="27">
        <v>0.98958333333333337</v>
      </c>
      <c r="C5438" s="28"/>
      <c r="D5438" s="29"/>
      <c r="E5438" s="30" t="s">
        <v>1124</v>
      </c>
      <c r="H5438" s="32">
        <v>1</v>
      </c>
      <c r="I5438" s="32"/>
      <c r="AG5438" s="32">
        <v>0</v>
      </c>
      <c r="AH5438" s="32">
        <v>0</v>
      </c>
      <c r="AK5438" s="32">
        <v>10</v>
      </c>
      <c r="AL5438" s="32">
        <f>1/6</f>
        <v>0.16666666666666666</v>
      </c>
      <c r="AO5438" s="46" t="s">
        <v>1126</v>
      </c>
      <c r="AP5438" s="32">
        <f>1/6</f>
        <v>0.16666666666666666</v>
      </c>
      <c r="AQ5438" s="32" t="s">
        <v>589</v>
      </c>
      <c r="AU5438">
        <v>5437</v>
      </c>
    </row>
    <row r="5439" spans="1:47" x14ac:dyDescent="0.2">
      <c r="A5439" s="26">
        <v>6800</v>
      </c>
      <c r="B5439" s="27" t="s">
        <v>85</v>
      </c>
      <c r="C5439" s="28"/>
      <c r="D5439" s="29"/>
      <c r="E5439" s="30" t="s">
        <v>1531</v>
      </c>
      <c r="H5439" s="32">
        <v>0</v>
      </c>
      <c r="I5439" s="32" t="s">
        <v>5874</v>
      </c>
      <c r="AG5439" s="32">
        <v>0</v>
      </c>
      <c r="AH5439" s="32">
        <v>0</v>
      </c>
      <c r="AI5439" s="32">
        <v>0</v>
      </c>
      <c r="AK5439" s="32">
        <v>0</v>
      </c>
      <c r="AM5439" s="32">
        <f>498*21</f>
        <v>10458</v>
      </c>
      <c r="AO5439" s="32" t="s">
        <v>1533</v>
      </c>
      <c r="AQ5439" s="32" t="s">
        <v>1101</v>
      </c>
      <c r="AU5439">
        <v>5438</v>
      </c>
    </row>
    <row r="5440" spans="1:47" x14ac:dyDescent="0.2">
      <c r="A5440" s="26">
        <v>6800</v>
      </c>
      <c r="B5440" s="27" t="s">
        <v>45</v>
      </c>
      <c r="C5440" s="28"/>
      <c r="D5440" s="29"/>
      <c r="E5440" s="30" t="s">
        <v>1531</v>
      </c>
      <c r="H5440" s="32">
        <v>0</v>
      </c>
      <c r="I5440" s="32" t="s">
        <v>5875</v>
      </c>
      <c r="AG5440" s="32">
        <v>0</v>
      </c>
      <c r="AH5440" s="32">
        <v>0</v>
      </c>
      <c r="AI5440" s="32">
        <v>0</v>
      </c>
      <c r="AK5440" s="32">
        <v>0</v>
      </c>
      <c r="AM5440" s="32">
        <f>498*23</f>
        <v>11454</v>
      </c>
      <c r="AO5440" s="32" t="s">
        <v>1533</v>
      </c>
      <c r="AQ5440" s="32" t="s">
        <v>1101</v>
      </c>
      <c r="AU5440">
        <v>5439</v>
      </c>
    </row>
    <row r="5441" spans="1:47" x14ac:dyDescent="0.2">
      <c r="A5441" s="26">
        <v>6800</v>
      </c>
      <c r="B5441" s="27" t="s">
        <v>45</v>
      </c>
      <c r="C5441" s="28"/>
      <c r="D5441" s="29"/>
      <c r="E5441" s="150" t="s">
        <v>2286</v>
      </c>
      <c r="H5441" s="32">
        <v>0</v>
      </c>
      <c r="I5441" s="32" t="s">
        <v>1824</v>
      </c>
      <c r="AG5441" s="32">
        <v>0</v>
      </c>
      <c r="AH5441" s="32">
        <v>0</v>
      </c>
      <c r="AI5441" s="32">
        <v>0</v>
      </c>
      <c r="AK5441" s="32">
        <v>0</v>
      </c>
      <c r="AM5441" s="32">
        <v>10000</v>
      </c>
      <c r="AO5441" s="73" t="s">
        <v>75</v>
      </c>
      <c r="AQ5441" s="32" t="s">
        <v>589</v>
      </c>
      <c r="AU5441">
        <v>5440</v>
      </c>
    </row>
    <row r="5442" spans="1:47" x14ac:dyDescent="0.2">
      <c r="A5442" s="26">
        <v>6800</v>
      </c>
      <c r="B5442" s="27"/>
      <c r="C5442" s="28"/>
      <c r="D5442" s="29"/>
      <c r="E5442" s="30" t="s">
        <v>4666</v>
      </c>
      <c r="H5442" s="32">
        <v>0</v>
      </c>
      <c r="I5442" s="32" t="s">
        <v>6485</v>
      </c>
      <c r="AG5442" s="32">
        <v>0</v>
      </c>
      <c r="AH5442" s="32">
        <v>0</v>
      </c>
      <c r="AI5442" s="32">
        <v>0</v>
      </c>
      <c r="AK5442" s="32">
        <v>0</v>
      </c>
      <c r="AO5442" s="32" t="s">
        <v>4668</v>
      </c>
      <c r="AQ5442" s="32">
        <v>410</v>
      </c>
      <c r="AU5442">
        <v>5441</v>
      </c>
    </row>
    <row r="5443" spans="1:47" x14ac:dyDescent="0.2">
      <c r="A5443" s="133">
        <v>6801</v>
      </c>
      <c r="B5443" s="39" t="s">
        <v>85</v>
      </c>
      <c r="C5443" s="39">
        <v>55</v>
      </c>
      <c r="D5443" s="29" t="b">
        <v>0</v>
      </c>
      <c r="E5443" s="39" t="s">
        <v>907</v>
      </c>
      <c r="F5443" s="47" t="s">
        <v>4077</v>
      </c>
      <c r="G5443" s="47" t="s">
        <v>49</v>
      </c>
      <c r="H5443"/>
      <c r="I5443" s="47" t="b">
        <v>0</v>
      </c>
      <c r="J5443" s="47" t="b">
        <v>1</v>
      </c>
      <c r="K5443" s="47">
        <v>2246</v>
      </c>
      <c r="L5443" s="48">
        <v>12</v>
      </c>
      <c r="M5443" s="47">
        <v>0</v>
      </c>
      <c r="N5443" s="47">
        <v>1</v>
      </c>
      <c r="O5443" s="47">
        <v>1</v>
      </c>
      <c r="P5443" s="47">
        <v>10</v>
      </c>
      <c r="Q5443" s="47">
        <v>0</v>
      </c>
      <c r="R5443" s="47">
        <v>0</v>
      </c>
      <c r="S5443" s="48">
        <v>10</v>
      </c>
      <c r="T5443" s="47">
        <v>0</v>
      </c>
      <c r="U5443" s="47">
        <v>0</v>
      </c>
      <c r="V5443" s="47">
        <v>1</v>
      </c>
      <c r="W5443" s="47">
        <v>14000</v>
      </c>
      <c r="X5443" s="47">
        <v>812</v>
      </c>
      <c r="Y5443" s="47" t="s">
        <v>120</v>
      </c>
      <c r="Z5443" s="47" t="s">
        <v>3618</v>
      </c>
      <c r="AA5443" s="49">
        <v>0.58333333333333337</v>
      </c>
      <c r="AB5443" s="49">
        <v>0.72222222222222221</v>
      </c>
      <c r="AC5443" s="49">
        <v>0.66666666666666663</v>
      </c>
      <c r="AD5443" s="50">
        <f>(AB5443-AA5443)*24</f>
        <v>3.3333333333333321</v>
      </c>
      <c r="AE5443" s="47" t="s">
        <v>5433</v>
      </c>
      <c r="AF5443" s="47">
        <v>125</v>
      </c>
      <c r="AG5443"/>
      <c r="AH5443"/>
      <c r="AI5443"/>
      <c r="AJ5443"/>
      <c r="AK5443">
        <v>19</v>
      </c>
      <c r="AL5443"/>
      <c r="AM5443"/>
      <c r="AN5443"/>
      <c r="AO5443"/>
      <c r="AP5443"/>
      <c r="AQ5443" t="s">
        <v>5434</v>
      </c>
      <c r="AU5443">
        <v>5442</v>
      </c>
    </row>
    <row r="5444" spans="1:47" x14ac:dyDescent="0.2">
      <c r="A5444" s="133">
        <v>6801</v>
      </c>
      <c r="B5444" s="38" t="s">
        <v>85</v>
      </c>
      <c r="C5444" s="39" t="s">
        <v>5533</v>
      </c>
      <c r="D5444" s="29"/>
      <c r="E5444" s="38" t="s">
        <v>3063</v>
      </c>
      <c r="F5444" s="32" t="s">
        <v>714</v>
      </c>
      <c r="G5444" s="47" t="s">
        <v>49</v>
      </c>
      <c r="H5444"/>
      <c r="I5444" s="32" t="s">
        <v>6486</v>
      </c>
      <c r="J5444" s="47"/>
      <c r="K5444" s="47">
        <f>24*20*2.2</f>
        <v>1056</v>
      </c>
      <c r="L5444" s="48">
        <v>9</v>
      </c>
      <c r="M5444" s="47"/>
      <c r="N5444" s="47"/>
      <c r="O5444" s="47">
        <v>4</v>
      </c>
      <c r="P5444" s="47"/>
      <c r="Q5444" s="47"/>
      <c r="R5444" s="47"/>
      <c r="S5444" s="48">
        <v>5</v>
      </c>
      <c r="T5444" s="47"/>
      <c r="U5444" s="47"/>
      <c r="V5444" s="47"/>
      <c r="W5444" s="47"/>
      <c r="X5444" s="47"/>
      <c r="Y5444" s="47"/>
      <c r="Z5444" s="31" t="s">
        <v>3724</v>
      </c>
      <c r="AA5444" s="49">
        <v>0.35416666666666669</v>
      </c>
      <c r="AB5444" s="49"/>
      <c r="AC5444" s="49"/>
      <c r="AD5444" s="50"/>
      <c r="AE5444" s="47" t="s">
        <v>5536</v>
      </c>
      <c r="AF5444" s="47">
        <v>100</v>
      </c>
      <c r="AG5444"/>
      <c r="AH5444"/>
      <c r="AI5444"/>
      <c r="AJ5444"/>
      <c r="AK5444"/>
      <c r="AL5444"/>
      <c r="AM5444"/>
      <c r="AN5444"/>
      <c r="AO5444"/>
      <c r="AP5444"/>
      <c r="AQ5444"/>
      <c r="AU5444">
        <v>5443</v>
      </c>
    </row>
    <row r="5445" spans="1:47" x14ac:dyDescent="0.2">
      <c r="A5445" s="133">
        <v>6801</v>
      </c>
      <c r="B5445" s="39" t="s">
        <v>85</v>
      </c>
      <c r="C5445" s="39" t="s">
        <v>5533</v>
      </c>
      <c r="D5445" s="29"/>
      <c r="E5445" s="39" t="s">
        <v>2191</v>
      </c>
      <c r="F5445" s="47" t="s">
        <v>714</v>
      </c>
      <c r="G5445" s="47" t="s">
        <v>49</v>
      </c>
      <c r="H5445"/>
      <c r="I5445" s="32" t="s">
        <v>6487</v>
      </c>
      <c r="J5445" s="47"/>
      <c r="K5445" s="47">
        <f>48*20*2.2</f>
        <v>2112</v>
      </c>
      <c r="L5445" s="48">
        <v>9</v>
      </c>
      <c r="M5445" s="47"/>
      <c r="N5445" s="47"/>
      <c r="O5445" s="47">
        <v>2</v>
      </c>
      <c r="P5445" s="47"/>
      <c r="Q5445" s="47"/>
      <c r="R5445" s="47"/>
      <c r="S5445" s="48">
        <v>7</v>
      </c>
      <c r="T5445" s="47"/>
      <c r="U5445" s="47"/>
      <c r="V5445" s="47"/>
      <c r="W5445" s="47"/>
      <c r="X5445" s="47"/>
      <c r="Y5445" s="47"/>
      <c r="Z5445" s="31" t="s">
        <v>3724</v>
      </c>
      <c r="AA5445" s="49">
        <v>0.6875</v>
      </c>
      <c r="AB5445" s="49"/>
      <c r="AC5445" s="49"/>
      <c r="AD5445" s="50"/>
      <c r="AE5445" s="47" t="s">
        <v>5536</v>
      </c>
      <c r="AF5445" s="47">
        <v>85</v>
      </c>
      <c r="AG5445"/>
      <c r="AH5445"/>
      <c r="AI5445"/>
      <c r="AJ5445"/>
      <c r="AK5445"/>
      <c r="AL5445"/>
      <c r="AM5445"/>
      <c r="AN5445"/>
      <c r="AO5445"/>
      <c r="AP5445"/>
      <c r="AQ5445"/>
      <c r="AU5445">
        <v>5444</v>
      </c>
    </row>
    <row r="5446" spans="1:47" x14ac:dyDescent="0.2">
      <c r="A5446" s="133">
        <v>6801</v>
      </c>
      <c r="B5446" s="39" t="s">
        <v>45</v>
      </c>
      <c r="C5446" s="39">
        <v>100</v>
      </c>
      <c r="D5446" s="29" t="b">
        <v>0</v>
      </c>
      <c r="E5446" s="39" t="s">
        <v>3575</v>
      </c>
      <c r="F5446" s="47" t="s">
        <v>529</v>
      </c>
      <c r="G5446" s="47" t="s">
        <v>205</v>
      </c>
      <c r="H5446"/>
      <c r="I5446" s="47" t="b">
        <v>0</v>
      </c>
      <c r="J5446" s="47" t="b">
        <v>1</v>
      </c>
      <c r="K5446" s="47">
        <v>3462</v>
      </c>
      <c r="L5446" s="48">
        <v>12</v>
      </c>
      <c r="M5446" s="47">
        <v>0</v>
      </c>
      <c r="N5446" s="47">
        <v>0</v>
      </c>
      <c r="O5446" s="47">
        <v>0</v>
      </c>
      <c r="P5446" s="47">
        <v>0</v>
      </c>
      <c r="Q5446" s="47">
        <v>0</v>
      </c>
      <c r="R5446" s="47">
        <v>0</v>
      </c>
      <c r="S5446" s="48">
        <v>12</v>
      </c>
      <c r="T5446" s="47">
        <v>0</v>
      </c>
      <c r="U5446" s="47">
        <v>0</v>
      </c>
      <c r="V5446" s="47">
        <v>0</v>
      </c>
      <c r="W5446" s="47">
        <v>1800</v>
      </c>
      <c r="X5446" s="47">
        <v>813</v>
      </c>
      <c r="Y5446" s="47"/>
      <c r="Z5446" s="47" t="s">
        <v>2524</v>
      </c>
      <c r="AA5446" s="49"/>
      <c r="AB5446" s="49"/>
      <c r="AC5446" s="49"/>
      <c r="AD5446" s="50"/>
      <c r="AE5446" s="47" t="s">
        <v>6445</v>
      </c>
      <c r="AF5446" s="47">
        <v>115</v>
      </c>
      <c r="AG5446"/>
      <c r="AH5446"/>
      <c r="AI5446"/>
      <c r="AJ5446"/>
      <c r="AK5446"/>
      <c r="AL5446"/>
      <c r="AM5446"/>
      <c r="AN5446"/>
      <c r="AO5446"/>
      <c r="AP5446"/>
      <c r="AQ5446" t="s">
        <v>2526</v>
      </c>
      <c r="AU5446">
        <v>5445</v>
      </c>
    </row>
    <row r="5447" spans="1:47" x14ac:dyDescent="0.2">
      <c r="A5447" s="133">
        <v>6801</v>
      </c>
      <c r="B5447" s="39" t="s">
        <v>45</v>
      </c>
      <c r="C5447" s="39">
        <v>216</v>
      </c>
      <c r="D5447" s="29" t="b">
        <v>0</v>
      </c>
      <c r="E5447" s="39" t="s">
        <v>6488</v>
      </c>
      <c r="F5447" s="47" t="s">
        <v>6489</v>
      </c>
      <c r="G5447" s="47" t="s">
        <v>205</v>
      </c>
      <c r="H5447"/>
      <c r="I5447" s="47" t="b">
        <v>1</v>
      </c>
      <c r="J5447" s="47" t="b">
        <v>1</v>
      </c>
      <c r="K5447" s="47">
        <v>10976</v>
      </c>
      <c r="L5447" s="48">
        <v>8</v>
      </c>
      <c r="M5447" s="47">
        <v>0</v>
      </c>
      <c r="N5447" s="47">
        <v>0</v>
      </c>
      <c r="O5447" s="47">
        <v>0</v>
      </c>
      <c r="P5447" s="47">
        <v>0</v>
      </c>
      <c r="Q5447" s="47">
        <v>0</v>
      </c>
      <c r="R5447" s="47">
        <v>0</v>
      </c>
      <c r="S5447" s="48">
        <v>8</v>
      </c>
      <c r="T5447" s="47">
        <v>0</v>
      </c>
      <c r="U5447" s="47">
        <v>0</v>
      </c>
      <c r="V5447" s="47">
        <v>0</v>
      </c>
      <c r="W5447" s="47">
        <v>5250</v>
      </c>
      <c r="X5447" s="47">
        <v>814</v>
      </c>
      <c r="Y5447" s="47"/>
      <c r="Z5447" s="47" t="s">
        <v>2466</v>
      </c>
      <c r="AA5447" s="49"/>
      <c r="AB5447" s="49"/>
      <c r="AC5447" s="49"/>
      <c r="AD5447" s="50"/>
      <c r="AE5447" s="47" t="s">
        <v>1312</v>
      </c>
      <c r="AF5447" s="31">
        <v>160</v>
      </c>
      <c r="AG5447"/>
      <c r="AH5447"/>
      <c r="AI5447"/>
      <c r="AJ5447"/>
      <c r="AK5447"/>
      <c r="AL5447"/>
      <c r="AM5447"/>
      <c r="AN5447"/>
      <c r="AO5447"/>
      <c r="AP5447"/>
      <c r="AQ5447" t="s">
        <v>2526</v>
      </c>
      <c r="AU5447">
        <v>5446</v>
      </c>
    </row>
    <row r="5448" spans="1:47" x14ac:dyDescent="0.2">
      <c r="A5448" s="133">
        <v>6801</v>
      </c>
      <c r="B5448" s="39" t="s">
        <v>45</v>
      </c>
      <c r="C5448" s="39">
        <v>216</v>
      </c>
      <c r="D5448" s="29" t="b">
        <v>0</v>
      </c>
      <c r="E5448" s="121" t="s">
        <v>3575</v>
      </c>
      <c r="F5448" s="47" t="s">
        <v>529</v>
      </c>
      <c r="G5448" s="47" t="s">
        <v>205</v>
      </c>
      <c r="H5448"/>
      <c r="I5448" s="47" t="b">
        <v>0</v>
      </c>
      <c r="J5448" s="47" t="b">
        <v>0</v>
      </c>
      <c r="K5448" s="47">
        <v>7840</v>
      </c>
      <c r="L5448" s="48">
        <v>6</v>
      </c>
      <c r="M5448" s="47">
        <v>0</v>
      </c>
      <c r="N5448" s="47">
        <v>0</v>
      </c>
      <c r="O5448" s="47">
        <v>0</v>
      </c>
      <c r="P5448" s="47">
        <v>0</v>
      </c>
      <c r="Q5448" s="47">
        <v>0</v>
      </c>
      <c r="R5448" s="47">
        <v>0</v>
      </c>
      <c r="S5448" s="48">
        <v>5</v>
      </c>
      <c r="T5448" s="47">
        <v>0</v>
      </c>
      <c r="U5448" s="47">
        <v>0</v>
      </c>
      <c r="V5448" s="47">
        <v>0</v>
      </c>
      <c r="W5448" s="47">
        <v>4250</v>
      </c>
      <c r="X5448" s="47">
        <v>815</v>
      </c>
      <c r="Y5448" s="47"/>
      <c r="Z5448" s="47" t="s">
        <v>2466</v>
      </c>
      <c r="AA5448" s="49"/>
      <c r="AB5448" s="49"/>
      <c r="AC5448" s="49"/>
      <c r="AD5448" s="50"/>
      <c r="AE5448" s="47" t="s">
        <v>1312</v>
      </c>
      <c r="AF5448" s="31">
        <v>160</v>
      </c>
      <c r="AG5448"/>
      <c r="AH5448"/>
      <c r="AI5448"/>
      <c r="AJ5448"/>
      <c r="AK5448"/>
      <c r="AL5448"/>
      <c r="AM5448"/>
      <c r="AN5448"/>
      <c r="AO5448"/>
      <c r="AP5448"/>
      <c r="AQ5448" t="s">
        <v>2526</v>
      </c>
      <c r="AU5448">
        <v>5447</v>
      </c>
    </row>
    <row r="5449" spans="1:47" x14ac:dyDescent="0.2">
      <c r="A5449" s="133">
        <v>6801</v>
      </c>
      <c r="B5449" s="39" t="s">
        <v>45</v>
      </c>
      <c r="C5449" s="39">
        <v>216</v>
      </c>
      <c r="D5449" s="29" t="b">
        <v>0</v>
      </c>
      <c r="E5449" s="39" t="s">
        <v>3696</v>
      </c>
      <c r="F5449" s="47" t="s">
        <v>3699</v>
      </c>
      <c r="G5449" s="47" t="s">
        <v>481</v>
      </c>
      <c r="H5449"/>
      <c r="I5449" s="47" t="b">
        <v>0</v>
      </c>
      <c r="J5449" s="47" t="b">
        <v>0</v>
      </c>
      <c r="K5449" s="47">
        <v>896</v>
      </c>
      <c r="L5449" s="48">
        <v>1</v>
      </c>
      <c r="M5449" s="47">
        <v>0</v>
      </c>
      <c r="N5449" s="47">
        <v>0</v>
      </c>
      <c r="O5449" s="47">
        <v>0</v>
      </c>
      <c r="P5449" s="47">
        <v>0</v>
      </c>
      <c r="Q5449" s="47">
        <v>0</v>
      </c>
      <c r="R5449" s="47">
        <v>0</v>
      </c>
      <c r="S5449" s="48">
        <v>1</v>
      </c>
      <c r="T5449" s="47">
        <v>0</v>
      </c>
      <c r="U5449" s="47">
        <v>0</v>
      </c>
      <c r="V5449" s="47">
        <v>0</v>
      </c>
      <c r="W5449" s="47">
        <v>8000</v>
      </c>
      <c r="X5449" s="47">
        <v>816</v>
      </c>
      <c r="Y5449" s="47"/>
      <c r="Z5449" s="47" t="s">
        <v>2466</v>
      </c>
      <c r="AA5449" s="49"/>
      <c r="AB5449" s="49"/>
      <c r="AC5449" s="49"/>
      <c r="AD5449" s="50"/>
      <c r="AE5449" s="47" t="s">
        <v>1312</v>
      </c>
      <c r="AF5449" s="47">
        <v>100</v>
      </c>
      <c r="AG5449"/>
      <c r="AH5449"/>
      <c r="AI5449"/>
      <c r="AJ5449"/>
      <c r="AK5449"/>
      <c r="AL5449"/>
      <c r="AM5449"/>
      <c r="AN5449"/>
      <c r="AO5449"/>
      <c r="AP5449"/>
      <c r="AQ5449" t="s">
        <v>2526</v>
      </c>
      <c r="AU5449">
        <v>5448</v>
      </c>
    </row>
    <row r="5450" spans="1:47" x14ac:dyDescent="0.2">
      <c r="A5450" s="133">
        <v>6801</v>
      </c>
      <c r="B5450" s="39" t="s">
        <v>45</v>
      </c>
      <c r="C5450" s="39">
        <v>216</v>
      </c>
      <c r="D5450" s="29" t="b">
        <v>0</v>
      </c>
      <c r="E5450" s="39" t="s">
        <v>140</v>
      </c>
      <c r="F5450" s="47" t="s">
        <v>3283</v>
      </c>
      <c r="G5450" s="47" t="s">
        <v>49</v>
      </c>
      <c r="H5450"/>
      <c r="I5450" s="47" t="b">
        <v>0</v>
      </c>
      <c r="J5450" s="47" t="b">
        <v>0</v>
      </c>
      <c r="K5450" s="47">
        <v>896</v>
      </c>
      <c r="L5450" s="48">
        <v>1</v>
      </c>
      <c r="M5450" s="47">
        <v>0</v>
      </c>
      <c r="N5450" s="47">
        <v>0</v>
      </c>
      <c r="O5450" s="47">
        <v>0</v>
      </c>
      <c r="P5450" s="47">
        <v>0</v>
      </c>
      <c r="Q5450" s="47">
        <v>0</v>
      </c>
      <c r="R5450" s="47">
        <v>0</v>
      </c>
      <c r="S5450" s="48">
        <v>1</v>
      </c>
      <c r="T5450" s="47">
        <v>0</v>
      </c>
      <c r="U5450" s="47">
        <v>0</v>
      </c>
      <c r="V5450" s="47">
        <v>0</v>
      </c>
      <c r="W5450" s="47">
        <v>7500</v>
      </c>
      <c r="X5450" s="47">
        <v>817</v>
      </c>
      <c r="Y5450" s="47"/>
      <c r="Z5450" s="47" t="s">
        <v>2466</v>
      </c>
      <c r="AA5450" s="49"/>
      <c r="AB5450" s="49"/>
      <c r="AC5450" s="49"/>
      <c r="AD5450" s="50"/>
      <c r="AE5450" s="47" t="s">
        <v>1312</v>
      </c>
      <c r="AF5450" s="47">
        <v>120</v>
      </c>
      <c r="AG5450"/>
      <c r="AH5450"/>
      <c r="AI5450"/>
      <c r="AJ5450"/>
      <c r="AK5450"/>
      <c r="AL5450"/>
      <c r="AM5450"/>
      <c r="AN5450"/>
      <c r="AO5450"/>
      <c r="AP5450"/>
      <c r="AQ5450" t="s">
        <v>2526</v>
      </c>
      <c r="AU5450">
        <v>5449</v>
      </c>
    </row>
    <row r="5451" spans="1:47" x14ac:dyDescent="0.2">
      <c r="A5451" s="133">
        <v>6801</v>
      </c>
      <c r="B5451" s="39" t="s">
        <v>45</v>
      </c>
      <c r="C5451" s="39">
        <v>216</v>
      </c>
      <c r="D5451" s="29" t="b">
        <v>0</v>
      </c>
      <c r="E5451" s="39" t="s">
        <v>6490</v>
      </c>
      <c r="F5451" s="47" t="s">
        <v>529</v>
      </c>
      <c r="G5451" s="47" t="s">
        <v>205</v>
      </c>
      <c r="H5451"/>
      <c r="I5451" s="47" t="b">
        <v>0</v>
      </c>
      <c r="J5451" s="47" t="b">
        <v>0</v>
      </c>
      <c r="K5451" s="47">
        <v>1344</v>
      </c>
      <c r="L5451" s="48">
        <v>1</v>
      </c>
      <c r="M5451" s="47">
        <v>0</v>
      </c>
      <c r="N5451" s="47">
        <v>0</v>
      </c>
      <c r="O5451" s="47">
        <v>0</v>
      </c>
      <c r="P5451" s="47">
        <v>0</v>
      </c>
      <c r="Q5451" s="47">
        <v>0</v>
      </c>
      <c r="R5451" s="47">
        <v>0</v>
      </c>
      <c r="S5451" s="48">
        <v>1</v>
      </c>
      <c r="T5451" s="47">
        <v>0</v>
      </c>
      <c r="U5451" s="47">
        <v>0</v>
      </c>
      <c r="V5451" s="47">
        <v>0</v>
      </c>
      <c r="W5451" s="47"/>
      <c r="X5451" s="47">
        <v>818</v>
      </c>
      <c r="Y5451" s="47"/>
      <c r="Z5451" s="47" t="s">
        <v>2466</v>
      </c>
      <c r="AA5451" s="49"/>
      <c r="AB5451" s="49"/>
      <c r="AC5451" s="49"/>
      <c r="AD5451" s="50"/>
      <c r="AE5451" s="47" t="s">
        <v>1312</v>
      </c>
      <c r="AF5451" s="47">
        <v>80</v>
      </c>
      <c r="AG5451"/>
      <c r="AH5451"/>
      <c r="AI5451"/>
      <c r="AJ5451"/>
      <c r="AK5451"/>
      <c r="AL5451"/>
      <c r="AM5451"/>
      <c r="AN5451"/>
      <c r="AO5451"/>
      <c r="AP5451"/>
      <c r="AQ5451" t="s">
        <v>2526</v>
      </c>
      <c r="AU5451">
        <v>5450</v>
      </c>
    </row>
    <row r="5452" spans="1:47" x14ac:dyDescent="0.2">
      <c r="A5452" s="13">
        <v>6801</v>
      </c>
      <c r="B5452" s="57" t="s">
        <v>45</v>
      </c>
      <c r="C5452" s="57" t="s">
        <v>142</v>
      </c>
      <c r="D5452" s="29"/>
      <c r="E5452" s="57" t="s">
        <v>6491</v>
      </c>
      <c r="F5452" s="31" t="s">
        <v>6463</v>
      </c>
      <c r="G5452" s="31" t="s">
        <v>49</v>
      </c>
      <c r="I5452" s="47" t="b">
        <v>1</v>
      </c>
      <c r="J5452" s="47" t="b">
        <v>1</v>
      </c>
      <c r="K5452" s="31">
        <f>3230*2.2</f>
        <v>7106.0000000000009</v>
      </c>
      <c r="L5452" s="33">
        <v>12</v>
      </c>
      <c r="N5452" s="31">
        <v>1</v>
      </c>
      <c r="S5452" s="33">
        <v>11</v>
      </c>
      <c r="Y5452" s="31" t="s">
        <v>51</v>
      </c>
      <c r="Z5452" s="31" t="s">
        <v>3855</v>
      </c>
      <c r="AE5452" s="47" t="s">
        <v>4217</v>
      </c>
      <c r="AK5452" s="32">
        <f>10+30+21+19+3+2+8+11</f>
        <v>104</v>
      </c>
      <c r="AQ5452" s="32" t="s">
        <v>6492</v>
      </c>
      <c r="AR5452" s="32" t="s">
        <v>6493</v>
      </c>
      <c r="AU5452">
        <v>5451</v>
      </c>
    </row>
    <row r="5453" spans="1:47" x14ac:dyDescent="0.2">
      <c r="A5453" s="13">
        <v>6801</v>
      </c>
      <c r="B5453" s="57" t="s">
        <v>45</v>
      </c>
      <c r="C5453" s="57" t="s">
        <v>142</v>
      </c>
      <c r="D5453" s="29"/>
      <c r="E5453" s="57" t="s">
        <v>1064</v>
      </c>
      <c r="F5453" s="31" t="s">
        <v>76</v>
      </c>
      <c r="G5453" s="31" t="s">
        <v>49</v>
      </c>
      <c r="I5453" s="47" t="b">
        <v>0</v>
      </c>
      <c r="J5453" s="47" t="b">
        <v>0</v>
      </c>
      <c r="K5453" s="31">
        <v>2959</v>
      </c>
      <c r="S5453" s="33">
        <v>5</v>
      </c>
      <c r="Z5453" s="31" t="s">
        <v>3855</v>
      </c>
      <c r="AE5453" s="47" t="s">
        <v>4217</v>
      </c>
      <c r="AF5453" s="31">
        <v>60</v>
      </c>
      <c r="AK5453" s="32">
        <v>38</v>
      </c>
      <c r="AQ5453" s="32" t="s">
        <v>6352</v>
      </c>
      <c r="AU5453">
        <v>5452</v>
      </c>
    </row>
    <row r="5454" spans="1:47" x14ac:dyDescent="0.2">
      <c r="A5454" s="13">
        <v>6801</v>
      </c>
      <c r="B5454" s="57" t="s">
        <v>45</v>
      </c>
      <c r="C5454" s="57" t="s">
        <v>142</v>
      </c>
      <c r="D5454" s="29"/>
      <c r="E5454" s="57" t="s">
        <v>3936</v>
      </c>
      <c r="F5454" s="31" t="s">
        <v>76</v>
      </c>
      <c r="G5454" s="31" t="s">
        <v>49</v>
      </c>
      <c r="I5454" s="47" t="b">
        <v>0</v>
      </c>
      <c r="J5454" s="47" t="b">
        <v>0</v>
      </c>
      <c r="K5454" s="31">
        <v>1177</v>
      </c>
      <c r="S5454" s="33">
        <v>2</v>
      </c>
      <c r="Z5454" s="31" t="s">
        <v>3855</v>
      </c>
      <c r="AE5454" s="47" t="s">
        <v>4217</v>
      </c>
      <c r="AF5454" s="31">
        <v>65</v>
      </c>
      <c r="AK5454" s="32">
        <v>19</v>
      </c>
      <c r="AQ5454" s="32" t="s">
        <v>6352</v>
      </c>
      <c r="AU5454">
        <v>5453</v>
      </c>
    </row>
    <row r="5455" spans="1:47" x14ac:dyDescent="0.2">
      <c r="A5455" s="13">
        <v>6801</v>
      </c>
      <c r="B5455" s="57" t="s">
        <v>45</v>
      </c>
      <c r="C5455" s="57" t="s">
        <v>142</v>
      </c>
      <c r="D5455" s="29"/>
      <c r="E5455" s="57" t="s">
        <v>1078</v>
      </c>
      <c r="F5455" s="31" t="s">
        <v>76</v>
      </c>
      <c r="G5455" s="31" t="s">
        <v>49</v>
      </c>
      <c r="I5455" s="47" t="b">
        <v>0</v>
      </c>
      <c r="J5455" s="47" t="b">
        <v>0</v>
      </c>
      <c r="K5455" s="31">
        <v>1474</v>
      </c>
      <c r="S5455" s="33">
        <v>2</v>
      </c>
      <c r="Z5455" s="31" t="s">
        <v>3855</v>
      </c>
      <c r="AE5455" s="47" t="s">
        <v>4217</v>
      </c>
      <c r="AF5455" s="31">
        <v>70</v>
      </c>
      <c r="AK5455" s="32">
        <v>27</v>
      </c>
      <c r="AQ5455" s="32" t="s">
        <v>6352</v>
      </c>
      <c r="AU5455">
        <v>5454</v>
      </c>
    </row>
    <row r="5456" spans="1:47" x14ac:dyDescent="0.2">
      <c r="A5456" s="13">
        <v>6801</v>
      </c>
      <c r="B5456" s="57" t="s">
        <v>45</v>
      </c>
      <c r="C5456" s="57" t="s">
        <v>142</v>
      </c>
      <c r="D5456" s="29"/>
      <c r="E5456" s="57" t="s">
        <v>6494</v>
      </c>
      <c r="F5456" s="31" t="s">
        <v>76</v>
      </c>
      <c r="G5456" s="31" t="s">
        <v>49</v>
      </c>
      <c r="I5456" s="47" t="b">
        <v>0</v>
      </c>
      <c r="J5456" s="47" t="b">
        <v>0</v>
      </c>
      <c r="K5456" s="31">
        <v>1496</v>
      </c>
      <c r="S5456" s="33">
        <v>2</v>
      </c>
      <c r="Z5456" s="31" t="s">
        <v>3855</v>
      </c>
      <c r="AE5456" s="47" t="s">
        <v>4217</v>
      </c>
      <c r="AF5456" s="31">
        <v>55</v>
      </c>
      <c r="AK5456" s="32">
        <v>20</v>
      </c>
      <c r="AQ5456" s="32" t="s">
        <v>6352</v>
      </c>
      <c r="AU5456">
        <v>5455</v>
      </c>
    </row>
    <row r="5457" spans="1:47" x14ac:dyDescent="0.2">
      <c r="A5457" s="13">
        <v>6801</v>
      </c>
      <c r="B5457" s="57" t="s">
        <v>45</v>
      </c>
      <c r="C5457" s="57" t="s">
        <v>5765</v>
      </c>
      <c r="D5457" s="29"/>
      <c r="E5457" s="57" t="s">
        <v>179</v>
      </c>
      <c r="F5457" s="31" t="s">
        <v>76</v>
      </c>
      <c r="G5457" s="31" t="s">
        <v>49</v>
      </c>
      <c r="I5457" s="31" t="s">
        <v>6495</v>
      </c>
      <c r="K5457" s="31">
        <f>2024-1760</f>
        <v>264</v>
      </c>
      <c r="Z5457" s="31" t="s">
        <v>1846</v>
      </c>
      <c r="AE5457" s="31" t="s">
        <v>4176</v>
      </c>
      <c r="AF5457" s="31">
        <v>45</v>
      </c>
      <c r="AK5457" s="32">
        <v>20</v>
      </c>
      <c r="AQ5457" s="32" t="s">
        <v>6496</v>
      </c>
      <c r="AU5457">
        <v>5456</v>
      </c>
    </row>
    <row r="5458" spans="1:47" x14ac:dyDescent="0.2">
      <c r="A5458" s="13">
        <v>6801</v>
      </c>
      <c r="B5458" s="57" t="s">
        <v>45</v>
      </c>
      <c r="C5458" s="57" t="s">
        <v>5765</v>
      </c>
      <c r="D5458" s="29"/>
      <c r="E5458" s="57" t="s">
        <v>788</v>
      </c>
      <c r="F5458" s="31" t="s">
        <v>76</v>
      </c>
      <c r="G5458" s="31" t="s">
        <v>49</v>
      </c>
      <c r="K5458" s="31">
        <v>1100</v>
      </c>
      <c r="Z5458" s="31" t="s">
        <v>1846</v>
      </c>
      <c r="AE5458" s="31" t="s">
        <v>4176</v>
      </c>
      <c r="AF5458" s="31">
        <v>70</v>
      </c>
      <c r="AK5458" s="32">
        <v>10</v>
      </c>
      <c r="AQ5458" s="32" t="s">
        <v>6496</v>
      </c>
      <c r="AU5458">
        <v>5457</v>
      </c>
    </row>
    <row r="5459" spans="1:47" x14ac:dyDescent="0.2">
      <c r="A5459" s="13">
        <v>6801</v>
      </c>
      <c r="B5459" s="57" t="s">
        <v>45</v>
      </c>
      <c r="C5459" s="57" t="s">
        <v>5765</v>
      </c>
      <c r="D5459" s="29"/>
      <c r="E5459" s="57" t="s">
        <v>1764</v>
      </c>
      <c r="F5459" s="31" t="s">
        <v>76</v>
      </c>
      <c r="G5459" s="31" t="s">
        <v>49</v>
      </c>
      <c r="I5459" s="31" t="s">
        <v>6495</v>
      </c>
      <c r="K5459" s="31">
        <f>13895.2-4400</f>
        <v>9495.2000000000007</v>
      </c>
      <c r="Z5459" s="31" t="s">
        <v>1846</v>
      </c>
      <c r="AE5459" s="31" t="s">
        <v>4176</v>
      </c>
      <c r="AF5459" s="31">
        <v>95</v>
      </c>
      <c r="AK5459" s="32">
        <v>121</v>
      </c>
      <c r="AQ5459" s="32" t="s">
        <v>6496</v>
      </c>
      <c r="AU5459">
        <v>5458</v>
      </c>
    </row>
    <row r="5460" spans="1:47" x14ac:dyDescent="0.2">
      <c r="A5460" s="13">
        <v>6801</v>
      </c>
      <c r="B5460" s="57" t="s">
        <v>45</v>
      </c>
      <c r="C5460" s="57" t="s">
        <v>4456</v>
      </c>
      <c r="D5460" s="29"/>
      <c r="E5460" s="57" t="s">
        <v>1764</v>
      </c>
      <c r="F5460" s="31" t="s">
        <v>76</v>
      </c>
      <c r="G5460" s="31" t="s">
        <v>49</v>
      </c>
      <c r="I5460" s="31" t="s">
        <v>6497</v>
      </c>
      <c r="K5460" s="135">
        <f>5*880</f>
        <v>4400</v>
      </c>
      <c r="L5460" s="33">
        <v>5</v>
      </c>
      <c r="S5460" s="33">
        <v>5</v>
      </c>
      <c r="T5460" s="31">
        <v>1</v>
      </c>
      <c r="U5460" s="31">
        <v>0</v>
      </c>
      <c r="V5460" s="31">
        <v>0</v>
      </c>
      <c r="W5460" s="47">
        <f>((2100+2600+2600+2200)/4)*39.37/12</f>
        <v>7791.979166666667</v>
      </c>
      <c r="Y5460" s="19" t="s">
        <v>51</v>
      </c>
      <c r="Z5460" s="19" t="s">
        <v>1846</v>
      </c>
      <c r="AA5460" s="34">
        <v>0.89236111111111116</v>
      </c>
      <c r="AB5460" s="34">
        <v>1.0347222222222221</v>
      </c>
      <c r="AC5460" s="49">
        <f>AVERAGE(AA5460:AB5460)</f>
        <v>0.96354166666666663</v>
      </c>
      <c r="AD5460" s="50">
        <v>3</v>
      </c>
      <c r="AE5460" s="31" t="s">
        <v>4176</v>
      </c>
      <c r="AF5460" s="31">
        <v>95</v>
      </c>
      <c r="AQ5460" s="32" t="s">
        <v>6498</v>
      </c>
      <c r="AU5460">
        <v>5459</v>
      </c>
    </row>
    <row r="5461" spans="1:47" x14ac:dyDescent="0.2">
      <c r="A5461" s="13">
        <v>6801</v>
      </c>
      <c r="B5461" s="57" t="s">
        <v>45</v>
      </c>
      <c r="C5461" s="57" t="s">
        <v>4456</v>
      </c>
      <c r="D5461" s="29"/>
      <c r="E5461" s="57" t="s">
        <v>179</v>
      </c>
      <c r="F5461" s="144" t="s">
        <v>76</v>
      </c>
      <c r="G5461" s="31" t="s">
        <v>49</v>
      </c>
      <c r="I5461" s="31" t="s">
        <v>6499</v>
      </c>
      <c r="K5461" s="135">
        <f>2*880</f>
        <v>1760</v>
      </c>
      <c r="L5461" s="33">
        <v>2</v>
      </c>
      <c r="S5461" s="33">
        <v>2</v>
      </c>
      <c r="T5461" s="31">
        <v>0</v>
      </c>
      <c r="U5461" s="31">
        <v>0</v>
      </c>
      <c r="V5461" s="31">
        <v>0</v>
      </c>
      <c r="W5461" s="47">
        <f>((2000+2300)/2)*39.37/12</f>
        <v>7053.791666666667</v>
      </c>
      <c r="Y5461" s="19" t="s">
        <v>51</v>
      </c>
      <c r="Z5461" s="19" t="s">
        <v>1846</v>
      </c>
      <c r="AA5461" s="34">
        <v>0.88888888888888884</v>
      </c>
      <c r="AB5461" s="34">
        <v>1.1041666666666667</v>
      </c>
      <c r="AC5461" s="49">
        <f>AVERAGE(AA5461:AB5461)</f>
        <v>0.99652777777777779</v>
      </c>
      <c r="AD5461" s="50">
        <f>2+1/6</f>
        <v>2.1666666666666665</v>
      </c>
      <c r="AE5461" s="31" t="s">
        <v>4176</v>
      </c>
      <c r="AF5461" s="31">
        <v>45</v>
      </c>
      <c r="AQ5461" s="32" t="s">
        <v>6500</v>
      </c>
      <c r="AU5461">
        <v>5460</v>
      </c>
    </row>
    <row r="5462" spans="1:47" x14ac:dyDescent="0.2">
      <c r="A5462" s="13">
        <v>6801</v>
      </c>
      <c r="B5462" s="57" t="s">
        <v>45</v>
      </c>
      <c r="C5462" s="57" t="s">
        <v>4456</v>
      </c>
      <c r="D5462" s="29"/>
      <c r="E5462" s="57" t="s">
        <v>4678</v>
      </c>
      <c r="F5462" s="31" t="s">
        <v>3764</v>
      </c>
      <c r="G5462" s="31" t="s">
        <v>481</v>
      </c>
      <c r="I5462" s="31" t="s">
        <v>6501</v>
      </c>
      <c r="K5462" s="31">
        <v>880</v>
      </c>
      <c r="L5462" s="33">
        <v>1</v>
      </c>
      <c r="S5462" s="33">
        <v>1</v>
      </c>
      <c r="T5462" s="31">
        <v>0</v>
      </c>
      <c r="U5462" s="31">
        <v>0</v>
      </c>
      <c r="V5462" s="31">
        <v>0</v>
      </c>
      <c r="W5462" s="47">
        <f>2000*39.37/12</f>
        <v>6561.666666666667</v>
      </c>
      <c r="Y5462" s="19" t="s">
        <v>51</v>
      </c>
      <c r="Z5462" s="19" t="s">
        <v>1846</v>
      </c>
      <c r="AA5462" s="34">
        <v>0.88541666666666663</v>
      </c>
      <c r="AB5462" s="34">
        <v>1.0034722222222221</v>
      </c>
      <c r="AC5462" s="49">
        <f>AVERAGE(AA5462:AB5462)</f>
        <v>0.94444444444444442</v>
      </c>
      <c r="AD5462" s="50">
        <f>(AB5462-AA5462)*24</f>
        <v>2.8333333333333313</v>
      </c>
      <c r="AE5462" s="31" t="s">
        <v>4176</v>
      </c>
      <c r="AF5462" s="31">
        <v>90</v>
      </c>
      <c r="AK5462" s="32">
        <v>8</v>
      </c>
      <c r="AQ5462" s="32" t="s">
        <v>6500</v>
      </c>
      <c r="AU5462">
        <v>5461</v>
      </c>
    </row>
    <row r="5463" spans="1:47" x14ac:dyDescent="0.2">
      <c r="A5463" s="13">
        <v>6801</v>
      </c>
      <c r="B5463" s="57" t="s">
        <v>45</v>
      </c>
      <c r="C5463" s="57" t="s">
        <v>4843</v>
      </c>
      <c r="D5463" s="29"/>
      <c r="E5463" s="57" t="s">
        <v>3936</v>
      </c>
      <c r="F5463" s="31" t="s">
        <v>76</v>
      </c>
      <c r="G5463" s="31" t="s">
        <v>49</v>
      </c>
      <c r="K5463" s="31">
        <v>902</v>
      </c>
      <c r="S5463" s="33">
        <v>2</v>
      </c>
      <c r="Z5463" s="31" t="s">
        <v>3814</v>
      </c>
      <c r="AE5463" s="31" t="s">
        <v>4411</v>
      </c>
      <c r="AF5463" s="31">
        <v>60</v>
      </c>
      <c r="AK5463" s="32">
        <v>11</v>
      </c>
      <c r="AQ5463" s="32" t="s">
        <v>6352</v>
      </c>
      <c r="AU5463">
        <v>5462</v>
      </c>
    </row>
    <row r="5464" spans="1:47" x14ac:dyDescent="0.2">
      <c r="A5464" s="13">
        <v>6801</v>
      </c>
      <c r="B5464" s="57" t="s">
        <v>45</v>
      </c>
      <c r="C5464" s="57" t="s">
        <v>4843</v>
      </c>
      <c r="D5464" s="29"/>
      <c r="E5464" s="57" t="s">
        <v>4921</v>
      </c>
      <c r="F5464" s="31" t="s">
        <v>6354</v>
      </c>
      <c r="G5464" s="31" t="s">
        <v>69</v>
      </c>
      <c r="K5464" s="31">
        <v>1023</v>
      </c>
      <c r="S5464" s="33">
        <v>2</v>
      </c>
      <c r="Z5464" s="31" t="s">
        <v>3814</v>
      </c>
      <c r="AE5464" s="31" t="s">
        <v>4411</v>
      </c>
      <c r="AF5464" s="31">
        <v>70</v>
      </c>
      <c r="AK5464" s="32">
        <v>18</v>
      </c>
      <c r="AQ5464" s="32" t="s">
        <v>6352</v>
      </c>
      <c r="AU5464">
        <v>5463</v>
      </c>
    </row>
    <row r="5465" spans="1:47" x14ac:dyDescent="0.2">
      <c r="A5465" s="13">
        <v>6801</v>
      </c>
      <c r="B5465" s="57" t="s">
        <v>45</v>
      </c>
      <c r="C5465" s="57" t="s">
        <v>4843</v>
      </c>
      <c r="D5465" s="29"/>
      <c r="E5465" s="57" t="s">
        <v>1064</v>
      </c>
      <c r="F5465" s="31" t="s">
        <v>76</v>
      </c>
      <c r="G5465" s="31" t="s">
        <v>49</v>
      </c>
      <c r="K5465" s="31">
        <v>3311</v>
      </c>
      <c r="S5465" s="33">
        <v>6</v>
      </c>
      <c r="Z5465" s="31" t="s">
        <v>3814</v>
      </c>
      <c r="AE5465" s="31" t="s">
        <v>4411</v>
      </c>
      <c r="AF5465" s="31">
        <v>55</v>
      </c>
      <c r="AK5465" s="32">
        <v>54</v>
      </c>
      <c r="AQ5465" s="32" t="s">
        <v>6352</v>
      </c>
      <c r="AU5465">
        <v>5464</v>
      </c>
    </row>
    <row r="5466" spans="1:47" x14ac:dyDescent="0.2">
      <c r="A5466" s="13">
        <v>6801</v>
      </c>
      <c r="B5466" s="57" t="s">
        <v>45</v>
      </c>
      <c r="C5466" s="57" t="s">
        <v>4843</v>
      </c>
      <c r="D5466" s="29"/>
      <c r="E5466" s="57" t="s">
        <v>5711</v>
      </c>
      <c r="F5466" s="31" t="s">
        <v>76</v>
      </c>
      <c r="G5466" s="31" t="s">
        <v>49</v>
      </c>
      <c r="K5466" s="31">
        <v>4235</v>
      </c>
      <c r="S5466" s="33">
        <v>7</v>
      </c>
      <c r="Z5466" s="31" t="s">
        <v>3814</v>
      </c>
      <c r="AE5466" s="31" t="s">
        <v>4411</v>
      </c>
      <c r="AF5466" s="31">
        <v>100</v>
      </c>
      <c r="AK5466" s="32">
        <v>60</v>
      </c>
      <c r="AQ5466" s="32" t="s">
        <v>6352</v>
      </c>
      <c r="AU5466">
        <v>5465</v>
      </c>
    </row>
    <row r="5467" spans="1:47" x14ac:dyDescent="0.2">
      <c r="A5467" s="13">
        <v>6801</v>
      </c>
      <c r="B5467" s="57" t="s">
        <v>45</v>
      </c>
      <c r="C5467" s="57" t="s">
        <v>4179</v>
      </c>
      <c r="D5467" s="29"/>
      <c r="E5467" s="57" t="s">
        <v>124</v>
      </c>
      <c r="F5467" s="31" t="s">
        <v>76</v>
      </c>
      <c r="G5467" s="31" t="s">
        <v>49</v>
      </c>
      <c r="I5467" s="31" t="s">
        <v>6408</v>
      </c>
      <c r="K5467" s="63"/>
      <c r="Z5467" s="31" t="s">
        <v>3814</v>
      </c>
      <c r="AE5467" s="31" t="s">
        <v>4892</v>
      </c>
      <c r="AF5467" s="31">
        <v>90</v>
      </c>
      <c r="AQ5467" s="32" t="s">
        <v>6142</v>
      </c>
      <c r="AU5467">
        <v>5466</v>
      </c>
    </row>
    <row r="5468" spans="1:47" x14ac:dyDescent="0.2">
      <c r="A5468" s="13">
        <v>6801</v>
      </c>
      <c r="B5468" s="57" t="s">
        <v>45</v>
      </c>
      <c r="C5468" s="57" t="s">
        <v>4179</v>
      </c>
      <c r="D5468" s="29"/>
      <c r="E5468" s="57" t="s">
        <v>1576</v>
      </c>
      <c r="F5468" s="31" t="s">
        <v>76</v>
      </c>
      <c r="G5468" s="31" t="s">
        <v>49</v>
      </c>
      <c r="I5468" s="31" t="s">
        <v>6423</v>
      </c>
      <c r="K5468" s="63"/>
      <c r="Z5468" s="31" t="s">
        <v>3814</v>
      </c>
      <c r="AE5468" s="31" t="s">
        <v>4892</v>
      </c>
      <c r="AF5468" s="31">
        <v>65</v>
      </c>
      <c r="AQ5468" s="32" t="s">
        <v>6142</v>
      </c>
      <c r="AU5468">
        <v>5467</v>
      </c>
    </row>
    <row r="5469" spans="1:47" x14ac:dyDescent="0.2">
      <c r="A5469" s="13">
        <v>6801</v>
      </c>
      <c r="B5469" s="57" t="s">
        <v>45</v>
      </c>
      <c r="C5469" s="57" t="s">
        <v>5860</v>
      </c>
      <c r="D5469" s="29"/>
      <c r="E5469" s="57" t="s">
        <v>447</v>
      </c>
      <c r="F5469" s="31" t="s">
        <v>76</v>
      </c>
      <c r="G5469" s="31" t="s">
        <v>49</v>
      </c>
      <c r="I5469" s="31" t="s">
        <v>6425</v>
      </c>
      <c r="K5469" s="63"/>
      <c r="AE5469" s="31" t="s">
        <v>6393</v>
      </c>
      <c r="AF5469" s="31">
        <v>115</v>
      </c>
      <c r="AQ5469" s="32" t="s">
        <v>6142</v>
      </c>
      <c r="AU5469">
        <v>5468</v>
      </c>
    </row>
    <row r="5470" spans="1:47" x14ac:dyDescent="0.2">
      <c r="A5470" s="13">
        <v>6801</v>
      </c>
      <c r="B5470" s="57" t="s">
        <v>45</v>
      </c>
      <c r="C5470" s="57" t="s">
        <v>5860</v>
      </c>
      <c r="D5470" s="29"/>
      <c r="E5470" s="57" t="s">
        <v>6390</v>
      </c>
      <c r="F5470" s="31" t="s">
        <v>6391</v>
      </c>
      <c r="G5470" s="31" t="s">
        <v>69</v>
      </c>
      <c r="I5470" s="31" t="s">
        <v>6392</v>
      </c>
      <c r="K5470" s="63"/>
      <c r="AE5470" s="31" t="s">
        <v>6393</v>
      </c>
      <c r="AF5470" s="31">
        <v>100</v>
      </c>
      <c r="AQ5470" s="32" t="s">
        <v>6142</v>
      </c>
      <c r="AU5470">
        <v>5469</v>
      </c>
    </row>
    <row r="5471" spans="1:47" x14ac:dyDescent="0.2">
      <c r="A5471" s="13">
        <v>6801</v>
      </c>
      <c r="B5471" s="57" t="s">
        <v>45</v>
      </c>
      <c r="C5471" s="57" t="s">
        <v>5860</v>
      </c>
      <c r="D5471" s="29"/>
      <c r="E5471" s="57" t="s">
        <v>3789</v>
      </c>
      <c r="F5471" s="31" t="s">
        <v>76</v>
      </c>
      <c r="G5471" s="31" t="s">
        <v>49</v>
      </c>
      <c r="K5471" s="31">
        <v>330</v>
      </c>
      <c r="S5471" s="33">
        <v>1</v>
      </c>
      <c r="AE5471" s="31" t="s">
        <v>6393</v>
      </c>
      <c r="AF5471" s="31">
        <v>140</v>
      </c>
      <c r="AK5471" s="32">
        <v>3</v>
      </c>
      <c r="AQ5471" s="32" t="s">
        <v>6142</v>
      </c>
      <c r="AU5471">
        <v>5470</v>
      </c>
    </row>
    <row r="5472" spans="1:47" x14ac:dyDescent="0.2">
      <c r="A5472" s="26">
        <v>6801</v>
      </c>
      <c r="B5472" s="27">
        <v>0.41666666666666669</v>
      </c>
      <c r="C5472" s="28"/>
      <c r="D5472" s="29"/>
      <c r="E5472" s="30" t="s">
        <v>1282</v>
      </c>
      <c r="H5472" s="32">
        <v>0</v>
      </c>
      <c r="I5472" s="32" t="s">
        <v>6502</v>
      </c>
      <c r="AG5472" s="32">
        <v>0</v>
      </c>
      <c r="AH5472" s="32">
        <v>0</v>
      </c>
      <c r="AI5472" s="32">
        <v>0</v>
      </c>
      <c r="AK5472" s="32">
        <v>0</v>
      </c>
      <c r="AL5472" s="32">
        <f>1/3</f>
        <v>0.33333333333333331</v>
      </c>
      <c r="AP5472" s="32">
        <f>1/3</f>
        <v>0.33333333333333331</v>
      </c>
      <c r="AQ5472" s="32" t="s">
        <v>1101</v>
      </c>
      <c r="AU5472">
        <v>5471</v>
      </c>
    </row>
    <row r="5473" spans="1:47" x14ac:dyDescent="0.2">
      <c r="A5473" s="26">
        <v>6801</v>
      </c>
      <c r="B5473" s="27">
        <v>0.42708333333333331</v>
      </c>
      <c r="C5473" s="28"/>
      <c r="D5473" s="29"/>
      <c r="E5473" s="30" t="s">
        <v>464</v>
      </c>
      <c r="H5473" s="32">
        <v>0</v>
      </c>
      <c r="I5473" s="32" t="s">
        <v>2244</v>
      </c>
      <c r="AG5473" s="32">
        <v>0</v>
      </c>
      <c r="AH5473" s="32">
        <v>0</v>
      </c>
      <c r="AL5473" s="32">
        <f>5/6</f>
        <v>0.83333333333333337</v>
      </c>
      <c r="AO5473" s="32" t="s">
        <v>4067</v>
      </c>
      <c r="AP5473" s="32">
        <f>5/6</f>
        <v>0.83333333333333337</v>
      </c>
      <c r="AQ5473" s="32" t="s">
        <v>1522</v>
      </c>
      <c r="AU5473">
        <v>5472</v>
      </c>
    </row>
    <row r="5474" spans="1:47" x14ac:dyDescent="0.2">
      <c r="A5474" s="26">
        <v>6801</v>
      </c>
      <c r="B5474" s="27">
        <v>0.76736111111111116</v>
      </c>
      <c r="C5474" s="28"/>
      <c r="D5474" s="29"/>
      <c r="E5474" s="30" t="s">
        <v>4219</v>
      </c>
      <c r="H5474" s="32">
        <v>0</v>
      </c>
      <c r="I5474" s="32" t="s">
        <v>4249</v>
      </c>
      <c r="AG5474" s="32">
        <v>0</v>
      </c>
      <c r="AH5474" s="32">
        <v>0</v>
      </c>
      <c r="AI5474" s="32">
        <v>0</v>
      </c>
      <c r="AK5474" s="32">
        <v>0</v>
      </c>
      <c r="AL5474" s="32">
        <f>1/6</f>
        <v>0.16666666666666666</v>
      </c>
      <c r="AO5474" s="32" t="s">
        <v>858</v>
      </c>
      <c r="AP5474" s="32">
        <f>1/6</f>
        <v>0.16666666666666666</v>
      </c>
      <c r="AQ5474" s="32" t="s">
        <v>1101</v>
      </c>
      <c r="AU5474">
        <v>5473</v>
      </c>
    </row>
    <row r="5475" spans="1:47" x14ac:dyDescent="0.2">
      <c r="A5475" s="26">
        <v>6801</v>
      </c>
      <c r="B5475" s="27">
        <v>0.77777777777777779</v>
      </c>
      <c r="C5475" s="28"/>
      <c r="D5475" s="29"/>
      <c r="E5475" s="30" t="s">
        <v>464</v>
      </c>
      <c r="H5475" s="32">
        <v>0</v>
      </c>
      <c r="I5475" s="32" t="s">
        <v>6503</v>
      </c>
      <c r="AG5475" s="32">
        <v>0</v>
      </c>
      <c r="AH5475" s="32">
        <v>0</v>
      </c>
      <c r="AL5475" s="32">
        <v>0.33300000000000002</v>
      </c>
      <c r="AO5475" s="32" t="s">
        <v>4067</v>
      </c>
      <c r="AP5475" s="32">
        <v>0.33300000000000002</v>
      </c>
      <c r="AQ5475" s="32" t="s">
        <v>1522</v>
      </c>
      <c r="AU5475">
        <v>5474</v>
      </c>
    </row>
    <row r="5476" spans="1:47" x14ac:dyDescent="0.2">
      <c r="A5476" s="26">
        <v>6801</v>
      </c>
      <c r="B5476" s="27">
        <v>0.91666666666666663</v>
      </c>
      <c r="C5476" s="28"/>
      <c r="D5476" s="29"/>
      <c r="E5476" s="30" t="s">
        <v>5987</v>
      </c>
      <c r="H5476" s="32">
        <v>1</v>
      </c>
      <c r="I5476" s="32" t="s">
        <v>6504</v>
      </c>
      <c r="AG5476" s="32">
        <v>4</v>
      </c>
      <c r="AH5476" s="32">
        <v>0</v>
      </c>
      <c r="AK5476" s="32">
        <v>100</v>
      </c>
      <c r="AP5476" s="32">
        <v>4</v>
      </c>
      <c r="AQ5476" s="32">
        <v>490</v>
      </c>
      <c r="AU5476">
        <v>5475</v>
      </c>
    </row>
    <row r="5477" spans="1:47" x14ac:dyDescent="0.2">
      <c r="A5477" s="26">
        <v>6801</v>
      </c>
      <c r="B5477" s="27">
        <v>0.94027777777777777</v>
      </c>
      <c r="C5477" s="28"/>
      <c r="D5477" s="29"/>
      <c r="E5477" s="30" t="s">
        <v>3737</v>
      </c>
      <c r="H5477" s="32">
        <v>0</v>
      </c>
      <c r="I5477" s="32" t="s">
        <v>4926</v>
      </c>
      <c r="AG5477" s="32">
        <v>0</v>
      </c>
      <c r="AH5477" s="32">
        <v>0</v>
      </c>
      <c r="AI5477" s="32">
        <v>0</v>
      </c>
      <c r="AK5477" s="32">
        <v>0</v>
      </c>
      <c r="AM5477" s="74"/>
      <c r="AQ5477" s="32" t="s">
        <v>1101</v>
      </c>
      <c r="AU5477">
        <v>5476</v>
      </c>
    </row>
    <row r="5478" spans="1:47" x14ac:dyDescent="0.2">
      <c r="A5478" s="26">
        <v>6801</v>
      </c>
      <c r="B5478" s="27">
        <v>0.95138888888888884</v>
      </c>
      <c r="C5478" s="28"/>
      <c r="D5478" s="29"/>
      <c r="E5478" s="30" t="s">
        <v>464</v>
      </c>
      <c r="H5478" s="32">
        <v>0</v>
      </c>
      <c r="I5478" s="32" t="s">
        <v>6505</v>
      </c>
      <c r="AG5478" s="32">
        <v>0</v>
      </c>
      <c r="AH5478" s="32">
        <v>0</v>
      </c>
      <c r="AL5478" s="32">
        <v>3</v>
      </c>
      <c r="AO5478" s="32" t="s">
        <v>4067</v>
      </c>
      <c r="AP5478" s="32">
        <v>3</v>
      </c>
      <c r="AQ5478" s="32" t="s">
        <v>1522</v>
      </c>
      <c r="AU5478">
        <v>5477</v>
      </c>
    </row>
    <row r="5479" spans="1:47" x14ac:dyDescent="0.2">
      <c r="A5479" s="26">
        <v>6801</v>
      </c>
      <c r="B5479" s="27">
        <v>0.95486111111111116</v>
      </c>
      <c r="C5479" s="28"/>
      <c r="D5479" s="29"/>
      <c r="E5479" s="30" t="s">
        <v>1282</v>
      </c>
      <c r="H5479" s="32">
        <v>0</v>
      </c>
      <c r="I5479" s="32" t="s">
        <v>6506</v>
      </c>
      <c r="AG5479" s="32">
        <v>0</v>
      </c>
      <c r="AH5479" s="32">
        <v>0</v>
      </c>
      <c r="AI5479" s="32">
        <v>0</v>
      </c>
      <c r="AK5479" s="32">
        <v>0</v>
      </c>
      <c r="AL5479" s="32">
        <f>1+36/60</f>
        <v>1.6</v>
      </c>
      <c r="AP5479" s="32">
        <f>1+31/60</f>
        <v>1.5166666666666666</v>
      </c>
      <c r="AQ5479" s="32" t="s">
        <v>1101</v>
      </c>
      <c r="AU5479">
        <v>5478</v>
      </c>
    </row>
    <row r="5480" spans="1:47" x14ac:dyDescent="0.2">
      <c r="A5480" s="26">
        <v>6801</v>
      </c>
      <c r="B5480" s="27">
        <v>0.95833333333333337</v>
      </c>
      <c r="C5480" s="28"/>
      <c r="D5480" s="29"/>
      <c r="E5480" s="30" t="s">
        <v>4219</v>
      </c>
      <c r="H5480" s="32">
        <v>1</v>
      </c>
      <c r="I5480" s="32" t="s">
        <v>6507</v>
      </c>
      <c r="AI5480" s="32">
        <v>953</v>
      </c>
      <c r="AK5480" s="32">
        <v>7</v>
      </c>
      <c r="AL5480" s="32">
        <v>1.333</v>
      </c>
      <c r="AO5480" s="32" t="s">
        <v>858</v>
      </c>
      <c r="AP5480" s="32">
        <v>1.333</v>
      </c>
      <c r="AQ5480" s="32" t="s">
        <v>5162</v>
      </c>
      <c r="AU5480">
        <v>5479</v>
      </c>
    </row>
    <row r="5481" spans="1:47" x14ac:dyDescent="0.2">
      <c r="A5481" s="26">
        <v>6801</v>
      </c>
      <c r="B5481" s="27">
        <v>0.97916666666666663</v>
      </c>
      <c r="C5481" s="28"/>
      <c r="D5481" s="29"/>
      <c r="E5481" s="30" t="s">
        <v>1124</v>
      </c>
      <c r="H5481" s="32">
        <v>1</v>
      </c>
      <c r="I5481" s="32"/>
      <c r="AG5481" s="32">
        <v>0</v>
      </c>
      <c r="AH5481" s="32">
        <v>0</v>
      </c>
      <c r="AK5481" s="32">
        <v>3</v>
      </c>
      <c r="AL5481" s="32">
        <v>0.33300000000000002</v>
      </c>
      <c r="AO5481" s="46" t="s">
        <v>1126</v>
      </c>
      <c r="AP5481" s="32">
        <v>0.33300000000000002</v>
      </c>
      <c r="AQ5481" s="32" t="s">
        <v>589</v>
      </c>
      <c r="AU5481">
        <v>5480</v>
      </c>
    </row>
    <row r="5482" spans="1:47" x14ac:dyDescent="0.2">
      <c r="A5482" s="26">
        <v>6801</v>
      </c>
      <c r="B5482" s="27" t="s">
        <v>85</v>
      </c>
      <c r="C5482" s="28"/>
      <c r="D5482" s="29"/>
      <c r="E5482" s="30" t="s">
        <v>3063</v>
      </c>
      <c r="H5482" s="32">
        <v>1</v>
      </c>
      <c r="I5482" s="32" t="s">
        <v>6508</v>
      </c>
      <c r="AK5482" s="32">
        <v>15</v>
      </c>
      <c r="AQ5482" s="32">
        <v>375</v>
      </c>
      <c r="AU5482">
        <v>5481</v>
      </c>
    </row>
    <row r="5483" spans="1:47" x14ac:dyDescent="0.2">
      <c r="A5483" s="26">
        <v>6801</v>
      </c>
      <c r="B5483" s="27" t="s">
        <v>85</v>
      </c>
      <c r="C5483" s="28"/>
      <c r="D5483" s="29"/>
      <c r="E5483" s="30" t="s">
        <v>1531</v>
      </c>
      <c r="H5483" s="32">
        <v>0</v>
      </c>
      <c r="I5483" s="32" t="s">
        <v>5823</v>
      </c>
      <c r="AG5483" s="32">
        <v>0</v>
      </c>
      <c r="AH5483" s="32">
        <v>0</v>
      </c>
      <c r="AI5483" s="32">
        <v>0</v>
      </c>
      <c r="AK5483" s="32">
        <v>0</v>
      </c>
      <c r="AM5483" s="32">
        <f>498*28</f>
        <v>13944</v>
      </c>
      <c r="AO5483" s="32" t="s">
        <v>1533</v>
      </c>
      <c r="AQ5483" s="32" t="s">
        <v>1101</v>
      </c>
      <c r="AU5483">
        <v>5482</v>
      </c>
    </row>
    <row r="5484" spans="1:47" x14ac:dyDescent="0.2">
      <c r="A5484" s="26">
        <v>6801</v>
      </c>
      <c r="B5484" s="27" t="s">
        <v>45</v>
      </c>
      <c r="C5484" s="28"/>
      <c r="D5484" s="29"/>
      <c r="E5484" s="30" t="s">
        <v>1531</v>
      </c>
      <c r="H5484" s="32">
        <v>0</v>
      </c>
      <c r="I5484" s="32" t="s">
        <v>5828</v>
      </c>
      <c r="AG5484" s="32">
        <v>0</v>
      </c>
      <c r="AH5484" s="32">
        <v>0</v>
      </c>
      <c r="AI5484" s="32">
        <v>0</v>
      </c>
      <c r="AK5484" s="32">
        <v>0</v>
      </c>
      <c r="AM5484" s="32">
        <f>498*37</f>
        <v>18426</v>
      </c>
      <c r="AO5484" s="32" t="s">
        <v>1533</v>
      </c>
      <c r="AQ5484" s="32" t="s">
        <v>1101</v>
      </c>
      <c r="AU5484">
        <v>5483</v>
      </c>
    </row>
    <row r="5485" spans="1:47" x14ac:dyDescent="0.2">
      <c r="A5485" s="26">
        <v>6801</v>
      </c>
      <c r="B5485" s="27" t="s">
        <v>45</v>
      </c>
      <c r="C5485" s="28"/>
      <c r="D5485" s="29"/>
      <c r="E5485" s="150" t="s">
        <v>2286</v>
      </c>
      <c r="H5485" s="32">
        <v>0</v>
      </c>
      <c r="I5485" s="32" t="s">
        <v>1824</v>
      </c>
      <c r="AG5485" s="32">
        <v>0</v>
      </c>
      <c r="AH5485" s="32">
        <v>0</v>
      </c>
      <c r="AI5485" s="32">
        <v>0</v>
      </c>
      <c r="AK5485" s="32">
        <v>0</v>
      </c>
      <c r="AM5485" s="32">
        <v>7000</v>
      </c>
      <c r="AO5485" s="73" t="s">
        <v>75</v>
      </c>
      <c r="AQ5485" s="32" t="s">
        <v>589</v>
      </c>
      <c r="AU5485">
        <v>5484</v>
      </c>
    </row>
    <row r="5486" spans="1:47" x14ac:dyDescent="0.2">
      <c r="A5486" s="26">
        <v>6801</v>
      </c>
      <c r="B5486" s="27"/>
      <c r="C5486" s="28"/>
      <c r="D5486" s="29"/>
      <c r="E5486" s="30" t="s">
        <v>586</v>
      </c>
      <c r="H5486" s="32">
        <v>1</v>
      </c>
      <c r="I5486" s="32" t="s">
        <v>6509</v>
      </c>
      <c r="AI5486" s="32">
        <v>11776</v>
      </c>
      <c r="AK5486" s="32">
        <v>8</v>
      </c>
      <c r="AO5486" s="46" t="s">
        <v>588</v>
      </c>
      <c r="AQ5486" s="32" t="s">
        <v>6510</v>
      </c>
      <c r="AU5486">
        <v>5485</v>
      </c>
    </row>
    <row r="5487" spans="1:47" x14ac:dyDescent="0.2">
      <c r="A5487" s="26">
        <v>6801</v>
      </c>
      <c r="B5487" s="27"/>
      <c r="C5487" s="28"/>
      <c r="D5487" s="29"/>
      <c r="E5487" s="30" t="s">
        <v>4666</v>
      </c>
      <c r="H5487" s="32">
        <v>0</v>
      </c>
      <c r="I5487" s="32" t="s">
        <v>6511</v>
      </c>
      <c r="AG5487" s="32">
        <v>0</v>
      </c>
      <c r="AH5487" s="32">
        <v>0</v>
      </c>
      <c r="AI5487" s="32">
        <v>0</v>
      </c>
      <c r="AL5487" s="32">
        <v>2.67</v>
      </c>
      <c r="AO5487" s="32" t="s">
        <v>4668</v>
      </c>
      <c r="AP5487" s="32">
        <v>2.67</v>
      </c>
      <c r="AQ5487" s="32">
        <v>410</v>
      </c>
      <c r="AU5487">
        <v>5486</v>
      </c>
    </row>
    <row r="5488" spans="1:47" x14ac:dyDescent="0.2">
      <c r="A5488" s="133">
        <v>6802</v>
      </c>
      <c r="B5488" s="39" t="s">
        <v>85</v>
      </c>
      <c r="C5488" s="39">
        <v>99</v>
      </c>
      <c r="D5488" s="29" t="b">
        <v>0</v>
      </c>
      <c r="E5488" s="39" t="s">
        <v>5707</v>
      </c>
      <c r="F5488" s="47" t="s">
        <v>529</v>
      </c>
      <c r="G5488" s="47" t="s">
        <v>205</v>
      </c>
      <c r="H5488"/>
      <c r="I5488" s="47" t="b">
        <v>0</v>
      </c>
      <c r="J5488" s="47" t="b">
        <v>1</v>
      </c>
      <c r="K5488" s="47">
        <v>908</v>
      </c>
      <c r="L5488" s="48">
        <v>14</v>
      </c>
      <c r="M5488" s="47">
        <v>0</v>
      </c>
      <c r="N5488" s="47">
        <v>7</v>
      </c>
      <c r="O5488" s="47">
        <v>3</v>
      </c>
      <c r="P5488" s="47">
        <v>0</v>
      </c>
      <c r="Q5488" s="47">
        <v>0</v>
      </c>
      <c r="R5488" s="47">
        <v>0</v>
      </c>
      <c r="S5488" s="48">
        <v>4</v>
      </c>
      <c r="T5488" s="47">
        <v>0</v>
      </c>
      <c r="U5488" s="47">
        <v>0</v>
      </c>
      <c r="V5488" s="47">
        <v>1</v>
      </c>
      <c r="W5488" s="47">
        <v>11000</v>
      </c>
      <c r="X5488" s="47">
        <v>819</v>
      </c>
      <c r="Y5488" s="47" t="s">
        <v>120</v>
      </c>
      <c r="Z5488" s="47" t="s">
        <v>5139</v>
      </c>
      <c r="AA5488" s="49">
        <v>0.69097222222222221</v>
      </c>
      <c r="AB5488" s="49">
        <v>0.80555555555555547</v>
      </c>
      <c r="AC5488" s="49">
        <f>AVERAGE(AA5488:AB5488)</f>
        <v>0.74826388888888884</v>
      </c>
      <c r="AD5488" s="50">
        <f>(AB5488-AA5488)*24</f>
        <v>2.7499999999999982</v>
      </c>
      <c r="AE5488" s="47" t="s">
        <v>5433</v>
      </c>
      <c r="AF5488" s="47">
        <v>70</v>
      </c>
      <c r="AG5488"/>
      <c r="AH5488"/>
      <c r="AI5488"/>
      <c r="AJ5488"/>
      <c r="AK5488"/>
      <c r="AL5488"/>
      <c r="AM5488"/>
      <c r="AN5488"/>
      <c r="AO5488"/>
      <c r="AP5488"/>
      <c r="AQ5488" t="s">
        <v>2526</v>
      </c>
      <c r="AU5488">
        <v>5487</v>
      </c>
    </row>
    <row r="5489" spans="1:47" x14ac:dyDescent="0.2">
      <c r="A5489" s="133">
        <v>6802</v>
      </c>
      <c r="B5489" s="39" t="s">
        <v>85</v>
      </c>
      <c r="C5489" s="39">
        <v>104</v>
      </c>
      <c r="D5489" s="29" t="b">
        <v>0</v>
      </c>
      <c r="E5489" s="39" t="s">
        <v>5707</v>
      </c>
      <c r="F5489" s="85" t="s">
        <v>529</v>
      </c>
      <c r="G5489" s="47" t="s">
        <v>205</v>
      </c>
      <c r="H5489"/>
      <c r="I5489" s="47" t="b">
        <v>0</v>
      </c>
      <c r="J5489" s="47" t="b">
        <v>1</v>
      </c>
      <c r="K5489" s="47">
        <v>2476</v>
      </c>
      <c r="L5489" s="48">
        <v>11</v>
      </c>
      <c r="M5489" s="47">
        <v>0</v>
      </c>
      <c r="N5489" s="47">
        <v>0</v>
      </c>
      <c r="O5489" s="47">
        <v>0</v>
      </c>
      <c r="P5489" s="47">
        <v>0</v>
      </c>
      <c r="Q5489" s="47">
        <v>0</v>
      </c>
      <c r="R5489" s="47">
        <v>0</v>
      </c>
      <c r="S5489" s="48">
        <v>11</v>
      </c>
      <c r="T5489" s="47">
        <v>0</v>
      </c>
      <c r="U5489" s="47">
        <v>0</v>
      </c>
      <c r="V5489" s="47">
        <v>1</v>
      </c>
      <c r="W5489" s="47">
        <v>11000</v>
      </c>
      <c r="X5489" s="47">
        <v>820</v>
      </c>
      <c r="Y5489" s="47" t="s">
        <v>120</v>
      </c>
      <c r="Z5489" s="47" t="s">
        <v>5139</v>
      </c>
      <c r="AA5489" s="49">
        <v>0.69444444444444453</v>
      </c>
      <c r="AB5489" s="49">
        <v>0.80902777777777779</v>
      </c>
      <c r="AC5489" s="49">
        <f>AVERAGE(AA5489:AB5489)</f>
        <v>0.75173611111111116</v>
      </c>
      <c r="AD5489" s="50">
        <f>(AB5489-AA5489)*24</f>
        <v>2.7499999999999982</v>
      </c>
      <c r="AE5489" s="47" t="s">
        <v>5433</v>
      </c>
      <c r="AF5489" s="47">
        <v>70</v>
      </c>
      <c r="AG5489"/>
      <c r="AH5489"/>
      <c r="AI5489"/>
      <c r="AJ5489"/>
      <c r="AK5489">
        <v>22</v>
      </c>
      <c r="AL5489"/>
      <c r="AM5489"/>
      <c r="AN5489"/>
      <c r="AO5489"/>
      <c r="AP5489"/>
      <c r="AQ5489" t="s">
        <v>5485</v>
      </c>
      <c r="AU5489">
        <v>5488</v>
      </c>
    </row>
    <row r="5490" spans="1:47" x14ac:dyDescent="0.2">
      <c r="A5490" s="133">
        <v>6802</v>
      </c>
      <c r="B5490" s="38" t="s">
        <v>85</v>
      </c>
      <c r="C5490" s="39" t="s">
        <v>5533</v>
      </c>
      <c r="D5490" s="29"/>
      <c r="E5490" s="39" t="s">
        <v>2191</v>
      </c>
      <c r="F5490" s="32" t="s">
        <v>714</v>
      </c>
      <c r="G5490" s="47" t="s">
        <v>49</v>
      </c>
      <c r="H5490"/>
      <c r="I5490" s="32" t="s">
        <v>6512</v>
      </c>
      <c r="J5490" s="47"/>
      <c r="K5490" s="47">
        <f>34*20*2.2</f>
        <v>1496.0000000000002</v>
      </c>
      <c r="L5490" s="48">
        <v>9</v>
      </c>
      <c r="M5490" s="47"/>
      <c r="N5490" s="47">
        <v>1</v>
      </c>
      <c r="O5490" s="47">
        <v>2</v>
      </c>
      <c r="P5490" s="47"/>
      <c r="Q5490" s="47"/>
      <c r="R5490" s="47"/>
      <c r="S5490" s="48">
        <v>6</v>
      </c>
      <c r="T5490" s="47"/>
      <c r="U5490" s="47"/>
      <c r="V5490" s="47"/>
      <c r="W5490" s="47"/>
      <c r="X5490" s="47"/>
      <c r="Y5490" s="47"/>
      <c r="Z5490" s="31" t="s">
        <v>3724</v>
      </c>
      <c r="AA5490" s="49">
        <v>0.43402777777777773</v>
      </c>
      <c r="AB5490" s="49"/>
      <c r="AC5490" s="49"/>
      <c r="AD5490" s="50"/>
      <c r="AE5490" s="47" t="s">
        <v>5536</v>
      </c>
      <c r="AF5490" s="47">
        <v>85</v>
      </c>
      <c r="AG5490"/>
      <c r="AH5490"/>
      <c r="AI5490"/>
      <c r="AJ5490"/>
      <c r="AK5490"/>
      <c r="AL5490"/>
      <c r="AM5490"/>
      <c r="AN5490"/>
      <c r="AO5490"/>
      <c r="AP5490"/>
      <c r="AQ5490"/>
      <c r="AU5490">
        <v>5489</v>
      </c>
    </row>
    <row r="5491" spans="1:47" x14ac:dyDescent="0.2">
      <c r="A5491" s="133">
        <v>6802</v>
      </c>
      <c r="B5491" s="39" t="s">
        <v>85</v>
      </c>
      <c r="C5491" s="39" t="s">
        <v>5533</v>
      </c>
      <c r="D5491" s="29"/>
      <c r="E5491" s="57" t="s">
        <v>788</v>
      </c>
      <c r="F5491" s="47" t="s">
        <v>714</v>
      </c>
      <c r="G5491" s="47" t="s">
        <v>49</v>
      </c>
      <c r="H5491"/>
      <c r="I5491" s="32" t="s">
        <v>6513</v>
      </c>
      <c r="J5491" s="47"/>
      <c r="K5491" s="47">
        <f>20*20*2.2</f>
        <v>880.00000000000011</v>
      </c>
      <c r="L5491" s="48">
        <v>8</v>
      </c>
      <c r="M5491" s="47"/>
      <c r="N5491" s="47">
        <v>1</v>
      </c>
      <c r="O5491" s="47">
        <v>2</v>
      </c>
      <c r="P5491" s="47"/>
      <c r="Q5491" s="47"/>
      <c r="R5491" s="47"/>
      <c r="S5491" s="48">
        <v>5</v>
      </c>
      <c r="T5491" s="47"/>
      <c r="U5491" s="47">
        <v>1</v>
      </c>
      <c r="V5491" s="47"/>
      <c r="W5491" s="47"/>
      <c r="X5491" s="47"/>
      <c r="Y5491" s="47"/>
      <c r="Z5491" s="31" t="s">
        <v>3724</v>
      </c>
      <c r="AA5491" s="49">
        <v>0.6875</v>
      </c>
      <c r="AB5491" s="49"/>
      <c r="AC5491" s="49"/>
      <c r="AD5491" s="50"/>
      <c r="AE5491" s="47" t="s">
        <v>5536</v>
      </c>
      <c r="AF5491" s="47">
        <v>70</v>
      </c>
      <c r="AG5491"/>
      <c r="AH5491"/>
      <c r="AI5491"/>
      <c r="AJ5491"/>
      <c r="AK5491"/>
      <c r="AL5491"/>
      <c r="AM5491"/>
      <c r="AN5491"/>
      <c r="AO5491"/>
      <c r="AP5491"/>
      <c r="AQ5491"/>
      <c r="AU5491">
        <v>5490</v>
      </c>
    </row>
    <row r="5492" spans="1:47" x14ac:dyDescent="0.2">
      <c r="A5492" s="133">
        <v>6802</v>
      </c>
      <c r="B5492" s="39" t="s">
        <v>45</v>
      </c>
      <c r="C5492" s="39">
        <v>100</v>
      </c>
      <c r="D5492" s="29" t="b">
        <v>0</v>
      </c>
      <c r="E5492" s="39" t="s">
        <v>6514</v>
      </c>
      <c r="F5492" s="47" t="s">
        <v>6515</v>
      </c>
      <c r="G5492" s="47" t="s">
        <v>205</v>
      </c>
      <c r="H5492"/>
      <c r="I5492" s="47" t="b">
        <v>1</v>
      </c>
      <c r="J5492" s="47" t="b">
        <v>1</v>
      </c>
      <c r="K5492" s="47">
        <v>3120</v>
      </c>
      <c r="L5492" s="48">
        <v>10</v>
      </c>
      <c r="M5492" s="47">
        <v>0</v>
      </c>
      <c r="N5492" s="47">
        <v>0</v>
      </c>
      <c r="O5492" s="47">
        <v>0</v>
      </c>
      <c r="P5492" s="47">
        <v>0</v>
      </c>
      <c r="Q5492" s="47">
        <v>0</v>
      </c>
      <c r="R5492" s="47">
        <v>0</v>
      </c>
      <c r="S5492" s="48">
        <v>10</v>
      </c>
      <c r="T5492" s="47">
        <v>0</v>
      </c>
      <c r="U5492" s="47">
        <v>0</v>
      </c>
      <c r="V5492" s="47">
        <v>0</v>
      </c>
      <c r="W5492" s="47"/>
      <c r="X5492" s="47">
        <v>821</v>
      </c>
      <c r="Y5492" s="47"/>
      <c r="Z5492" s="47" t="s">
        <v>2524</v>
      </c>
      <c r="AA5492" s="49"/>
      <c r="AB5492" s="49"/>
      <c r="AC5492" s="49"/>
      <c r="AD5492" s="50"/>
      <c r="AE5492" s="47" t="s">
        <v>6445</v>
      </c>
      <c r="AF5492" s="47"/>
      <c r="AG5492"/>
      <c r="AH5492"/>
      <c r="AI5492"/>
      <c r="AJ5492"/>
      <c r="AK5492"/>
      <c r="AL5492"/>
      <c r="AM5492"/>
      <c r="AN5492"/>
      <c r="AO5492"/>
      <c r="AP5492"/>
      <c r="AQ5492" t="s">
        <v>2526</v>
      </c>
      <c r="AU5492">
        <v>5491</v>
      </c>
    </row>
    <row r="5493" spans="1:47" x14ac:dyDescent="0.2">
      <c r="A5493" s="133">
        <v>6802</v>
      </c>
      <c r="B5493" s="39" t="s">
        <v>45</v>
      </c>
      <c r="C5493" s="39">
        <v>100</v>
      </c>
      <c r="D5493" s="29" t="b">
        <v>0</v>
      </c>
      <c r="E5493" s="39" t="s">
        <v>5707</v>
      </c>
      <c r="F5493" s="47" t="s">
        <v>529</v>
      </c>
      <c r="G5493" s="47" t="s">
        <v>205</v>
      </c>
      <c r="H5493"/>
      <c r="I5493" s="47" t="b">
        <v>0</v>
      </c>
      <c r="J5493" s="47" t="b">
        <v>0</v>
      </c>
      <c r="K5493" s="47">
        <v>1560</v>
      </c>
      <c r="L5493" s="48">
        <v>5</v>
      </c>
      <c r="M5493" s="47">
        <v>0</v>
      </c>
      <c r="N5493" s="47">
        <v>0</v>
      </c>
      <c r="O5493" s="47">
        <v>0</v>
      </c>
      <c r="P5493" s="47">
        <v>0</v>
      </c>
      <c r="Q5493" s="47">
        <v>0</v>
      </c>
      <c r="R5493" s="47">
        <v>0</v>
      </c>
      <c r="S5493" s="48">
        <v>5</v>
      </c>
      <c r="T5493" s="47">
        <v>0</v>
      </c>
      <c r="U5493" s="47">
        <v>0</v>
      </c>
      <c r="V5493" s="47">
        <v>0</v>
      </c>
      <c r="W5493" s="47"/>
      <c r="X5493" s="47">
        <v>822</v>
      </c>
      <c r="Y5493" s="47"/>
      <c r="Z5493" s="47" t="s">
        <v>2524</v>
      </c>
      <c r="AA5493" s="49"/>
      <c r="AB5493" s="49"/>
      <c r="AC5493" s="49"/>
      <c r="AD5493" s="50"/>
      <c r="AE5493" s="47" t="s">
        <v>6445</v>
      </c>
      <c r="AF5493" s="47">
        <v>85</v>
      </c>
      <c r="AG5493"/>
      <c r="AH5493"/>
      <c r="AI5493"/>
      <c r="AJ5493"/>
      <c r="AK5493"/>
      <c r="AL5493"/>
      <c r="AM5493"/>
      <c r="AN5493"/>
      <c r="AO5493"/>
      <c r="AP5493"/>
      <c r="AQ5493" t="s">
        <v>2526</v>
      </c>
      <c r="AU5493">
        <v>5492</v>
      </c>
    </row>
    <row r="5494" spans="1:47" x14ac:dyDescent="0.2">
      <c r="A5494" s="133">
        <v>6802</v>
      </c>
      <c r="B5494" s="39" t="s">
        <v>45</v>
      </c>
      <c r="C5494" s="39">
        <v>100</v>
      </c>
      <c r="D5494" s="29" t="b">
        <v>0</v>
      </c>
      <c r="E5494" s="39" t="s">
        <v>5984</v>
      </c>
      <c r="F5494" s="47" t="s">
        <v>529</v>
      </c>
      <c r="G5494" s="47" t="s">
        <v>205</v>
      </c>
      <c r="H5494"/>
      <c r="I5494" s="47" t="b">
        <v>0</v>
      </c>
      <c r="J5494" s="47" t="b">
        <v>0</v>
      </c>
      <c r="K5494" s="47">
        <v>624</v>
      </c>
      <c r="L5494" s="48">
        <v>2</v>
      </c>
      <c r="M5494" s="47">
        <v>0</v>
      </c>
      <c r="N5494" s="47">
        <v>0</v>
      </c>
      <c r="O5494" s="47">
        <v>0</v>
      </c>
      <c r="P5494" s="47">
        <v>0</v>
      </c>
      <c r="Q5494" s="47">
        <v>0</v>
      </c>
      <c r="R5494" s="47">
        <v>0</v>
      </c>
      <c r="S5494" s="48">
        <v>2</v>
      </c>
      <c r="T5494" s="47">
        <v>0</v>
      </c>
      <c r="U5494" s="47">
        <v>0</v>
      </c>
      <c r="V5494" s="47">
        <v>0</v>
      </c>
      <c r="W5494" s="47"/>
      <c r="X5494" s="47">
        <v>823</v>
      </c>
      <c r="Y5494" s="47"/>
      <c r="Z5494" s="47" t="s">
        <v>2524</v>
      </c>
      <c r="AA5494" s="49"/>
      <c r="AB5494" s="49"/>
      <c r="AC5494" s="49"/>
      <c r="AD5494" s="50"/>
      <c r="AE5494" s="47" t="s">
        <v>6445</v>
      </c>
      <c r="AF5494" s="47"/>
      <c r="AG5494"/>
      <c r="AH5494"/>
      <c r="AI5494"/>
      <c r="AJ5494"/>
      <c r="AK5494"/>
      <c r="AL5494"/>
      <c r="AM5494"/>
      <c r="AN5494"/>
      <c r="AO5494"/>
      <c r="AP5494"/>
      <c r="AQ5494" t="s">
        <v>2526</v>
      </c>
      <c r="AU5494">
        <v>5493</v>
      </c>
    </row>
    <row r="5495" spans="1:47" x14ac:dyDescent="0.2">
      <c r="A5495" s="133">
        <v>6802</v>
      </c>
      <c r="B5495" s="39" t="s">
        <v>45</v>
      </c>
      <c r="C5495" s="39">
        <v>100</v>
      </c>
      <c r="D5495" s="29" t="b">
        <v>0</v>
      </c>
      <c r="E5495" s="39" t="s">
        <v>3575</v>
      </c>
      <c r="F5495" s="47" t="s">
        <v>529</v>
      </c>
      <c r="G5495" s="47" t="s">
        <v>205</v>
      </c>
      <c r="H5495"/>
      <c r="I5495" s="47" t="b">
        <v>0</v>
      </c>
      <c r="J5495" s="47" t="b">
        <v>0</v>
      </c>
      <c r="K5495" s="47">
        <v>624</v>
      </c>
      <c r="L5495" s="48">
        <v>2</v>
      </c>
      <c r="M5495" s="47">
        <v>0</v>
      </c>
      <c r="N5495" s="47">
        <v>0</v>
      </c>
      <c r="O5495" s="47">
        <v>0</v>
      </c>
      <c r="P5495" s="47">
        <v>0</v>
      </c>
      <c r="Q5495" s="47">
        <v>0</v>
      </c>
      <c r="R5495" s="47">
        <v>0</v>
      </c>
      <c r="S5495" s="48">
        <v>2</v>
      </c>
      <c r="T5495" s="47">
        <v>0</v>
      </c>
      <c r="U5495" s="47">
        <v>0</v>
      </c>
      <c r="V5495" s="47">
        <v>0</v>
      </c>
      <c r="W5495" s="47">
        <v>1500</v>
      </c>
      <c r="X5495" s="47">
        <v>824</v>
      </c>
      <c r="Y5495" s="47"/>
      <c r="Z5495" s="47" t="s">
        <v>2524</v>
      </c>
      <c r="AA5495" s="49"/>
      <c r="AB5495" s="49"/>
      <c r="AC5495" s="49"/>
      <c r="AD5495" s="50"/>
      <c r="AE5495" s="47" t="s">
        <v>6445</v>
      </c>
      <c r="AF5495" s="47">
        <v>115</v>
      </c>
      <c r="AG5495"/>
      <c r="AH5495"/>
      <c r="AI5495"/>
      <c r="AJ5495"/>
      <c r="AK5495"/>
      <c r="AL5495"/>
      <c r="AM5495"/>
      <c r="AN5495"/>
      <c r="AO5495"/>
      <c r="AP5495"/>
      <c r="AQ5495" t="s">
        <v>2526</v>
      </c>
      <c r="AU5495">
        <v>5494</v>
      </c>
    </row>
    <row r="5496" spans="1:47" x14ac:dyDescent="0.2">
      <c r="A5496" s="133">
        <v>6802</v>
      </c>
      <c r="B5496" s="39" t="s">
        <v>45</v>
      </c>
      <c r="C5496" s="39">
        <v>100</v>
      </c>
      <c r="D5496" s="29" t="b">
        <v>0</v>
      </c>
      <c r="E5496" s="39" t="s">
        <v>6516</v>
      </c>
      <c r="F5496" s="47" t="s">
        <v>57</v>
      </c>
      <c r="G5496" s="47" t="s">
        <v>49</v>
      </c>
      <c r="H5496"/>
      <c r="I5496" s="47" t="b">
        <v>0</v>
      </c>
      <c r="J5496" s="47" t="b">
        <v>0</v>
      </c>
      <c r="K5496" s="47">
        <v>312</v>
      </c>
      <c r="L5496" s="48">
        <v>1</v>
      </c>
      <c r="M5496" s="47">
        <v>0</v>
      </c>
      <c r="N5496" s="47">
        <v>0</v>
      </c>
      <c r="O5496" s="47">
        <v>0</v>
      </c>
      <c r="P5496" s="47">
        <v>0</v>
      </c>
      <c r="Q5496" s="47">
        <v>0</v>
      </c>
      <c r="R5496" s="47">
        <v>0</v>
      </c>
      <c r="S5496" s="48">
        <v>1</v>
      </c>
      <c r="T5496" s="47">
        <v>0</v>
      </c>
      <c r="U5496" s="47">
        <v>0</v>
      </c>
      <c r="V5496" s="47">
        <v>0</v>
      </c>
      <c r="W5496" s="47"/>
      <c r="X5496" s="47">
        <v>825</v>
      </c>
      <c r="Y5496" s="47"/>
      <c r="Z5496" s="47" t="s">
        <v>2524</v>
      </c>
      <c r="AA5496" s="49"/>
      <c r="AB5496" s="49"/>
      <c r="AC5496" s="49"/>
      <c r="AD5496" s="50"/>
      <c r="AE5496" s="47" t="s">
        <v>6445</v>
      </c>
      <c r="AF5496" s="47"/>
      <c r="AG5496"/>
      <c r="AH5496"/>
      <c r="AI5496"/>
      <c r="AJ5496"/>
      <c r="AK5496"/>
      <c r="AL5496"/>
      <c r="AM5496"/>
      <c r="AN5496"/>
      <c r="AO5496"/>
      <c r="AP5496"/>
      <c r="AQ5496" t="s">
        <v>2526</v>
      </c>
      <c r="AU5496">
        <v>5495</v>
      </c>
    </row>
    <row r="5497" spans="1:47" x14ac:dyDescent="0.2">
      <c r="A5497" s="133">
        <v>6802</v>
      </c>
      <c r="B5497" s="39" t="s">
        <v>45</v>
      </c>
      <c r="C5497" s="39">
        <v>216</v>
      </c>
      <c r="D5497" s="29" t="b">
        <v>0</v>
      </c>
      <c r="E5497" s="39" t="s">
        <v>6517</v>
      </c>
      <c r="F5497" s="47" t="s">
        <v>6518</v>
      </c>
      <c r="G5497" s="47" t="s">
        <v>274</v>
      </c>
      <c r="H5497"/>
      <c r="I5497" s="47" t="b">
        <v>1</v>
      </c>
      <c r="J5497" s="47" t="b">
        <v>1</v>
      </c>
      <c r="K5497" s="47">
        <v>9632</v>
      </c>
      <c r="L5497" s="48">
        <v>10</v>
      </c>
      <c r="M5497" s="47">
        <v>1</v>
      </c>
      <c r="N5497" s="47">
        <v>1</v>
      </c>
      <c r="O5497" s="47">
        <v>0</v>
      </c>
      <c r="P5497" s="47">
        <v>0</v>
      </c>
      <c r="Q5497" s="47">
        <v>0</v>
      </c>
      <c r="R5497" s="47">
        <v>0</v>
      </c>
      <c r="S5497" s="48">
        <v>8</v>
      </c>
      <c r="T5497" s="47">
        <v>0</v>
      </c>
      <c r="U5497" s="47">
        <v>0</v>
      </c>
      <c r="V5497" s="47">
        <v>1</v>
      </c>
      <c r="W5497" s="47">
        <v>7125</v>
      </c>
      <c r="X5497" s="47">
        <v>826</v>
      </c>
      <c r="Y5497" s="47"/>
      <c r="Z5497" s="47" t="s">
        <v>2466</v>
      </c>
      <c r="AA5497" s="49"/>
      <c r="AB5497" s="49"/>
      <c r="AC5497" s="49"/>
      <c r="AD5497" s="50"/>
      <c r="AE5497" s="47" t="s">
        <v>1312</v>
      </c>
      <c r="AF5497" s="47"/>
      <c r="AG5497"/>
      <c r="AH5497"/>
      <c r="AI5497"/>
      <c r="AJ5497"/>
      <c r="AK5497"/>
      <c r="AL5497"/>
      <c r="AM5497"/>
      <c r="AN5497"/>
      <c r="AO5497"/>
      <c r="AP5497"/>
      <c r="AQ5497" t="s">
        <v>2526</v>
      </c>
      <c r="AU5497">
        <v>5496</v>
      </c>
    </row>
    <row r="5498" spans="1:47" x14ac:dyDescent="0.2">
      <c r="A5498" s="133">
        <v>6802</v>
      </c>
      <c r="B5498" s="39" t="s">
        <v>45</v>
      </c>
      <c r="C5498" s="39">
        <v>216</v>
      </c>
      <c r="D5498" s="29" t="b">
        <v>0</v>
      </c>
      <c r="E5498" s="39" t="s">
        <v>5707</v>
      </c>
      <c r="F5498" s="47" t="s">
        <v>529</v>
      </c>
      <c r="G5498" s="47" t="s">
        <v>205</v>
      </c>
      <c r="H5498"/>
      <c r="I5498" s="47" t="b">
        <v>0</v>
      </c>
      <c r="J5498" s="47" t="b">
        <v>0</v>
      </c>
      <c r="K5498" s="47">
        <v>1344</v>
      </c>
      <c r="L5498" s="48">
        <v>1</v>
      </c>
      <c r="M5498" s="47">
        <v>0</v>
      </c>
      <c r="N5498" s="47">
        <v>0</v>
      </c>
      <c r="O5498" s="47">
        <v>0</v>
      </c>
      <c r="P5498" s="47">
        <v>0</v>
      </c>
      <c r="Q5498" s="47">
        <v>0</v>
      </c>
      <c r="R5498" s="47">
        <v>0</v>
      </c>
      <c r="S5498" s="48">
        <v>1</v>
      </c>
      <c r="T5498" s="47">
        <v>0</v>
      </c>
      <c r="U5498" s="47">
        <v>0</v>
      </c>
      <c r="V5498" s="47">
        <v>0</v>
      </c>
      <c r="W5498" s="47">
        <v>4000</v>
      </c>
      <c r="X5498" s="47">
        <v>827</v>
      </c>
      <c r="Y5498" s="47"/>
      <c r="Z5498" s="47" t="s">
        <v>2466</v>
      </c>
      <c r="AA5498" s="49"/>
      <c r="AB5498" s="49"/>
      <c r="AC5498" s="49"/>
      <c r="AD5498" s="50"/>
      <c r="AE5498" s="47" t="s">
        <v>1312</v>
      </c>
      <c r="AF5498" s="47">
        <v>75</v>
      </c>
      <c r="AG5498"/>
      <c r="AH5498"/>
      <c r="AI5498"/>
      <c r="AJ5498"/>
      <c r="AK5498"/>
      <c r="AL5498"/>
      <c r="AM5498"/>
      <c r="AN5498"/>
      <c r="AO5498"/>
      <c r="AP5498"/>
      <c r="AQ5498" t="s">
        <v>2526</v>
      </c>
      <c r="AU5498">
        <v>5497</v>
      </c>
    </row>
    <row r="5499" spans="1:47" x14ac:dyDescent="0.2">
      <c r="A5499" s="133">
        <v>6802</v>
      </c>
      <c r="B5499" s="39" t="s">
        <v>45</v>
      </c>
      <c r="C5499" s="39">
        <v>216</v>
      </c>
      <c r="D5499" s="29" t="b">
        <v>0</v>
      </c>
      <c r="E5499" s="39" t="s">
        <v>3909</v>
      </c>
      <c r="F5499" s="47" t="s">
        <v>6519</v>
      </c>
      <c r="G5499" s="47" t="s">
        <v>274</v>
      </c>
      <c r="H5499"/>
      <c r="I5499" s="47" t="b">
        <v>0</v>
      </c>
      <c r="J5499" s="47" t="b">
        <v>0</v>
      </c>
      <c r="K5499" s="47">
        <v>5600</v>
      </c>
      <c r="L5499" s="48">
        <v>7</v>
      </c>
      <c r="M5499" s="47">
        <v>1</v>
      </c>
      <c r="N5499" s="47">
        <v>1</v>
      </c>
      <c r="O5499" s="47">
        <v>0</v>
      </c>
      <c r="P5499" s="47">
        <v>0</v>
      </c>
      <c r="Q5499" s="47">
        <v>0</v>
      </c>
      <c r="R5499" s="47">
        <v>0</v>
      </c>
      <c r="S5499" s="48">
        <v>5</v>
      </c>
      <c r="T5499" s="47">
        <v>0</v>
      </c>
      <c r="U5499" s="47">
        <v>0</v>
      </c>
      <c r="V5499" s="47">
        <v>1</v>
      </c>
      <c r="W5499" s="47">
        <v>8000</v>
      </c>
      <c r="X5499" s="47">
        <v>828</v>
      </c>
      <c r="Y5499" s="47"/>
      <c r="Z5499" s="47" t="s">
        <v>2466</v>
      </c>
      <c r="AA5499" s="49"/>
      <c r="AB5499" s="49"/>
      <c r="AC5499" s="49"/>
      <c r="AD5499" s="50"/>
      <c r="AE5499" s="47" t="s">
        <v>1312</v>
      </c>
      <c r="AF5499" s="47">
        <v>210</v>
      </c>
      <c r="AG5499"/>
      <c r="AH5499"/>
      <c r="AI5499"/>
      <c r="AJ5499"/>
      <c r="AK5499"/>
      <c r="AL5499"/>
      <c r="AM5499"/>
      <c r="AN5499"/>
      <c r="AO5499"/>
      <c r="AP5499"/>
      <c r="AQ5499" t="s">
        <v>2526</v>
      </c>
      <c r="AU5499">
        <v>5498</v>
      </c>
    </row>
    <row r="5500" spans="1:47" x14ac:dyDescent="0.2">
      <c r="A5500" s="133">
        <v>6802</v>
      </c>
      <c r="B5500" s="39" t="s">
        <v>45</v>
      </c>
      <c r="C5500" s="39">
        <v>216</v>
      </c>
      <c r="D5500" s="29" t="b">
        <v>0</v>
      </c>
      <c r="E5500" s="39" t="s">
        <v>858</v>
      </c>
      <c r="F5500" s="47" t="s">
        <v>3665</v>
      </c>
      <c r="G5500" s="47" t="s">
        <v>481</v>
      </c>
      <c r="H5500"/>
      <c r="I5500" s="47" t="b">
        <v>0</v>
      </c>
      <c r="J5500" s="47" t="b">
        <v>0</v>
      </c>
      <c r="K5500" s="47">
        <v>1344</v>
      </c>
      <c r="L5500" s="48">
        <v>1</v>
      </c>
      <c r="M5500" s="47">
        <v>0</v>
      </c>
      <c r="N5500" s="47">
        <v>0</v>
      </c>
      <c r="O5500" s="47">
        <v>0</v>
      </c>
      <c r="P5500" s="47">
        <v>0</v>
      </c>
      <c r="Q5500" s="47">
        <v>0</v>
      </c>
      <c r="R5500" s="47">
        <v>0</v>
      </c>
      <c r="S5500" s="48">
        <v>1</v>
      </c>
      <c r="T5500" s="47">
        <v>0</v>
      </c>
      <c r="U5500" s="47">
        <v>0</v>
      </c>
      <c r="V5500" s="47">
        <v>0</v>
      </c>
      <c r="W5500" s="47">
        <v>7000</v>
      </c>
      <c r="X5500" s="47">
        <v>829</v>
      </c>
      <c r="Y5500" s="47"/>
      <c r="Z5500" s="47" t="s">
        <v>2466</v>
      </c>
      <c r="AA5500" s="49"/>
      <c r="AB5500" s="49"/>
      <c r="AC5500" s="49"/>
      <c r="AD5500" s="50"/>
      <c r="AE5500" s="47" t="s">
        <v>1312</v>
      </c>
      <c r="AF5500" s="47">
        <v>105</v>
      </c>
      <c r="AG5500"/>
      <c r="AH5500"/>
      <c r="AI5500"/>
      <c r="AJ5500"/>
      <c r="AK5500"/>
      <c r="AL5500"/>
      <c r="AM5500"/>
      <c r="AN5500"/>
      <c r="AO5500"/>
      <c r="AP5500"/>
      <c r="AQ5500" t="s">
        <v>2526</v>
      </c>
      <c r="AU5500">
        <v>5499</v>
      </c>
    </row>
    <row r="5501" spans="1:47" x14ac:dyDescent="0.2">
      <c r="A5501" s="133">
        <v>6802</v>
      </c>
      <c r="B5501" s="39" t="s">
        <v>45</v>
      </c>
      <c r="C5501" s="39">
        <v>216</v>
      </c>
      <c r="D5501" s="29" t="b">
        <v>0</v>
      </c>
      <c r="E5501" s="121" t="s">
        <v>3575</v>
      </c>
      <c r="F5501" s="47" t="s">
        <v>529</v>
      </c>
      <c r="G5501" s="47" t="s">
        <v>205</v>
      </c>
      <c r="H5501"/>
      <c r="I5501" s="47" t="b">
        <v>0</v>
      </c>
      <c r="J5501" s="47" t="b">
        <v>0</v>
      </c>
      <c r="K5501" s="47">
        <v>1344</v>
      </c>
      <c r="L5501" s="48">
        <v>1</v>
      </c>
      <c r="M5501" s="47">
        <v>0</v>
      </c>
      <c r="N5501" s="47">
        <v>0</v>
      </c>
      <c r="O5501" s="47">
        <v>0</v>
      </c>
      <c r="P5501" s="47">
        <v>0</v>
      </c>
      <c r="Q5501" s="47">
        <v>0</v>
      </c>
      <c r="R5501" s="47">
        <v>0</v>
      </c>
      <c r="S5501" s="48">
        <v>1</v>
      </c>
      <c r="T5501" s="47">
        <v>0</v>
      </c>
      <c r="U5501" s="47">
        <v>0</v>
      </c>
      <c r="V5501" s="47">
        <v>0</v>
      </c>
      <c r="W5501" s="47">
        <v>6000</v>
      </c>
      <c r="X5501" s="47">
        <v>830</v>
      </c>
      <c r="Y5501" s="47"/>
      <c r="Z5501" s="47" t="s">
        <v>2466</v>
      </c>
      <c r="AA5501" s="49"/>
      <c r="AB5501" s="49"/>
      <c r="AC5501" s="49"/>
      <c r="AD5501" s="50"/>
      <c r="AE5501" s="47" t="s">
        <v>1312</v>
      </c>
      <c r="AF5501" s="31">
        <v>160</v>
      </c>
      <c r="AG5501"/>
      <c r="AH5501"/>
      <c r="AI5501"/>
      <c r="AJ5501"/>
      <c r="AK5501"/>
      <c r="AL5501"/>
      <c r="AM5501"/>
      <c r="AN5501"/>
      <c r="AO5501"/>
      <c r="AP5501"/>
      <c r="AQ5501" t="s">
        <v>2526</v>
      </c>
      <c r="AU5501">
        <v>5500</v>
      </c>
    </row>
    <row r="5502" spans="1:47" x14ac:dyDescent="0.2">
      <c r="A5502" s="13">
        <v>6802</v>
      </c>
      <c r="B5502" s="57" t="s">
        <v>45</v>
      </c>
      <c r="C5502" s="57" t="s">
        <v>142</v>
      </c>
      <c r="D5502" s="29"/>
      <c r="E5502" s="57" t="s">
        <v>6520</v>
      </c>
      <c r="F5502" s="47" t="s">
        <v>6463</v>
      </c>
      <c r="G5502" s="47" t="s">
        <v>49</v>
      </c>
      <c r="H5502"/>
      <c r="I5502" s="47" t="b">
        <v>1</v>
      </c>
      <c r="J5502" s="47" t="b">
        <v>1</v>
      </c>
      <c r="K5502" s="47">
        <f>2825*2.2</f>
        <v>6215.0000000000009</v>
      </c>
      <c r="L5502" s="48">
        <v>11</v>
      </c>
      <c r="M5502" s="47"/>
      <c r="N5502" s="47">
        <v>1</v>
      </c>
      <c r="O5502" s="47"/>
      <c r="P5502" s="47"/>
      <c r="Q5502" s="47"/>
      <c r="R5502" s="47"/>
      <c r="S5502" s="48">
        <v>10</v>
      </c>
      <c r="T5502" s="47">
        <v>0</v>
      </c>
      <c r="U5502" s="47">
        <v>0</v>
      </c>
      <c r="V5502" s="47">
        <v>0</v>
      </c>
      <c r="W5502" s="47"/>
      <c r="X5502" s="47"/>
      <c r="Y5502" s="47" t="s">
        <v>51</v>
      </c>
      <c r="Z5502" s="31" t="s">
        <v>5406</v>
      </c>
      <c r="AA5502" s="49"/>
      <c r="AB5502" s="49"/>
      <c r="AC5502" s="49"/>
      <c r="AD5502" s="50"/>
      <c r="AE5502" s="47" t="s">
        <v>4217</v>
      </c>
      <c r="AF5502" s="47"/>
      <c r="AG5502"/>
      <c r="AH5502"/>
      <c r="AI5502"/>
      <c r="AJ5502"/>
      <c r="AK5502">
        <f>9+39+17+11+3+4+4+5</f>
        <v>92</v>
      </c>
      <c r="AL5502"/>
      <c r="AM5502"/>
      <c r="AN5502"/>
      <c r="AO5502"/>
      <c r="AP5502"/>
      <c r="AQ5502" t="s">
        <v>6492</v>
      </c>
      <c r="AR5502" s="32" t="s">
        <v>6521</v>
      </c>
      <c r="AU5502">
        <v>5501</v>
      </c>
    </row>
    <row r="5503" spans="1:47" x14ac:dyDescent="0.2">
      <c r="A5503" s="13">
        <v>6802</v>
      </c>
      <c r="B5503" s="57" t="s">
        <v>45</v>
      </c>
      <c r="C5503" s="57" t="s">
        <v>142</v>
      </c>
      <c r="D5503" s="29"/>
      <c r="E5503" s="57" t="s">
        <v>1064</v>
      </c>
      <c r="F5503" s="31" t="s">
        <v>76</v>
      </c>
      <c r="G5503" s="31" t="s">
        <v>49</v>
      </c>
      <c r="I5503" s="47" t="b">
        <v>0</v>
      </c>
      <c r="J5503" s="47" t="b">
        <v>0</v>
      </c>
      <c r="K5503" s="31">
        <v>2123</v>
      </c>
      <c r="S5503" s="33">
        <v>4</v>
      </c>
      <c r="AE5503" s="47" t="s">
        <v>4217</v>
      </c>
      <c r="AF5503" s="31">
        <v>60</v>
      </c>
      <c r="AK5503" s="32">
        <v>30</v>
      </c>
      <c r="AQ5503" s="32" t="s">
        <v>6522</v>
      </c>
      <c r="AU5503">
        <v>5502</v>
      </c>
    </row>
    <row r="5504" spans="1:47" x14ac:dyDescent="0.2">
      <c r="A5504" s="169">
        <v>6802</v>
      </c>
      <c r="B5504" s="170" t="s">
        <v>45</v>
      </c>
      <c r="C5504" s="170" t="s">
        <v>142</v>
      </c>
      <c r="D5504" s="62"/>
      <c r="E5504" s="170" t="s">
        <v>3876</v>
      </c>
      <c r="F5504" s="63" t="s">
        <v>76</v>
      </c>
      <c r="G5504" s="63" t="s">
        <v>49</v>
      </c>
      <c r="H5504" s="63"/>
      <c r="I5504" s="66" t="b">
        <v>0</v>
      </c>
      <c r="J5504" s="66" t="b">
        <v>0</v>
      </c>
      <c r="K5504" s="63">
        <v>2156</v>
      </c>
      <c r="L5504" s="193"/>
      <c r="M5504" s="63"/>
      <c r="N5504" s="63"/>
      <c r="O5504" s="63"/>
      <c r="P5504" s="63"/>
      <c r="Q5504" s="63"/>
      <c r="R5504" s="63"/>
      <c r="S5504" s="193">
        <v>4</v>
      </c>
      <c r="T5504" s="63"/>
      <c r="U5504" s="63"/>
      <c r="V5504" s="63"/>
      <c r="W5504" s="63"/>
      <c r="X5504" s="63"/>
      <c r="Y5504" s="63"/>
      <c r="Z5504" s="63"/>
      <c r="AA5504" s="196"/>
      <c r="AB5504" s="196"/>
      <c r="AC5504" s="196"/>
      <c r="AD5504" s="197"/>
      <c r="AE5504" s="47" t="s">
        <v>4217</v>
      </c>
      <c r="AF5504" s="63">
        <v>75</v>
      </c>
      <c r="AG5504" s="64"/>
      <c r="AH5504" s="64"/>
      <c r="AI5504" s="64"/>
      <c r="AJ5504" s="64"/>
      <c r="AK5504" s="64">
        <v>40</v>
      </c>
      <c r="AL5504" s="64"/>
      <c r="AM5504" s="64"/>
      <c r="AN5504" s="64"/>
      <c r="AO5504" s="64"/>
      <c r="AP5504" s="64"/>
      <c r="AQ5504" s="64" t="s">
        <v>6522</v>
      </c>
      <c r="AR5504" s="65" t="s">
        <v>6523</v>
      </c>
      <c r="AS5504" s="67"/>
      <c r="AT5504" s="67"/>
      <c r="AU5504">
        <v>5503</v>
      </c>
    </row>
    <row r="5505" spans="1:47" x14ac:dyDescent="0.2">
      <c r="A5505" s="13">
        <v>6802</v>
      </c>
      <c r="B5505" s="57" t="s">
        <v>45</v>
      </c>
      <c r="C5505" s="57" t="s">
        <v>142</v>
      </c>
      <c r="D5505" s="29"/>
      <c r="E5505" s="57" t="s">
        <v>5772</v>
      </c>
      <c r="F5505" s="31" t="s">
        <v>6354</v>
      </c>
      <c r="G5505" s="31" t="s">
        <v>69</v>
      </c>
      <c r="I5505" s="47" t="b">
        <v>0</v>
      </c>
      <c r="J5505" s="47" t="b">
        <v>0</v>
      </c>
      <c r="K5505" s="31">
        <v>2508</v>
      </c>
      <c r="S5505" s="33">
        <v>3</v>
      </c>
      <c r="AE5505" s="47" t="s">
        <v>4217</v>
      </c>
      <c r="AF5505" s="31">
        <v>75</v>
      </c>
      <c r="AK5505" s="32">
        <v>34</v>
      </c>
      <c r="AQ5505" s="32" t="s">
        <v>6522</v>
      </c>
      <c r="AU5505">
        <v>5504</v>
      </c>
    </row>
    <row r="5506" spans="1:47" x14ac:dyDescent="0.2">
      <c r="A5506" s="13">
        <v>6802</v>
      </c>
      <c r="B5506" s="57" t="s">
        <v>45</v>
      </c>
      <c r="C5506" s="57" t="s">
        <v>142</v>
      </c>
      <c r="D5506" s="29"/>
      <c r="E5506" s="57" t="s">
        <v>1078</v>
      </c>
      <c r="F5506" s="31" t="s">
        <v>76</v>
      </c>
      <c r="G5506" s="31" t="s">
        <v>49</v>
      </c>
      <c r="I5506" s="47" t="b">
        <v>0</v>
      </c>
      <c r="J5506" s="47" t="b">
        <v>0</v>
      </c>
      <c r="K5506" s="31">
        <v>1584</v>
      </c>
      <c r="S5506" s="33">
        <v>3</v>
      </c>
      <c r="AE5506" s="47" t="s">
        <v>4217</v>
      </c>
      <c r="AF5506" s="31">
        <v>70</v>
      </c>
      <c r="AK5506" s="32">
        <v>28</v>
      </c>
      <c r="AQ5506" s="32" t="s">
        <v>6522</v>
      </c>
      <c r="AU5506">
        <v>5505</v>
      </c>
    </row>
    <row r="5507" spans="1:47" x14ac:dyDescent="0.2">
      <c r="A5507" s="13">
        <v>6802</v>
      </c>
      <c r="B5507" s="57" t="s">
        <v>45</v>
      </c>
      <c r="C5507" s="57" t="s">
        <v>5765</v>
      </c>
      <c r="D5507" s="29"/>
      <c r="E5507" s="57" t="s">
        <v>175</v>
      </c>
      <c r="F5507" s="31" t="s">
        <v>76</v>
      </c>
      <c r="G5507" s="31" t="s">
        <v>49</v>
      </c>
      <c r="K5507" s="31">
        <v>1100</v>
      </c>
      <c r="Z5507" s="31" t="s">
        <v>1846</v>
      </c>
      <c r="AE5507" s="31" t="s">
        <v>4176</v>
      </c>
      <c r="AF5507" s="31">
        <v>55</v>
      </c>
      <c r="AK5507" s="32">
        <v>10</v>
      </c>
      <c r="AQ5507" s="32" t="s">
        <v>6496</v>
      </c>
      <c r="AU5507">
        <v>5506</v>
      </c>
    </row>
    <row r="5508" spans="1:47" x14ac:dyDescent="0.2">
      <c r="A5508" s="13">
        <v>6802</v>
      </c>
      <c r="B5508" s="57" t="s">
        <v>45</v>
      </c>
      <c r="C5508" s="57" t="s">
        <v>5765</v>
      </c>
      <c r="D5508" s="29"/>
      <c r="E5508" s="57" t="s">
        <v>1764</v>
      </c>
      <c r="F5508" s="31" t="s">
        <v>76</v>
      </c>
      <c r="G5508" s="31" t="s">
        <v>49</v>
      </c>
      <c r="I5508" s="31" t="s">
        <v>6524</v>
      </c>
      <c r="K5508" s="31">
        <f>6934.4-4400</f>
        <v>2534.3999999999996</v>
      </c>
      <c r="Z5508" s="31" t="s">
        <v>1846</v>
      </c>
      <c r="AE5508" s="31" t="s">
        <v>4176</v>
      </c>
      <c r="AF5508" s="31">
        <v>95</v>
      </c>
      <c r="AK5508" s="32">
        <f>54-40</f>
        <v>14</v>
      </c>
      <c r="AQ5508" s="32" t="s">
        <v>6496</v>
      </c>
      <c r="AU5508">
        <v>5507</v>
      </c>
    </row>
    <row r="5509" spans="1:47" x14ac:dyDescent="0.2">
      <c r="A5509" s="13">
        <v>6802</v>
      </c>
      <c r="B5509" s="57" t="s">
        <v>45</v>
      </c>
      <c r="C5509" s="57" t="s">
        <v>4456</v>
      </c>
      <c r="D5509" s="29"/>
      <c r="E5509" s="57" t="s">
        <v>1764</v>
      </c>
      <c r="F5509" s="31" t="s">
        <v>76</v>
      </c>
      <c r="G5509" s="31" t="s">
        <v>49</v>
      </c>
      <c r="I5509" s="31" t="s">
        <v>6525</v>
      </c>
      <c r="K5509" s="135">
        <f>5*880</f>
        <v>4400</v>
      </c>
      <c r="L5509" s="33">
        <v>5</v>
      </c>
      <c r="S5509" s="33">
        <v>5</v>
      </c>
      <c r="T5509" s="31">
        <v>0</v>
      </c>
      <c r="U5509" s="31">
        <v>0</v>
      </c>
      <c r="V5509" s="31">
        <v>0</v>
      </c>
      <c r="W5509" s="47">
        <f>((2800+3000+2000+2500+2900)/5)*39.37/12</f>
        <v>8661.4</v>
      </c>
      <c r="Y5509" s="19" t="s">
        <v>51</v>
      </c>
      <c r="Z5509" s="19" t="s">
        <v>1846</v>
      </c>
      <c r="AA5509" s="34">
        <v>0.87847222222222221</v>
      </c>
      <c r="AB5509" s="34">
        <v>0.99652777777777779</v>
      </c>
      <c r="AC5509" s="49">
        <f>AVERAGE(AA5509:AB5509)</f>
        <v>0.9375</v>
      </c>
      <c r="AD5509" s="50">
        <f>(AB5509-AA5509)*24</f>
        <v>2.8333333333333339</v>
      </c>
      <c r="AE5509" s="31" t="s">
        <v>4176</v>
      </c>
      <c r="AF5509" s="31">
        <v>95</v>
      </c>
      <c r="AK5509" s="130">
        <f>5*8</f>
        <v>40</v>
      </c>
      <c r="AQ5509" s="32" t="s">
        <v>6526</v>
      </c>
      <c r="AU5509">
        <v>5508</v>
      </c>
    </row>
    <row r="5510" spans="1:47" x14ac:dyDescent="0.2">
      <c r="A5510" s="13">
        <v>6802</v>
      </c>
      <c r="B5510" s="57" t="s">
        <v>45</v>
      </c>
      <c r="C5510" s="57" t="s">
        <v>5765</v>
      </c>
      <c r="D5510" s="29"/>
      <c r="E5510" s="57" t="s">
        <v>788</v>
      </c>
      <c r="F5510" s="31" t="s">
        <v>76</v>
      </c>
      <c r="G5510" s="31" t="s">
        <v>49</v>
      </c>
      <c r="K5510" s="31">
        <v>1896.4</v>
      </c>
      <c r="Z5510" s="31" t="s">
        <v>1846</v>
      </c>
      <c r="AE5510" s="31" t="s">
        <v>4176</v>
      </c>
      <c r="AF5510" s="31">
        <v>70</v>
      </c>
      <c r="AK5510" s="32">
        <v>20</v>
      </c>
      <c r="AQ5510" s="32" t="s">
        <v>6496</v>
      </c>
      <c r="AU5510">
        <v>5509</v>
      </c>
    </row>
    <row r="5511" spans="1:47" x14ac:dyDescent="0.2">
      <c r="A5511" s="13">
        <v>6802</v>
      </c>
      <c r="B5511" s="57" t="s">
        <v>45</v>
      </c>
      <c r="C5511" s="57" t="s">
        <v>5765</v>
      </c>
      <c r="D5511" s="29"/>
      <c r="E5511" s="57" t="s">
        <v>3837</v>
      </c>
      <c r="F5511" s="31" t="s">
        <v>76</v>
      </c>
      <c r="G5511" s="31" t="s">
        <v>49</v>
      </c>
      <c r="K5511" s="31">
        <v>1980</v>
      </c>
      <c r="Z5511" s="31" t="s">
        <v>1846</v>
      </c>
      <c r="AE5511" s="31" t="s">
        <v>4176</v>
      </c>
      <c r="AF5511" s="31">
        <v>90</v>
      </c>
      <c r="AK5511" s="32">
        <v>18</v>
      </c>
      <c r="AQ5511" s="32" t="s">
        <v>6496</v>
      </c>
      <c r="AU5511">
        <v>5510</v>
      </c>
    </row>
    <row r="5512" spans="1:47" x14ac:dyDescent="0.2">
      <c r="A5512" s="13">
        <v>6802</v>
      </c>
      <c r="B5512" s="57" t="s">
        <v>45</v>
      </c>
      <c r="C5512" s="57" t="s">
        <v>4843</v>
      </c>
      <c r="D5512" s="29"/>
      <c r="E5512" s="57" t="s">
        <v>3936</v>
      </c>
      <c r="F5512" s="31" t="s">
        <v>76</v>
      </c>
      <c r="G5512" s="31" t="s">
        <v>49</v>
      </c>
      <c r="K5512" s="31">
        <v>1738</v>
      </c>
      <c r="S5512" s="33">
        <v>4</v>
      </c>
      <c r="Z5512" s="31" t="s">
        <v>3814</v>
      </c>
      <c r="AE5512" s="31" t="s">
        <v>4411</v>
      </c>
      <c r="AF5512" s="31">
        <v>60</v>
      </c>
      <c r="AK5512" s="32">
        <v>21</v>
      </c>
      <c r="AQ5512" s="32" t="s">
        <v>6522</v>
      </c>
      <c r="AU5512">
        <v>5511</v>
      </c>
    </row>
    <row r="5513" spans="1:47" x14ac:dyDescent="0.2">
      <c r="A5513" s="13">
        <v>6802</v>
      </c>
      <c r="B5513" s="57" t="s">
        <v>45</v>
      </c>
      <c r="C5513" s="57" t="s">
        <v>4843</v>
      </c>
      <c r="D5513" s="29"/>
      <c r="E5513" s="57" t="s">
        <v>6527</v>
      </c>
      <c r="F5513" s="31" t="s">
        <v>76</v>
      </c>
      <c r="G5513" s="31" t="s">
        <v>49</v>
      </c>
      <c r="K5513" s="31">
        <v>1804</v>
      </c>
      <c r="S5513" s="33">
        <v>4</v>
      </c>
      <c r="Z5513" s="31" t="s">
        <v>3814</v>
      </c>
      <c r="AE5513" s="31" t="s">
        <v>4411</v>
      </c>
      <c r="AF5513" s="31">
        <v>100</v>
      </c>
      <c r="AK5513" s="32">
        <v>33</v>
      </c>
      <c r="AQ5513" s="32" t="s">
        <v>6522</v>
      </c>
      <c r="AU5513">
        <v>5512</v>
      </c>
    </row>
    <row r="5514" spans="1:47" x14ac:dyDescent="0.2">
      <c r="A5514" s="13">
        <v>6802</v>
      </c>
      <c r="B5514" s="57" t="s">
        <v>45</v>
      </c>
      <c r="C5514" s="57" t="s">
        <v>4843</v>
      </c>
      <c r="D5514" s="29"/>
      <c r="E5514" s="57" t="s">
        <v>1064</v>
      </c>
      <c r="F5514" s="31" t="s">
        <v>76</v>
      </c>
      <c r="G5514" s="31" t="s">
        <v>49</v>
      </c>
      <c r="K5514" s="31">
        <v>6490</v>
      </c>
      <c r="S5514" s="33">
        <v>12</v>
      </c>
      <c r="Z5514" s="31" t="s">
        <v>3814</v>
      </c>
      <c r="AE5514" s="31" t="s">
        <v>4411</v>
      </c>
      <c r="AF5514" s="31">
        <v>55</v>
      </c>
      <c r="AK5514" s="32">
        <v>95</v>
      </c>
      <c r="AQ5514" s="32" t="s">
        <v>6522</v>
      </c>
      <c r="AU5514">
        <v>5513</v>
      </c>
    </row>
    <row r="5515" spans="1:47" x14ac:dyDescent="0.2">
      <c r="A5515" s="13">
        <v>6802</v>
      </c>
      <c r="B5515" s="57" t="s">
        <v>45</v>
      </c>
      <c r="C5515" s="57" t="s">
        <v>4179</v>
      </c>
      <c r="D5515" s="29"/>
      <c r="E5515" s="57" t="s">
        <v>6406</v>
      </c>
      <c r="F5515" s="31" t="s">
        <v>83</v>
      </c>
      <c r="G5515" s="31" t="s">
        <v>69</v>
      </c>
      <c r="I5515" s="31" t="s">
        <v>6407</v>
      </c>
      <c r="K5515" s="63"/>
      <c r="Z5515" s="31" t="s">
        <v>3814</v>
      </c>
      <c r="AE5515" s="31" t="s">
        <v>4892</v>
      </c>
      <c r="AF5515" s="31">
        <v>70</v>
      </c>
      <c r="AQ5515" s="32" t="s">
        <v>6142</v>
      </c>
      <c r="AU5515">
        <v>5514</v>
      </c>
    </row>
    <row r="5516" spans="1:47" x14ac:dyDescent="0.2">
      <c r="A5516" s="13">
        <v>6802</v>
      </c>
      <c r="B5516" s="57" t="s">
        <v>45</v>
      </c>
      <c r="C5516" s="57" t="s">
        <v>5860</v>
      </c>
      <c r="D5516" s="29"/>
      <c r="E5516" s="57" t="s">
        <v>3089</v>
      </c>
      <c r="F5516" s="31" t="s">
        <v>6528</v>
      </c>
      <c r="G5516" s="31" t="s">
        <v>69</v>
      </c>
      <c r="K5516" s="31">
        <v>9680</v>
      </c>
      <c r="AE5516" s="31" t="s">
        <v>6393</v>
      </c>
      <c r="AF5516" s="31">
        <v>80</v>
      </c>
      <c r="AK5516" s="32">
        <v>99</v>
      </c>
      <c r="AQ5516" s="32" t="s">
        <v>6142</v>
      </c>
      <c r="AU5516">
        <v>5515</v>
      </c>
    </row>
    <row r="5517" spans="1:47" x14ac:dyDescent="0.2">
      <c r="A5517" s="13">
        <v>6802</v>
      </c>
      <c r="B5517" s="57" t="s">
        <v>45</v>
      </c>
      <c r="C5517" s="57" t="s">
        <v>5860</v>
      </c>
      <c r="D5517" s="29"/>
      <c r="E5517" s="57" t="s">
        <v>3815</v>
      </c>
      <c r="F5517" s="31" t="s">
        <v>76</v>
      </c>
      <c r="G5517" s="31" t="s">
        <v>49</v>
      </c>
      <c r="K5517" s="31">
        <v>660</v>
      </c>
      <c r="AE5517" s="31" t="s">
        <v>6393</v>
      </c>
      <c r="AF5517" s="31">
        <v>140</v>
      </c>
      <c r="AK5517" s="32">
        <v>11</v>
      </c>
      <c r="AQ5517" s="32" t="s">
        <v>6142</v>
      </c>
      <c r="AU5517">
        <v>5516</v>
      </c>
    </row>
    <row r="5518" spans="1:47" x14ac:dyDescent="0.2">
      <c r="A5518" s="26">
        <v>6802</v>
      </c>
      <c r="B5518" s="27">
        <v>6.9444444444444441E-3</v>
      </c>
      <c r="C5518" s="28"/>
      <c r="D5518" s="29"/>
      <c r="E5518" s="102" t="s">
        <v>1102</v>
      </c>
      <c r="H5518" s="32">
        <v>0</v>
      </c>
      <c r="I5518" s="32" t="s">
        <v>1103</v>
      </c>
      <c r="AG5518" s="32">
        <v>0</v>
      </c>
      <c r="AH5518" s="32">
        <v>0</v>
      </c>
      <c r="AI5518" s="32">
        <v>0</v>
      </c>
      <c r="AK5518" s="32">
        <v>0</v>
      </c>
      <c r="AL5518" s="32">
        <f>1/6</f>
        <v>0.16666666666666666</v>
      </c>
      <c r="AO5518" s="73" t="s">
        <v>1006</v>
      </c>
      <c r="AP5518" s="32">
        <f>1/6</f>
        <v>0.16666666666666666</v>
      </c>
      <c r="AQ5518" s="32" t="s">
        <v>589</v>
      </c>
      <c r="AU5518">
        <v>5517</v>
      </c>
    </row>
    <row r="5519" spans="1:47" x14ac:dyDescent="0.2">
      <c r="A5519" s="26">
        <v>6802</v>
      </c>
      <c r="B5519" s="27">
        <v>2.5000000000000001E-2</v>
      </c>
      <c r="C5519" s="28"/>
      <c r="D5519" s="29"/>
      <c r="E5519" s="30" t="s">
        <v>869</v>
      </c>
      <c r="H5519" s="32">
        <v>0</v>
      </c>
      <c r="I5519" s="32" t="s">
        <v>2344</v>
      </c>
      <c r="AG5519" s="32">
        <v>0</v>
      </c>
      <c r="AH5519" s="32">
        <v>0</v>
      </c>
      <c r="AI5519" s="32">
        <v>0</v>
      </c>
      <c r="AK5519" s="32">
        <v>0</v>
      </c>
      <c r="AL5519" s="32">
        <f>9/60</f>
        <v>0.15</v>
      </c>
      <c r="AP5519" s="32">
        <f>9/60</f>
        <v>0.15</v>
      </c>
      <c r="AQ5519" s="32" t="s">
        <v>589</v>
      </c>
      <c r="AU5519">
        <v>5518</v>
      </c>
    </row>
    <row r="5520" spans="1:47" x14ac:dyDescent="0.2">
      <c r="A5520" s="26">
        <v>6802</v>
      </c>
      <c r="B5520" s="27">
        <v>0.13541666666666666</v>
      </c>
      <c r="C5520" s="28"/>
      <c r="D5520" s="29"/>
      <c r="E5520" s="30" t="s">
        <v>1124</v>
      </c>
      <c r="H5520" s="32">
        <v>1</v>
      </c>
      <c r="I5520" s="32"/>
      <c r="AG5520" s="32">
        <v>0</v>
      </c>
      <c r="AH5520" s="32">
        <v>0</v>
      </c>
      <c r="AK5520" s="32">
        <v>8</v>
      </c>
      <c r="AL5520" s="32">
        <v>0.33300000000000002</v>
      </c>
      <c r="AO5520" s="46" t="s">
        <v>1126</v>
      </c>
      <c r="AP5520" s="32">
        <v>0.33300000000000002</v>
      </c>
      <c r="AQ5520" s="32" t="s">
        <v>589</v>
      </c>
      <c r="AU5520">
        <v>5519</v>
      </c>
    </row>
    <row r="5521" spans="1:47" x14ac:dyDescent="0.2">
      <c r="A5521" s="26">
        <v>6802</v>
      </c>
      <c r="B5521" s="27">
        <v>0.35069444444444442</v>
      </c>
      <c r="C5521" s="28"/>
      <c r="D5521" s="29"/>
      <c r="E5521" s="102" t="s">
        <v>1102</v>
      </c>
      <c r="H5521" s="32">
        <v>0</v>
      </c>
      <c r="I5521" s="32" t="s">
        <v>1103</v>
      </c>
      <c r="AG5521" s="32">
        <v>0</v>
      </c>
      <c r="AH5521" s="32">
        <v>0</v>
      </c>
      <c r="AI5521" s="32">
        <v>0</v>
      </c>
      <c r="AK5521" s="32">
        <v>0</v>
      </c>
      <c r="AL5521" s="32">
        <f>1/6</f>
        <v>0.16666666666666666</v>
      </c>
      <c r="AO5521" s="73" t="s">
        <v>1006</v>
      </c>
      <c r="AP5521" s="32">
        <f>1/6</f>
        <v>0.16666666666666666</v>
      </c>
      <c r="AQ5521" s="32" t="s">
        <v>589</v>
      </c>
      <c r="AU5521">
        <v>5520</v>
      </c>
    </row>
    <row r="5522" spans="1:47" x14ac:dyDescent="0.2">
      <c r="A5522" s="26">
        <v>6802</v>
      </c>
      <c r="B5522" s="27">
        <v>0.4597222222222222</v>
      </c>
      <c r="C5522" s="28"/>
      <c r="D5522" s="29"/>
      <c r="E5522" s="30" t="s">
        <v>869</v>
      </c>
      <c r="H5522" s="32">
        <v>0</v>
      </c>
      <c r="I5522" s="32" t="s">
        <v>6529</v>
      </c>
      <c r="AG5522" s="32">
        <v>0</v>
      </c>
      <c r="AH5522" s="32">
        <v>0</v>
      </c>
      <c r="AI5522" s="32">
        <v>0</v>
      </c>
      <c r="AK5522" s="32">
        <v>0</v>
      </c>
      <c r="AL5522" s="32">
        <f>77/60</f>
        <v>1.2833333333333334</v>
      </c>
      <c r="AP5522" s="32">
        <f>77/60</f>
        <v>1.2833333333333334</v>
      </c>
      <c r="AQ5522" s="32" t="s">
        <v>589</v>
      </c>
      <c r="AU5522">
        <v>5521</v>
      </c>
    </row>
    <row r="5523" spans="1:47" s="67" customFormat="1" x14ac:dyDescent="0.2">
      <c r="A5523" s="26">
        <v>6802</v>
      </c>
      <c r="B5523" s="27">
        <v>0.50347222222222221</v>
      </c>
      <c r="C5523" s="28"/>
      <c r="D5523" s="29"/>
      <c r="E5523" s="30" t="s">
        <v>3155</v>
      </c>
      <c r="F5523" s="31"/>
      <c r="G5523" s="31"/>
      <c r="H5523" s="32">
        <v>0</v>
      </c>
      <c r="I5523" s="32" t="s">
        <v>3156</v>
      </c>
      <c r="J5523" s="31"/>
      <c r="K5523" s="31"/>
      <c r="L5523" s="33"/>
      <c r="M5523" s="31"/>
      <c r="N5523" s="31"/>
      <c r="O5523" s="31"/>
      <c r="P5523" s="31"/>
      <c r="Q5523" s="31"/>
      <c r="R5523" s="31"/>
      <c r="S5523" s="33"/>
      <c r="T5523" s="31"/>
      <c r="U5523" s="31"/>
      <c r="V5523" s="31"/>
      <c r="W5523" s="31"/>
      <c r="X5523" s="31"/>
      <c r="Y5523" s="31"/>
      <c r="Z5523" s="31"/>
      <c r="AA5523" s="34"/>
      <c r="AB5523" s="34"/>
      <c r="AC5523" s="34"/>
      <c r="AD5523" s="35"/>
      <c r="AE5523" s="31"/>
      <c r="AF5523" s="31"/>
      <c r="AG5523" s="32">
        <v>0</v>
      </c>
      <c r="AH5523" s="32">
        <v>0</v>
      </c>
      <c r="AI5523" s="32">
        <v>0</v>
      </c>
      <c r="AJ5523" s="32"/>
      <c r="AK5523" s="32">
        <v>0</v>
      </c>
      <c r="AL5523" s="32"/>
      <c r="AM5523" s="32"/>
      <c r="AN5523" s="32"/>
      <c r="AO5523" s="32"/>
      <c r="AP5523" s="32">
        <f>49/60</f>
        <v>0.81666666666666665</v>
      </c>
      <c r="AQ5523" s="32" t="s">
        <v>1101</v>
      </c>
      <c r="AR5523" s="32"/>
      <c r="AS5523"/>
      <c r="AT5523"/>
      <c r="AU5523">
        <v>5522</v>
      </c>
    </row>
    <row r="5524" spans="1:47" x14ac:dyDescent="0.2">
      <c r="A5524" s="26">
        <v>6802</v>
      </c>
      <c r="B5524" s="27">
        <v>0.50416666666666665</v>
      </c>
      <c r="C5524" s="28"/>
      <c r="D5524" s="29"/>
      <c r="E5524" s="30" t="s">
        <v>3737</v>
      </c>
      <c r="H5524" s="32">
        <v>0</v>
      </c>
      <c r="I5524" s="32" t="s">
        <v>6530</v>
      </c>
      <c r="AG5524" s="32">
        <v>0</v>
      </c>
      <c r="AH5524" s="32">
        <v>0</v>
      </c>
      <c r="AI5524" s="32">
        <v>0</v>
      </c>
      <c r="AK5524" s="32">
        <v>0</v>
      </c>
      <c r="AM5524" s="74"/>
      <c r="AQ5524" s="32" t="s">
        <v>1101</v>
      </c>
      <c r="AU5524">
        <v>5523</v>
      </c>
    </row>
    <row r="5525" spans="1:47" x14ac:dyDescent="0.2">
      <c r="A5525" s="26">
        <v>6802</v>
      </c>
      <c r="B5525" s="27">
        <v>0.52430555555555558</v>
      </c>
      <c r="C5525" s="28"/>
      <c r="D5525" s="29"/>
      <c r="E5525" s="30" t="s">
        <v>464</v>
      </c>
      <c r="H5525" s="32">
        <v>0</v>
      </c>
      <c r="I5525" s="32" t="s">
        <v>4561</v>
      </c>
      <c r="AG5525" s="32">
        <v>0</v>
      </c>
      <c r="AH5525" s="32">
        <v>0</v>
      </c>
      <c r="AL5525" s="32">
        <v>0.75</v>
      </c>
      <c r="AO5525" s="32" t="s">
        <v>4067</v>
      </c>
      <c r="AP5525" s="32">
        <v>0.75</v>
      </c>
      <c r="AQ5525" s="32" t="s">
        <v>1522</v>
      </c>
      <c r="AU5525">
        <v>5524</v>
      </c>
    </row>
    <row r="5526" spans="1:47" x14ac:dyDescent="0.2">
      <c r="A5526" s="26">
        <v>6802</v>
      </c>
      <c r="B5526" s="27">
        <v>0.75</v>
      </c>
      <c r="C5526" s="28"/>
      <c r="D5526" s="29"/>
      <c r="E5526" s="30" t="s">
        <v>464</v>
      </c>
      <c r="H5526" s="32">
        <v>0</v>
      </c>
      <c r="I5526" s="32" t="s">
        <v>5766</v>
      </c>
      <c r="AG5526" s="32">
        <v>0</v>
      </c>
      <c r="AH5526" s="32">
        <v>0</v>
      </c>
      <c r="AL5526" s="32">
        <v>0.33300000000000002</v>
      </c>
      <c r="AO5526" s="32" t="s">
        <v>4067</v>
      </c>
      <c r="AP5526" s="32">
        <v>0.33300000000000002</v>
      </c>
      <c r="AQ5526" s="32" t="s">
        <v>1522</v>
      </c>
      <c r="AU5526">
        <v>5525</v>
      </c>
    </row>
    <row r="5527" spans="1:47" x14ac:dyDescent="0.2">
      <c r="A5527" s="26">
        <v>6802</v>
      </c>
      <c r="B5527" s="27">
        <v>0.8125</v>
      </c>
      <c r="C5527" s="28"/>
      <c r="D5527" s="29"/>
      <c r="E5527" s="30" t="s">
        <v>4219</v>
      </c>
      <c r="H5527" s="32">
        <v>0</v>
      </c>
      <c r="I5527" s="32" t="s">
        <v>4249</v>
      </c>
      <c r="AG5527" s="32">
        <v>0</v>
      </c>
      <c r="AH5527" s="32">
        <v>0</v>
      </c>
      <c r="AI5527" s="32">
        <v>0</v>
      </c>
      <c r="AK5527" s="32">
        <v>0</v>
      </c>
      <c r="AL5527" s="32">
        <v>0.25</v>
      </c>
      <c r="AO5527" s="32" t="s">
        <v>858</v>
      </c>
      <c r="AP5527" s="32">
        <v>0.25</v>
      </c>
      <c r="AQ5527" s="32" t="s">
        <v>1101</v>
      </c>
      <c r="AU5527">
        <v>5526</v>
      </c>
    </row>
    <row r="5528" spans="1:47" x14ac:dyDescent="0.2">
      <c r="A5528" s="26">
        <v>6802</v>
      </c>
      <c r="B5528" s="27">
        <v>0.93402777777777779</v>
      </c>
      <c r="C5528" s="28"/>
      <c r="D5528" s="29"/>
      <c r="E5528" s="30" t="s">
        <v>464</v>
      </c>
      <c r="H5528" s="32">
        <v>1</v>
      </c>
      <c r="I5528" s="32" t="s">
        <v>6531</v>
      </c>
      <c r="AG5528" s="32">
        <v>2</v>
      </c>
      <c r="AH5528" s="32">
        <v>0</v>
      </c>
      <c r="AK5528" s="32">
        <v>7</v>
      </c>
      <c r="AL5528" s="32">
        <f>125/60+1</f>
        <v>3.0833333333333335</v>
      </c>
      <c r="AO5528" s="32" t="s">
        <v>3085</v>
      </c>
      <c r="AP5528" s="32">
        <f>125/60</f>
        <v>2.0833333333333335</v>
      </c>
      <c r="AQ5528" s="32" t="s">
        <v>5491</v>
      </c>
      <c r="AU5528">
        <v>5527</v>
      </c>
    </row>
    <row r="5529" spans="1:47" x14ac:dyDescent="0.2">
      <c r="A5529" s="26">
        <v>6802</v>
      </c>
      <c r="B5529" s="27">
        <v>0.94791666666666663</v>
      </c>
      <c r="C5529" s="28"/>
      <c r="D5529" s="29"/>
      <c r="E5529" s="30" t="s">
        <v>4219</v>
      </c>
      <c r="H5529" s="32">
        <v>1</v>
      </c>
      <c r="I5529" s="32" t="s">
        <v>6532</v>
      </c>
      <c r="AK5529" s="32">
        <v>13</v>
      </c>
      <c r="AL5529" s="32">
        <f>7/6</f>
        <v>1.1666666666666667</v>
      </c>
      <c r="AO5529" s="32" t="s">
        <v>858</v>
      </c>
      <c r="AP5529" s="32">
        <f>7/6</f>
        <v>1.1666666666666667</v>
      </c>
      <c r="AQ5529" s="32" t="s">
        <v>5162</v>
      </c>
      <c r="AU5529">
        <v>5528</v>
      </c>
    </row>
    <row r="5530" spans="1:47" x14ac:dyDescent="0.2">
      <c r="A5530" s="26">
        <v>6802</v>
      </c>
      <c r="B5530" s="27">
        <v>0.95625000000000004</v>
      </c>
      <c r="C5530" s="28"/>
      <c r="D5530" s="29"/>
      <c r="E5530" s="30" t="s">
        <v>1282</v>
      </c>
      <c r="H5530" s="32">
        <v>0</v>
      </c>
      <c r="I5530" s="32" t="s">
        <v>6533</v>
      </c>
      <c r="AG5530" s="32">
        <v>0</v>
      </c>
      <c r="AH5530" s="32">
        <v>0</v>
      </c>
      <c r="AI5530" s="32">
        <v>0</v>
      </c>
      <c r="AK5530" s="32">
        <v>0</v>
      </c>
      <c r="AL5530" s="32">
        <f>1+27/60</f>
        <v>1.45</v>
      </c>
      <c r="AP5530" s="32">
        <f>1+27/60</f>
        <v>1.45</v>
      </c>
      <c r="AQ5530" s="32" t="s">
        <v>1101</v>
      </c>
      <c r="AU5530">
        <v>5529</v>
      </c>
    </row>
    <row r="5531" spans="1:47" x14ac:dyDescent="0.2">
      <c r="A5531" s="26">
        <v>6802</v>
      </c>
      <c r="B5531" s="27">
        <v>0.9604166666666667</v>
      </c>
      <c r="C5531" s="28"/>
      <c r="D5531" s="29"/>
      <c r="E5531" s="30" t="s">
        <v>3737</v>
      </c>
      <c r="H5531" s="32">
        <v>0</v>
      </c>
      <c r="I5531" s="32" t="s">
        <v>4926</v>
      </c>
      <c r="AG5531" s="32">
        <v>0</v>
      </c>
      <c r="AH5531" s="32">
        <v>0</v>
      </c>
      <c r="AI5531" s="32">
        <v>0</v>
      </c>
      <c r="AK5531" s="32">
        <v>0</v>
      </c>
      <c r="AL5531" s="32">
        <f>125/60</f>
        <v>2.0833333333333335</v>
      </c>
      <c r="AM5531" s="33">
        <f>3125*AL5531</f>
        <v>6510.416666666667</v>
      </c>
      <c r="AP5531" s="32">
        <f>125/60</f>
        <v>2.0833333333333335</v>
      </c>
      <c r="AQ5531" s="32" t="s">
        <v>1101</v>
      </c>
      <c r="AU5531">
        <v>5530</v>
      </c>
    </row>
    <row r="5532" spans="1:47" x14ac:dyDescent="0.2">
      <c r="A5532" s="26">
        <v>6802</v>
      </c>
      <c r="B5532" s="27">
        <v>0.96875</v>
      </c>
      <c r="C5532" s="28"/>
      <c r="D5532" s="29"/>
      <c r="E5532" s="30" t="s">
        <v>631</v>
      </c>
      <c r="H5532" s="32">
        <v>1</v>
      </c>
      <c r="I5532" s="32" t="s">
        <v>6534</v>
      </c>
      <c r="AG5532" s="32">
        <v>0</v>
      </c>
      <c r="AH5532" s="32">
        <v>0</v>
      </c>
      <c r="AI5532" s="32">
        <v>60500</v>
      </c>
      <c r="AK5532" s="32">
        <v>10</v>
      </c>
      <c r="AL5532" s="32">
        <v>0.5</v>
      </c>
      <c r="AO5532" s="32" t="s">
        <v>633</v>
      </c>
      <c r="AP5532" s="32">
        <v>0.5</v>
      </c>
      <c r="AQ5532" s="32">
        <v>464</v>
      </c>
      <c r="AU5532">
        <v>5531</v>
      </c>
    </row>
    <row r="5533" spans="1:47" x14ac:dyDescent="0.2">
      <c r="A5533" s="26">
        <v>6802</v>
      </c>
      <c r="B5533" s="27" t="s">
        <v>85</v>
      </c>
      <c r="C5533" s="28"/>
      <c r="D5533" s="29"/>
      <c r="E5533" s="30" t="s">
        <v>1285</v>
      </c>
      <c r="H5533" s="32">
        <v>1</v>
      </c>
      <c r="I5533" s="32" t="s">
        <v>6535</v>
      </c>
      <c r="AI5533" s="32">
        <v>5390</v>
      </c>
      <c r="AO5533" s="32" t="s">
        <v>472</v>
      </c>
      <c r="AQ5533" s="32" t="s">
        <v>589</v>
      </c>
      <c r="AU5533">
        <v>5532</v>
      </c>
    </row>
    <row r="5534" spans="1:47" x14ac:dyDescent="0.2">
      <c r="A5534" s="26">
        <v>6802</v>
      </c>
      <c r="B5534" s="27" t="s">
        <v>85</v>
      </c>
      <c r="C5534" s="28"/>
      <c r="D5534" s="29"/>
      <c r="E5534" s="30" t="s">
        <v>586</v>
      </c>
      <c r="H5534" s="32">
        <v>1</v>
      </c>
      <c r="I5534" s="32" t="s">
        <v>6536</v>
      </c>
      <c r="AK5534" s="32">
        <v>9</v>
      </c>
      <c r="AQ5534" s="32" t="s">
        <v>6537</v>
      </c>
      <c r="AU5534">
        <v>5533</v>
      </c>
    </row>
    <row r="5535" spans="1:47" x14ac:dyDescent="0.2">
      <c r="A5535" s="26">
        <v>6802</v>
      </c>
      <c r="B5535" s="27" t="s">
        <v>45</v>
      </c>
      <c r="C5535" s="28"/>
      <c r="D5535" s="29"/>
      <c r="E5535" s="30" t="s">
        <v>2982</v>
      </c>
      <c r="H5535" s="32">
        <v>1</v>
      </c>
      <c r="I5535" s="32" t="s">
        <v>6538</v>
      </c>
      <c r="AG5535" s="32">
        <v>0</v>
      </c>
      <c r="AH5535" s="32">
        <v>0</v>
      </c>
      <c r="AI5535" s="32">
        <v>0</v>
      </c>
      <c r="AK5535" s="32">
        <v>2</v>
      </c>
      <c r="AQ5535" s="32">
        <v>467</v>
      </c>
      <c r="AU5535">
        <v>5534</v>
      </c>
    </row>
    <row r="5536" spans="1:47" x14ac:dyDescent="0.2">
      <c r="A5536" s="26">
        <v>6802</v>
      </c>
      <c r="B5536" s="27" t="s">
        <v>45</v>
      </c>
      <c r="C5536" s="28"/>
      <c r="D5536" s="29"/>
      <c r="E5536" s="30" t="s">
        <v>1531</v>
      </c>
      <c r="H5536" s="32">
        <v>0</v>
      </c>
      <c r="I5536" s="32" t="s">
        <v>1706</v>
      </c>
      <c r="AG5536" s="32">
        <v>0</v>
      </c>
      <c r="AH5536" s="32">
        <v>0</v>
      </c>
      <c r="AI5536" s="32">
        <v>0</v>
      </c>
      <c r="AK5536" s="32">
        <v>0</v>
      </c>
      <c r="AM5536" s="32">
        <f>498*12</f>
        <v>5976</v>
      </c>
      <c r="AO5536" s="32" t="s">
        <v>1533</v>
      </c>
      <c r="AQ5536" s="32" t="s">
        <v>1101</v>
      </c>
      <c r="AU5536">
        <v>5535</v>
      </c>
    </row>
    <row r="5537" spans="1:47" x14ac:dyDescent="0.2">
      <c r="A5537" s="26">
        <v>6802</v>
      </c>
      <c r="B5537" s="27" t="s">
        <v>45</v>
      </c>
      <c r="C5537" s="28"/>
      <c r="D5537" s="29"/>
      <c r="E5537" s="150" t="s">
        <v>2286</v>
      </c>
      <c r="H5537" s="32">
        <v>0</v>
      </c>
      <c r="I5537" s="32" t="s">
        <v>1824</v>
      </c>
      <c r="AG5537" s="32">
        <v>0</v>
      </c>
      <c r="AH5537" s="32">
        <v>0</v>
      </c>
      <c r="AI5537" s="32">
        <v>0</v>
      </c>
      <c r="AK5537" s="32">
        <v>0</v>
      </c>
      <c r="AM5537" s="32">
        <v>8500</v>
      </c>
      <c r="AO5537" s="73" t="s">
        <v>75</v>
      </c>
      <c r="AQ5537" s="32" t="s">
        <v>589</v>
      </c>
      <c r="AU5537">
        <v>5536</v>
      </c>
    </row>
    <row r="5538" spans="1:47" x14ac:dyDescent="0.2">
      <c r="A5538" s="133">
        <v>6803</v>
      </c>
      <c r="B5538" s="39" t="s">
        <v>85</v>
      </c>
      <c r="C5538" s="39">
        <v>55</v>
      </c>
      <c r="D5538" s="29" t="b">
        <v>0</v>
      </c>
      <c r="E5538" s="39" t="s">
        <v>6539</v>
      </c>
      <c r="F5538" s="47" t="s">
        <v>2398</v>
      </c>
      <c r="G5538" s="47" t="s">
        <v>49</v>
      </c>
      <c r="H5538"/>
      <c r="I5538" s="47" t="b">
        <v>0</v>
      </c>
      <c r="J5538" s="47" t="b">
        <v>1</v>
      </c>
      <c r="K5538" s="47">
        <v>2022</v>
      </c>
      <c r="L5538" s="48">
        <v>10</v>
      </c>
      <c r="M5538" s="47">
        <v>0</v>
      </c>
      <c r="N5538" s="47">
        <v>0</v>
      </c>
      <c r="O5538" s="47">
        <v>0</v>
      </c>
      <c r="P5538" s="47">
        <v>10</v>
      </c>
      <c r="Q5538" s="47">
        <v>0</v>
      </c>
      <c r="R5538" s="47">
        <v>0</v>
      </c>
      <c r="S5538" s="48">
        <v>7</v>
      </c>
      <c r="T5538" s="47">
        <v>3</v>
      </c>
      <c r="U5538" s="47">
        <v>0</v>
      </c>
      <c r="V5538" s="47">
        <v>1</v>
      </c>
      <c r="W5538" s="47">
        <v>13500</v>
      </c>
      <c r="X5538" s="47">
        <v>831</v>
      </c>
      <c r="Y5538" s="47" t="s">
        <v>120</v>
      </c>
      <c r="Z5538" s="47" t="s">
        <v>3618</v>
      </c>
      <c r="AA5538" s="49">
        <v>0.21875</v>
      </c>
      <c r="AB5538" s="49">
        <v>0.42708333333333331</v>
      </c>
      <c r="AC5538" s="49">
        <v>0.33680555555555558</v>
      </c>
      <c r="AD5538" s="50">
        <f>(AB5538-AA5538)*24</f>
        <v>5</v>
      </c>
      <c r="AE5538" s="47" t="s">
        <v>5433</v>
      </c>
      <c r="AF5538" s="47">
        <v>215</v>
      </c>
      <c r="AG5538"/>
      <c r="AH5538"/>
      <c r="AI5538"/>
      <c r="AJ5538"/>
      <c r="AK5538">
        <v>17</v>
      </c>
      <c r="AL5538"/>
      <c r="AM5538"/>
      <c r="AN5538"/>
      <c r="AO5538"/>
      <c r="AP5538"/>
      <c r="AQ5538" t="s">
        <v>5434</v>
      </c>
      <c r="AU5538">
        <v>5537</v>
      </c>
    </row>
    <row r="5539" spans="1:47" x14ac:dyDescent="0.2">
      <c r="A5539" s="133">
        <v>6803</v>
      </c>
      <c r="B5539" s="38" t="s">
        <v>85</v>
      </c>
      <c r="C5539" s="39" t="s">
        <v>5533</v>
      </c>
      <c r="D5539" s="29"/>
      <c r="E5539" s="39" t="s">
        <v>2191</v>
      </c>
      <c r="F5539" s="32" t="s">
        <v>714</v>
      </c>
      <c r="G5539" s="47" t="s">
        <v>49</v>
      </c>
      <c r="H5539"/>
      <c r="I5539" s="32" t="s">
        <v>6540</v>
      </c>
      <c r="J5539" s="47"/>
      <c r="K5539" s="47">
        <f>48*20*2.2</f>
        <v>2112</v>
      </c>
      <c r="L5539" s="48">
        <v>9</v>
      </c>
      <c r="M5539" s="47"/>
      <c r="N5539" s="47">
        <v>1</v>
      </c>
      <c r="O5539" s="47"/>
      <c r="P5539" s="47"/>
      <c r="Q5539" s="47"/>
      <c r="R5539" s="47"/>
      <c r="S5539" s="48">
        <v>8</v>
      </c>
      <c r="T5539" s="47"/>
      <c r="U5539" s="47"/>
      <c r="V5539" s="47"/>
      <c r="W5539" s="47"/>
      <c r="X5539" s="47"/>
      <c r="Y5539" s="47"/>
      <c r="Z5539" s="31" t="s">
        <v>3724</v>
      </c>
      <c r="AA5539" s="49">
        <v>0.70486111111111116</v>
      </c>
      <c r="AB5539" s="49"/>
      <c r="AC5539" s="49"/>
      <c r="AD5539" s="50"/>
      <c r="AE5539" s="47" t="s">
        <v>5536</v>
      </c>
      <c r="AF5539" s="47">
        <v>85</v>
      </c>
      <c r="AG5539"/>
      <c r="AH5539"/>
      <c r="AI5539"/>
      <c r="AJ5539"/>
      <c r="AK5539"/>
      <c r="AL5539"/>
      <c r="AM5539"/>
      <c r="AN5539"/>
      <c r="AO5539"/>
      <c r="AP5539"/>
      <c r="AQ5539"/>
      <c r="AU5539">
        <v>5538</v>
      </c>
    </row>
    <row r="5540" spans="1:47" x14ac:dyDescent="0.2">
      <c r="A5540" s="133">
        <v>6803</v>
      </c>
      <c r="B5540" s="39" t="s">
        <v>45</v>
      </c>
      <c r="C5540" s="39">
        <v>100</v>
      </c>
      <c r="D5540" s="29" t="b">
        <v>0</v>
      </c>
      <c r="E5540" s="39" t="s">
        <v>6541</v>
      </c>
      <c r="F5540" s="47" t="s">
        <v>6542</v>
      </c>
      <c r="G5540" s="47" t="s">
        <v>205</v>
      </c>
      <c r="H5540"/>
      <c r="I5540" s="47" t="b">
        <v>1</v>
      </c>
      <c r="J5540" s="47" t="b">
        <v>1</v>
      </c>
      <c r="K5540" s="47">
        <v>2359</v>
      </c>
      <c r="L5540" s="48">
        <v>8</v>
      </c>
      <c r="M5540" s="47">
        <v>0</v>
      </c>
      <c r="N5540" s="47">
        <v>0</v>
      </c>
      <c r="O5540" s="47">
        <v>0</v>
      </c>
      <c r="P5540" s="47">
        <v>0</v>
      </c>
      <c r="Q5540" s="47">
        <v>0</v>
      </c>
      <c r="R5540" s="47">
        <v>0</v>
      </c>
      <c r="S5540" s="48">
        <v>7</v>
      </c>
      <c r="T5540" s="47">
        <v>0</v>
      </c>
      <c r="U5540" s="47">
        <v>0</v>
      </c>
      <c r="V5540" s="47">
        <v>0</v>
      </c>
      <c r="W5540" s="47"/>
      <c r="X5540" s="47">
        <v>832</v>
      </c>
      <c r="Y5540" s="47"/>
      <c r="Z5540" s="47" t="s">
        <v>2524</v>
      </c>
      <c r="AA5540" s="49"/>
      <c r="AB5540" s="49"/>
      <c r="AC5540" s="49"/>
      <c r="AD5540" s="50"/>
      <c r="AE5540" s="47" t="s">
        <v>6445</v>
      </c>
      <c r="AF5540" s="47"/>
      <c r="AG5540"/>
      <c r="AH5540"/>
      <c r="AI5540"/>
      <c r="AJ5540"/>
      <c r="AK5540"/>
      <c r="AL5540"/>
      <c r="AM5540"/>
      <c r="AN5540"/>
      <c r="AO5540"/>
      <c r="AP5540"/>
      <c r="AQ5540" t="s">
        <v>2526</v>
      </c>
      <c r="AU5540">
        <v>5539</v>
      </c>
    </row>
    <row r="5541" spans="1:47" x14ac:dyDescent="0.2">
      <c r="A5541" s="133">
        <v>6803</v>
      </c>
      <c r="B5541" s="39" t="s">
        <v>45</v>
      </c>
      <c r="C5541" s="39">
        <v>100</v>
      </c>
      <c r="D5541" s="29" t="b">
        <v>0</v>
      </c>
      <c r="E5541" s="39" t="s">
        <v>3575</v>
      </c>
      <c r="F5541" s="47" t="s">
        <v>529</v>
      </c>
      <c r="G5541" s="47" t="s">
        <v>205</v>
      </c>
      <c r="H5541"/>
      <c r="I5541" s="47" t="b">
        <v>0</v>
      </c>
      <c r="J5541" s="47" t="b">
        <v>0</v>
      </c>
      <c r="K5541" s="47">
        <v>312</v>
      </c>
      <c r="L5541" s="48">
        <v>1</v>
      </c>
      <c r="M5541" s="47">
        <v>0</v>
      </c>
      <c r="N5541" s="47">
        <v>0</v>
      </c>
      <c r="O5541" s="47">
        <v>0</v>
      </c>
      <c r="P5541" s="47">
        <v>0</v>
      </c>
      <c r="Q5541" s="47">
        <v>0</v>
      </c>
      <c r="R5541" s="47">
        <v>0</v>
      </c>
      <c r="S5541" s="48">
        <v>1</v>
      </c>
      <c r="T5541" s="47">
        <v>0</v>
      </c>
      <c r="U5541" s="47">
        <v>0</v>
      </c>
      <c r="V5541" s="47">
        <v>0</v>
      </c>
      <c r="W5541" s="47"/>
      <c r="X5541" s="47">
        <v>833</v>
      </c>
      <c r="Y5541" s="47"/>
      <c r="Z5541" s="47" t="s">
        <v>2524</v>
      </c>
      <c r="AA5541" s="49"/>
      <c r="AB5541" s="49"/>
      <c r="AC5541" s="49"/>
      <c r="AD5541" s="50"/>
      <c r="AE5541" s="47" t="s">
        <v>6445</v>
      </c>
      <c r="AF5541" s="47">
        <v>115</v>
      </c>
      <c r="AG5541"/>
      <c r="AH5541"/>
      <c r="AI5541"/>
      <c r="AJ5541"/>
      <c r="AK5541"/>
      <c r="AL5541"/>
      <c r="AM5541"/>
      <c r="AN5541"/>
      <c r="AO5541"/>
      <c r="AP5541"/>
      <c r="AQ5541" t="s">
        <v>2526</v>
      </c>
      <c r="AU5541">
        <v>5540</v>
      </c>
    </row>
    <row r="5542" spans="1:47" x14ac:dyDescent="0.2">
      <c r="A5542" s="133">
        <v>6803</v>
      </c>
      <c r="B5542" s="39" t="s">
        <v>45</v>
      </c>
      <c r="C5542" s="39">
        <v>100</v>
      </c>
      <c r="D5542" s="29" t="b">
        <v>0</v>
      </c>
      <c r="E5542" s="39" t="s">
        <v>5707</v>
      </c>
      <c r="F5542" s="47" t="s">
        <v>529</v>
      </c>
      <c r="G5542" s="47" t="s">
        <v>205</v>
      </c>
      <c r="H5542"/>
      <c r="I5542" s="47" t="b">
        <v>0</v>
      </c>
      <c r="J5542" s="47" t="b">
        <v>0</v>
      </c>
      <c r="K5542" s="47">
        <v>1423</v>
      </c>
      <c r="L5542" s="48">
        <v>4</v>
      </c>
      <c r="M5542" s="47">
        <v>0</v>
      </c>
      <c r="N5542" s="47">
        <v>0</v>
      </c>
      <c r="O5542" s="47">
        <v>0</v>
      </c>
      <c r="P5542" s="47">
        <v>0</v>
      </c>
      <c r="Q5542" s="47">
        <v>0</v>
      </c>
      <c r="R5542" s="47">
        <v>0</v>
      </c>
      <c r="S5542" s="48">
        <v>4</v>
      </c>
      <c r="T5542" s="47">
        <v>0</v>
      </c>
      <c r="U5542" s="47">
        <v>0</v>
      </c>
      <c r="V5542" s="47">
        <v>0</v>
      </c>
      <c r="W5542" s="47">
        <v>3500</v>
      </c>
      <c r="X5542" s="47">
        <v>834</v>
      </c>
      <c r="Y5542" s="47"/>
      <c r="Z5542" s="47" t="s">
        <v>2524</v>
      </c>
      <c r="AA5542" s="49"/>
      <c r="AB5542" s="49"/>
      <c r="AC5542" s="49"/>
      <c r="AD5542" s="50"/>
      <c r="AE5542" s="47" t="s">
        <v>6445</v>
      </c>
      <c r="AF5542" s="47">
        <v>85</v>
      </c>
      <c r="AG5542"/>
      <c r="AH5542"/>
      <c r="AI5542"/>
      <c r="AJ5542"/>
      <c r="AK5542"/>
      <c r="AL5542"/>
      <c r="AM5542"/>
      <c r="AN5542"/>
      <c r="AO5542"/>
      <c r="AP5542"/>
      <c r="AQ5542" t="s">
        <v>2526</v>
      </c>
      <c r="AU5542">
        <v>5541</v>
      </c>
    </row>
    <row r="5543" spans="1:47" x14ac:dyDescent="0.2">
      <c r="A5543" s="133">
        <v>6803</v>
      </c>
      <c r="B5543" s="39" t="s">
        <v>45</v>
      </c>
      <c r="C5543" s="39">
        <v>100</v>
      </c>
      <c r="D5543" s="29" t="b">
        <v>0</v>
      </c>
      <c r="E5543" s="39" t="s">
        <v>1551</v>
      </c>
      <c r="F5543" s="47" t="s">
        <v>529</v>
      </c>
      <c r="G5543" s="47" t="s">
        <v>205</v>
      </c>
      <c r="H5543"/>
      <c r="I5543" s="47" t="b">
        <v>0</v>
      </c>
      <c r="J5543" s="47" t="b">
        <v>0</v>
      </c>
      <c r="K5543" s="47">
        <v>312</v>
      </c>
      <c r="L5543" s="48">
        <v>1</v>
      </c>
      <c r="M5543" s="47">
        <v>0</v>
      </c>
      <c r="N5543" s="47">
        <v>0</v>
      </c>
      <c r="O5543" s="47">
        <v>0</v>
      </c>
      <c r="P5543" s="47">
        <v>0</v>
      </c>
      <c r="Q5543" s="47">
        <v>0</v>
      </c>
      <c r="R5543" s="47">
        <v>0</v>
      </c>
      <c r="S5543" s="48">
        <v>1</v>
      </c>
      <c r="T5543" s="47">
        <v>0</v>
      </c>
      <c r="U5543" s="47">
        <v>0</v>
      </c>
      <c r="V5543" s="47">
        <v>0</v>
      </c>
      <c r="W5543" s="47"/>
      <c r="X5543" s="47">
        <v>835</v>
      </c>
      <c r="Y5543" s="47"/>
      <c r="Z5543" s="47" t="s">
        <v>2524</v>
      </c>
      <c r="AA5543" s="49"/>
      <c r="AB5543" s="49"/>
      <c r="AC5543" s="49"/>
      <c r="AD5543" s="50"/>
      <c r="AE5543" s="47" t="s">
        <v>6445</v>
      </c>
      <c r="AF5543" s="47">
        <v>55</v>
      </c>
      <c r="AG5543"/>
      <c r="AH5543"/>
      <c r="AI5543"/>
      <c r="AJ5543"/>
      <c r="AK5543"/>
      <c r="AL5543"/>
      <c r="AM5543"/>
      <c r="AN5543"/>
      <c r="AO5543"/>
      <c r="AP5543"/>
      <c r="AQ5543" t="s">
        <v>2526</v>
      </c>
      <c r="AU5543">
        <v>5542</v>
      </c>
    </row>
    <row r="5544" spans="1:47" x14ac:dyDescent="0.2">
      <c r="A5544" s="133">
        <v>6803</v>
      </c>
      <c r="B5544" s="39" t="s">
        <v>45</v>
      </c>
      <c r="C5544" s="39">
        <v>100</v>
      </c>
      <c r="D5544" s="29" t="b">
        <v>0</v>
      </c>
      <c r="E5544" s="39" t="s">
        <v>6543</v>
      </c>
      <c r="F5544" s="47" t="s">
        <v>4025</v>
      </c>
      <c r="G5544" s="47" t="s">
        <v>49</v>
      </c>
      <c r="H5544"/>
      <c r="I5544" s="47" t="b">
        <v>0</v>
      </c>
      <c r="J5544" s="47" t="b">
        <v>0</v>
      </c>
      <c r="K5544" s="47">
        <v>312</v>
      </c>
      <c r="L5544" s="48">
        <v>2</v>
      </c>
      <c r="M5544" s="47">
        <v>0</v>
      </c>
      <c r="N5544" s="47">
        <v>0</v>
      </c>
      <c r="O5544" s="47">
        <v>0</v>
      </c>
      <c r="P5544" s="47">
        <v>0</v>
      </c>
      <c r="Q5544" s="47">
        <v>0</v>
      </c>
      <c r="R5544" s="47">
        <v>0</v>
      </c>
      <c r="S5544" s="48">
        <v>1</v>
      </c>
      <c r="T5544" s="47">
        <v>0</v>
      </c>
      <c r="U5544" s="47">
        <v>0</v>
      </c>
      <c r="V5544" s="47">
        <v>0</v>
      </c>
      <c r="W5544" s="47"/>
      <c r="X5544" s="47">
        <v>836</v>
      </c>
      <c r="Y5544" s="47"/>
      <c r="Z5544" s="47" t="s">
        <v>2524</v>
      </c>
      <c r="AA5544" s="49"/>
      <c r="AB5544" s="49"/>
      <c r="AC5544" s="49"/>
      <c r="AD5544" s="50"/>
      <c r="AE5544" s="47" t="s">
        <v>6445</v>
      </c>
      <c r="AF5544" s="47">
        <v>65</v>
      </c>
      <c r="AG5544"/>
      <c r="AH5544"/>
      <c r="AI5544"/>
      <c r="AJ5544"/>
      <c r="AK5544"/>
      <c r="AL5544"/>
      <c r="AM5544"/>
      <c r="AN5544"/>
      <c r="AO5544"/>
      <c r="AP5544"/>
      <c r="AQ5544" t="s">
        <v>2526</v>
      </c>
      <c r="AU5544">
        <v>5543</v>
      </c>
    </row>
    <row r="5545" spans="1:47" x14ac:dyDescent="0.2">
      <c r="A5545" s="133">
        <v>6803</v>
      </c>
      <c r="B5545" s="39" t="s">
        <v>45</v>
      </c>
      <c r="C5545" s="39">
        <v>216</v>
      </c>
      <c r="D5545" s="29" t="b">
        <v>0</v>
      </c>
      <c r="E5545" s="39" t="s">
        <v>6544</v>
      </c>
      <c r="F5545" s="47" t="s">
        <v>6545</v>
      </c>
      <c r="G5545" s="47" t="s">
        <v>205</v>
      </c>
      <c r="H5545"/>
      <c r="I5545" s="47" t="b">
        <v>1</v>
      </c>
      <c r="J5545" s="47" t="b">
        <v>1</v>
      </c>
      <c r="K5545" s="47">
        <v>2464</v>
      </c>
      <c r="L5545" s="48">
        <v>7</v>
      </c>
      <c r="M5545" s="47">
        <v>5</v>
      </c>
      <c r="N5545" s="47">
        <v>0</v>
      </c>
      <c r="O5545" s="47">
        <v>0</v>
      </c>
      <c r="P5545" s="47">
        <v>0</v>
      </c>
      <c r="Q5545" s="47">
        <v>0</v>
      </c>
      <c r="R5545" s="47">
        <v>0</v>
      </c>
      <c r="S5545" s="48">
        <v>2</v>
      </c>
      <c r="T5545" s="47">
        <v>0</v>
      </c>
      <c r="U5545" s="47">
        <v>0</v>
      </c>
      <c r="V5545" s="47">
        <v>0</v>
      </c>
      <c r="W5545" s="47">
        <v>5250</v>
      </c>
      <c r="X5545" s="47">
        <v>837</v>
      </c>
      <c r="Y5545" s="47"/>
      <c r="Z5545" s="47" t="s">
        <v>2466</v>
      </c>
      <c r="AA5545" s="49"/>
      <c r="AB5545" s="49"/>
      <c r="AC5545" s="49"/>
      <c r="AD5545" s="50"/>
      <c r="AE5545" s="47" t="s">
        <v>1312</v>
      </c>
      <c r="AF5545" s="47">
        <v>120</v>
      </c>
      <c r="AG5545"/>
      <c r="AH5545"/>
      <c r="AI5545"/>
      <c r="AJ5545"/>
      <c r="AK5545"/>
      <c r="AL5545"/>
      <c r="AM5545"/>
      <c r="AN5545"/>
      <c r="AO5545"/>
      <c r="AP5545"/>
      <c r="AQ5545" t="s">
        <v>2526</v>
      </c>
      <c r="AU5545">
        <v>5544</v>
      </c>
    </row>
    <row r="5546" spans="1:47" x14ac:dyDescent="0.2">
      <c r="A5546" s="133">
        <v>6803</v>
      </c>
      <c r="B5546" s="39" t="s">
        <v>45</v>
      </c>
      <c r="C5546" s="39">
        <v>216</v>
      </c>
      <c r="D5546" s="29" t="b">
        <v>0</v>
      </c>
      <c r="E5546" s="39" t="s">
        <v>5707</v>
      </c>
      <c r="F5546" s="47" t="s">
        <v>529</v>
      </c>
      <c r="G5546" s="47" t="s">
        <v>205</v>
      </c>
      <c r="H5546"/>
      <c r="I5546" s="47" t="b">
        <v>0</v>
      </c>
      <c r="J5546" s="47" t="b">
        <v>0</v>
      </c>
      <c r="K5546" s="47">
        <v>1344</v>
      </c>
      <c r="L5546" s="48">
        <v>1</v>
      </c>
      <c r="M5546" s="47">
        <v>0</v>
      </c>
      <c r="N5546" s="47">
        <v>0</v>
      </c>
      <c r="O5546" s="47">
        <v>0</v>
      </c>
      <c r="P5546" s="47">
        <v>0</v>
      </c>
      <c r="Q5546" s="47">
        <v>0</v>
      </c>
      <c r="R5546" s="47">
        <v>0</v>
      </c>
      <c r="S5546" s="48">
        <v>1</v>
      </c>
      <c r="T5546" s="47">
        <v>0</v>
      </c>
      <c r="U5546" s="47">
        <v>0</v>
      </c>
      <c r="V5546" s="47">
        <v>0</v>
      </c>
      <c r="W5546" s="47">
        <v>4500</v>
      </c>
      <c r="X5546" s="47">
        <v>838</v>
      </c>
      <c r="Y5546" s="47"/>
      <c r="Z5546" s="47" t="s">
        <v>2466</v>
      </c>
      <c r="AA5546" s="49"/>
      <c r="AB5546" s="49"/>
      <c r="AC5546" s="49"/>
      <c r="AD5546" s="50"/>
      <c r="AE5546" s="47" t="s">
        <v>1312</v>
      </c>
      <c r="AF5546" s="47">
        <v>75</v>
      </c>
      <c r="AG5546"/>
      <c r="AH5546"/>
      <c r="AI5546"/>
      <c r="AJ5546"/>
      <c r="AK5546"/>
      <c r="AL5546"/>
      <c r="AM5546"/>
      <c r="AN5546"/>
      <c r="AO5546"/>
      <c r="AP5546"/>
      <c r="AQ5546" t="s">
        <v>2526</v>
      </c>
      <c r="AU5546">
        <v>5545</v>
      </c>
    </row>
    <row r="5547" spans="1:47" x14ac:dyDescent="0.2">
      <c r="A5547" s="133">
        <v>6803</v>
      </c>
      <c r="B5547" s="39" t="s">
        <v>45</v>
      </c>
      <c r="C5547" s="39">
        <v>216</v>
      </c>
      <c r="D5547" s="29" t="b">
        <v>0</v>
      </c>
      <c r="E5547" s="39" t="s">
        <v>140</v>
      </c>
      <c r="F5547" s="47" t="s">
        <v>1743</v>
      </c>
      <c r="G5547" s="47" t="s">
        <v>49</v>
      </c>
      <c r="H5547"/>
      <c r="I5547" s="47" t="b">
        <v>0</v>
      </c>
      <c r="J5547" s="47" t="b">
        <v>0</v>
      </c>
      <c r="K5547" s="47">
        <v>1120</v>
      </c>
      <c r="L5547" s="48">
        <v>6</v>
      </c>
      <c r="M5547" s="47">
        <v>5</v>
      </c>
      <c r="N5547" s="47">
        <v>0</v>
      </c>
      <c r="O5547" s="47">
        <v>0</v>
      </c>
      <c r="P5547" s="47">
        <v>0</v>
      </c>
      <c r="Q5547" s="47">
        <v>0</v>
      </c>
      <c r="R5547" s="47">
        <v>0</v>
      </c>
      <c r="S5547" s="48">
        <v>1</v>
      </c>
      <c r="T5547" s="47">
        <v>0</v>
      </c>
      <c r="U5547" s="47">
        <v>0</v>
      </c>
      <c r="V5547" s="47">
        <v>0</v>
      </c>
      <c r="W5547" s="47">
        <v>6000</v>
      </c>
      <c r="X5547" s="47">
        <v>839</v>
      </c>
      <c r="Y5547" s="47"/>
      <c r="Z5547" s="47" t="s">
        <v>2466</v>
      </c>
      <c r="AA5547" s="49"/>
      <c r="AB5547" s="49"/>
      <c r="AC5547" s="49"/>
      <c r="AD5547" s="50"/>
      <c r="AE5547" s="47" t="s">
        <v>1312</v>
      </c>
      <c r="AF5547" s="47">
        <v>120</v>
      </c>
      <c r="AG5547"/>
      <c r="AH5547"/>
      <c r="AI5547"/>
      <c r="AJ5547"/>
      <c r="AK5547"/>
      <c r="AL5547"/>
      <c r="AM5547"/>
      <c r="AN5547"/>
      <c r="AO5547"/>
      <c r="AP5547"/>
      <c r="AQ5547" t="s">
        <v>2526</v>
      </c>
      <c r="AU5547">
        <v>5546</v>
      </c>
    </row>
    <row r="5548" spans="1:47" x14ac:dyDescent="0.2">
      <c r="A5548" s="13">
        <v>6803</v>
      </c>
      <c r="B5548" s="57" t="s">
        <v>45</v>
      </c>
      <c r="C5548" s="57" t="s">
        <v>142</v>
      </c>
      <c r="D5548" s="29"/>
      <c r="E5548" s="39" t="s">
        <v>6546</v>
      </c>
      <c r="F5548" s="47" t="s">
        <v>6463</v>
      </c>
      <c r="G5548" s="47" t="s">
        <v>49</v>
      </c>
      <c r="H5548"/>
      <c r="I5548" s="47" t="b">
        <v>1</v>
      </c>
      <c r="J5548" s="47" t="b">
        <v>1</v>
      </c>
      <c r="K5548" s="47">
        <f>2550*2.2</f>
        <v>5610</v>
      </c>
      <c r="L5548" s="48">
        <v>13</v>
      </c>
      <c r="M5548" s="47"/>
      <c r="N5548" s="47">
        <v>5</v>
      </c>
      <c r="O5548" s="47"/>
      <c r="P5548" s="47"/>
      <c r="Q5548" s="47"/>
      <c r="R5548" s="47"/>
      <c r="S5548" s="48">
        <v>8</v>
      </c>
      <c r="T5548" s="47">
        <v>0</v>
      </c>
      <c r="U5548" s="47">
        <v>0</v>
      </c>
      <c r="V5548" s="47">
        <v>0</v>
      </c>
      <c r="W5548" s="47"/>
      <c r="X5548" s="47"/>
      <c r="Y5548" s="47" t="s">
        <v>51</v>
      </c>
      <c r="Z5548" s="31" t="s">
        <v>5406</v>
      </c>
      <c r="AA5548" s="49"/>
      <c r="AB5548" s="49"/>
      <c r="AC5548" s="49"/>
      <c r="AD5548" s="50"/>
      <c r="AE5548" s="47"/>
      <c r="AF5548" s="47"/>
      <c r="AG5548"/>
      <c r="AH5548"/>
      <c r="AI5548"/>
      <c r="AJ5548"/>
      <c r="AK5548">
        <f>10+3+31+15+2+1+10</f>
        <v>72</v>
      </c>
      <c r="AL5548"/>
      <c r="AM5548"/>
      <c r="AN5548"/>
      <c r="AO5548"/>
      <c r="AP5548"/>
      <c r="AQ5548" t="s">
        <v>6547</v>
      </c>
      <c r="AR5548" s="32" t="s">
        <v>6548</v>
      </c>
      <c r="AU5548">
        <v>5547</v>
      </c>
    </row>
    <row r="5549" spans="1:47" x14ac:dyDescent="0.2">
      <c r="A5549" s="13">
        <v>6803</v>
      </c>
      <c r="B5549" s="57" t="s">
        <v>45</v>
      </c>
      <c r="C5549" s="57" t="s">
        <v>142</v>
      </c>
      <c r="D5549" s="29"/>
      <c r="E5549" s="57" t="s">
        <v>6549</v>
      </c>
      <c r="F5549" s="31" t="s">
        <v>76</v>
      </c>
      <c r="G5549" s="31" t="s">
        <v>49</v>
      </c>
      <c r="I5549" s="47" t="b">
        <v>0</v>
      </c>
      <c r="J5549" s="47" t="b">
        <v>0</v>
      </c>
      <c r="K5549" s="31">
        <v>462</v>
      </c>
      <c r="S5549" s="33">
        <v>1</v>
      </c>
      <c r="AK5549" s="32">
        <v>4</v>
      </c>
      <c r="AQ5549" s="32" t="s">
        <v>6522</v>
      </c>
      <c r="AU5549">
        <v>5548</v>
      </c>
    </row>
    <row r="5550" spans="1:47" x14ac:dyDescent="0.2">
      <c r="A5550" s="13">
        <v>6803</v>
      </c>
      <c r="B5550" s="57" t="s">
        <v>45</v>
      </c>
      <c r="C5550" s="57" t="s">
        <v>142</v>
      </c>
      <c r="D5550" s="29"/>
      <c r="E5550" s="57" t="s">
        <v>5772</v>
      </c>
      <c r="F5550" s="31" t="s">
        <v>6354</v>
      </c>
      <c r="G5550" s="31" t="s">
        <v>69</v>
      </c>
      <c r="I5550" s="47" t="b">
        <v>0</v>
      </c>
      <c r="J5550" s="47" t="b">
        <v>0</v>
      </c>
      <c r="K5550" s="31">
        <v>748</v>
      </c>
      <c r="S5550" s="33">
        <v>1</v>
      </c>
      <c r="AK5550" s="32">
        <v>10</v>
      </c>
      <c r="AQ5550" s="32" t="s">
        <v>6522</v>
      </c>
      <c r="AU5550">
        <v>5549</v>
      </c>
    </row>
    <row r="5551" spans="1:47" x14ac:dyDescent="0.2">
      <c r="A5551" s="13">
        <v>6803</v>
      </c>
      <c r="B5551" s="57" t="s">
        <v>45</v>
      </c>
      <c r="C5551" s="57" t="s">
        <v>142</v>
      </c>
      <c r="D5551" s="29"/>
      <c r="E5551" s="57" t="s">
        <v>2892</v>
      </c>
      <c r="F5551" s="31" t="s">
        <v>6354</v>
      </c>
      <c r="G5551" s="31" t="s">
        <v>69</v>
      </c>
      <c r="I5551" s="47" t="b">
        <v>0</v>
      </c>
      <c r="J5551" s="47" t="b">
        <v>0</v>
      </c>
      <c r="K5551" s="31">
        <v>1848</v>
      </c>
      <c r="S5551" s="33">
        <v>3</v>
      </c>
      <c r="AK5551" s="32">
        <v>15</v>
      </c>
      <c r="AQ5551" s="32" t="s">
        <v>6522</v>
      </c>
      <c r="AU5551">
        <v>5550</v>
      </c>
    </row>
    <row r="5552" spans="1:47" x14ac:dyDescent="0.2">
      <c r="A5552" s="13">
        <v>6803</v>
      </c>
      <c r="B5552" s="57" t="s">
        <v>45</v>
      </c>
      <c r="C5552" s="57" t="s">
        <v>142</v>
      </c>
      <c r="D5552" s="29"/>
      <c r="E5552" s="57" t="s">
        <v>1064</v>
      </c>
      <c r="F5552" s="31" t="s">
        <v>76</v>
      </c>
      <c r="G5552" s="31" t="s">
        <v>49</v>
      </c>
      <c r="I5552" s="47" t="b">
        <v>0</v>
      </c>
      <c r="J5552" s="47" t="b">
        <v>0</v>
      </c>
      <c r="K5552" s="31">
        <v>2552</v>
      </c>
      <c r="S5552" s="33">
        <v>3</v>
      </c>
      <c r="AK5552" s="32">
        <v>43</v>
      </c>
      <c r="AQ5552" s="32" t="s">
        <v>6522</v>
      </c>
      <c r="AU5552">
        <v>5551</v>
      </c>
    </row>
    <row r="5553" spans="1:47" x14ac:dyDescent="0.2">
      <c r="A5553" s="13">
        <v>6803</v>
      </c>
      <c r="B5553" s="57" t="s">
        <v>45</v>
      </c>
      <c r="C5553" s="57" t="s">
        <v>6550</v>
      </c>
      <c r="D5553" s="29"/>
      <c r="E5553" s="57" t="s">
        <v>6551</v>
      </c>
      <c r="K5553" s="31">
        <v>5742</v>
      </c>
      <c r="AK5553" s="32">
        <v>66</v>
      </c>
      <c r="AQ5553" s="32" t="s">
        <v>6552</v>
      </c>
      <c r="AU5553">
        <v>5552</v>
      </c>
    </row>
    <row r="5554" spans="1:47" x14ac:dyDescent="0.2">
      <c r="A5554" s="13">
        <v>6803</v>
      </c>
      <c r="B5554" s="57" t="s">
        <v>45</v>
      </c>
      <c r="C5554" s="57" t="s">
        <v>6550</v>
      </c>
      <c r="D5554" s="29"/>
      <c r="E5554" s="57" t="s">
        <v>6553</v>
      </c>
      <c r="F5554" s="31" t="s">
        <v>83</v>
      </c>
      <c r="G5554" s="31" t="s">
        <v>69</v>
      </c>
      <c r="I5554" s="31" t="s">
        <v>6554</v>
      </c>
      <c r="K5554" s="63"/>
      <c r="AQ5554" s="32" t="s">
        <v>6552</v>
      </c>
      <c r="AU5554">
        <v>5553</v>
      </c>
    </row>
    <row r="5555" spans="1:47" x14ac:dyDescent="0.2">
      <c r="A5555" s="13">
        <v>6803</v>
      </c>
      <c r="B5555" s="57" t="s">
        <v>45</v>
      </c>
      <c r="C5555" s="57" t="s">
        <v>6550</v>
      </c>
      <c r="D5555" s="29"/>
      <c r="E5555" s="57" t="s">
        <v>6555</v>
      </c>
      <c r="F5555" s="31" t="s">
        <v>4413</v>
      </c>
      <c r="I5555" s="31" t="s">
        <v>6556</v>
      </c>
      <c r="K5555" s="63"/>
      <c r="AQ5555" s="32" t="s">
        <v>6552</v>
      </c>
      <c r="AU5555">
        <v>5554</v>
      </c>
    </row>
    <row r="5556" spans="1:47" x14ac:dyDescent="0.2">
      <c r="A5556" s="13">
        <v>6803</v>
      </c>
      <c r="B5556" s="57" t="s">
        <v>45</v>
      </c>
      <c r="C5556" s="57" t="s">
        <v>6550</v>
      </c>
      <c r="D5556" s="29"/>
      <c r="E5556" s="57" t="s">
        <v>6557</v>
      </c>
      <c r="I5556" s="31" t="s">
        <v>6558</v>
      </c>
      <c r="J5556" s="33"/>
      <c r="K5556" s="193"/>
      <c r="AQ5556" s="32" t="s">
        <v>6552</v>
      </c>
      <c r="AU5556">
        <v>5555</v>
      </c>
    </row>
    <row r="5557" spans="1:47" x14ac:dyDescent="0.2">
      <c r="A5557" s="13">
        <v>6803</v>
      </c>
      <c r="B5557" s="57" t="s">
        <v>45</v>
      </c>
      <c r="C5557" s="57" t="s">
        <v>6550</v>
      </c>
      <c r="D5557" s="29"/>
      <c r="E5557" s="57" t="s">
        <v>688</v>
      </c>
      <c r="F5557" s="31" t="s">
        <v>76</v>
      </c>
      <c r="G5557" s="31" t="s">
        <v>49</v>
      </c>
      <c r="I5557" s="31" t="s">
        <v>6559</v>
      </c>
      <c r="K5557" s="63"/>
      <c r="AQ5557" s="32" t="s">
        <v>6552</v>
      </c>
      <c r="AU5557">
        <v>5556</v>
      </c>
    </row>
    <row r="5558" spans="1:47" x14ac:dyDescent="0.2">
      <c r="A5558" s="26">
        <v>6803</v>
      </c>
      <c r="B5558" s="27">
        <v>0.35416666666666669</v>
      </c>
      <c r="C5558" s="28"/>
      <c r="D5558" s="29"/>
      <c r="E5558" s="30" t="s">
        <v>631</v>
      </c>
      <c r="H5558" s="32">
        <v>0</v>
      </c>
      <c r="I5558" s="32" t="s">
        <v>837</v>
      </c>
      <c r="AG5558" s="32">
        <v>0</v>
      </c>
      <c r="AH5558" s="32">
        <v>0</v>
      </c>
      <c r="AI5558" s="32">
        <v>0</v>
      </c>
      <c r="AK5558" s="32">
        <v>0</v>
      </c>
      <c r="AL5558" s="32">
        <f>22/60</f>
        <v>0.36666666666666664</v>
      </c>
      <c r="AP5558" s="32">
        <f>22/60</f>
        <v>0.36666666666666664</v>
      </c>
      <c r="AQ5558" s="32">
        <v>465</v>
      </c>
      <c r="AU5558">
        <v>5557</v>
      </c>
    </row>
    <row r="5559" spans="1:47" x14ac:dyDescent="0.2">
      <c r="A5559" s="26">
        <v>6803</v>
      </c>
      <c r="B5559" s="27">
        <v>0.37291666666666662</v>
      </c>
      <c r="C5559" s="28"/>
      <c r="D5559" s="29"/>
      <c r="E5559" s="30" t="s">
        <v>2964</v>
      </c>
      <c r="H5559" s="32">
        <v>0</v>
      </c>
      <c r="I5559" s="32" t="s">
        <v>4158</v>
      </c>
      <c r="AG5559" s="32">
        <v>0</v>
      </c>
      <c r="AH5559" s="32">
        <v>0</v>
      </c>
      <c r="AI5559" s="32">
        <v>0</v>
      </c>
      <c r="AK5559" s="32">
        <v>0</v>
      </c>
      <c r="AL5559" s="32">
        <f>28/60</f>
        <v>0.46666666666666667</v>
      </c>
      <c r="AP5559" s="32">
        <f>28/60</f>
        <v>0.46666666666666667</v>
      </c>
      <c r="AQ5559" s="32" t="s">
        <v>1101</v>
      </c>
      <c r="AU5559">
        <v>5558</v>
      </c>
    </row>
    <row r="5560" spans="1:47" x14ac:dyDescent="0.2">
      <c r="A5560" s="26">
        <v>6803</v>
      </c>
      <c r="B5560" s="27">
        <v>0.375</v>
      </c>
      <c r="C5560" s="28"/>
      <c r="D5560" s="29"/>
      <c r="E5560" s="30" t="s">
        <v>3155</v>
      </c>
      <c r="H5560" s="32">
        <v>0</v>
      </c>
      <c r="I5560" s="32" t="s">
        <v>6560</v>
      </c>
      <c r="AG5560" s="32">
        <v>0</v>
      </c>
      <c r="AH5560" s="32">
        <v>0</v>
      </c>
      <c r="AI5560" s="32">
        <v>0</v>
      </c>
      <c r="AK5560" s="32">
        <v>0</v>
      </c>
      <c r="AP5560" s="32">
        <f>143/60</f>
        <v>2.3833333333333333</v>
      </c>
      <c r="AQ5560" s="32" t="s">
        <v>1101</v>
      </c>
      <c r="AU5560">
        <v>5559</v>
      </c>
    </row>
    <row r="5561" spans="1:47" x14ac:dyDescent="0.2">
      <c r="A5561" s="26">
        <v>6803</v>
      </c>
      <c r="B5561" s="27">
        <v>0.40138888888888885</v>
      </c>
      <c r="C5561" s="28"/>
      <c r="D5561" s="29"/>
      <c r="E5561" s="30" t="s">
        <v>3737</v>
      </c>
      <c r="H5561" s="32">
        <v>0</v>
      </c>
      <c r="I5561" s="32" t="s">
        <v>4926</v>
      </c>
      <c r="AG5561" s="32">
        <v>0</v>
      </c>
      <c r="AH5561" s="32">
        <v>0</v>
      </c>
      <c r="AI5561" s="32">
        <v>0</v>
      </c>
      <c r="AK5561" s="32">
        <v>0</v>
      </c>
      <c r="AL5561" s="32">
        <f>25/60</f>
        <v>0.41666666666666669</v>
      </c>
      <c r="AM5561" s="33">
        <f>(3125+3691)*AL5561</f>
        <v>2840</v>
      </c>
      <c r="AP5561" s="32">
        <f>25/60</f>
        <v>0.41666666666666669</v>
      </c>
      <c r="AQ5561" s="32" t="s">
        <v>1101</v>
      </c>
      <c r="AU5561">
        <v>5560</v>
      </c>
    </row>
    <row r="5562" spans="1:47" x14ac:dyDescent="0.2">
      <c r="A5562" s="26">
        <v>6803</v>
      </c>
      <c r="B5562" s="27">
        <v>0.9458333333333333</v>
      </c>
      <c r="C5562" s="28"/>
      <c r="D5562" s="29"/>
      <c r="E5562" s="30" t="s">
        <v>464</v>
      </c>
      <c r="H5562" s="32">
        <v>1</v>
      </c>
      <c r="I5562" s="32" t="s">
        <v>6561</v>
      </c>
      <c r="AG5562" s="32">
        <v>0</v>
      </c>
      <c r="AH5562" s="32">
        <v>0</v>
      </c>
      <c r="AK5562" s="32">
        <v>12</v>
      </c>
      <c r="AL5562" s="32">
        <f>18/60</f>
        <v>0.3</v>
      </c>
      <c r="AO5562" s="32" t="s">
        <v>4067</v>
      </c>
      <c r="AP5562" s="32">
        <f>18/60</f>
        <v>0.3</v>
      </c>
      <c r="AQ5562" s="32" t="s">
        <v>6562</v>
      </c>
      <c r="AU5562">
        <v>5561</v>
      </c>
    </row>
    <row r="5563" spans="1:47" x14ac:dyDescent="0.2">
      <c r="A5563" s="26">
        <v>6803</v>
      </c>
      <c r="B5563" s="27">
        <v>0.95138888888888884</v>
      </c>
      <c r="C5563" s="28"/>
      <c r="D5563" s="29"/>
      <c r="E5563" s="30" t="s">
        <v>1282</v>
      </c>
      <c r="H5563" s="32">
        <v>0</v>
      </c>
      <c r="I5563" s="32" t="s">
        <v>6563</v>
      </c>
      <c r="AG5563" s="32">
        <v>0</v>
      </c>
      <c r="AH5563" s="32">
        <v>0</v>
      </c>
      <c r="AI5563" s="32">
        <v>0</v>
      </c>
      <c r="AK5563" s="32">
        <v>0</v>
      </c>
      <c r="AL5563" s="32">
        <f>11/60</f>
        <v>0.18333333333333332</v>
      </c>
      <c r="AP5563" s="32">
        <f>11/60</f>
        <v>0.18333333333333332</v>
      </c>
      <c r="AQ5563" s="32" t="s">
        <v>1101</v>
      </c>
      <c r="AU5563">
        <v>5562</v>
      </c>
    </row>
    <row r="5564" spans="1:47" x14ac:dyDescent="0.2">
      <c r="A5564" s="26">
        <v>6803</v>
      </c>
      <c r="B5564" s="27">
        <v>0.97916666666666663</v>
      </c>
      <c r="C5564" s="28"/>
      <c r="D5564" s="29"/>
      <c r="E5564" s="30" t="s">
        <v>2087</v>
      </c>
      <c r="H5564" s="32">
        <v>0</v>
      </c>
      <c r="I5564" s="32"/>
      <c r="AG5564" s="32">
        <v>0</v>
      </c>
      <c r="AH5564" s="32">
        <v>0</v>
      </c>
      <c r="AI5564" s="32">
        <v>0</v>
      </c>
      <c r="AK5564" s="32">
        <v>0</v>
      </c>
      <c r="AL5564" s="32">
        <v>0</v>
      </c>
      <c r="AP5564" s="32">
        <v>0.5</v>
      </c>
      <c r="AQ5564" s="32" t="s">
        <v>1101</v>
      </c>
      <c r="AU5564">
        <v>5563</v>
      </c>
    </row>
    <row r="5565" spans="1:47" x14ac:dyDescent="0.2">
      <c r="A5565" s="26">
        <v>6803</v>
      </c>
      <c r="B5565" s="27" t="s">
        <v>45</v>
      </c>
      <c r="C5565" s="28"/>
      <c r="D5565" s="29"/>
      <c r="E5565" s="30" t="s">
        <v>1531</v>
      </c>
      <c r="H5565" s="32">
        <v>0</v>
      </c>
      <c r="I5565" s="32" t="s">
        <v>1706</v>
      </c>
      <c r="AG5565" s="32">
        <v>0</v>
      </c>
      <c r="AH5565" s="32">
        <v>0</v>
      </c>
      <c r="AI5565" s="32">
        <v>0</v>
      </c>
      <c r="AK5565" s="32">
        <v>0</v>
      </c>
      <c r="AM5565" s="32">
        <f>498*45</f>
        <v>22410</v>
      </c>
      <c r="AO5565" s="32" t="s">
        <v>1533</v>
      </c>
      <c r="AQ5565" s="32" t="s">
        <v>1101</v>
      </c>
      <c r="AU5565">
        <v>5564</v>
      </c>
    </row>
    <row r="5566" spans="1:47" x14ac:dyDescent="0.2">
      <c r="A5566" s="26">
        <v>6803</v>
      </c>
      <c r="B5566" s="27" t="s">
        <v>45</v>
      </c>
      <c r="C5566" s="28"/>
      <c r="D5566" s="29"/>
      <c r="E5566" s="150" t="s">
        <v>2286</v>
      </c>
      <c r="H5566" s="32">
        <v>0</v>
      </c>
      <c r="I5566" s="32" t="s">
        <v>1824</v>
      </c>
      <c r="AG5566" s="32">
        <v>0</v>
      </c>
      <c r="AH5566" s="32">
        <v>0</v>
      </c>
      <c r="AI5566" s="32">
        <v>0</v>
      </c>
      <c r="AK5566" s="32">
        <v>0</v>
      </c>
      <c r="AM5566" s="32">
        <v>10000</v>
      </c>
      <c r="AO5566" s="73" t="s">
        <v>75</v>
      </c>
      <c r="AQ5566" s="32" t="s">
        <v>589</v>
      </c>
      <c r="AU5566">
        <v>5565</v>
      </c>
    </row>
    <row r="5567" spans="1:47" x14ac:dyDescent="0.2">
      <c r="A5567" s="26">
        <v>6803</v>
      </c>
      <c r="B5567" s="27"/>
      <c r="C5567" s="28"/>
      <c r="D5567" s="29"/>
      <c r="E5567" s="30" t="s">
        <v>6539</v>
      </c>
      <c r="F5567" s="47"/>
      <c r="G5567" s="47"/>
      <c r="H5567">
        <v>1</v>
      </c>
      <c r="I5567" s="47" t="s">
        <v>6564</v>
      </c>
      <c r="J5567" s="47"/>
      <c r="K5567" s="47"/>
      <c r="L5567" s="48"/>
      <c r="M5567" s="47"/>
      <c r="N5567" s="47"/>
      <c r="O5567" s="47"/>
      <c r="P5567" s="47"/>
      <c r="Q5567" s="47"/>
      <c r="R5567" s="47"/>
      <c r="S5567" s="48"/>
      <c r="T5567" s="47"/>
      <c r="U5567" s="47"/>
      <c r="V5567" s="47"/>
      <c r="W5567" s="47"/>
      <c r="X5567" s="47"/>
      <c r="Y5567" s="47"/>
      <c r="Z5567" s="47"/>
      <c r="AA5567" s="49"/>
      <c r="AB5567" s="49"/>
      <c r="AC5567" s="49"/>
      <c r="AD5567" s="50"/>
      <c r="AE5567" s="47"/>
      <c r="AF5567" s="47"/>
      <c r="AG5567">
        <v>4</v>
      </c>
      <c r="AH5567">
        <v>4</v>
      </c>
      <c r="AI5567">
        <v>88000</v>
      </c>
      <c r="AJ5567" s="33"/>
      <c r="AK5567"/>
      <c r="AL5567"/>
      <c r="AM5567"/>
      <c r="AN5567"/>
      <c r="AO5567"/>
      <c r="AP5567"/>
      <c r="AQ5567" t="s">
        <v>6565</v>
      </c>
      <c r="AR5567" s="32">
        <v>3</v>
      </c>
      <c r="AU5567">
        <v>5566</v>
      </c>
    </row>
    <row r="5568" spans="1:47" x14ac:dyDescent="0.2">
      <c r="A5568" s="26">
        <v>6803</v>
      </c>
      <c r="B5568" s="27"/>
      <c r="C5568" s="28"/>
      <c r="D5568" s="29"/>
      <c r="E5568" s="30" t="s">
        <v>4469</v>
      </c>
      <c r="H5568" s="32">
        <v>0</v>
      </c>
      <c r="I5568" s="32" t="s">
        <v>6566</v>
      </c>
      <c r="AG5568" s="32">
        <v>0</v>
      </c>
      <c r="AH5568" s="32">
        <v>0</v>
      </c>
      <c r="AI5568" s="32">
        <v>0</v>
      </c>
      <c r="AK5568" s="32">
        <v>0</v>
      </c>
      <c r="AL5568" s="32">
        <f>4/60</f>
        <v>6.6666666666666666E-2</v>
      </c>
      <c r="AO5568" s="32" t="s">
        <v>5210</v>
      </c>
      <c r="AP5568" s="32">
        <f>4/60</f>
        <v>6.6666666666666666E-2</v>
      </c>
      <c r="AQ5568" s="32" t="s">
        <v>5211</v>
      </c>
      <c r="AU5568">
        <v>5567</v>
      </c>
    </row>
    <row r="5569" spans="1:47" x14ac:dyDescent="0.2">
      <c r="A5569" s="26">
        <v>6803</v>
      </c>
      <c r="B5569" s="27"/>
      <c r="C5569" s="28"/>
      <c r="D5569" s="29"/>
      <c r="E5569" s="30" t="s">
        <v>4469</v>
      </c>
      <c r="H5569" s="32">
        <v>0</v>
      </c>
      <c r="I5569" s="32" t="s">
        <v>6567</v>
      </c>
      <c r="AG5569" s="32">
        <v>0</v>
      </c>
      <c r="AH5569" s="32">
        <v>0</v>
      </c>
      <c r="AI5569" s="32">
        <v>0</v>
      </c>
      <c r="AK5569" s="32">
        <v>0</v>
      </c>
      <c r="AL5569" s="32">
        <f>32/60</f>
        <v>0.53333333333333333</v>
      </c>
      <c r="AO5569" s="32" t="s">
        <v>5210</v>
      </c>
      <c r="AP5569" s="32">
        <f>32/60</f>
        <v>0.53333333333333333</v>
      </c>
      <c r="AQ5569" s="32" t="s">
        <v>5211</v>
      </c>
      <c r="AU5569">
        <v>5568</v>
      </c>
    </row>
    <row r="5570" spans="1:47" x14ac:dyDescent="0.2">
      <c r="A5570" s="133">
        <v>6804</v>
      </c>
      <c r="B5570" s="39" t="s">
        <v>45</v>
      </c>
      <c r="C5570" s="39">
        <v>100</v>
      </c>
      <c r="D5570" s="29" t="b">
        <v>0</v>
      </c>
      <c r="E5570" s="39" t="s">
        <v>6568</v>
      </c>
      <c r="F5570" s="47" t="s">
        <v>1969</v>
      </c>
      <c r="G5570" s="47" t="s">
        <v>205</v>
      </c>
      <c r="H5570"/>
      <c r="I5570" s="47" t="b">
        <v>1</v>
      </c>
      <c r="J5570" s="47" t="b">
        <v>1</v>
      </c>
      <c r="K5570" s="47">
        <v>2808</v>
      </c>
      <c r="L5570" s="48">
        <v>11</v>
      </c>
      <c r="M5570" s="47">
        <v>0</v>
      </c>
      <c r="N5570" s="47">
        <v>1</v>
      </c>
      <c r="O5570" s="47">
        <v>0</v>
      </c>
      <c r="P5570" s="47">
        <v>0</v>
      </c>
      <c r="Q5570" s="47">
        <v>0</v>
      </c>
      <c r="R5570" s="47">
        <v>0</v>
      </c>
      <c r="S5570" s="48">
        <v>9</v>
      </c>
      <c r="T5570" s="47">
        <v>1</v>
      </c>
      <c r="U5570" s="47">
        <v>0</v>
      </c>
      <c r="V5570" s="47">
        <v>0</v>
      </c>
      <c r="W5570" s="47"/>
      <c r="X5570" s="47">
        <v>840</v>
      </c>
      <c r="Y5570" s="47"/>
      <c r="Z5570" s="47" t="s">
        <v>2524</v>
      </c>
      <c r="AA5570" s="49"/>
      <c r="AB5570" s="49"/>
      <c r="AC5570" s="49"/>
      <c r="AD5570" s="50"/>
      <c r="AE5570" s="47" t="s">
        <v>6445</v>
      </c>
      <c r="AF5570" s="47"/>
      <c r="AG5570"/>
      <c r="AH5570"/>
      <c r="AI5570"/>
      <c r="AJ5570"/>
      <c r="AK5570"/>
      <c r="AL5570"/>
      <c r="AM5570"/>
      <c r="AN5570"/>
      <c r="AO5570"/>
      <c r="AP5570"/>
      <c r="AQ5570" t="s">
        <v>2526</v>
      </c>
      <c r="AU5570">
        <v>5569</v>
      </c>
    </row>
    <row r="5571" spans="1:47" x14ac:dyDescent="0.2">
      <c r="A5571" s="133">
        <v>6804</v>
      </c>
      <c r="B5571" s="39" t="s">
        <v>45</v>
      </c>
      <c r="C5571" s="39">
        <v>100</v>
      </c>
      <c r="D5571" s="29" t="b">
        <v>0</v>
      </c>
      <c r="E5571" s="39" t="s">
        <v>6569</v>
      </c>
      <c r="F5571" s="47" t="s">
        <v>6570</v>
      </c>
      <c r="G5571" s="47" t="s">
        <v>205</v>
      </c>
      <c r="H5571"/>
      <c r="I5571" s="47" t="b">
        <v>0</v>
      </c>
      <c r="J5571" s="47" t="b">
        <v>0</v>
      </c>
      <c r="K5571" s="47">
        <v>799</v>
      </c>
      <c r="L5571" s="48">
        <v>11</v>
      </c>
      <c r="M5571" s="47">
        <v>0</v>
      </c>
      <c r="N5571" s="47">
        <v>1</v>
      </c>
      <c r="O5571" s="47">
        <v>0</v>
      </c>
      <c r="P5571" s="47">
        <v>0</v>
      </c>
      <c r="Q5571" s="47">
        <v>0</v>
      </c>
      <c r="R5571" s="47">
        <v>0</v>
      </c>
      <c r="S5571" s="48">
        <v>3</v>
      </c>
      <c r="T5571" s="47">
        <v>1</v>
      </c>
      <c r="U5571" s="47">
        <v>0</v>
      </c>
      <c r="V5571" s="47">
        <v>0</v>
      </c>
      <c r="W5571" s="47"/>
      <c r="X5571" s="47">
        <v>841</v>
      </c>
      <c r="Y5571" s="47"/>
      <c r="Z5571" s="47" t="s">
        <v>2524</v>
      </c>
      <c r="AA5571" s="49"/>
      <c r="AB5571" s="49"/>
      <c r="AC5571" s="49"/>
      <c r="AD5571" s="50"/>
      <c r="AE5571" s="47" t="s">
        <v>6445</v>
      </c>
      <c r="AF5571" s="47"/>
      <c r="AG5571"/>
      <c r="AH5571"/>
      <c r="AI5571"/>
      <c r="AJ5571"/>
      <c r="AK5571"/>
      <c r="AL5571"/>
      <c r="AM5571"/>
      <c r="AN5571"/>
      <c r="AO5571"/>
      <c r="AP5571"/>
      <c r="AQ5571" t="s">
        <v>2526</v>
      </c>
      <c r="AU5571">
        <v>5570</v>
      </c>
    </row>
    <row r="5572" spans="1:47" x14ac:dyDescent="0.2">
      <c r="A5572" s="133">
        <v>6804</v>
      </c>
      <c r="B5572" s="39" t="s">
        <v>45</v>
      </c>
      <c r="C5572" s="39">
        <v>100</v>
      </c>
      <c r="D5572" s="29" t="b">
        <v>0</v>
      </c>
      <c r="E5572" s="39" t="s">
        <v>5984</v>
      </c>
      <c r="F5572" s="47" t="s">
        <v>529</v>
      </c>
      <c r="G5572" s="47" t="s">
        <v>205</v>
      </c>
      <c r="H5572"/>
      <c r="I5572" s="47" t="b">
        <v>0</v>
      </c>
      <c r="J5572" s="47" t="b">
        <v>0</v>
      </c>
      <c r="K5572" s="47">
        <v>636</v>
      </c>
      <c r="L5572" s="48">
        <v>11</v>
      </c>
      <c r="M5572" s="47">
        <v>0</v>
      </c>
      <c r="N5572" s="47">
        <v>1</v>
      </c>
      <c r="O5572" s="47">
        <v>0</v>
      </c>
      <c r="P5572" s="47">
        <v>0</v>
      </c>
      <c r="Q5572" s="47">
        <v>0</v>
      </c>
      <c r="R5572" s="47">
        <v>0</v>
      </c>
      <c r="S5572" s="48">
        <v>2</v>
      </c>
      <c r="T5572" s="47">
        <v>1</v>
      </c>
      <c r="U5572" s="47">
        <v>0</v>
      </c>
      <c r="V5572" s="47">
        <v>0</v>
      </c>
      <c r="W5572" s="47"/>
      <c r="X5572" s="47">
        <v>842</v>
      </c>
      <c r="Y5572" s="47"/>
      <c r="Z5572" s="47" t="s">
        <v>2524</v>
      </c>
      <c r="AA5572" s="49"/>
      <c r="AB5572" s="49"/>
      <c r="AC5572" s="49"/>
      <c r="AD5572" s="50"/>
      <c r="AE5572" s="47" t="s">
        <v>6445</v>
      </c>
      <c r="AF5572" s="47"/>
      <c r="AG5572"/>
      <c r="AH5572"/>
      <c r="AI5572"/>
      <c r="AJ5572"/>
      <c r="AK5572"/>
      <c r="AL5572"/>
      <c r="AM5572"/>
      <c r="AN5572"/>
      <c r="AO5572"/>
      <c r="AP5572"/>
      <c r="AQ5572" t="s">
        <v>2526</v>
      </c>
      <c r="AU5572">
        <v>5571</v>
      </c>
    </row>
    <row r="5573" spans="1:47" x14ac:dyDescent="0.2">
      <c r="A5573" s="133">
        <v>6804</v>
      </c>
      <c r="B5573" s="39" t="s">
        <v>45</v>
      </c>
      <c r="C5573" s="39">
        <v>100</v>
      </c>
      <c r="D5573" s="29" t="b">
        <v>0</v>
      </c>
      <c r="E5573" s="39" t="s">
        <v>1551</v>
      </c>
      <c r="F5573" s="47" t="s">
        <v>529</v>
      </c>
      <c r="G5573" s="47" t="s">
        <v>205</v>
      </c>
      <c r="H5573"/>
      <c r="I5573" s="47" t="b">
        <v>0</v>
      </c>
      <c r="J5573" s="47" t="b">
        <v>0</v>
      </c>
      <c r="K5573" s="47">
        <v>911</v>
      </c>
      <c r="L5573" s="48">
        <v>11</v>
      </c>
      <c r="M5573" s="47">
        <v>0</v>
      </c>
      <c r="N5573" s="47">
        <v>1</v>
      </c>
      <c r="O5573" s="47">
        <v>0</v>
      </c>
      <c r="P5573" s="47">
        <v>0</v>
      </c>
      <c r="Q5573" s="47">
        <v>0</v>
      </c>
      <c r="R5573" s="47">
        <v>0</v>
      </c>
      <c r="S5573" s="48">
        <v>3</v>
      </c>
      <c r="T5573" s="47">
        <v>1</v>
      </c>
      <c r="U5573" s="47">
        <v>0</v>
      </c>
      <c r="V5573" s="47">
        <v>0</v>
      </c>
      <c r="W5573" s="47"/>
      <c r="X5573" s="47">
        <v>843</v>
      </c>
      <c r="Y5573" s="47"/>
      <c r="Z5573" s="47" t="s">
        <v>2524</v>
      </c>
      <c r="AA5573" s="49"/>
      <c r="AB5573" s="49"/>
      <c r="AC5573" s="49"/>
      <c r="AD5573" s="50"/>
      <c r="AE5573" s="47" t="s">
        <v>6445</v>
      </c>
      <c r="AF5573" s="47">
        <v>55</v>
      </c>
      <c r="AG5573"/>
      <c r="AH5573"/>
      <c r="AI5573"/>
      <c r="AJ5573"/>
      <c r="AK5573"/>
      <c r="AL5573"/>
      <c r="AM5573"/>
      <c r="AN5573"/>
      <c r="AO5573"/>
      <c r="AP5573"/>
      <c r="AQ5573" t="s">
        <v>2526</v>
      </c>
      <c r="AU5573">
        <v>5572</v>
      </c>
    </row>
    <row r="5574" spans="1:47" x14ac:dyDescent="0.2">
      <c r="A5574" s="133">
        <v>6804</v>
      </c>
      <c r="B5574" s="39" t="s">
        <v>45</v>
      </c>
      <c r="C5574" s="39">
        <v>100</v>
      </c>
      <c r="D5574" s="29" t="b">
        <v>0</v>
      </c>
      <c r="E5574" s="39" t="s">
        <v>5707</v>
      </c>
      <c r="F5574" s="47" t="s">
        <v>529</v>
      </c>
      <c r="G5574" s="47" t="s">
        <v>205</v>
      </c>
      <c r="H5574"/>
      <c r="I5574" s="47" t="b">
        <v>0</v>
      </c>
      <c r="J5574" s="47" t="b">
        <v>0</v>
      </c>
      <c r="K5574" s="47">
        <v>462</v>
      </c>
      <c r="L5574" s="48">
        <v>11</v>
      </c>
      <c r="M5574" s="47">
        <v>0</v>
      </c>
      <c r="N5574" s="47">
        <v>1</v>
      </c>
      <c r="O5574" s="47">
        <v>0</v>
      </c>
      <c r="P5574" s="47">
        <v>0</v>
      </c>
      <c r="Q5574" s="47">
        <v>0</v>
      </c>
      <c r="R5574" s="47">
        <v>0</v>
      </c>
      <c r="S5574" s="48">
        <v>1</v>
      </c>
      <c r="T5574" s="47">
        <v>1</v>
      </c>
      <c r="U5574" s="47">
        <v>0</v>
      </c>
      <c r="V5574" s="47">
        <v>0</v>
      </c>
      <c r="W5574" s="47"/>
      <c r="X5574" s="47">
        <v>844</v>
      </c>
      <c r="Y5574" s="47"/>
      <c r="Z5574" s="47" t="s">
        <v>2524</v>
      </c>
      <c r="AA5574" s="49"/>
      <c r="AB5574" s="49"/>
      <c r="AC5574" s="49"/>
      <c r="AD5574" s="50"/>
      <c r="AE5574" s="47" t="s">
        <v>6445</v>
      </c>
      <c r="AF5574" s="47">
        <v>85</v>
      </c>
      <c r="AG5574"/>
      <c r="AH5574"/>
      <c r="AI5574"/>
      <c r="AJ5574"/>
      <c r="AK5574"/>
      <c r="AL5574"/>
      <c r="AM5574"/>
      <c r="AN5574"/>
      <c r="AO5574"/>
      <c r="AP5574"/>
      <c r="AQ5574" t="s">
        <v>2526</v>
      </c>
      <c r="AU5574">
        <v>5573</v>
      </c>
    </row>
    <row r="5575" spans="1:47" x14ac:dyDescent="0.2">
      <c r="A5575" s="133">
        <v>6804</v>
      </c>
      <c r="B5575" s="39" t="s">
        <v>45</v>
      </c>
      <c r="C5575" s="39">
        <v>216</v>
      </c>
      <c r="D5575" s="29" t="b">
        <v>0</v>
      </c>
      <c r="E5575" s="39" t="s">
        <v>6571</v>
      </c>
      <c r="F5575" s="47" t="s">
        <v>6572</v>
      </c>
      <c r="G5575" s="47" t="s">
        <v>73</v>
      </c>
      <c r="H5575"/>
      <c r="I5575" s="47" t="b">
        <v>1</v>
      </c>
      <c r="J5575" s="47" t="b">
        <v>1</v>
      </c>
      <c r="K5575" s="47">
        <v>8794</v>
      </c>
      <c r="L5575" s="48">
        <v>9</v>
      </c>
      <c r="M5575" s="47">
        <v>2</v>
      </c>
      <c r="N5575" s="47">
        <v>0</v>
      </c>
      <c r="O5575" s="47">
        <v>1</v>
      </c>
      <c r="P5575" s="47">
        <v>0</v>
      </c>
      <c r="Q5575" s="47">
        <v>0</v>
      </c>
      <c r="R5575" s="47">
        <v>0</v>
      </c>
      <c r="S5575" s="48">
        <v>7</v>
      </c>
      <c r="T5575" s="47">
        <v>0</v>
      </c>
      <c r="U5575" s="47">
        <v>0</v>
      </c>
      <c r="V5575" s="47">
        <v>0</v>
      </c>
      <c r="W5575" s="47">
        <v>5417</v>
      </c>
      <c r="X5575" s="47">
        <v>845</v>
      </c>
      <c r="Y5575" s="47"/>
      <c r="Z5575" s="47" t="s">
        <v>2466</v>
      </c>
      <c r="AA5575" s="49"/>
      <c r="AB5575" s="49"/>
      <c r="AC5575" s="49"/>
      <c r="AD5575" s="50"/>
      <c r="AE5575" s="47" t="s">
        <v>1312</v>
      </c>
      <c r="AF5575" s="47">
        <v>150</v>
      </c>
      <c r="AG5575"/>
      <c r="AH5575"/>
      <c r="AI5575"/>
      <c r="AJ5575"/>
      <c r="AK5575"/>
      <c r="AL5575"/>
      <c r="AM5575"/>
      <c r="AN5575"/>
      <c r="AO5575"/>
      <c r="AP5575"/>
      <c r="AQ5575" t="s">
        <v>2526</v>
      </c>
      <c r="AU5575">
        <v>5574</v>
      </c>
    </row>
    <row r="5576" spans="1:47" x14ac:dyDescent="0.2">
      <c r="A5576" s="133">
        <v>6804</v>
      </c>
      <c r="B5576" s="39" t="s">
        <v>45</v>
      </c>
      <c r="C5576" s="39">
        <v>216</v>
      </c>
      <c r="D5576" s="29" t="b">
        <v>0</v>
      </c>
      <c r="E5576" s="39" t="s">
        <v>6573</v>
      </c>
      <c r="F5576" s="47" t="s">
        <v>2618</v>
      </c>
      <c r="G5576" s="47" t="s">
        <v>73</v>
      </c>
      <c r="H5576"/>
      <c r="I5576" s="47" t="b">
        <v>0</v>
      </c>
      <c r="J5576" s="47" t="b">
        <v>0</v>
      </c>
      <c r="K5576" s="47">
        <v>2542</v>
      </c>
      <c r="L5576" s="48">
        <v>9</v>
      </c>
      <c r="M5576" s="47">
        <v>2</v>
      </c>
      <c r="N5576" s="47">
        <v>0</v>
      </c>
      <c r="O5576" s="47">
        <v>1</v>
      </c>
      <c r="P5576" s="47">
        <v>0</v>
      </c>
      <c r="Q5576" s="47">
        <v>0</v>
      </c>
      <c r="R5576" s="47">
        <v>0</v>
      </c>
      <c r="S5576" s="48">
        <v>2</v>
      </c>
      <c r="T5576" s="47">
        <v>0</v>
      </c>
      <c r="U5576" s="47">
        <v>0</v>
      </c>
      <c r="V5576" s="47">
        <v>0</v>
      </c>
      <c r="W5576" s="47">
        <v>3500</v>
      </c>
      <c r="X5576" s="47">
        <v>846</v>
      </c>
      <c r="Y5576" s="47"/>
      <c r="Z5576" s="47" t="s">
        <v>2466</v>
      </c>
      <c r="AA5576" s="49"/>
      <c r="AB5576" s="49"/>
      <c r="AC5576" s="49"/>
      <c r="AD5576" s="50"/>
      <c r="AE5576" s="47" t="s">
        <v>1312</v>
      </c>
      <c r="AF5576" s="47">
        <v>150</v>
      </c>
      <c r="AG5576"/>
      <c r="AH5576"/>
      <c r="AI5576"/>
      <c r="AJ5576"/>
      <c r="AK5576"/>
      <c r="AL5576"/>
      <c r="AM5576"/>
      <c r="AN5576"/>
      <c r="AO5576"/>
      <c r="AP5576"/>
      <c r="AQ5576" t="s">
        <v>2526</v>
      </c>
      <c r="AU5576">
        <v>5575</v>
      </c>
    </row>
    <row r="5577" spans="1:47" x14ac:dyDescent="0.2">
      <c r="A5577" s="133">
        <v>6804</v>
      </c>
      <c r="B5577" s="39" t="s">
        <v>45</v>
      </c>
      <c r="C5577" s="39">
        <v>216</v>
      </c>
      <c r="D5577" s="29" t="b">
        <v>0</v>
      </c>
      <c r="E5577" s="39" t="s">
        <v>858</v>
      </c>
      <c r="F5577" s="47" t="s">
        <v>3665</v>
      </c>
      <c r="G5577" s="47" t="s">
        <v>481</v>
      </c>
      <c r="H5577"/>
      <c r="I5577" s="47" t="b">
        <v>0</v>
      </c>
      <c r="J5577" s="47" t="b">
        <v>0</v>
      </c>
      <c r="K5577" s="47">
        <v>1344</v>
      </c>
      <c r="L5577" s="48">
        <v>9</v>
      </c>
      <c r="M5577" s="47">
        <v>2</v>
      </c>
      <c r="N5577" s="47">
        <v>0</v>
      </c>
      <c r="O5577" s="47">
        <v>1</v>
      </c>
      <c r="P5577" s="47">
        <v>0</v>
      </c>
      <c r="Q5577" s="47">
        <v>0</v>
      </c>
      <c r="R5577" s="47">
        <v>0</v>
      </c>
      <c r="S5577" s="48">
        <v>1</v>
      </c>
      <c r="T5577" s="47">
        <v>0</v>
      </c>
      <c r="U5577" s="47">
        <v>0</v>
      </c>
      <c r="V5577" s="47">
        <v>0</v>
      </c>
      <c r="W5577" s="47">
        <v>7000</v>
      </c>
      <c r="X5577" s="47">
        <v>847</v>
      </c>
      <c r="Y5577" s="47"/>
      <c r="Z5577" s="47" t="s">
        <v>2466</v>
      </c>
      <c r="AA5577" s="49"/>
      <c r="AB5577" s="49"/>
      <c r="AC5577" s="49"/>
      <c r="AD5577" s="50"/>
      <c r="AE5577" s="47" t="s">
        <v>1312</v>
      </c>
      <c r="AF5577" s="47">
        <v>105</v>
      </c>
      <c r="AG5577"/>
      <c r="AH5577"/>
      <c r="AI5577"/>
      <c r="AJ5577"/>
      <c r="AK5577"/>
      <c r="AL5577"/>
      <c r="AM5577"/>
      <c r="AN5577"/>
      <c r="AO5577"/>
      <c r="AP5577"/>
      <c r="AQ5577" t="s">
        <v>2526</v>
      </c>
      <c r="AU5577">
        <v>5576</v>
      </c>
    </row>
    <row r="5578" spans="1:47" x14ac:dyDescent="0.2">
      <c r="A5578" s="133">
        <v>6804</v>
      </c>
      <c r="B5578" s="39" t="s">
        <v>45</v>
      </c>
      <c r="C5578" s="39">
        <v>216</v>
      </c>
      <c r="D5578" s="29" t="b">
        <v>0</v>
      </c>
      <c r="E5578" s="39" t="s">
        <v>4343</v>
      </c>
      <c r="F5578" s="47" t="s">
        <v>1224</v>
      </c>
      <c r="G5578" s="47" t="s">
        <v>481</v>
      </c>
      <c r="H5578"/>
      <c r="I5578" s="47" t="b">
        <v>0</v>
      </c>
      <c r="J5578" s="47" t="b">
        <v>0</v>
      </c>
      <c r="K5578" s="47">
        <v>1344</v>
      </c>
      <c r="L5578" s="48">
        <v>9</v>
      </c>
      <c r="M5578" s="47">
        <v>2</v>
      </c>
      <c r="N5578" s="47">
        <v>0</v>
      </c>
      <c r="O5578" s="47">
        <v>1</v>
      </c>
      <c r="P5578" s="47">
        <v>0</v>
      </c>
      <c r="Q5578" s="47">
        <v>0</v>
      </c>
      <c r="R5578" s="47">
        <v>0</v>
      </c>
      <c r="S5578" s="48">
        <v>1</v>
      </c>
      <c r="T5578" s="47">
        <v>0</v>
      </c>
      <c r="U5578" s="47">
        <v>0</v>
      </c>
      <c r="V5578" s="47">
        <v>0</v>
      </c>
      <c r="W5578" s="47">
        <v>8000</v>
      </c>
      <c r="X5578" s="47">
        <v>848</v>
      </c>
      <c r="Y5578" s="47"/>
      <c r="Z5578" s="47" t="s">
        <v>2466</v>
      </c>
      <c r="AA5578" s="49"/>
      <c r="AB5578" s="49"/>
      <c r="AC5578" s="49"/>
      <c r="AD5578" s="50"/>
      <c r="AE5578" s="47" t="s">
        <v>1312</v>
      </c>
      <c r="AF5578" s="47">
        <v>95</v>
      </c>
      <c r="AG5578"/>
      <c r="AH5578"/>
      <c r="AI5578"/>
      <c r="AJ5578"/>
      <c r="AK5578"/>
      <c r="AL5578"/>
      <c r="AM5578"/>
      <c r="AN5578"/>
      <c r="AO5578"/>
      <c r="AP5578"/>
      <c r="AQ5578" t="s">
        <v>2526</v>
      </c>
      <c r="AU5578">
        <v>5577</v>
      </c>
    </row>
    <row r="5579" spans="1:47" x14ac:dyDescent="0.2">
      <c r="A5579" s="133">
        <v>6804</v>
      </c>
      <c r="B5579" s="39" t="s">
        <v>45</v>
      </c>
      <c r="C5579" s="39">
        <v>216</v>
      </c>
      <c r="D5579" s="29" t="b">
        <v>0</v>
      </c>
      <c r="E5579" s="39" t="s">
        <v>5718</v>
      </c>
      <c r="F5579" s="47" t="s">
        <v>6574</v>
      </c>
      <c r="G5579" s="47" t="s">
        <v>73</v>
      </c>
      <c r="H5579"/>
      <c r="I5579" s="47" t="b">
        <v>0</v>
      </c>
      <c r="J5579" s="47" t="b">
        <v>0</v>
      </c>
      <c r="K5579" s="47">
        <v>448</v>
      </c>
      <c r="L5579" s="48">
        <v>9</v>
      </c>
      <c r="M5579" s="47">
        <v>2</v>
      </c>
      <c r="N5579" s="47">
        <v>0</v>
      </c>
      <c r="O5579" s="47">
        <v>1</v>
      </c>
      <c r="P5579" s="47">
        <v>0</v>
      </c>
      <c r="Q5579" s="47">
        <v>0</v>
      </c>
      <c r="R5579" s="47">
        <v>0</v>
      </c>
      <c r="S5579" s="48">
        <v>1</v>
      </c>
      <c r="T5579" s="47">
        <v>0</v>
      </c>
      <c r="U5579" s="47">
        <v>0</v>
      </c>
      <c r="V5579" s="47">
        <v>0</v>
      </c>
      <c r="W5579" s="47">
        <v>4800</v>
      </c>
      <c r="X5579" s="47">
        <v>849</v>
      </c>
      <c r="Y5579" s="47"/>
      <c r="Z5579" s="47" t="s">
        <v>2466</v>
      </c>
      <c r="AA5579" s="49"/>
      <c r="AB5579" s="49"/>
      <c r="AC5579" s="49"/>
      <c r="AD5579" s="50"/>
      <c r="AE5579" s="47" t="s">
        <v>1312</v>
      </c>
      <c r="AF5579" s="47">
        <v>55</v>
      </c>
      <c r="AG5579"/>
      <c r="AH5579"/>
      <c r="AI5579"/>
      <c r="AJ5579"/>
      <c r="AK5579"/>
      <c r="AL5579"/>
      <c r="AM5579"/>
      <c r="AN5579"/>
      <c r="AO5579"/>
      <c r="AP5579"/>
      <c r="AQ5579" t="s">
        <v>2526</v>
      </c>
      <c r="AU5579">
        <v>5578</v>
      </c>
    </row>
    <row r="5580" spans="1:47" x14ac:dyDescent="0.2">
      <c r="A5580" s="133">
        <v>6804</v>
      </c>
      <c r="B5580" s="39" t="s">
        <v>45</v>
      </c>
      <c r="C5580" s="39">
        <v>216</v>
      </c>
      <c r="D5580" s="29" t="b">
        <v>0</v>
      </c>
      <c r="E5580" s="121" t="s">
        <v>3575</v>
      </c>
      <c r="F5580" s="47" t="s">
        <v>529</v>
      </c>
      <c r="G5580" s="47" t="s">
        <v>205</v>
      </c>
      <c r="H5580"/>
      <c r="I5580" s="47" t="b">
        <v>0</v>
      </c>
      <c r="J5580" s="47" t="b">
        <v>0</v>
      </c>
      <c r="K5580" s="47">
        <v>1568</v>
      </c>
      <c r="L5580" s="48">
        <v>9</v>
      </c>
      <c r="M5580" s="47">
        <v>2</v>
      </c>
      <c r="N5580" s="47">
        <v>0</v>
      </c>
      <c r="O5580" s="47">
        <v>1</v>
      </c>
      <c r="P5580" s="47">
        <v>0</v>
      </c>
      <c r="Q5580" s="47">
        <v>0</v>
      </c>
      <c r="R5580" s="47">
        <v>0</v>
      </c>
      <c r="S5580" s="48">
        <v>1</v>
      </c>
      <c r="T5580" s="47">
        <v>0</v>
      </c>
      <c r="U5580" s="47">
        <v>0</v>
      </c>
      <c r="V5580" s="47">
        <v>0</v>
      </c>
      <c r="W5580" s="47">
        <v>5000</v>
      </c>
      <c r="X5580" s="47">
        <v>850</v>
      </c>
      <c r="Y5580" s="47"/>
      <c r="Z5580" s="47" t="s">
        <v>2466</v>
      </c>
      <c r="AA5580" s="49"/>
      <c r="AB5580" s="49"/>
      <c r="AC5580" s="49"/>
      <c r="AD5580" s="50"/>
      <c r="AE5580" s="47" t="s">
        <v>1312</v>
      </c>
      <c r="AF5580" s="31">
        <v>160</v>
      </c>
      <c r="AG5580"/>
      <c r="AH5580"/>
      <c r="AI5580"/>
      <c r="AJ5580"/>
      <c r="AK5580"/>
      <c r="AL5580"/>
      <c r="AM5580"/>
      <c r="AN5580"/>
      <c r="AO5580"/>
      <c r="AP5580"/>
      <c r="AQ5580" t="s">
        <v>2526</v>
      </c>
      <c r="AU5580">
        <v>5579</v>
      </c>
    </row>
    <row r="5581" spans="1:47" x14ac:dyDescent="0.2">
      <c r="A5581" s="133">
        <v>6804</v>
      </c>
      <c r="B5581" s="39" t="s">
        <v>45</v>
      </c>
      <c r="C5581" s="39">
        <v>216</v>
      </c>
      <c r="D5581" s="29" t="b">
        <v>0</v>
      </c>
      <c r="E5581" s="39" t="s">
        <v>5707</v>
      </c>
      <c r="F5581" s="47" t="s">
        <v>529</v>
      </c>
      <c r="G5581" s="47" t="s">
        <v>205</v>
      </c>
      <c r="H5581"/>
      <c r="I5581" s="47" t="b">
        <v>0</v>
      </c>
      <c r="J5581" s="47" t="b">
        <v>0</v>
      </c>
      <c r="K5581" s="47">
        <v>896</v>
      </c>
      <c r="L5581" s="48">
        <v>9</v>
      </c>
      <c r="M5581" s="47">
        <v>2</v>
      </c>
      <c r="N5581" s="47">
        <v>0</v>
      </c>
      <c r="O5581" s="47">
        <v>1</v>
      </c>
      <c r="P5581" s="47">
        <v>0</v>
      </c>
      <c r="Q5581" s="47">
        <v>0</v>
      </c>
      <c r="R5581" s="47">
        <v>0</v>
      </c>
      <c r="S5581" s="48">
        <v>1</v>
      </c>
      <c r="T5581" s="47">
        <v>0</v>
      </c>
      <c r="U5581" s="47">
        <v>0</v>
      </c>
      <c r="V5581" s="47">
        <v>0</v>
      </c>
      <c r="W5581" s="47">
        <v>4800</v>
      </c>
      <c r="X5581" s="47">
        <v>851</v>
      </c>
      <c r="Y5581" s="47"/>
      <c r="Z5581" s="47" t="s">
        <v>2466</v>
      </c>
      <c r="AA5581" s="49"/>
      <c r="AB5581" s="49"/>
      <c r="AC5581" s="49"/>
      <c r="AD5581" s="50"/>
      <c r="AE5581" s="47" t="s">
        <v>1312</v>
      </c>
      <c r="AF5581" s="47">
        <v>75</v>
      </c>
      <c r="AG5581"/>
      <c r="AH5581"/>
      <c r="AI5581"/>
      <c r="AJ5581"/>
      <c r="AK5581"/>
      <c r="AL5581"/>
      <c r="AM5581"/>
      <c r="AN5581"/>
      <c r="AO5581"/>
      <c r="AP5581"/>
      <c r="AQ5581" t="s">
        <v>2526</v>
      </c>
      <c r="AU5581">
        <v>5580</v>
      </c>
    </row>
    <row r="5582" spans="1:47" x14ac:dyDescent="0.2">
      <c r="A5582" s="13">
        <v>6804</v>
      </c>
      <c r="B5582" s="57" t="s">
        <v>45</v>
      </c>
      <c r="C5582" s="57" t="s">
        <v>4843</v>
      </c>
      <c r="D5582" s="29"/>
      <c r="E5582" s="57" t="s">
        <v>4198</v>
      </c>
      <c r="F5582" s="31" t="s">
        <v>76</v>
      </c>
      <c r="I5582" s="31" t="s">
        <v>6575</v>
      </c>
      <c r="K5582" s="31">
        <v>616</v>
      </c>
      <c r="S5582" s="33">
        <v>1</v>
      </c>
      <c r="Z5582" s="31" t="s">
        <v>3814</v>
      </c>
      <c r="AE5582" s="31" t="s">
        <v>4411</v>
      </c>
      <c r="AF5582" s="31">
        <v>50</v>
      </c>
      <c r="AK5582" s="32">
        <v>7</v>
      </c>
      <c r="AQ5582" s="32" t="s">
        <v>6522</v>
      </c>
      <c r="AU5582">
        <v>5581</v>
      </c>
    </row>
    <row r="5583" spans="1:47" x14ac:dyDescent="0.2">
      <c r="A5583" s="13">
        <v>6804</v>
      </c>
      <c r="B5583" s="57" t="s">
        <v>45</v>
      </c>
      <c r="C5583" s="57" t="s">
        <v>4843</v>
      </c>
      <c r="D5583" s="29"/>
      <c r="E5583" s="57" t="s">
        <v>3876</v>
      </c>
      <c r="F5583" s="31" t="s">
        <v>76</v>
      </c>
      <c r="K5583" s="31">
        <v>2288</v>
      </c>
      <c r="S5583" s="33">
        <v>4</v>
      </c>
      <c r="Z5583" s="31" t="s">
        <v>3814</v>
      </c>
      <c r="AE5583" s="31" t="s">
        <v>4411</v>
      </c>
      <c r="AF5583" s="31">
        <v>70</v>
      </c>
      <c r="AK5583" s="32">
        <v>26</v>
      </c>
      <c r="AQ5583" s="32" t="s">
        <v>6522</v>
      </c>
      <c r="AU5583">
        <v>5582</v>
      </c>
    </row>
    <row r="5584" spans="1:47" x14ac:dyDescent="0.2">
      <c r="A5584" s="13">
        <v>6804</v>
      </c>
      <c r="B5584" s="57" t="s">
        <v>45</v>
      </c>
      <c r="C5584" s="57" t="s">
        <v>4843</v>
      </c>
      <c r="D5584" s="29"/>
      <c r="E5584" s="57" t="s">
        <v>1064</v>
      </c>
      <c r="F5584" s="31" t="s">
        <v>76</v>
      </c>
      <c r="K5584" s="31">
        <v>13134</v>
      </c>
      <c r="S5584" s="33">
        <v>24</v>
      </c>
      <c r="Z5584" s="31" t="s">
        <v>3814</v>
      </c>
      <c r="AE5584" s="31" t="s">
        <v>4411</v>
      </c>
      <c r="AF5584" s="31">
        <v>55</v>
      </c>
      <c r="AK5584" s="32">
        <v>157</v>
      </c>
      <c r="AQ5584" s="32" t="s">
        <v>6522</v>
      </c>
      <c r="AU5584">
        <v>5583</v>
      </c>
    </row>
    <row r="5585" spans="1:47" x14ac:dyDescent="0.2">
      <c r="A5585" s="26">
        <v>6804</v>
      </c>
      <c r="B5585" s="27">
        <v>2.7777777777777776E-2</v>
      </c>
      <c r="C5585" s="28"/>
      <c r="D5585" s="29"/>
      <c r="E5585" s="30" t="s">
        <v>464</v>
      </c>
      <c r="H5585" s="32">
        <v>0</v>
      </c>
      <c r="I5585" s="32" t="s">
        <v>6576</v>
      </c>
      <c r="AG5585" s="32">
        <v>0</v>
      </c>
      <c r="AH5585" s="32">
        <v>0</v>
      </c>
      <c r="AL5585" s="32">
        <v>2</v>
      </c>
      <c r="AO5585" s="32" t="s">
        <v>4067</v>
      </c>
      <c r="AP5585" s="32">
        <v>2</v>
      </c>
      <c r="AQ5585" s="32" t="s">
        <v>1522</v>
      </c>
      <c r="AU5585">
        <v>5584</v>
      </c>
    </row>
    <row r="5586" spans="1:47" x14ac:dyDescent="0.2">
      <c r="A5586" s="26">
        <v>6804</v>
      </c>
      <c r="B5586" s="27">
        <v>7.6388888888888895E-2</v>
      </c>
      <c r="C5586" s="28"/>
      <c r="D5586" s="29"/>
      <c r="E5586" s="30" t="s">
        <v>5224</v>
      </c>
      <c r="H5586" s="32">
        <v>0</v>
      </c>
      <c r="I5586" s="32" t="s">
        <v>5225</v>
      </c>
      <c r="AG5586" s="32">
        <v>0</v>
      </c>
      <c r="AH5586" s="32">
        <v>0</v>
      </c>
      <c r="AI5586" s="32">
        <v>0</v>
      </c>
      <c r="AK5586" s="32">
        <v>0</v>
      </c>
      <c r="AL5586" s="32">
        <f>23/60</f>
        <v>0.38333333333333336</v>
      </c>
      <c r="AP5586" s="32">
        <f>23/60</f>
        <v>0.38333333333333336</v>
      </c>
      <c r="AQ5586" s="32" t="s">
        <v>1101</v>
      </c>
      <c r="AU5586">
        <v>5585</v>
      </c>
    </row>
    <row r="5587" spans="1:47" x14ac:dyDescent="0.2">
      <c r="A5587" s="26">
        <v>6804</v>
      </c>
      <c r="B5587" s="27">
        <v>8.3333333333333329E-2</v>
      </c>
      <c r="C5587" s="28"/>
      <c r="D5587" s="29"/>
      <c r="E5587" s="30" t="s">
        <v>6577</v>
      </c>
      <c r="H5587" s="32">
        <v>1</v>
      </c>
      <c r="I5587" s="32" t="s">
        <v>6578</v>
      </c>
      <c r="AG5587" s="32">
        <v>0</v>
      </c>
      <c r="AH5587" s="32">
        <v>0</v>
      </c>
      <c r="AI5587" s="32">
        <v>4500</v>
      </c>
      <c r="AK5587" s="32">
        <v>16</v>
      </c>
      <c r="AL5587" s="32">
        <v>0</v>
      </c>
      <c r="AO5587" s="32" t="s">
        <v>6005</v>
      </c>
      <c r="AQ5587" s="32" t="s">
        <v>6484</v>
      </c>
      <c r="AU5587">
        <v>5586</v>
      </c>
    </row>
    <row r="5588" spans="1:47" x14ac:dyDescent="0.2">
      <c r="A5588" s="26">
        <v>6804</v>
      </c>
      <c r="B5588" s="27">
        <v>0.46875</v>
      </c>
      <c r="C5588" s="28"/>
      <c r="D5588" s="29"/>
      <c r="E5588" s="30" t="s">
        <v>3737</v>
      </c>
      <c r="H5588" s="32">
        <v>0</v>
      </c>
      <c r="I5588" s="32" t="s">
        <v>4926</v>
      </c>
      <c r="AG5588" s="32">
        <v>0</v>
      </c>
      <c r="AH5588" s="32">
        <v>0</v>
      </c>
      <c r="AI5588" s="32">
        <v>0</v>
      </c>
      <c r="AK5588" s="32">
        <v>0</v>
      </c>
      <c r="AM5588" s="74"/>
      <c r="AQ5588" s="32" t="s">
        <v>1101</v>
      </c>
      <c r="AU5588">
        <v>5587</v>
      </c>
    </row>
    <row r="5589" spans="1:47" x14ac:dyDescent="0.2">
      <c r="A5589" s="26">
        <v>6804</v>
      </c>
      <c r="B5589" s="27">
        <v>0.96180555555555547</v>
      </c>
      <c r="C5589" s="28"/>
      <c r="D5589" s="29"/>
      <c r="E5589" s="30" t="s">
        <v>5718</v>
      </c>
      <c r="H5589" s="32">
        <v>1</v>
      </c>
      <c r="I5589" s="32" t="s">
        <v>6579</v>
      </c>
      <c r="AG5589" s="32">
        <v>0</v>
      </c>
      <c r="AH5589" s="32">
        <v>0</v>
      </c>
      <c r="AI5589" s="32">
        <v>0</v>
      </c>
      <c r="AJ5589" s="32">
        <v>0</v>
      </c>
      <c r="AK5589" s="32">
        <v>5</v>
      </c>
      <c r="AL5589" s="32">
        <v>0</v>
      </c>
      <c r="AM5589" s="32">
        <v>0</v>
      </c>
      <c r="AO5589" s="32" t="s">
        <v>5720</v>
      </c>
      <c r="AQ5589" s="32">
        <v>380</v>
      </c>
      <c r="AU5589">
        <v>5588</v>
      </c>
    </row>
    <row r="5590" spans="1:47" x14ac:dyDescent="0.2">
      <c r="A5590" s="26">
        <v>6804</v>
      </c>
      <c r="B5590" s="27">
        <v>0.96388888888888891</v>
      </c>
      <c r="C5590" s="28"/>
      <c r="D5590" s="29"/>
      <c r="E5590" s="30" t="s">
        <v>869</v>
      </c>
      <c r="H5590" s="32">
        <v>0</v>
      </c>
      <c r="I5590" s="32" t="s">
        <v>2344</v>
      </c>
      <c r="AG5590" s="32">
        <v>0</v>
      </c>
      <c r="AH5590" s="32">
        <v>0</v>
      </c>
      <c r="AI5590" s="32">
        <v>0</v>
      </c>
      <c r="AK5590" s="32">
        <v>0</v>
      </c>
      <c r="AL5590" s="32">
        <f>16/60</f>
        <v>0.26666666666666666</v>
      </c>
      <c r="AP5590" s="32">
        <f>16/60</f>
        <v>0.26666666666666666</v>
      </c>
      <c r="AQ5590" s="32" t="s">
        <v>589</v>
      </c>
      <c r="AU5590">
        <v>5589</v>
      </c>
    </row>
    <row r="5591" spans="1:47" x14ac:dyDescent="0.2">
      <c r="A5591" s="26">
        <v>6804</v>
      </c>
      <c r="B5591" s="27"/>
      <c r="C5591" s="28"/>
      <c r="D5591" s="29"/>
      <c r="E5591" s="30" t="s">
        <v>653</v>
      </c>
      <c r="H5591" s="32">
        <v>1</v>
      </c>
      <c r="I5591" s="32" t="s">
        <v>6580</v>
      </c>
      <c r="AI5591" s="32">
        <v>0</v>
      </c>
      <c r="AK5591" s="32">
        <v>6</v>
      </c>
      <c r="AO5591" s="32" t="s">
        <v>655</v>
      </c>
      <c r="AQ5591" s="32">
        <v>447</v>
      </c>
      <c r="AU5591">
        <v>5590</v>
      </c>
    </row>
    <row r="5592" spans="1:47" x14ac:dyDescent="0.2">
      <c r="A5592" s="133">
        <v>6805</v>
      </c>
      <c r="B5592" s="39" t="s">
        <v>45</v>
      </c>
      <c r="C5592" s="39">
        <v>100</v>
      </c>
      <c r="D5592" s="29" t="b">
        <v>0</v>
      </c>
      <c r="E5592" s="39" t="s">
        <v>6581</v>
      </c>
      <c r="F5592" s="47" t="s">
        <v>6582</v>
      </c>
      <c r="G5592" s="47" t="s">
        <v>205</v>
      </c>
      <c r="H5592"/>
      <c r="I5592" s="47" t="b">
        <v>1</v>
      </c>
      <c r="J5592" s="47" t="b">
        <v>1</v>
      </c>
      <c r="K5592" s="47">
        <v>2184</v>
      </c>
      <c r="L5592" s="48">
        <v>7</v>
      </c>
      <c r="M5592" s="47">
        <v>0</v>
      </c>
      <c r="N5592" s="47">
        <v>0</v>
      </c>
      <c r="O5592" s="47">
        <v>0</v>
      </c>
      <c r="P5592" s="47">
        <v>0</v>
      </c>
      <c r="Q5592" s="47">
        <v>0</v>
      </c>
      <c r="R5592" s="47">
        <v>0</v>
      </c>
      <c r="S5592" s="48">
        <v>7</v>
      </c>
      <c r="T5592" s="47">
        <v>1</v>
      </c>
      <c r="U5592" s="47">
        <v>0</v>
      </c>
      <c r="V5592" s="47">
        <v>0</v>
      </c>
      <c r="W5592" s="47">
        <v>2500</v>
      </c>
      <c r="X5592" s="47">
        <v>852</v>
      </c>
      <c r="Y5592" s="47"/>
      <c r="Z5592" s="47" t="s">
        <v>2524</v>
      </c>
      <c r="AA5592" s="49"/>
      <c r="AB5592" s="49"/>
      <c r="AC5592" s="49"/>
      <c r="AD5592" s="50"/>
      <c r="AE5592" s="47" t="s">
        <v>6445</v>
      </c>
      <c r="AF5592" s="47"/>
      <c r="AG5592"/>
      <c r="AH5592"/>
      <c r="AI5592"/>
      <c r="AJ5592"/>
      <c r="AK5592"/>
      <c r="AL5592"/>
      <c r="AM5592"/>
      <c r="AN5592"/>
      <c r="AO5592"/>
      <c r="AP5592"/>
      <c r="AQ5592" t="s">
        <v>2526</v>
      </c>
      <c r="AU5592">
        <v>5591</v>
      </c>
    </row>
    <row r="5593" spans="1:47" x14ac:dyDescent="0.2">
      <c r="A5593" s="133">
        <v>6805</v>
      </c>
      <c r="B5593" s="39" t="s">
        <v>45</v>
      </c>
      <c r="C5593" s="39">
        <v>100</v>
      </c>
      <c r="D5593" s="29" t="b">
        <v>0</v>
      </c>
      <c r="E5593" s="39" t="s">
        <v>5707</v>
      </c>
      <c r="F5593" s="47" t="s">
        <v>529</v>
      </c>
      <c r="G5593" s="47" t="s">
        <v>205</v>
      </c>
      <c r="H5593"/>
      <c r="I5593" s="47" t="b">
        <v>0</v>
      </c>
      <c r="J5593" s="47" t="b">
        <v>0</v>
      </c>
      <c r="K5593" s="47">
        <v>1148</v>
      </c>
      <c r="L5593" s="48">
        <v>7</v>
      </c>
      <c r="M5593" s="47">
        <v>0</v>
      </c>
      <c r="N5593" s="47">
        <v>0</v>
      </c>
      <c r="O5593" s="47">
        <v>0</v>
      </c>
      <c r="P5593" s="47">
        <v>0</v>
      </c>
      <c r="Q5593" s="47">
        <v>0</v>
      </c>
      <c r="R5593" s="47">
        <v>0</v>
      </c>
      <c r="S5593" s="48">
        <v>3</v>
      </c>
      <c r="T5593" s="47">
        <v>1</v>
      </c>
      <c r="U5593" s="47">
        <v>0</v>
      </c>
      <c r="V5593" s="47">
        <v>0</v>
      </c>
      <c r="W5593" s="47">
        <v>2500</v>
      </c>
      <c r="X5593" s="47">
        <v>853</v>
      </c>
      <c r="Y5593" s="47"/>
      <c r="Z5593" s="47" t="s">
        <v>2524</v>
      </c>
      <c r="AA5593" s="49"/>
      <c r="AB5593" s="49"/>
      <c r="AC5593" s="49"/>
      <c r="AD5593" s="50"/>
      <c r="AE5593" s="47" t="s">
        <v>6445</v>
      </c>
      <c r="AF5593" s="47">
        <v>85</v>
      </c>
      <c r="AG5593"/>
      <c r="AH5593"/>
      <c r="AI5593"/>
      <c r="AJ5593"/>
      <c r="AK5593"/>
      <c r="AL5593"/>
      <c r="AM5593"/>
      <c r="AN5593"/>
      <c r="AO5593"/>
      <c r="AP5593"/>
      <c r="AQ5593" t="s">
        <v>2526</v>
      </c>
      <c r="AU5593">
        <v>5592</v>
      </c>
    </row>
    <row r="5594" spans="1:47" x14ac:dyDescent="0.2">
      <c r="A5594" s="133">
        <v>6805</v>
      </c>
      <c r="B5594" s="39" t="s">
        <v>45</v>
      </c>
      <c r="C5594" s="39">
        <v>100</v>
      </c>
      <c r="D5594" s="29" t="b">
        <v>0</v>
      </c>
      <c r="E5594" s="39" t="s">
        <v>1551</v>
      </c>
      <c r="F5594" s="47" t="s">
        <v>529</v>
      </c>
      <c r="G5594" s="47" t="s">
        <v>205</v>
      </c>
      <c r="H5594"/>
      <c r="I5594" s="47" t="b">
        <v>0</v>
      </c>
      <c r="J5594" s="47" t="b">
        <v>0</v>
      </c>
      <c r="K5594" s="47">
        <v>312</v>
      </c>
      <c r="L5594" s="48">
        <v>7</v>
      </c>
      <c r="M5594" s="47">
        <v>0</v>
      </c>
      <c r="N5594" s="47">
        <v>0</v>
      </c>
      <c r="O5594" s="47">
        <v>0</v>
      </c>
      <c r="P5594" s="47">
        <v>0</v>
      </c>
      <c r="Q5594" s="47">
        <v>0</v>
      </c>
      <c r="R5594" s="47">
        <v>0</v>
      </c>
      <c r="S5594" s="48">
        <v>1</v>
      </c>
      <c r="T5594" s="47">
        <v>1</v>
      </c>
      <c r="U5594" s="47">
        <v>0</v>
      </c>
      <c r="V5594" s="47">
        <v>0</v>
      </c>
      <c r="W5594" s="47">
        <v>2500</v>
      </c>
      <c r="X5594" s="47">
        <v>854</v>
      </c>
      <c r="Y5594" s="47"/>
      <c r="Z5594" s="47" t="s">
        <v>2524</v>
      </c>
      <c r="AA5594" s="49"/>
      <c r="AB5594" s="49"/>
      <c r="AC5594" s="49"/>
      <c r="AD5594" s="50"/>
      <c r="AE5594" s="47" t="s">
        <v>6445</v>
      </c>
      <c r="AF5594" s="47">
        <v>55</v>
      </c>
      <c r="AG5594"/>
      <c r="AH5594"/>
      <c r="AI5594"/>
      <c r="AJ5594"/>
      <c r="AK5594"/>
      <c r="AL5594"/>
      <c r="AM5594"/>
      <c r="AN5594"/>
      <c r="AO5594"/>
      <c r="AP5594"/>
      <c r="AQ5594" t="s">
        <v>2526</v>
      </c>
      <c r="AU5594">
        <v>5593</v>
      </c>
    </row>
    <row r="5595" spans="1:47" x14ac:dyDescent="0.2">
      <c r="A5595" s="133">
        <v>6805</v>
      </c>
      <c r="B5595" s="39" t="s">
        <v>45</v>
      </c>
      <c r="C5595" s="39">
        <v>100</v>
      </c>
      <c r="D5595" s="29" t="b">
        <v>0</v>
      </c>
      <c r="E5595" s="39" t="s">
        <v>6583</v>
      </c>
      <c r="F5595" s="47" t="s">
        <v>144</v>
      </c>
      <c r="G5595" s="47" t="s">
        <v>73</v>
      </c>
      <c r="H5595"/>
      <c r="I5595" s="47" t="b">
        <v>0</v>
      </c>
      <c r="J5595" s="47" t="b">
        <v>0</v>
      </c>
      <c r="K5595" s="47">
        <v>150</v>
      </c>
      <c r="L5595" s="48">
        <v>7</v>
      </c>
      <c r="M5595" s="47">
        <v>0</v>
      </c>
      <c r="N5595" s="47">
        <v>0</v>
      </c>
      <c r="O5595" s="47">
        <v>0</v>
      </c>
      <c r="P5595" s="47">
        <v>0</v>
      </c>
      <c r="Q5595" s="47">
        <v>0</v>
      </c>
      <c r="R5595" s="47">
        <v>0</v>
      </c>
      <c r="S5595" s="48">
        <v>1</v>
      </c>
      <c r="T5595" s="47">
        <v>1</v>
      </c>
      <c r="U5595" s="47">
        <v>0</v>
      </c>
      <c r="V5595" s="47">
        <v>0</v>
      </c>
      <c r="W5595" s="47">
        <v>2500</v>
      </c>
      <c r="X5595" s="47">
        <v>855</v>
      </c>
      <c r="Y5595" s="47"/>
      <c r="Z5595" s="47" t="s">
        <v>2524</v>
      </c>
      <c r="AA5595" s="49"/>
      <c r="AB5595" s="49"/>
      <c r="AC5595" s="49"/>
      <c r="AD5595" s="50"/>
      <c r="AE5595" s="47" t="s">
        <v>6445</v>
      </c>
      <c r="AF5595" s="47"/>
      <c r="AG5595"/>
      <c r="AH5595"/>
      <c r="AI5595"/>
      <c r="AJ5595"/>
      <c r="AK5595"/>
      <c r="AL5595"/>
      <c r="AM5595"/>
      <c r="AN5595"/>
      <c r="AO5595"/>
      <c r="AP5595"/>
      <c r="AQ5595" t="s">
        <v>2526</v>
      </c>
      <c r="AU5595">
        <v>5594</v>
      </c>
    </row>
    <row r="5596" spans="1:47" x14ac:dyDescent="0.2">
      <c r="A5596" s="133">
        <v>6805</v>
      </c>
      <c r="B5596" s="39" t="s">
        <v>45</v>
      </c>
      <c r="C5596" s="39">
        <v>100</v>
      </c>
      <c r="D5596" s="29" t="b">
        <v>0</v>
      </c>
      <c r="E5596" s="39" t="s">
        <v>6584</v>
      </c>
      <c r="F5596" s="47" t="s">
        <v>144</v>
      </c>
      <c r="G5596" s="47" t="s">
        <v>73</v>
      </c>
      <c r="H5596"/>
      <c r="I5596" s="47" t="b">
        <v>0</v>
      </c>
      <c r="J5596" s="47" t="b">
        <v>0</v>
      </c>
      <c r="K5596" s="47">
        <v>312</v>
      </c>
      <c r="L5596" s="48">
        <v>7</v>
      </c>
      <c r="M5596" s="47">
        <v>0</v>
      </c>
      <c r="N5596" s="47">
        <v>0</v>
      </c>
      <c r="O5596" s="47">
        <v>0</v>
      </c>
      <c r="P5596" s="47">
        <v>0</v>
      </c>
      <c r="Q5596" s="47">
        <v>0</v>
      </c>
      <c r="R5596" s="47">
        <v>0</v>
      </c>
      <c r="S5596" s="48">
        <v>1</v>
      </c>
      <c r="T5596" s="47">
        <v>1</v>
      </c>
      <c r="U5596" s="47">
        <v>0</v>
      </c>
      <c r="V5596" s="47">
        <v>0</v>
      </c>
      <c r="W5596" s="47"/>
      <c r="X5596" s="47">
        <v>856</v>
      </c>
      <c r="Y5596" s="47"/>
      <c r="Z5596" s="47" t="s">
        <v>2524</v>
      </c>
      <c r="AA5596" s="49"/>
      <c r="AB5596" s="49"/>
      <c r="AC5596" s="49"/>
      <c r="AD5596" s="50"/>
      <c r="AE5596" s="47" t="s">
        <v>6445</v>
      </c>
      <c r="AF5596" s="47"/>
      <c r="AG5596"/>
      <c r="AH5596"/>
      <c r="AI5596"/>
      <c r="AJ5596"/>
      <c r="AK5596"/>
      <c r="AL5596"/>
      <c r="AM5596"/>
      <c r="AN5596"/>
      <c r="AO5596"/>
      <c r="AP5596"/>
      <c r="AQ5596" t="s">
        <v>2526</v>
      </c>
      <c r="AU5596">
        <v>5595</v>
      </c>
    </row>
    <row r="5597" spans="1:47" x14ac:dyDescent="0.2">
      <c r="A5597" s="133">
        <v>6805</v>
      </c>
      <c r="B5597" s="39" t="s">
        <v>45</v>
      </c>
      <c r="C5597" s="39">
        <v>100</v>
      </c>
      <c r="D5597" s="29" t="b">
        <v>0</v>
      </c>
      <c r="E5597" s="39" t="s">
        <v>6585</v>
      </c>
      <c r="F5597" s="47" t="s">
        <v>348</v>
      </c>
      <c r="G5597" s="47" t="s">
        <v>49</v>
      </c>
      <c r="H5597"/>
      <c r="I5597" s="47" t="b">
        <v>0</v>
      </c>
      <c r="J5597" s="47" t="b">
        <v>0</v>
      </c>
      <c r="K5597" s="47">
        <v>312</v>
      </c>
      <c r="L5597" s="48">
        <v>7</v>
      </c>
      <c r="M5597" s="47">
        <v>0</v>
      </c>
      <c r="N5597" s="47">
        <v>0</v>
      </c>
      <c r="O5597" s="47">
        <v>0</v>
      </c>
      <c r="P5597" s="47">
        <v>0</v>
      </c>
      <c r="Q5597" s="47">
        <v>0</v>
      </c>
      <c r="R5597" s="47">
        <v>0</v>
      </c>
      <c r="S5597" s="48">
        <v>1</v>
      </c>
      <c r="T5597" s="47">
        <v>1</v>
      </c>
      <c r="U5597" s="47">
        <v>0</v>
      </c>
      <c r="V5597" s="47">
        <v>0</v>
      </c>
      <c r="W5597" s="47"/>
      <c r="X5597" s="47">
        <v>857</v>
      </c>
      <c r="Y5597" s="47"/>
      <c r="Z5597" s="47" t="s">
        <v>2524</v>
      </c>
      <c r="AA5597" s="49"/>
      <c r="AB5597" s="49"/>
      <c r="AC5597" s="49"/>
      <c r="AD5597" s="50"/>
      <c r="AE5597" s="47" t="s">
        <v>6445</v>
      </c>
      <c r="AF5597" s="47"/>
      <c r="AG5597"/>
      <c r="AH5597"/>
      <c r="AI5597"/>
      <c r="AJ5597"/>
      <c r="AK5597"/>
      <c r="AL5597"/>
      <c r="AM5597"/>
      <c r="AN5597"/>
      <c r="AO5597"/>
      <c r="AP5597"/>
      <c r="AQ5597" t="s">
        <v>2526</v>
      </c>
      <c r="AU5597">
        <v>5596</v>
      </c>
    </row>
    <row r="5598" spans="1:47" x14ac:dyDescent="0.2">
      <c r="A5598" s="133">
        <v>6805</v>
      </c>
      <c r="B5598" s="39" t="s">
        <v>45</v>
      </c>
      <c r="C5598" s="39">
        <v>216</v>
      </c>
      <c r="D5598" s="29" t="b">
        <v>0</v>
      </c>
      <c r="E5598" s="39" t="s">
        <v>6586</v>
      </c>
      <c r="F5598" s="47" t="s">
        <v>6587</v>
      </c>
      <c r="G5598" s="47" t="s">
        <v>205</v>
      </c>
      <c r="H5598"/>
      <c r="I5598" s="47" t="b">
        <v>1</v>
      </c>
      <c r="J5598" s="47" t="b">
        <v>1</v>
      </c>
      <c r="K5598" s="47">
        <v>6832</v>
      </c>
      <c r="L5598" s="48">
        <v>5</v>
      </c>
      <c r="M5598" s="47">
        <v>0</v>
      </c>
      <c r="N5598" s="47">
        <v>0</v>
      </c>
      <c r="O5598" s="47">
        <v>0</v>
      </c>
      <c r="P5598" s="47">
        <v>3</v>
      </c>
      <c r="Q5598" s="47">
        <v>0</v>
      </c>
      <c r="R5598" s="47">
        <v>0</v>
      </c>
      <c r="S5598" s="48">
        <v>5</v>
      </c>
      <c r="T5598" s="47">
        <v>0</v>
      </c>
      <c r="U5598" s="47">
        <v>0</v>
      </c>
      <c r="V5598" s="47">
        <v>0</v>
      </c>
      <c r="W5598" s="47">
        <v>6250</v>
      </c>
      <c r="X5598" s="47">
        <v>858</v>
      </c>
      <c r="Y5598" s="47"/>
      <c r="Z5598" s="47" t="s">
        <v>2466</v>
      </c>
      <c r="AA5598" s="49"/>
      <c r="AB5598" s="49"/>
      <c r="AC5598" s="49"/>
      <c r="AD5598" s="50"/>
      <c r="AE5598" s="47" t="s">
        <v>1312</v>
      </c>
      <c r="AF5598" s="47">
        <v>160</v>
      </c>
      <c r="AG5598"/>
      <c r="AH5598"/>
      <c r="AI5598"/>
      <c r="AJ5598"/>
      <c r="AK5598"/>
      <c r="AL5598"/>
      <c r="AM5598"/>
      <c r="AN5598"/>
      <c r="AO5598"/>
      <c r="AP5598"/>
      <c r="AQ5598" t="s">
        <v>2526</v>
      </c>
      <c r="AU5598">
        <v>5597</v>
      </c>
    </row>
    <row r="5599" spans="1:47" x14ac:dyDescent="0.2">
      <c r="A5599" s="133">
        <v>6805</v>
      </c>
      <c r="B5599" s="39" t="s">
        <v>45</v>
      </c>
      <c r="C5599" s="39">
        <v>216</v>
      </c>
      <c r="D5599" s="29" t="b">
        <v>0</v>
      </c>
      <c r="E5599" s="39" t="s">
        <v>858</v>
      </c>
      <c r="F5599" s="47" t="s">
        <v>76</v>
      </c>
      <c r="G5599" s="47" t="s">
        <v>49</v>
      </c>
      <c r="H5599"/>
      <c r="I5599" s="47" t="b">
        <v>0</v>
      </c>
      <c r="J5599" s="47" t="b">
        <v>0</v>
      </c>
      <c r="K5599" s="47">
        <v>1344</v>
      </c>
      <c r="L5599" s="48">
        <v>1</v>
      </c>
      <c r="M5599" s="47">
        <v>0</v>
      </c>
      <c r="N5599" s="47">
        <v>0</v>
      </c>
      <c r="O5599" s="47">
        <v>0</v>
      </c>
      <c r="P5599" s="47">
        <v>1</v>
      </c>
      <c r="Q5599" s="47">
        <v>0</v>
      </c>
      <c r="R5599" s="47">
        <v>0</v>
      </c>
      <c r="S5599" s="48">
        <v>1</v>
      </c>
      <c r="T5599" s="47">
        <v>0</v>
      </c>
      <c r="U5599" s="47">
        <v>0</v>
      </c>
      <c r="V5599" s="47">
        <v>0</v>
      </c>
      <c r="W5599" s="47"/>
      <c r="X5599" s="47">
        <v>859</v>
      </c>
      <c r="Y5599" s="47"/>
      <c r="Z5599" s="47" t="s">
        <v>2466</v>
      </c>
      <c r="AA5599" s="49"/>
      <c r="AB5599" s="49"/>
      <c r="AC5599" s="49"/>
      <c r="AD5599" s="50"/>
      <c r="AE5599" s="47" t="s">
        <v>1312</v>
      </c>
      <c r="AF5599" s="47">
        <v>105</v>
      </c>
      <c r="AG5599"/>
      <c r="AH5599"/>
      <c r="AI5599"/>
      <c r="AJ5599"/>
      <c r="AK5599"/>
      <c r="AL5599"/>
      <c r="AM5599"/>
      <c r="AN5599"/>
      <c r="AO5599"/>
      <c r="AP5599"/>
      <c r="AQ5599" t="s">
        <v>2526</v>
      </c>
      <c r="AU5599">
        <v>5598</v>
      </c>
    </row>
    <row r="5600" spans="1:47" x14ac:dyDescent="0.2">
      <c r="A5600" s="133">
        <v>6805</v>
      </c>
      <c r="B5600" s="39" t="s">
        <v>45</v>
      </c>
      <c r="C5600" s="39">
        <v>216</v>
      </c>
      <c r="D5600" s="29" t="b">
        <v>0</v>
      </c>
      <c r="E5600" s="39" t="s">
        <v>858</v>
      </c>
      <c r="F5600" s="47" t="s">
        <v>3665</v>
      </c>
      <c r="G5600" s="47" t="s">
        <v>481</v>
      </c>
      <c r="H5600"/>
      <c r="I5600" s="47" t="b">
        <v>0</v>
      </c>
      <c r="J5600" s="47" t="b">
        <v>0</v>
      </c>
      <c r="K5600" s="47">
        <v>1344</v>
      </c>
      <c r="L5600" s="48">
        <v>1</v>
      </c>
      <c r="M5600" s="47">
        <v>0</v>
      </c>
      <c r="N5600" s="47">
        <v>0</v>
      </c>
      <c r="O5600" s="47">
        <v>0</v>
      </c>
      <c r="P5600" s="47">
        <v>1</v>
      </c>
      <c r="Q5600" s="47">
        <v>0</v>
      </c>
      <c r="R5600" s="47">
        <v>0</v>
      </c>
      <c r="S5600" s="48">
        <v>1</v>
      </c>
      <c r="T5600" s="47">
        <v>0</v>
      </c>
      <c r="U5600" s="47">
        <v>0</v>
      </c>
      <c r="V5600" s="47">
        <v>0</v>
      </c>
      <c r="W5600" s="47">
        <v>7000</v>
      </c>
      <c r="X5600" s="47">
        <v>860</v>
      </c>
      <c r="Y5600" s="47"/>
      <c r="Z5600" s="47" t="s">
        <v>2466</v>
      </c>
      <c r="AA5600" s="49"/>
      <c r="AB5600" s="49"/>
      <c r="AC5600" s="49"/>
      <c r="AD5600" s="50"/>
      <c r="AE5600" s="47" t="s">
        <v>1312</v>
      </c>
      <c r="AF5600" s="47">
        <v>105</v>
      </c>
      <c r="AG5600"/>
      <c r="AH5600"/>
      <c r="AI5600"/>
      <c r="AJ5600"/>
      <c r="AK5600"/>
      <c r="AL5600"/>
      <c r="AM5600"/>
      <c r="AN5600"/>
      <c r="AO5600"/>
      <c r="AP5600"/>
      <c r="AQ5600" t="s">
        <v>2526</v>
      </c>
      <c r="AU5600">
        <v>5599</v>
      </c>
    </row>
    <row r="5601" spans="1:47" x14ac:dyDescent="0.2">
      <c r="A5601" s="133">
        <v>6805</v>
      </c>
      <c r="B5601" s="39" t="s">
        <v>45</v>
      </c>
      <c r="C5601" s="39">
        <v>216</v>
      </c>
      <c r="D5601" s="29" t="b">
        <v>0</v>
      </c>
      <c r="E5601" s="39" t="s">
        <v>5707</v>
      </c>
      <c r="F5601" s="47" t="s">
        <v>529</v>
      </c>
      <c r="G5601" s="47" t="s">
        <v>205</v>
      </c>
      <c r="H5601"/>
      <c r="I5601" s="47" t="b">
        <v>0</v>
      </c>
      <c r="J5601" s="47" t="b">
        <v>0</v>
      </c>
      <c r="K5601" s="47">
        <v>2688</v>
      </c>
      <c r="L5601" s="48">
        <v>2</v>
      </c>
      <c r="M5601" s="47">
        <v>0</v>
      </c>
      <c r="N5601" s="47">
        <v>0</v>
      </c>
      <c r="O5601" s="47">
        <v>0</v>
      </c>
      <c r="P5601" s="47">
        <v>0</v>
      </c>
      <c r="Q5601" s="47">
        <v>0</v>
      </c>
      <c r="R5601" s="47">
        <v>0</v>
      </c>
      <c r="S5601" s="48">
        <v>2</v>
      </c>
      <c r="T5601" s="47">
        <v>0</v>
      </c>
      <c r="U5601" s="47">
        <v>0</v>
      </c>
      <c r="V5601" s="47">
        <v>0</v>
      </c>
      <c r="W5601" s="47">
        <v>6000</v>
      </c>
      <c r="X5601" s="47">
        <v>861</v>
      </c>
      <c r="Y5601" s="47"/>
      <c r="Z5601" s="47" t="s">
        <v>2466</v>
      </c>
      <c r="AA5601" s="49"/>
      <c r="AB5601" s="49"/>
      <c r="AC5601" s="49"/>
      <c r="AD5601" s="50"/>
      <c r="AE5601" s="47" t="s">
        <v>1312</v>
      </c>
      <c r="AF5601" s="47">
        <v>75</v>
      </c>
      <c r="AG5601"/>
      <c r="AH5601"/>
      <c r="AI5601"/>
      <c r="AJ5601"/>
      <c r="AK5601"/>
      <c r="AL5601"/>
      <c r="AM5601"/>
      <c r="AN5601"/>
      <c r="AO5601"/>
      <c r="AP5601"/>
      <c r="AQ5601" t="s">
        <v>2526</v>
      </c>
      <c r="AU5601">
        <v>5600</v>
      </c>
    </row>
    <row r="5602" spans="1:47" x14ac:dyDescent="0.2">
      <c r="A5602" s="133">
        <v>6805</v>
      </c>
      <c r="B5602" s="39" t="s">
        <v>45</v>
      </c>
      <c r="C5602" s="39">
        <v>216</v>
      </c>
      <c r="D5602" s="29" t="b">
        <v>0</v>
      </c>
      <c r="E5602" s="121" t="s">
        <v>3575</v>
      </c>
      <c r="F5602" s="47" t="s">
        <v>529</v>
      </c>
      <c r="G5602" s="47" t="s">
        <v>205</v>
      </c>
      <c r="H5602"/>
      <c r="I5602" s="47" t="b">
        <v>0</v>
      </c>
      <c r="J5602" s="47" t="b">
        <v>0</v>
      </c>
      <c r="K5602" s="47">
        <v>1456</v>
      </c>
      <c r="L5602" s="48">
        <v>1</v>
      </c>
      <c r="M5602" s="47">
        <v>0</v>
      </c>
      <c r="N5602" s="47">
        <v>0</v>
      </c>
      <c r="O5602" s="47">
        <v>0</v>
      </c>
      <c r="P5602" s="47">
        <v>1</v>
      </c>
      <c r="Q5602" s="47">
        <v>0</v>
      </c>
      <c r="R5602" s="47">
        <v>0</v>
      </c>
      <c r="S5602" s="48">
        <v>1</v>
      </c>
      <c r="T5602" s="47">
        <v>0</v>
      </c>
      <c r="U5602" s="47">
        <v>0</v>
      </c>
      <c r="V5602" s="47">
        <v>0</v>
      </c>
      <c r="W5602" s="47">
        <v>6000</v>
      </c>
      <c r="X5602" s="47">
        <v>862</v>
      </c>
      <c r="Y5602" s="47"/>
      <c r="Z5602" s="47" t="s">
        <v>2466</v>
      </c>
      <c r="AA5602" s="49"/>
      <c r="AB5602" s="49"/>
      <c r="AC5602" s="49"/>
      <c r="AD5602" s="50"/>
      <c r="AE5602" s="47" t="s">
        <v>1312</v>
      </c>
      <c r="AF5602" s="31">
        <v>160</v>
      </c>
      <c r="AG5602"/>
      <c r="AH5602"/>
      <c r="AI5602"/>
      <c r="AJ5602"/>
      <c r="AK5602"/>
      <c r="AL5602"/>
      <c r="AM5602"/>
      <c r="AN5602"/>
      <c r="AO5602"/>
      <c r="AP5602"/>
      <c r="AQ5602" t="s">
        <v>2526</v>
      </c>
      <c r="AU5602">
        <v>5601</v>
      </c>
    </row>
    <row r="5603" spans="1:47" x14ac:dyDescent="0.2">
      <c r="A5603" s="13">
        <v>6805</v>
      </c>
      <c r="B5603" s="57" t="s">
        <v>45</v>
      </c>
      <c r="C5603" s="57" t="s">
        <v>142</v>
      </c>
      <c r="D5603" s="29"/>
      <c r="E5603" s="57" t="s">
        <v>6588</v>
      </c>
      <c r="F5603" s="47" t="s">
        <v>6463</v>
      </c>
      <c r="G5603" s="47" t="s">
        <v>49</v>
      </c>
      <c r="H5603"/>
      <c r="I5603" s="47" t="b">
        <v>1</v>
      </c>
      <c r="J5603" s="47" t="b">
        <v>1</v>
      </c>
      <c r="K5603" s="47">
        <f>1840*2.2</f>
        <v>4048.0000000000005</v>
      </c>
      <c r="L5603" s="48">
        <v>8</v>
      </c>
      <c r="M5603" s="47"/>
      <c r="N5603" s="47">
        <v>1</v>
      </c>
      <c r="O5603" s="47"/>
      <c r="P5603" s="47"/>
      <c r="Q5603" s="47"/>
      <c r="R5603" s="47"/>
      <c r="S5603" s="48">
        <v>7</v>
      </c>
      <c r="T5603" s="47">
        <v>0</v>
      </c>
      <c r="U5603" s="47">
        <v>0</v>
      </c>
      <c r="V5603" s="47">
        <v>0</v>
      </c>
      <c r="W5603" s="47"/>
      <c r="X5603" s="47"/>
      <c r="Y5603" s="47" t="s">
        <v>51</v>
      </c>
      <c r="Z5603" s="31" t="s">
        <v>3855</v>
      </c>
      <c r="AA5603" s="49"/>
      <c r="AB5603" s="49"/>
      <c r="AC5603" s="49"/>
      <c r="AD5603" s="50"/>
      <c r="AE5603" s="47"/>
      <c r="AF5603" s="47"/>
      <c r="AG5603"/>
      <c r="AH5603"/>
      <c r="AI5603"/>
      <c r="AJ5603"/>
      <c r="AK5603">
        <f>10+30+3+2+1+8+4</f>
        <v>58</v>
      </c>
      <c r="AL5603"/>
      <c r="AM5603"/>
      <c r="AN5603"/>
      <c r="AO5603"/>
      <c r="AP5603"/>
      <c r="AQ5603" t="s">
        <v>6589</v>
      </c>
      <c r="AR5603" s="32" t="s">
        <v>6590</v>
      </c>
      <c r="AU5603">
        <v>5602</v>
      </c>
    </row>
    <row r="5604" spans="1:47" x14ac:dyDescent="0.2">
      <c r="A5604" s="13">
        <v>6805</v>
      </c>
      <c r="B5604" s="57" t="s">
        <v>45</v>
      </c>
      <c r="C5604" s="57" t="s">
        <v>142</v>
      </c>
      <c r="D5604" s="29"/>
      <c r="E5604" s="57" t="s">
        <v>5390</v>
      </c>
      <c r="F5604" s="31" t="s">
        <v>6354</v>
      </c>
      <c r="G5604" s="31" t="s">
        <v>69</v>
      </c>
      <c r="I5604" s="47" t="b">
        <v>0</v>
      </c>
      <c r="J5604" s="47" t="b">
        <v>0</v>
      </c>
      <c r="K5604" s="31">
        <v>1991</v>
      </c>
      <c r="S5604" s="33">
        <v>3</v>
      </c>
      <c r="AK5604" s="32">
        <v>23</v>
      </c>
      <c r="AQ5604" s="32" t="s">
        <v>6522</v>
      </c>
      <c r="AU5604">
        <v>5603</v>
      </c>
    </row>
    <row r="5605" spans="1:47" x14ac:dyDescent="0.2">
      <c r="A5605" s="13">
        <v>6805</v>
      </c>
      <c r="B5605" s="57" t="s">
        <v>45</v>
      </c>
      <c r="C5605" s="57" t="s">
        <v>142</v>
      </c>
      <c r="D5605" s="29"/>
      <c r="E5605" s="57" t="s">
        <v>3876</v>
      </c>
      <c r="F5605" s="31" t="s">
        <v>76</v>
      </c>
      <c r="G5605" s="31" t="s">
        <v>49</v>
      </c>
      <c r="I5605" s="47" t="b">
        <v>0</v>
      </c>
      <c r="J5605" s="47" t="b">
        <v>0</v>
      </c>
      <c r="K5605" s="31">
        <v>649</v>
      </c>
      <c r="S5605" s="33">
        <v>1</v>
      </c>
      <c r="AK5605" s="32">
        <v>9</v>
      </c>
      <c r="AQ5605" s="32" t="s">
        <v>6522</v>
      </c>
      <c r="AU5605">
        <v>5604</v>
      </c>
    </row>
    <row r="5606" spans="1:47" x14ac:dyDescent="0.2">
      <c r="A5606" s="13">
        <v>6805</v>
      </c>
      <c r="B5606" s="57" t="s">
        <v>45</v>
      </c>
      <c r="C5606" s="57" t="s">
        <v>142</v>
      </c>
      <c r="D5606" s="29"/>
      <c r="E5606" s="57" t="s">
        <v>3936</v>
      </c>
      <c r="F5606" s="31" t="s">
        <v>76</v>
      </c>
      <c r="G5606" s="31" t="s">
        <v>49</v>
      </c>
      <c r="I5606" s="47" t="b">
        <v>0</v>
      </c>
      <c r="J5606" s="47" t="b">
        <v>0</v>
      </c>
      <c r="K5606" s="31">
        <v>1188</v>
      </c>
      <c r="S5606" s="33">
        <v>2</v>
      </c>
      <c r="AK5606" s="32">
        <v>24</v>
      </c>
      <c r="AQ5606" s="32" t="s">
        <v>6522</v>
      </c>
      <c r="AU5606">
        <v>5605</v>
      </c>
    </row>
    <row r="5607" spans="1:47" x14ac:dyDescent="0.2">
      <c r="A5607" s="13">
        <v>6805</v>
      </c>
      <c r="B5607" s="57" t="s">
        <v>45</v>
      </c>
      <c r="C5607" s="57" t="s">
        <v>142</v>
      </c>
      <c r="D5607" s="29"/>
      <c r="E5607" s="57" t="s">
        <v>1064</v>
      </c>
      <c r="F5607" s="31" t="s">
        <v>76</v>
      </c>
      <c r="G5607" s="31" t="s">
        <v>49</v>
      </c>
      <c r="I5607" s="47" t="b">
        <v>0</v>
      </c>
      <c r="J5607" s="47" t="b">
        <v>0</v>
      </c>
      <c r="K5607" s="31">
        <v>220</v>
      </c>
      <c r="S5607" s="33">
        <v>2</v>
      </c>
      <c r="AK5607" s="32">
        <v>2</v>
      </c>
      <c r="AQ5607" s="32" t="s">
        <v>6522</v>
      </c>
      <c r="AU5607">
        <v>5606</v>
      </c>
    </row>
    <row r="5608" spans="1:47" x14ac:dyDescent="0.2">
      <c r="A5608" s="13">
        <v>6805</v>
      </c>
      <c r="B5608" s="57" t="s">
        <v>45</v>
      </c>
      <c r="C5608" s="57" t="s">
        <v>4843</v>
      </c>
      <c r="D5608" s="29"/>
      <c r="E5608" s="57" t="s">
        <v>5390</v>
      </c>
      <c r="F5608" s="31" t="s">
        <v>6354</v>
      </c>
      <c r="G5608" s="31" t="s">
        <v>69</v>
      </c>
      <c r="K5608" s="31">
        <v>572</v>
      </c>
      <c r="S5608" s="33">
        <v>1</v>
      </c>
      <c r="Z5608" s="31" t="s">
        <v>3814</v>
      </c>
      <c r="AE5608" s="31" t="s">
        <v>4411</v>
      </c>
      <c r="AF5608" s="31">
        <v>70</v>
      </c>
      <c r="AK5608" s="32">
        <v>7</v>
      </c>
      <c r="AQ5608" s="32" t="s">
        <v>6522</v>
      </c>
      <c r="AU5608">
        <v>5607</v>
      </c>
    </row>
    <row r="5609" spans="1:47" x14ac:dyDescent="0.2">
      <c r="A5609" s="13">
        <v>6805</v>
      </c>
      <c r="B5609" s="57" t="s">
        <v>45</v>
      </c>
      <c r="C5609" s="57" t="s">
        <v>4843</v>
      </c>
      <c r="D5609" s="29"/>
      <c r="E5609" s="57" t="s">
        <v>6527</v>
      </c>
      <c r="F5609" s="31" t="s">
        <v>76</v>
      </c>
      <c r="G5609" s="31" t="s">
        <v>49</v>
      </c>
      <c r="K5609" s="31">
        <v>616</v>
      </c>
      <c r="S5609" s="33">
        <v>1</v>
      </c>
      <c r="Z5609" s="31" t="s">
        <v>3814</v>
      </c>
      <c r="AE5609" s="31" t="s">
        <v>4411</v>
      </c>
      <c r="AF5609" s="31">
        <v>100</v>
      </c>
      <c r="AK5609" s="32">
        <v>7</v>
      </c>
      <c r="AQ5609" s="32" t="s">
        <v>6522</v>
      </c>
      <c r="AU5609">
        <v>5608</v>
      </c>
    </row>
    <row r="5610" spans="1:47" x14ac:dyDescent="0.2">
      <c r="A5610" s="13">
        <v>6805</v>
      </c>
      <c r="B5610" s="57" t="s">
        <v>45</v>
      </c>
      <c r="C5610" s="57" t="s">
        <v>4843</v>
      </c>
      <c r="D5610" s="29"/>
      <c r="E5610" s="57" t="s">
        <v>1078</v>
      </c>
      <c r="F5610" s="31" t="s">
        <v>6354</v>
      </c>
      <c r="G5610" s="31" t="s">
        <v>69</v>
      </c>
      <c r="K5610" s="31">
        <v>1331</v>
      </c>
      <c r="S5610" s="33">
        <v>2</v>
      </c>
      <c r="Z5610" s="31" t="s">
        <v>3814</v>
      </c>
      <c r="AE5610" s="31" t="s">
        <v>4411</v>
      </c>
      <c r="AF5610" s="31">
        <v>70</v>
      </c>
      <c r="AK5610" s="32">
        <v>16</v>
      </c>
      <c r="AQ5610" s="32" t="s">
        <v>6522</v>
      </c>
      <c r="AU5610">
        <v>5609</v>
      </c>
    </row>
    <row r="5611" spans="1:47" x14ac:dyDescent="0.2">
      <c r="A5611" s="13">
        <v>6805</v>
      </c>
      <c r="B5611" s="57" t="s">
        <v>45</v>
      </c>
      <c r="C5611" s="57" t="s">
        <v>4843</v>
      </c>
      <c r="D5611" s="29"/>
      <c r="E5611" s="57" t="s">
        <v>1064</v>
      </c>
      <c r="F5611" s="31" t="s">
        <v>76</v>
      </c>
      <c r="G5611" s="31" t="s">
        <v>49</v>
      </c>
      <c r="K5611" s="31">
        <v>1914</v>
      </c>
      <c r="S5611" s="33">
        <v>3</v>
      </c>
      <c r="Z5611" s="31" t="s">
        <v>3814</v>
      </c>
      <c r="AE5611" s="31" t="s">
        <v>4411</v>
      </c>
      <c r="AF5611" s="31">
        <v>55</v>
      </c>
      <c r="AK5611" s="32">
        <v>21</v>
      </c>
      <c r="AQ5611" s="32" t="s">
        <v>6522</v>
      </c>
      <c r="AU5611">
        <v>5610</v>
      </c>
    </row>
    <row r="5612" spans="1:47" x14ac:dyDescent="0.2">
      <c r="A5612" s="13">
        <v>6805</v>
      </c>
      <c r="B5612" s="57" t="s">
        <v>45</v>
      </c>
      <c r="C5612" s="57" t="s">
        <v>4843</v>
      </c>
      <c r="D5612" s="29"/>
      <c r="E5612" s="57" t="s">
        <v>3876</v>
      </c>
      <c r="F5612" s="31" t="s">
        <v>76</v>
      </c>
      <c r="G5612" s="31" t="s">
        <v>49</v>
      </c>
      <c r="K5612" s="31">
        <v>3762</v>
      </c>
      <c r="S5612" s="33">
        <v>7</v>
      </c>
      <c r="Z5612" s="31" t="s">
        <v>3814</v>
      </c>
      <c r="AE5612" s="31" t="s">
        <v>4411</v>
      </c>
      <c r="AF5612" s="31">
        <v>70</v>
      </c>
      <c r="AK5612" s="32">
        <v>52</v>
      </c>
      <c r="AQ5612" s="32" t="s">
        <v>6522</v>
      </c>
      <c r="AU5612">
        <v>5611</v>
      </c>
    </row>
    <row r="5613" spans="1:47" x14ac:dyDescent="0.2">
      <c r="A5613" s="13">
        <v>6805</v>
      </c>
      <c r="B5613" s="57" t="s">
        <v>45</v>
      </c>
      <c r="C5613" s="57" t="s">
        <v>4843</v>
      </c>
      <c r="D5613" s="29"/>
      <c r="E5613" s="57" t="s">
        <v>3936</v>
      </c>
      <c r="F5613" s="31" t="s">
        <v>76</v>
      </c>
      <c r="G5613" s="31" t="s">
        <v>49</v>
      </c>
      <c r="K5613" s="31">
        <v>4070</v>
      </c>
      <c r="S5613" s="33">
        <v>8</v>
      </c>
      <c r="Z5613" s="31" t="s">
        <v>3814</v>
      </c>
      <c r="AE5613" s="31" t="s">
        <v>4411</v>
      </c>
      <c r="AF5613" s="31">
        <v>60</v>
      </c>
      <c r="AK5613" s="32">
        <v>39</v>
      </c>
      <c r="AQ5613" s="32" t="s">
        <v>6522</v>
      </c>
      <c r="AU5613">
        <v>5612</v>
      </c>
    </row>
    <row r="5614" spans="1:47" x14ac:dyDescent="0.2">
      <c r="A5614" s="26">
        <v>6805</v>
      </c>
      <c r="B5614" s="27">
        <v>6.25E-2</v>
      </c>
      <c r="C5614" s="28"/>
      <c r="D5614" s="29"/>
      <c r="E5614" s="30" t="s">
        <v>6591</v>
      </c>
      <c r="H5614" s="32">
        <v>1</v>
      </c>
      <c r="I5614" s="32"/>
      <c r="AG5614" s="32">
        <v>0</v>
      </c>
      <c r="AH5614" s="32">
        <v>0</v>
      </c>
      <c r="AI5614" s="32">
        <v>0</v>
      </c>
      <c r="AK5614" s="32">
        <v>13</v>
      </c>
      <c r="AQ5614" s="32">
        <v>448</v>
      </c>
      <c r="AU5614">
        <v>5613</v>
      </c>
    </row>
    <row r="5615" spans="1:47" x14ac:dyDescent="0.2">
      <c r="A5615" s="26">
        <v>6805</v>
      </c>
      <c r="B5615" s="27">
        <v>0.46875</v>
      </c>
      <c r="C5615" s="28"/>
      <c r="D5615" s="29"/>
      <c r="E5615" s="30" t="s">
        <v>3737</v>
      </c>
      <c r="H5615" s="32">
        <v>0</v>
      </c>
      <c r="I5615" s="32" t="s">
        <v>4926</v>
      </c>
      <c r="AG5615" s="32">
        <v>0</v>
      </c>
      <c r="AH5615" s="32">
        <v>0</v>
      </c>
      <c r="AI5615" s="32">
        <v>0</v>
      </c>
      <c r="AK5615" s="32">
        <v>0</v>
      </c>
      <c r="AM5615" s="74"/>
      <c r="AQ5615" s="32" t="s">
        <v>1101</v>
      </c>
      <c r="AU5615">
        <v>5614</v>
      </c>
    </row>
    <row r="5616" spans="1:47" x14ac:dyDescent="0.2">
      <c r="A5616" s="26">
        <v>6805</v>
      </c>
      <c r="B5616" s="27"/>
      <c r="C5616" s="28"/>
      <c r="D5616" s="29"/>
      <c r="E5616" s="30" t="s">
        <v>4666</v>
      </c>
      <c r="H5616" s="32">
        <v>1</v>
      </c>
      <c r="I5616" s="32" t="s">
        <v>6234</v>
      </c>
      <c r="AG5616" s="32">
        <v>0</v>
      </c>
      <c r="AH5616" s="32">
        <v>0</v>
      </c>
      <c r="AI5616" s="32">
        <v>0</v>
      </c>
      <c r="AL5616" s="32">
        <v>2</v>
      </c>
      <c r="AO5616" s="32" t="s">
        <v>4668</v>
      </c>
      <c r="AP5616" s="32">
        <v>2</v>
      </c>
      <c r="AQ5616" s="32">
        <v>410</v>
      </c>
      <c r="AU5616">
        <v>5615</v>
      </c>
    </row>
    <row r="5617" spans="1:47" x14ac:dyDescent="0.2">
      <c r="A5617" s="133">
        <v>6806</v>
      </c>
      <c r="B5617" s="39" t="s">
        <v>45</v>
      </c>
      <c r="C5617" s="39">
        <v>97</v>
      </c>
      <c r="D5617" s="29" t="b">
        <v>0</v>
      </c>
      <c r="E5617" s="39" t="s">
        <v>1168</v>
      </c>
      <c r="F5617" s="47" t="s">
        <v>5439</v>
      </c>
      <c r="G5617" s="47" t="s">
        <v>49</v>
      </c>
      <c r="H5617"/>
      <c r="I5617" s="47" t="b">
        <v>0</v>
      </c>
      <c r="J5617" s="47" t="b">
        <v>1</v>
      </c>
      <c r="K5617" s="47">
        <v>4256</v>
      </c>
      <c r="L5617" s="48">
        <v>5</v>
      </c>
      <c r="M5617" s="47">
        <v>2</v>
      </c>
      <c r="N5617" s="47">
        <v>0</v>
      </c>
      <c r="O5617" s="47">
        <v>0</v>
      </c>
      <c r="P5617" s="47">
        <v>0</v>
      </c>
      <c r="Q5617" s="47">
        <v>0</v>
      </c>
      <c r="R5617" s="47">
        <v>0</v>
      </c>
      <c r="S5617" s="48">
        <v>3</v>
      </c>
      <c r="T5617" s="47">
        <v>0</v>
      </c>
      <c r="U5617" s="47">
        <v>0</v>
      </c>
      <c r="V5617" s="47">
        <v>0</v>
      </c>
      <c r="W5617" s="47">
        <v>7500</v>
      </c>
      <c r="X5617" s="47">
        <v>863</v>
      </c>
      <c r="Y5617" s="47"/>
      <c r="Z5617" s="47" t="s">
        <v>2466</v>
      </c>
      <c r="AA5617" s="49"/>
      <c r="AB5617" s="49"/>
      <c r="AC5617" s="49"/>
      <c r="AD5617" s="50"/>
      <c r="AE5617" s="47"/>
      <c r="AF5617" s="47"/>
      <c r="AG5617"/>
      <c r="AH5617"/>
      <c r="AI5617"/>
      <c r="AJ5617"/>
      <c r="AK5617"/>
      <c r="AL5617"/>
      <c r="AM5617"/>
      <c r="AN5617"/>
      <c r="AO5617"/>
      <c r="AP5617"/>
      <c r="AQ5617" t="s">
        <v>2526</v>
      </c>
      <c r="AU5617">
        <v>5616</v>
      </c>
    </row>
    <row r="5618" spans="1:47" x14ac:dyDescent="0.2">
      <c r="A5618" s="133">
        <v>6806</v>
      </c>
      <c r="B5618" s="39" t="s">
        <v>45</v>
      </c>
      <c r="C5618" s="39">
        <v>100</v>
      </c>
      <c r="D5618" s="29" t="b">
        <v>0</v>
      </c>
      <c r="E5618" s="39" t="s">
        <v>6592</v>
      </c>
      <c r="F5618" s="47" t="s">
        <v>3021</v>
      </c>
      <c r="G5618" s="47" t="s">
        <v>205</v>
      </c>
      <c r="H5618"/>
      <c r="I5618" s="47" t="b">
        <v>1</v>
      </c>
      <c r="J5618" s="47" t="b">
        <v>1</v>
      </c>
      <c r="K5618" s="47">
        <v>2472</v>
      </c>
      <c r="L5618" s="48">
        <v>11</v>
      </c>
      <c r="M5618" s="47">
        <v>2</v>
      </c>
      <c r="N5618" s="47">
        <v>4</v>
      </c>
      <c r="O5618" s="47">
        <v>0</v>
      </c>
      <c r="P5618" s="47">
        <v>0</v>
      </c>
      <c r="Q5618" s="47">
        <v>0</v>
      </c>
      <c r="R5618" s="47">
        <v>0</v>
      </c>
      <c r="S5618" s="48">
        <v>9</v>
      </c>
      <c r="T5618" s="47">
        <v>0</v>
      </c>
      <c r="U5618" s="47">
        <v>0</v>
      </c>
      <c r="V5618" s="47">
        <v>0</v>
      </c>
      <c r="W5618" s="47">
        <v>2100</v>
      </c>
      <c r="X5618" s="47">
        <v>864</v>
      </c>
      <c r="Y5618" s="47"/>
      <c r="Z5618" s="47" t="s">
        <v>2524</v>
      </c>
      <c r="AA5618" s="49"/>
      <c r="AB5618" s="49"/>
      <c r="AC5618" s="49"/>
      <c r="AD5618" s="50"/>
      <c r="AE5618" s="47" t="s">
        <v>6445</v>
      </c>
      <c r="AF5618" s="47"/>
      <c r="AG5618"/>
      <c r="AH5618"/>
      <c r="AI5618"/>
      <c r="AJ5618"/>
      <c r="AK5618"/>
      <c r="AL5618"/>
      <c r="AM5618"/>
      <c r="AN5618"/>
      <c r="AO5618"/>
      <c r="AP5618"/>
      <c r="AQ5618" t="s">
        <v>2526</v>
      </c>
      <c r="AU5618">
        <v>5617</v>
      </c>
    </row>
    <row r="5619" spans="1:47" x14ac:dyDescent="0.2">
      <c r="A5619" s="133">
        <v>6806</v>
      </c>
      <c r="B5619" s="39" t="s">
        <v>45</v>
      </c>
      <c r="C5619" s="39">
        <v>100</v>
      </c>
      <c r="D5619" s="29" t="b">
        <v>0</v>
      </c>
      <c r="E5619" s="39" t="s">
        <v>5707</v>
      </c>
      <c r="F5619" s="47" t="s">
        <v>529</v>
      </c>
      <c r="G5619" s="47" t="s">
        <v>205</v>
      </c>
      <c r="H5619"/>
      <c r="I5619" s="47" t="b">
        <v>0</v>
      </c>
      <c r="J5619" s="47" t="b">
        <v>0</v>
      </c>
      <c r="K5619" s="47">
        <v>1536</v>
      </c>
      <c r="L5619" s="48">
        <v>11</v>
      </c>
      <c r="M5619" s="47">
        <v>2</v>
      </c>
      <c r="N5619" s="47">
        <v>4</v>
      </c>
      <c r="O5619" s="47">
        <v>0</v>
      </c>
      <c r="P5619" s="47">
        <v>0</v>
      </c>
      <c r="Q5619" s="47">
        <v>0</v>
      </c>
      <c r="R5619" s="47">
        <v>0</v>
      </c>
      <c r="S5619" s="48">
        <v>6</v>
      </c>
      <c r="T5619" s="47">
        <v>0</v>
      </c>
      <c r="U5619" s="47">
        <v>0</v>
      </c>
      <c r="V5619" s="47">
        <v>0</v>
      </c>
      <c r="W5619" s="47">
        <v>2100</v>
      </c>
      <c r="X5619" s="47">
        <v>865</v>
      </c>
      <c r="Y5619" s="47"/>
      <c r="Z5619" s="47" t="s">
        <v>2524</v>
      </c>
      <c r="AA5619" s="49"/>
      <c r="AB5619" s="49"/>
      <c r="AC5619" s="49"/>
      <c r="AD5619" s="50"/>
      <c r="AE5619" s="47" t="s">
        <v>6445</v>
      </c>
      <c r="AF5619" s="47">
        <v>85</v>
      </c>
      <c r="AG5619"/>
      <c r="AH5619"/>
      <c r="AI5619"/>
      <c r="AJ5619"/>
      <c r="AK5619"/>
      <c r="AL5619"/>
      <c r="AM5619"/>
      <c r="AN5619"/>
      <c r="AO5619"/>
      <c r="AP5619"/>
      <c r="AQ5619" t="s">
        <v>2526</v>
      </c>
      <c r="AU5619">
        <v>5618</v>
      </c>
    </row>
    <row r="5620" spans="1:47" x14ac:dyDescent="0.2">
      <c r="A5620" s="133">
        <v>6806</v>
      </c>
      <c r="B5620" s="39" t="s">
        <v>45</v>
      </c>
      <c r="C5620" s="39">
        <v>100</v>
      </c>
      <c r="D5620" s="29" t="b">
        <v>0</v>
      </c>
      <c r="E5620" s="39" t="s">
        <v>1551</v>
      </c>
      <c r="F5620" s="47" t="s">
        <v>529</v>
      </c>
      <c r="G5620" s="47" t="s">
        <v>205</v>
      </c>
      <c r="H5620"/>
      <c r="I5620" s="47" t="b">
        <v>0</v>
      </c>
      <c r="J5620" s="47" t="b">
        <v>0</v>
      </c>
      <c r="K5620" s="47">
        <v>50</v>
      </c>
      <c r="L5620" s="48">
        <v>11</v>
      </c>
      <c r="M5620" s="47">
        <v>2</v>
      </c>
      <c r="N5620" s="47">
        <v>4</v>
      </c>
      <c r="O5620" s="47">
        <v>0</v>
      </c>
      <c r="P5620" s="47">
        <v>0</v>
      </c>
      <c r="Q5620" s="47">
        <v>0</v>
      </c>
      <c r="R5620" s="47">
        <v>0</v>
      </c>
      <c r="S5620" s="48">
        <v>1</v>
      </c>
      <c r="T5620" s="47">
        <v>0</v>
      </c>
      <c r="U5620" s="47">
        <v>0</v>
      </c>
      <c r="V5620" s="47">
        <v>0</v>
      </c>
      <c r="W5620" s="47">
        <v>2100</v>
      </c>
      <c r="X5620" s="47">
        <v>866</v>
      </c>
      <c r="Y5620" s="47"/>
      <c r="Z5620" s="47" t="s">
        <v>2524</v>
      </c>
      <c r="AA5620" s="49"/>
      <c r="AB5620" s="49"/>
      <c r="AC5620" s="49"/>
      <c r="AD5620" s="50"/>
      <c r="AE5620" s="47" t="s">
        <v>6445</v>
      </c>
      <c r="AF5620" s="47">
        <v>55</v>
      </c>
      <c r="AG5620"/>
      <c r="AH5620"/>
      <c r="AI5620"/>
      <c r="AJ5620"/>
      <c r="AK5620"/>
      <c r="AL5620"/>
      <c r="AM5620"/>
      <c r="AN5620"/>
      <c r="AO5620"/>
      <c r="AP5620"/>
      <c r="AQ5620" t="s">
        <v>2526</v>
      </c>
      <c r="AU5620">
        <v>5619</v>
      </c>
    </row>
    <row r="5621" spans="1:47" x14ac:dyDescent="0.2">
      <c r="A5621" s="133">
        <v>6806</v>
      </c>
      <c r="B5621" s="39" t="s">
        <v>45</v>
      </c>
      <c r="C5621" s="39">
        <v>100</v>
      </c>
      <c r="D5621" s="29" t="b">
        <v>0</v>
      </c>
      <c r="E5621" s="39" t="s">
        <v>5718</v>
      </c>
      <c r="F5621" s="47" t="s">
        <v>2617</v>
      </c>
      <c r="G5621" s="47" t="s">
        <v>49</v>
      </c>
      <c r="H5621"/>
      <c r="I5621" s="47" t="b">
        <v>0</v>
      </c>
      <c r="J5621" s="47" t="b">
        <v>0</v>
      </c>
      <c r="K5621" s="47">
        <v>574</v>
      </c>
      <c r="L5621" s="48">
        <v>11</v>
      </c>
      <c r="M5621" s="47">
        <v>2</v>
      </c>
      <c r="N5621" s="47">
        <v>4</v>
      </c>
      <c r="O5621" s="47">
        <v>0</v>
      </c>
      <c r="P5621" s="47">
        <v>0</v>
      </c>
      <c r="Q5621" s="47">
        <v>0</v>
      </c>
      <c r="R5621" s="47">
        <v>0</v>
      </c>
      <c r="S5621" s="48">
        <v>2</v>
      </c>
      <c r="T5621" s="47">
        <v>0</v>
      </c>
      <c r="U5621" s="47">
        <v>0</v>
      </c>
      <c r="V5621" s="47">
        <v>0</v>
      </c>
      <c r="W5621" s="47">
        <v>3000</v>
      </c>
      <c r="X5621" s="47">
        <v>867</v>
      </c>
      <c r="Y5621" s="47"/>
      <c r="Z5621" s="47" t="s">
        <v>2524</v>
      </c>
      <c r="AA5621" s="49"/>
      <c r="AB5621" s="49"/>
      <c r="AC5621" s="49"/>
      <c r="AD5621" s="50"/>
      <c r="AE5621" s="47" t="s">
        <v>6445</v>
      </c>
      <c r="AF5621" s="47">
        <v>65</v>
      </c>
      <c r="AG5621"/>
      <c r="AH5621"/>
      <c r="AI5621"/>
      <c r="AJ5621"/>
      <c r="AK5621"/>
      <c r="AL5621"/>
      <c r="AM5621"/>
      <c r="AN5621"/>
      <c r="AO5621"/>
      <c r="AP5621"/>
      <c r="AQ5621" t="s">
        <v>2526</v>
      </c>
      <c r="AU5621">
        <v>5620</v>
      </c>
    </row>
    <row r="5622" spans="1:47" x14ac:dyDescent="0.2">
      <c r="A5622" s="133">
        <v>6806</v>
      </c>
      <c r="B5622" s="39" t="s">
        <v>45</v>
      </c>
      <c r="C5622" s="39">
        <v>100</v>
      </c>
      <c r="D5622" s="29" t="b">
        <v>0</v>
      </c>
      <c r="E5622" s="39" t="s">
        <v>6593</v>
      </c>
      <c r="F5622" s="47" t="s">
        <v>5176</v>
      </c>
      <c r="G5622" s="47" t="s">
        <v>49</v>
      </c>
      <c r="H5622"/>
      <c r="I5622" s="47" t="b">
        <v>0</v>
      </c>
      <c r="J5622" s="47" t="b">
        <v>0</v>
      </c>
      <c r="K5622" s="47">
        <v>312</v>
      </c>
      <c r="L5622" s="48">
        <v>11</v>
      </c>
      <c r="M5622" s="47">
        <v>2</v>
      </c>
      <c r="N5622" s="47">
        <v>4</v>
      </c>
      <c r="O5622" s="47">
        <v>0</v>
      </c>
      <c r="P5622" s="47">
        <v>0</v>
      </c>
      <c r="Q5622" s="47">
        <v>0</v>
      </c>
      <c r="R5622" s="47">
        <v>0</v>
      </c>
      <c r="S5622" s="48">
        <v>1</v>
      </c>
      <c r="T5622" s="47">
        <v>0</v>
      </c>
      <c r="U5622" s="47">
        <v>0</v>
      </c>
      <c r="V5622" s="47">
        <v>0</v>
      </c>
      <c r="W5622" s="47">
        <v>2100</v>
      </c>
      <c r="X5622" s="47">
        <v>868</v>
      </c>
      <c r="Y5622" s="47"/>
      <c r="Z5622" s="47" t="s">
        <v>2524</v>
      </c>
      <c r="AA5622" s="49"/>
      <c r="AB5622" s="49"/>
      <c r="AC5622" s="49"/>
      <c r="AD5622" s="50"/>
      <c r="AE5622" s="47" t="s">
        <v>6445</v>
      </c>
      <c r="AF5622" s="47">
        <v>30</v>
      </c>
      <c r="AG5622"/>
      <c r="AH5622"/>
      <c r="AI5622"/>
      <c r="AJ5622"/>
      <c r="AK5622"/>
      <c r="AL5622"/>
      <c r="AM5622"/>
      <c r="AN5622"/>
      <c r="AO5622"/>
      <c r="AP5622"/>
      <c r="AQ5622" t="s">
        <v>2526</v>
      </c>
      <c r="AU5622">
        <v>5621</v>
      </c>
    </row>
    <row r="5623" spans="1:47" x14ac:dyDescent="0.2">
      <c r="A5623" s="133">
        <v>6806</v>
      </c>
      <c r="B5623" s="39" t="s">
        <v>45</v>
      </c>
      <c r="C5623" s="39">
        <v>216</v>
      </c>
      <c r="D5623" s="29" t="b">
        <v>0</v>
      </c>
      <c r="E5623" s="39" t="s">
        <v>6594</v>
      </c>
      <c r="F5623" s="47" t="s">
        <v>1969</v>
      </c>
      <c r="G5623" s="47" t="s">
        <v>205</v>
      </c>
      <c r="H5623"/>
      <c r="I5623" s="47" t="b">
        <v>1</v>
      </c>
      <c r="J5623" s="47" t="b">
        <v>1</v>
      </c>
      <c r="K5623" s="47">
        <v>2464</v>
      </c>
      <c r="L5623" s="48">
        <v>2</v>
      </c>
      <c r="M5623" s="47">
        <v>0</v>
      </c>
      <c r="N5623" s="47">
        <v>0</v>
      </c>
      <c r="O5623" s="47">
        <v>0</v>
      </c>
      <c r="P5623" s="47">
        <v>0</v>
      </c>
      <c r="Q5623" s="47">
        <v>0</v>
      </c>
      <c r="R5623" s="47">
        <v>0</v>
      </c>
      <c r="S5623" s="48">
        <v>2</v>
      </c>
      <c r="T5623" s="47">
        <v>0</v>
      </c>
      <c r="U5623" s="47">
        <v>0</v>
      </c>
      <c r="V5623" s="47">
        <v>0</v>
      </c>
      <c r="W5623" s="47">
        <v>6000</v>
      </c>
      <c r="X5623" s="47">
        <v>869</v>
      </c>
      <c r="Y5623" s="47"/>
      <c r="Z5623" s="47" t="s">
        <v>2466</v>
      </c>
      <c r="AA5623" s="49"/>
      <c r="AB5623" s="49"/>
      <c r="AC5623" s="49"/>
      <c r="AD5623" s="50"/>
      <c r="AE5623" s="47" t="s">
        <v>1312</v>
      </c>
      <c r="AF5623" s="47">
        <v>60</v>
      </c>
      <c r="AG5623"/>
      <c r="AH5623"/>
      <c r="AI5623"/>
      <c r="AJ5623"/>
      <c r="AK5623"/>
      <c r="AL5623"/>
      <c r="AM5623"/>
      <c r="AN5623"/>
      <c r="AO5623"/>
      <c r="AP5623"/>
      <c r="AQ5623" t="s">
        <v>2526</v>
      </c>
      <c r="AU5623">
        <v>5622</v>
      </c>
    </row>
    <row r="5624" spans="1:47" x14ac:dyDescent="0.2">
      <c r="A5624" s="133">
        <v>6806</v>
      </c>
      <c r="B5624" s="39" t="s">
        <v>45</v>
      </c>
      <c r="C5624" s="39">
        <v>216</v>
      </c>
      <c r="D5624" s="29" t="b">
        <v>0</v>
      </c>
      <c r="E5624" s="39" t="s">
        <v>1551</v>
      </c>
      <c r="F5624" s="47" t="s">
        <v>529</v>
      </c>
      <c r="G5624" s="47" t="s">
        <v>205</v>
      </c>
      <c r="H5624"/>
      <c r="I5624" s="47" t="b">
        <v>0</v>
      </c>
      <c r="J5624" s="47" t="b">
        <v>0</v>
      </c>
      <c r="K5624" s="47">
        <v>1344</v>
      </c>
      <c r="L5624" s="48">
        <v>1</v>
      </c>
      <c r="M5624" s="47">
        <v>0</v>
      </c>
      <c r="N5624" s="47">
        <v>0</v>
      </c>
      <c r="O5624" s="47">
        <v>0</v>
      </c>
      <c r="P5624" s="47">
        <v>0</v>
      </c>
      <c r="Q5624" s="47">
        <v>0</v>
      </c>
      <c r="R5624" s="47">
        <v>0</v>
      </c>
      <c r="S5624" s="48">
        <v>1</v>
      </c>
      <c r="T5624" s="47">
        <v>0</v>
      </c>
      <c r="U5624" s="47">
        <v>0</v>
      </c>
      <c r="V5624" s="47">
        <v>0</v>
      </c>
      <c r="W5624" s="47">
        <v>6000</v>
      </c>
      <c r="X5624" s="47">
        <v>870</v>
      </c>
      <c r="Y5624" s="47"/>
      <c r="Z5624" s="47" t="s">
        <v>2466</v>
      </c>
      <c r="AA5624" s="49"/>
      <c r="AB5624" s="49"/>
      <c r="AC5624" s="49"/>
      <c r="AD5624" s="50"/>
      <c r="AE5624" s="47" t="s">
        <v>1312</v>
      </c>
      <c r="AF5624" s="47">
        <v>60</v>
      </c>
      <c r="AG5624"/>
      <c r="AH5624"/>
      <c r="AI5624"/>
      <c r="AJ5624"/>
      <c r="AK5624"/>
      <c r="AL5624"/>
      <c r="AM5624"/>
      <c r="AN5624"/>
      <c r="AO5624"/>
      <c r="AP5624"/>
      <c r="AQ5624" t="s">
        <v>2526</v>
      </c>
      <c r="AU5624">
        <v>5623</v>
      </c>
    </row>
    <row r="5625" spans="1:47" x14ac:dyDescent="0.2">
      <c r="A5625" s="133">
        <v>6806</v>
      </c>
      <c r="B5625" s="39" t="s">
        <v>45</v>
      </c>
      <c r="C5625" s="39">
        <v>216</v>
      </c>
      <c r="D5625" s="29" t="b">
        <v>0</v>
      </c>
      <c r="E5625" s="39" t="s">
        <v>5707</v>
      </c>
      <c r="F5625" s="47" t="s">
        <v>529</v>
      </c>
      <c r="G5625" s="47" t="s">
        <v>205</v>
      </c>
      <c r="H5625"/>
      <c r="I5625" s="47" t="b">
        <v>0</v>
      </c>
      <c r="J5625" s="47" t="b">
        <v>0</v>
      </c>
      <c r="K5625" s="47">
        <v>1120</v>
      </c>
      <c r="L5625" s="48">
        <v>1</v>
      </c>
      <c r="M5625" s="47">
        <v>0</v>
      </c>
      <c r="N5625" s="47">
        <v>0</v>
      </c>
      <c r="O5625" s="47">
        <v>0</v>
      </c>
      <c r="P5625" s="47">
        <v>0</v>
      </c>
      <c r="Q5625" s="47">
        <v>0</v>
      </c>
      <c r="R5625" s="47">
        <v>0</v>
      </c>
      <c r="S5625" s="48">
        <v>1</v>
      </c>
      <c r="T5625" s="47">
        <v>0</v>
      </c>
      <c r="U5625" s="47">
        <v>0</v>
      </c>
      <c r="V5625" s="47">
        <v>0</v>
      </c>
      <c r="W5625" s="47">
        <v>6000</v>
      </c>
      <c r="X5625" s="47">
        <v>871</v>
      </c>
      <c r="Y5625" s="47"/>
      <c r="Z5625" s="47" t="s">
        <v>2466</v>
      </c>
      <c r="AA5625" s="49"/>
      <c r="AB5625" s="49"/>
      <c r="AC5625" s="49"/>
      <c r="AD5625" s="50"/>
      <c r="AE5625" s="47" t="s">
        <v>1312</v>
      </c>
      <c r="AF5625" s="47">
        <v>75</v>
      </c>
      <c r="AG5625"/>
      <c r="AH5625"/>
      <c r="AI5625"/>
      <c r="AJ5625"/>
      <c r="AK5625"/>
      <c r="AL5625"/>
      <c r="AM5625"/>
      <c r="AN5625"/>
      <c r="AO5625"/>
      <c r="AP5625"/>
      <c r="AQ5625" t="s">
        <v>2526</v>
      </c>
      <c r="AU5625">
        <v>5624</v>
      </c>
    </row>
    <row r="5626" spans="1:47" x14ac:dyDescent="0.2">
      <c r="A5626" s="26">
        <v>6806</v>
      </c>
      <c r="B5626" s="27">
        <v>0.98541666666666661</v>
      </c>
      <c r="C5626" s="28"/>
      <c r="D5626" s="29"/>
      <c r="E5626" s="30" t="s">
        <v>1282</v>
      </c>
      <c r="H5626" s="32">
        <v>0</v>
      </c>
      <c r="I5626" s="32" t="s">
        <v>6595</v>
      </c>
      <c r="AG5626" s="32">
        <v>0</v>
      </c>
      <c r="AH5626" s="32">
        <v>0</v>
      </c>
      <c r="AI5626" s="32">
        <v>0</v>
      </c>
      <c r="AK5626" s="32">
        <v>0</v>
      </c>
      <c r="AL5626" s="32">
        <v>1.75</v>
      </c>
      <c r="AP5626" s="32">
        <v>1.75</v>
      </c>
      <c r="AQ5626" s="32" t="s">
        <v>1101</v>
      </c>
      <c r="AU5626">
        <v>5625</v>
      </c>
    </row>
    <row r="5627" spans="1:47" x14ac:dyDescent="0.2">
      <c r="A5627" s="26">
        <v>6806</v>
      </c>
      <c r="B5627" s="27">
        <v>0.98611111111111116</v>
      </c>
      <c r="C5627" s="28"/>
      <c r="D5627" s="29"/>
      <c r="E5627" s="30" t="s">
        <v>464</v>
      </c>
      <c r="H5627" s="32">
        <v>0</v>
      </c>
      <c r="I5627" s="32" t="s">
        <v>6596</v>
      </c>
      <c r="AG5627" s="32">
        <v>0</v>
      </c>
      <c r="AH5627" s="32">
        <v>0</v>
      </c>
      <c r="AL5627" s="32">
        <f>84/60</f>
        <v>1.4</v>
      </c>
      <c r="AO5627" s="32" t="s">
        <v>4067</v>
      </c>
      <c r="AP5627" s="32">
        <f>84/60</f>
        <v>1.4</v>
      </c>
      <c r="AQ5627" s="32" t="s">
        <v>1522</v>
      </c>
      <c r="AU5627">
        <v>5626</v>
      </c>
    </row>
    <row r="5628" spans="1:47" x14ac:dyDescent="0.2">
      <c r="A5628" s="26">
        <v>6806</v>
      </c>
      <c r="B5628" s="27" t="s">
        <v>45</v>
      </c>
      <c r="C5628" s="28"/>
      <c r="D5628" s="29"/>
      <c r="E5628" s="30" t="s">
        <v>1531</v>
      </c>
      <c r="H5628" s="32">
        <v>0</v>
      </c>
      <c r="I5628" s="32" t="s">
        <v>1532</v>
      </c>
      <c r="AG5628" s="32">
        <v>0</v>
      </c>
      <c r="AH5628" s="32">
        <v>0</v>
      </c>
      <c r="AI5628" s="32">
        <v>0</v>
      </c>
      <c r="AK5628" s="32">
        <v>0</v>
      </c>
      <c r="AM5628" s="32">
        <f>498*30</f>
        <v>14940</v>
      </c>
      <c r="AO5628" s="32" t="s">
        <v>1533</v>
      </c>
      <c r="AQ5628" s="32" t="s">
        <v>1101</v>
      </c>
      <c r="AU5628">
        <v>5627</v>
      </c>
    </row>
    <row r="5629" spans="1:47" x14ac:dyDescent="0.2">
      <c r="A5629" s="26">
        <v>6806</v>
      </c>
      <c r="B5629" s="27" t="s">
        <v>45</v>
      </c>
      <c r="C5629" s="28"/>
      <c r="D5629" s="29"/>
      <c r="E5629" s="150" t="s">
        <v>2286</v>
      </c>
      <c r="H5629" s="32">
        <v>0</v>
      </c>
      <c r="I5629" s="32" t="s">
        <v>1824</v>
      </c>
      <c r="AG5629" s="32">
        <v>0</v>
      </c>
      <c r="AH5629" s="32">
        <v>0</v>
      </c>
      <c r="AI5629" s="32">
        <v>0</v>
      </c>
      <c r="AK5629" s="32">
        <v>0</v>
      </c>
      <c r="AM5629" s="32">
        <v>5000</v>
      </c>
      <c r="AO5629" s="73" t="s">
        <v>75</v>
      </c>
      <c r="AQ5629" s="32" t="s">
        <v>589</v>
      </c>
      <c r="AU5629">
        <v>5628</v>
      </c>
    </row>
    <row r="5630" spans="1:47" x14ac:dyDescent="0.2">
      <c r="A5630" s="26">
        <v>6806</v>
      </c>
      <c r="B5630" s="27"/>
      <c r="C5630" s="28"/>
      <c r="D5630" s="29"/>
      <c r="E5630" s="30" t="s">
        <v>4666</v>
      </c>
      <c r="H5630" s="32">
        <v>1</v>
      </c>
      <c r="I5630" s="32" t="s">
        <v>6234</v>
      </c>
      <c r="AG5630" s="32">
        <v>0</v>
      </c>
      <c r="AH5630" s="32">
        <v>0</v>
      </c>
      <c r="AI5630" s="32">
        <v>0</v>
      </c>
      <c r="AL5630" s="32">
        <v>2</v>
      </c>
      <c r="AO5630" s="32" t="s">
        <v>4668</v>
      </c>
      <c r="AP5630" s="32">
        <v>2</v>
      </c>
      <c r="AQ5630" s="32">
        <v>410</v>
      </c>
      <c r="AU5630">
        <v>5629</v>
      </c>
    </row>
    <row r="5631" spans="1:47" x14ac:dyDescent="0.2">
      <c r="A5631" s="133">
        <v>6807</v>
      </c>
      <c r="B5631" s="39" t="s">
        <v>85</v>
      </c>
      <c r="C5631" s="39">
        <v>99</v>
      </c>
      <c r="D5631" s="29" t="b">
        <v>0</v>
      </c>
      <c r="E5631" s="39" t="s">
        <v>6597</v>
      </c>
      <c r="F5631" s="47" t="s">
        <v>6598</v>
      </c>
      <c r="G5631" s="47" t="s">
        <v>481</v>
      </c>
      <c r="H5631"/>
      <c r="I5631" s="47" t="b">
        <v>0</v>
      </c>
      <c r="J5631" s="47" t="b">
        <v>1</v>
      </c>
      <c r="K5631" s="47">
        <v>224</v>
      </c>
      <c r="L5631" s="48">
        <v>1</v>
      </c>
      <c r="M5631" s="47">
        <v>0</v>
      </c>
      <c r="N5631" s="47">
        <v>0</v>
      </c>
      <c r="O5631" s="47">
        <v>0</v>
      </c>
      <c r="P5631" s="47">
        <v>0</v>
      </c>
      <c r="Q5631" s="47">
        <v>0</v>
      </c>
      <c r="R5631" s="47">
        <v>0</v>
      </c>
      <c r="S5631" s="48">
        <v>1</v>
      </c>
      <c r="T5631" s="47">
        <v>0</v>
      </c>
      <c r="U5631" s="47">
        <v>0</v>
      </c>
      <c r="V5631" s="47">
        <v>0</v>
      </c>
      <c r="W5631" s="47">
        <v>2000</v>
      </c>
      <c r="X5631" s="47">
        <v>872</v>
      </c>
      <c r="Y5631" s="47" t="s">
        <v>51</v>
      </c>
      <c r="Z5631" s="47" t="s">
        <v>5139</v>
      </c>
      <c r="AA5631" s="49">
        <v>0.56944444444444442</v>
      </c>
      <c r="AB5631" s="49">
        <v>0.65277777777777779</v>
      </c>
      <c r="AC5631" s="49">
        <f>AVERAGE(AA5631:AB5631)</f>
        <v>0.61111111111111116</v>
      </c>
      <c r="AD5631" s="50">
        <f>(AB5631-AA5631)*24</f>
        <v>2.0000000000000009</v>
      </c>
      <c r="AE5631" s="47" t="s">
        <v>5433</v>
      </c>
      <c r="AF5631" s="47">
        <v>90</v>
      </c>
      <c r="AG5631"/>
      <c r="AH5631"/>
      <c r="AI5631"/>
      <c r="AJ5631"/>
      <c r="AK5631">
        <v>2</v>
      </c>
      <c r="AL5631"/>
      <c r="AM5631"/>
      <c r="AN5631"/>
      <c r="AO5631"/>
      <c r="AP5631"/>
      <c r="AQ5631" t="s">
        <v>2526</v>
      </c>
      <c r="AU5631">
        <v>5630</v>
      </c>
    </row>
    <row r="5632" spans="1:47" x14ac:dyDescent="0.2">
      <c r="A5632" s="133">
        <v>6807</v>
      </c>
      <c r="B5632" s="39" t="s">
        <v>85</v>
      </c>
      <c r="C5632" s="39" t="s">
        <v>5533</v>
      </c>
      <c r="D5632" s="29"/>
      <c r="E5632" s="39" t="s">
        <v>6599</v>
      </c>
      <c r="F5632" s="47" t="s">
        <v>714</v>
      </c>
      <c r="G5632" s="47" t="s">
        <v>49</v>
      </c>
      <c r="H5632"/>
      <c r="I5632" s="47" t="s">
        <v>6600</v>
      </c>
      <c r="J5632" s="47"/>
      <c r="K5632" s="47">
        <f>49*20*2.2</f>
        <v>2156</v>
      </c>
      <c r="L5632" s="48">
        <v>7</v>
      </c>
      <c r="M5632" s="47"/>
      <c r="N5632" s="47"/>
      <c r="O5632" s="47"/>
      <c r="P5632" s="47"/>
      <c r="Q5632" s="47"/>
      <c r="R5632" s="47"/>
      <c r="S5632" s="48">
        <v>7</v>
      </c>
      <c r="T5632" s="47"/>
      <c r="U5632" s="47"/>
      <c r="V5632" s="47"/>
      <c r="W5632" s="47"/>
      <c r="X5632" s="47"/>
      <c r="Y5632" s="47"/>
      <c r="Z5632" s="31" t="s">
        <v>3724</v>
      </c>
      <c r="AA5632" s="49"/>
      <c r="AB5632" s="49"/>
      <c r="AC5632" s="49"/>
      <c r="AD5632" s="50"/>
      <c r="AE5632" s="47" t="s">
        <v>5536</v>
      </c>
      <c r="AF5632" s="47">
        <v>100</v>
      </c>
      <c r="AG5632"/>
      <c r="AH5632"/>
      <c r="AI5632"/>
      <c r="AJ5632"/>
      <c r="AK5632"/>
      <c r="AL5632"/>
      <c r="AM5632"/>
      <c r="AN5632"/>
      <c r="AO5632"/>
      <c r="AP5632"/>
      <c r="AQ5632"/>
      <c r="AU5632">
        <v>5631</v>
      </c>
    </row>
    <row r="5633" spans="1:47" x14ac:dyDescent="0.2">
      <c r="A5633" s="133">
        <v>6807</v>
      </c>
      <c r="B5633" s="39" t="s">
        <v>85</v>
      </c>
      <c r="C5633" s="39" t="s">
        <v>5626</v>
      </c>
      <c r="D5633" s="29"/>
      <c r="E5633" s="15" t="s">
        <v>6601</v>
      </c>
      <c r="F5633" s="31" t="s">
        <v>1155</v>
      </c>
      <c r="G5633" s="31" t="s">
        <v>69</v>
      </c>
      <c r="I5633" s="31" t="s">
        <v>6602</v>
      </c>
      <c r="K5633" s="31">
        <f>26880*2.2</f>
        <v>59136.000000000007</v>
      </c>
      <c r="L5633" s="33">
        <v>136</v>
      </c>
      <c r="S5633" s="33">
        <v>136</v>
      </c>
      <c r="T5633" s="31">
        <v>4</v>
      </c>
      <c r="W5633" s="47">
        <f>((300+150)/2)*39.37/12</f>
        <v>738.1875</v>
      </c>
      <c r="Y5633" s="31" t="s">
        <v>120</v>
      </c>
      <c r="Z5633" s="31" t="s">
        <v>3724</v>
      </c>
      <c r="AE5633" s="31" t="s">
        <v>6385</v>
      </c>
      <c r="AQ5633" s="32" t="s">
        <v>6603</v>
      </c>
      <c r="AU5633">
        <v>5632</v>
      </c>
    </row>
    <row r="5634" spans="1:47" x14ac:dyDescent="0.2">
      <c r="A5634" s="133">
        <v>6807</v>
      </c>
      <c r="B5634" s="39" t="s">
        <v>45</v>
      </c>
      <c r="C5634" s="39">
        <v>97</v>
      </c>
      <c r="D5634" s="29" t="b">
        <v>0</v>
      </c>
      <c r="E5634" s="39" t="s">
        <v>6604</v>
      </c>
      <c r="F5634" s="47" t="s">
        <v>6605</v>
      </c>
      <c r="G5634" s="47" t="s">
        <v>49</v>
      </c>
      <c r="H5634"/>
      <c r="I5634" s="47" t="b">
        <v>1</v>
      </c>
      <c r="J5634" s="47" t="b">
        <v>1</v>
      </c>
      <c r="K5634" s="47">
        <v>7616</v>
      </c>
      <c r="L5634" s="48">
        <v>5</v>
      </c>
      <c r="M5634" s="47">
        <v>0</v>
      </c>
      <c r="N5634" s="47">
        <v>0</v>
      </c>
      <c r="O5634" s="47">
        <v>0</v>
      </c>
      <c r="P5634" s="47">
        <v>0</v>
      </c>
      <c r="Q5634" s="47">
        <v>0</v>
      </c>
      <c r="R5634" s="47">
        <v>0</v>
      </c>
      <c r="S5634" s="48">
        <v>5</v>
      </c>
      <c r="T5634" s="47">
        <v>0</v>
      </c>
      <c r="U5634" s="47">
        <v>0</v>
      </c>
      <c r="V5634" s="47">
        <v>0</v>
      </c>
      <c r="W5634" s="47">
        <v>6100</v>
      </c>
      <c r="X5634" s="47">
        <v>873</v>
      </c>
      <c r="Y5634" s="47"/>
      <c r="Z5634" s="47" t="s">
        <v>2466</v>
      </c>
      <c r="AA5634" s="49"/>
      <c r="AB5634" s="49"/>
      <c r="AC5634" s="49"/>
      <c r="AD5634" s="50"/>
      <c r="AE5634" s="47"/>
      <c r="AF5634" s="47"/>
      <c r="AG5634"/>
      <c r="AH5634"/>
      <c r="AI5634"/>
      <c r="AJ5634"/>
      <c r="AK5634"/>
      <c r="AL5634"/>
      <c r="AM5634"/>
      <c r="AN5634"/>
      <c r="AO5634"/>
      <c r="AP5634"/>
      <c r="AQ5634" t="s">
        <v>2526</v>
      </c>
      <c r="AU5634">
        <v>5633</v>
      </c>
    </row>
    <row r="5635" spans="1:47" x14ac:dyDescent="0.2">
      <c r="A5635" s="133">
        <v>6807</v>
      </c>
      <c r="B5635" s="39" t="s">
        <v>45</v>
      </c>
      <c r="C5635" s="39">
        <v>97</v>
      </c>
      <c r="D5635" s="29" t="b">
        <v>0</v>
      </c>
      <c r="E5635" s="39" t="s">
        <v>1168</v>
      </c>
      <c r="F5635" s="47" t="s">
        <v>5439</v>
      </c>
      <c r="G5635" s="47" t="s">
        <v>49</v>
      </c>
      <c r="H5635"/>
      <c r="I5635" s="47" t="b">
        <v>0</v>
      </c>
      <c r="J5635" s="47" t="b">
        <v>0</v>
      </c>
      <c r="K5635" s="47">
        <v>5152</v>
      </c>
      <c r="L5635" s="48">
        <v>3</v>
      </c>
      <c r="M5635" s="47">
        <v>0</v>
      </c>
      <c r="N5635" s="47">
        <v>0</v>
      </c>
      <c r="O5635" s="47">
        <v>0</v>
      </c>
      <c r="P5635" s="47">
        <v>0</v>
      </c>
      <c r="Q5635" s="47">
        <v>0</v>
      </c>
      <c r="R5635" s="47">
        <v>0</v>
      </c>
      <c r="S5635" s="48">
        <v>3</v>
      </c>
      <c r="T5635" s="47">
        <v>0</v>
      </c>
      <c r="U5635" s="47">
        <v>0</v>
      </c>
      <c r="V5635" s="47">
        <v>0</v>
      </c>
      <c r="W5635" s="47">
        <v>7000</v>
      </c>
      <c r="X5635" s="47">
        <v>874</v>
      </c>
      <c r="Y5635" s="47"/>
      <c r="Z5635" s="47" t="s">
        <v>2466</v>
      </c>
      <c r="AA5635" s="49"/>
      <c r="AB5635" s="49"/>
      <c r="AC5635" s="49"/>
      <c r="AD5635" s="50"/>
      <c r="AE5635" s="47"/>
      <c r="AF5635" s="47"/>
      <c r="AG5635"/>
      <c r="AH5635"/>
      <c r="AI5635"/>
      <c r="AJ5635"/>
      <c r="AK5635"/>
      <c r="AL5635"/>
      <c r="AM5635"/>
      <c r="AN5635"/>
      <c r="AO5635"/>
      <c r="AP5635"/>
      <c r="AQ5635" t="s">
        <v>2526</v>
      </c>
      <c r="AU5635">
        <v>5634</v>
      </c>
    </row>
    <row r="5636" spans="1:47" x14ac:dyDescent="0.2">
      <c r="A5636" s="133">
        <v>6807</v>
      </c>
      <c r="B5636" s="39" t="s">
        <v>45</v>
      </c>
      <c r="C5636" s="39">
        <v>97</v>
      </c>
      <c r="D5636" s="29" t="b">
        <v>0</v>
      </c>
      <c r="E5636" s="39" t="s">
        <v>6606</v>
      </c>
      <c r="F5636" s="47" t="s">
        <v>529</v>
      </c>
      <c r="G5636" s="47" t="s">
        <v>205</v>
      </c>
      <c r="H5636"/>
      <c r="I5636" s="47" t="b">
        <v>0</v>
      </c>
      <c r="J5636" s="47" t="b">
        <v>0</v>
      </c>
      <c r="K5636" s="47">
        <v>3584</v>
      </c>
      <c r="L5636" s="48">
        <v>2</v>
      </c>
      <c r="M5636" s="47">
        <v>0</v>
      </c>
      <c r="N5636" s="47">
        <v>0</v>
      </c>
      <c r="O5636" s="47">
        <v>0</v>
      </c>
      <c r="P5636" s="47">
        <v>0</v>
      </c>
      <c r="Q5636" s="47">
        <v>0</v>
      </c>
      <c r="R5636" s="47">
        <v>0</v>
      </c>
      <c r="S5636" s="48">
        <v>2</v>
      </c>
      <c r="T5636" s="47">
        <v>0</v>
      </c>
      <c r="U5636" s="47">
        <v>0</v>
      </c>
      <c r="V5636" s="47">
        <v>0</v>
      </c>
      <c r="W5636" s="47">
        <v>4750</v>
      </c>
      <c r="X5636" s="47">
        <v>875</v>
      </c>
      <c r="Y5636" s="47"/>
      <c r="Z5636" s="47" t="s">
        <v>2466</v>
      </c>
      <c r="AA5636" s="49"/>
      <c r="AB5636" s="49"/>
      <c r="AC5636" s="49"/>
      <c r="AD5636" s="50"/>
      <c r="AE5636" s="47"/>
      <c r="AF5636" s="47"/>
      <c r="AG5636"/>
      <c r="AH5636"/>
      <c r="AI5636"/>
      <c r="AJ5636"/>
      <c r="AK5636"/>
      <c r="AL5636"/>
      <c r="AM5636"/>
      <c r="AN5636"/>
      <c r="AO5636"/>
      <c r="AP5636"/>
      <c r="AQ5636" t="s">
        <v>2526</v>
      </c>
      <c r="AU5636">
        <v>5635</v>
      </c>
    </row>
    <row r="5637" spans="1:47" x14ac:dyDescent="0.2">
      <c r="A5637" s="133">
        <v>6807</v>
      </c>
      <c r="B5637" s="39" t="s">
        <v>45</v>
      </c>
      <c r="C5637" s="39">
        <v>100</v>
      </c>
      <c r="D5637" s="29" t="b">
        <v>0</v>
      </c>
      <c r="E5637" s="39" t="s">
        <v>6607</v>
      </c>
      <c r="F5637" s="47" t="s">
        <v>1969</v>
      </c>
      <c r="G5637" s="47" t="s">
        <v>205</v>
      </c>
      <c r="H5637"/>
      <c r="I5637" s="47" t="b">
        <v>1</v>
      </c>
      <c r="J5637" s="47" t="b">
        <v>1</v>
      </c>
      <c r="K5637" s="47">
        <v>2184</v>
      </c>
      <c r="L5637" s="48">
        <v>7</v>
      </c>
      <c r="M5637" s="47">
        <v>0</v>
      </c>
      <c r="N5637" s="47">
        <v>0</v>
      </c>
      <c r="O5637" s="47">
        <v>0</v>
      </c>
      <c r="P5637" s="47">
        <v>0</v>
      </c>
      <c r="Q5637" s="47">
        <v>0</v>
      </c>
      <c r="R5637" s="47">
        <v>0</v>
      </c>
      <c r="S5637" s="48">
        <v>7</v>
      </c>
      <c r="T5637" s="47">
        <v>0</v>
      </c>
      <c r="U5637" s="47">
        <v>0</v>
      </c>
      <c r="V5637" s="47">
        <v>0</v>
      </c>
      <c r="W5637" s="47">
        <v>2000</v>
      </c>
      <c r="X5637" s="47">
        <v>876</v>
      </c>
      <c r="Y5637" s="47"/>
      <c r="Z5637" s="47" t="s">
        <v>2524</v>
      </c>
      <c r="AA5637" s="49"/>
      <c r="AB5637" s="49"/>
      <c r="AC5637" s="49"/>
      <c r="AD5637" s="50"/>
      <c r="AE5637" s="47" t="s">
        <v>6445</v>
      </c>
      <c r="AF5637" s="47">
        <v>85</v>
      </c>
      <c r="AG5637"/>
      <c r="AH5637"/>
      <c r="AI5637"/>
      <c r="AJ5637"/>
      <c r="AK5637"/>
      <c r="AL5637"/>
      <c r="AM5637"/>
      <c r="AN5637"/>
      <c r="AO5637"/>
      <c r="AP5637"/>
      <c r="AQ5637" t="s">
        <v>2526</v>
      </c>
      <c r="AU5637">
        <v>5636</v>
      </c>
    </row>
    <row r="5638" spans="1:47" x14ac:dyDescent="0.2">
      <c r="A5638" s="133">
        <v>6807</v>
      </c>
      <c r="B5638" s="39" t="s">
        <v>45</v>
      </c>
      <c r="C5638" s="39">
        <v>100</v>
      </c>
      <c r="D5638" s="29" t="b">
        <v>0</v>
      </c>
      <c r="E5638" s="39" t="s">
        <v>5707</v>
      </c>
      <c r="F5638" s="47" t="s">
        <v>529</v>
      </c>
      <c r="G5638" s="47" t="s">
        <v>205</v>
      </c>
      <c r="H5638"/>
      <c r="I5638" s="47" t="b">
        <v>0</v>
      </c>
      <c r="J5638" s="47" t="b">
        <v>0</v>
      </c>
      <c r="K5638" s="47">
        <v>1972</v>
      </c>
      <c r="L5638" s="48">
        <v>6</v>
      </c>
      <c r="M5638" s="47">
        <v>0</v>
      </c>
      <c r="N5638" s="47">
        <v>0</v>
      </c>
      <c r="O5638" s="47">
        <v>0</v>
      </c>
      <c r="P5638" s="47">
        <v>0</v>
      </c>
      <c r="Q5638" s="47">
        <v>0</v>
      </c>
      <c r="R5638" s="47">
        <v>0</v>
      </c>
      <c r="S5638" s="48">
        <v>6</v>
      </c>
      <c r="T5638" s="47">
        <v>0</v>
      </c>
      <c r="U5638" s="47">
        <v>0</v>
      </c>
      <c r="V5638" s="47">
        <v>0</v>
      </c>
      <c r="W5638" s="47">
        <v>2000</v>
      </c>
      <c r="X5638" s="47">
        <v>877</v>
      </c>
      <c r="Y5638" s="47"/>
      <c r="Z5638" s="47" t="s">
        <v>2524</v>
      </c>
      <c r="AA5638" s="49"/>
      <c r="AB5638" s="49"/>
      <c r="AC5638" s="49"/>
      <c r="AD5638" s="50"/>
      <c r="AE5638" s="47" t="s">
        <v>6445</v>
      </c>
      <c r="AF5638" s="47">
        <v>85</v>
      </c>
      <c r="AG5638"/>
      <c r="AH5638"/>
      <c r="AI5638"/>
      <c r="AJ5638"/>
      <c r="AK5638"/>
      <c r="AL5638"/>
      <c r="AM5638"/>
      <c r="AN5638"/>
      <c r="AO5638"/>
      <c r="AP5638"/>
      <c r="AQ5638" t="s">
        <v>2526</v>
      </c>
      <c r="AU5638">
        <v>5637</v>
      </c>
    </row>
    <row r="5639" spans="1:47" x14ac:dyDescent="0.2">
      <c r="A5639" s="133">
        <v>6807</v>
      </c>
      <c r="B5639" s="39" t="s">
        <v>45</v>
      </c>
      <c r="C5639" s="39">
        <v>100</v>
      </c>
      <c r="D5639" s="29" t="b">
        <v>0</v>
      </c>
      <c r="E5639" s="39" t="s">
        <v>1551</v>
      </c>
      <c r="F5639" s="47" t="s">
        <v>529</v>
      </c>
      <c r="G5639" s="47" t="s">
        <v>205</v>
      </c>
      <c r="H5639"/>
      <c r="I5639" s="47" t="b">
        <v>0</v>
      </c>
      <c r="J5639" s="47" t="b">
        <v>0</v>
      </c>
      <c r="K5639" s="47">
        <v>212</v>
      </c>
      <c r="L5639" s="48">
        <v>1</v>
      </c>
      <c r="M5639" s="47">
        <v>0</v>
      </c>
      <c r="N5639" s="47">
        <v>0</v>
      </c>
      <c r="O5639" s="47">
        <v>0</v>
      </c>
      <c r="P5639" s="47">
        <v>0</v>
      </c>
      <c r="Q5639" s="47">
        <v>0</v>
      </c>
      <c r="R5639" s="47">
        <v>0</v>
      </c>
      <c r="S5639" s="48">
        <v>1</v>
      </c>
      <c r="T5639" s="47">
        <v>0</v>
      </c>
      <c r="U5639" s="47">
        <v>0</v>
      </c>
      <c r="V5639" s="47">
        <v>0</v>
      </c>
      <c r="W5639" s="47">
        <v>2000</v>
      </c>
      <c r="X5639" s="47">
        <v>878</v>
      </c>
      <c r="Y5639" s="47"/>
      <c r="Z5639" s="47" t="s">
        <v>2524</v>
      </c>
      <c r="AA5639" s="49"/>
      <c r="AB5639" s="49"/>
      <c r="AC5639" s="49"/>
      <c r="AD5639" s="50"/>
      <c r="AE5639" s="47" t="s">
        <v>6445</v>
      </c>
      <c r="AF5639" s="47">
        <v>55</v>
      </c>
      <c r="AG5639"/>
      <c r="AH5639"/>
      <c r="AI5639"/>
      <c r="AJ5639"/>
      <c r="AK5639"/>
      <c r="AL5639"/>
      <c r="AM5639"/>
      <c r="AN5639"/>
      <c r="AO5639"/>
      <c r="AP5639"/>
      <c r="AQ5639" t="s">
        <v>2526</v>
      </c>
      <c r="AU5639">
        <v>5638</v>
      </c>
    </row>
    <row r="5640" spans="1:47" x14ac:dyDescent="0.2">
      <c r="A5640" s="133">
        <v>6807</v>
      </c>
      <c r="B5640" s="39" t="s">
        <v>45</v>
      </c>
      <c r="C5640" s="39">
        <v>216</v>
      </c>
      <c r="D5640" s="29" t="b">
        <v>0</v>
      </c>
      <c r="E5640" s="39" t="s">
        <v>5707</v>
      </c>
      <c r="F5640" s="47" t="s">
        <v>529</v>
      </c>
      <c r="G5640" s="47" t="s">
        <v>205</v>
      </c>
      <c r="H5640"/>
      <c r="I5640" s="47" t="b">
        <v>0</v>
      </c>
      <c r="J5640" s="47" t="b">
        <v>1</v>
      </c>
      <c r="K5640" s="47">
        <v>2688</v>
      </c>
      <c r="L5640" s="48">
        <v>2</v>
      </c>
      <c r="M5640" s="47">
        <v>0</v>
      </c>
      <c r="N5640" s="47">
        <v>0</v>
      </c>
      <c r="O5640" s="47">
        <v>0</v>
      </c>
      <c r="P5640" s="47">
        <v>0</v>
      </c>
      <c r="Q5640" s="47">
        <v>0</v>
      </c>
      <c r="R5640" s="47">
        <v>0</v>
      </c>
      <c r="S5640" s="48">
        <v>2</v>
      </c>
      <c r="T5640" s="47">
        <v>0</v>
      </c>
      <c r="U5640" s="47">
        <v>0</v>
      </c>
      <c r="V5640" s="47">
        <v>0</v>
      </c>
      <c r="W5640" s="47">
        <v>6000</v>
      </c>
      <c r="X5640" s="47">
        <v>879</v>
      </c>
      <c r="Y5640" s="47"/>
      <c r="Z5640" s="47" t="s">
        <v>2466</v>
      </c>
      <c r="AA5640" s="49"/>
      <c r="AB5640" s="49"/>
      <c r="AC5640" s="49"/>
      <c r="AD5640" s="50"/>
      <c r="AE5640" s="47" t="s">
        <v>1312</v>
      </c>
      <c r="AF5640" s="47">
        <v>75</v>
      </c>
      <c r="AG5640"/>
      <c r="AH5640"/>
      <c r="AI5640"/>
      <c r="AJ5640"/>
      <c r="AK5640"/>
      <c r="AL5640"/>
      <c r="AM5640"/>
      <c r="AN5640"/>
      <c r="AO5640"/>
      <c r="AP5640"/>
      <c r="AQ5640" t="s">
        <v>2526</v>
      </c>
      <c r="AU5640">
        <v>5639</v>
      </c>
    </row>
    <row r="5641" spans="1:47" x14ac:dyDescent="0.2">
      <c r="A5641" s="13">
        <v>6807</v>
      </c>
      <c r="B5641" s="57" t="s">
        <v>45</v>
      </c>
      <c r="C5641" s="57" t="s">
        <v>142</v>
      </c>
      <c r="D5641" s="29"/>
      <c r="E5641" s="57" t="s">
        <v>6608</v>
      </c>
      <c r="F5641" s="47" t="s">
        <v>6463</v>
      </c>
      <c r="G5641" s="47" t="s">
        <v>69</v>
      </c>
      <c r="H5641"/>
      <c r="I5641" s="47" t="b">
        <v>1</v>
      </c>
      <c r="J5641" s="47" t="b">
        <v>1</v>
      </c>
      <c r="K5641" s="47"/>
      <c r="L5641" s="48">
        <f>17+5</f>
        <v>22</v>
      </c>
      <c r="M5641" s="47">
        <v>1</v>
      </c>
      <c r="N5641" s="47"/>
      <c r="O5641" s="47">
        <v>1</v>
      </c>
      <c r="P5641" s="47"/>
      <c r="Q5641" s="47"/>
      <c r="R5641" s="47"/>
      <c r="S5641" s="48">
        <f>15+5</f>
        <v>20</v>
      </c>
      <c r="T5641" s="47">
        <v>1</v>
      </c>
      <c r="U5641" s="47">
        <v>0</v>
      </c>
      <c r="V5641" s="47">
        <v>0</v>
      </c>
      <c r="W5641" s="47"/>
      <c r="X5641" s="47"/>
      <c r="Y5641" s="47" t="s">
        <v>51</v>
      </c>
      <c r="Z5641" s="47"/>
      <c r="AA5641" s="49"/>
      <c r="AB5641" s="49"/>
      <c r="AC5641" s="49"/>
      <c r="AD5641" s="50"/>
      <c r="AE5641" s="47"/>
      <c r="AF5641" s="47"/>
      <c r="AG5641"/>
      <c r="AH5641"/>
      <c r="AI5641"/>
      <c r="AJ5641"/>
      <c r="AK5641"/>
      <c r="AL5641"/>
      <c r="AM5641"/>
      <c r="AN5641"/>
      <c r="AO5641"/>
      <c r="AP5641"/>
      <c r="AQ5641" t="s">
        <v>6589</v>
      </c>
      <c r="AR5641" s="32" t="s">
        <v>6609</v>
      </c>
      <c r="AU5641">
        <v>5640</v>
      </c>
    </row>
    <row r="5642" spans="1:47" x14ac:dyDescent="0.2">
      <c r="A5642" s="13">
        <v>6807</v>
      </c>
      <c r="B5642" s="57" t="s">
        <v>45</v>
      </c>
      <c r="C5642" s="57" t="s">
        <v>142</v>
      </c>
      <c r="D5642" s="29"/>
      <c r="E5642" s="57" t="s">
        <v>5772</v>
      </c>
      <c r="F5642" s="31" t="s">
        <v>6354</v>
      </c>
      <c r="G5642" s="31" t="s">
        <v>69</v>
      </c>
      <c r="I5642" s="47" t="b">
        <v>0</v>
      </c>
      <c r="J5642" s="47" t="b">
        <v>0</v>
      </c>
      <c r="K5642" s="31">
        <v>2321</v>
      </c>
      <c r="S5642" s="33">
        <v>4</v>
      </c>
      <c r="AK5642" s="32">
        <v>29</v>
      </c>
      <c r="AQ5642" s="32" t="s">
        <v>6522</v>
      </c>
      <c r="AU5642">
        <v>5641</v>
      </c>
    </row>
    <row r="5643" spans="1:47" x14ac:dyDescent="0.2">
      <c r="A5643" s="13">
        <v>6807</v>
      </c>
      <c r="B5643" s="57" t="s">
        <v>45</v>
      </c>
      <c r="C5643" s="57" t="s">
        <v>142</v>
      </c>
      <c r="D5643" s="29"/>
      <c r="E5643" s="57" t="s">
        <v>6610</v>
      </c>
      <c r="F5643" s="31" t="s">
        <v>6354</v>
      </c>
      <c r="G5643" s="31" t="s">
        <v>69</v>
      </c>
      <c r="I5643" s="47" t="b">
        <v>0</v>
      </c>
      <c r="J5643" s="47" t="b">
        <v>0</v>
      </c>
      <c r="K5643" s="31">
        <v>2871</v>
      </c>
      <c r="S5643" s="33">
        <v>5</v>
      </c>
      <c r="AK5643" s="32">
        <v>35</v>
      </c>
      <c r="AQ5643" s="32" t="s">
        <v>6522</v>
      </c>
      <c r="AU5643">
        <v>5642</v>
      </c>
    </row>
    <row r="5644" spans="1:47" x14ac:dyDescent="0.2">
      <c r="A5644" s="13">
        <v>6807</v>
      </c>
      <c r="B5644" s="57" t="s">
        <v>45</v>
      </c>
      <c r="C5644" s="57" t="s">
        <v>142</v>
      </c>
      <c r="D5644" s="29"/>
      <c r="E5644" s="57" t="s">
        <v>1064</v>
      </c>
      <c r="F5644" s="31" t="s">
        <v>76</v>
      </c>
      <c r="G5644" s="31" t="s">
        <v>49</v>
      </c>
      <c r="I5644" s="47" t="b">
        <v>0</v>
      </c>
      <c r="J5644" s="47" t="b">
        <v>0</v>
      </c>
      <c r="K5644" s="31">
        <v>1056</v>
      </c>
      <c r="S5644" s="33">
        <v>2</v>
      </c>
      <c r="AK5644" s="32">
        <v>17</v>
      </c>
      <c r="AQ5644" s="32" t="s">
        <v>6522</v>
      </c>
      <c r="AU5644">
        <v>5643</v>
      </c>
    </row>
    <row r="5645" spans="1:47" x14ac:dyDescent="0.2">
      <c r="A5645" s="13">
        <v>6807</v>
      </c>
      <c r="B5645" s="57" t="s">
        <v>45</v>
      </c>
      <c r="C5645" s="57" t="s">
        <v>142</v>
      </c>
      <c r="D5645" s="29"/>
      <c r="E5645" s="57" t="s">
        <v>3936</v>
      </c>
      <c r="F5645" s="31" t="s">
        <v>76</v>
      </c>
      <c r="G5645" s="31" t="s">
        <v>49</v>
      </c>
      <c r="I5645" s="47" t="b">
        <v>0</v>
      </c>
      <c r="J5645" s="47" t="b">
        <v>0</v>
      </c>
      <c r="K5645" s="31">
        <v>1529</v>
      </c>
      <c r="S5645" s="33">
        <v>2</v>
      </c>
      <c r="AK5645" s="32">
        <v>22</v>
      </c>
      <c r="AQ5645" s="32" t="s">
        <v>6522</v>
      </c>
      <c r="AU5645">
        <v>5644</v>
      </c>
    </row>
    <row r="5646" spans="1:47" x14ac:dyDescent="0.2">
      <c r="A5646" s="13">
        <v>6807</v>
      </c>
      <c r="B5646" s="57" t="s">
        <v>45</v>
      </c>
      <c r="C5646" s="57" t="s">
        <v>142</v>
      </c>
      <c r="D5646" s="29"/>
      <c r="E5646" s="57" t="s">
        <v>3876</v>
      </c>
      <c r="F5646" s="31" t="s">
        <v>76</v>
      </c>
      <c r="G5646" s="31" t="s">
        <v>49</v>
      </c>
      <c r="I5646" s="47" t="b">
        <v>0</v>
      </c>
      <c r="J5646" s="47" t="b">
        <v>0</v>
      </c>
      <c r="K5646" s="31">
        <v>836</v>
      </c>
      <c r="S5646" s="33">
        <v>2</v>
      </c>
      <c r="AK5646" s="32">
        <v>11</v>
      </c>
      <c r="AQ5646" s="32" t="s">
        <v>6522</v>
      </c>
      <c r="AU5646">
        <v>5645</v>
      </c>
    </row>
    <row r="5647" spans="1:47" x14ac:dyDescent="0.2">
      <c r="A5647" s="13">
        <v>6807</v>
      </c>
      <c r="B5647" s="57" t="s">
        <v>45</v>
      </c>
      <c r="C5647" s="57" t="s">
        <v>5765</v>
      </c>
      <c r="D5647" s="29"/>
      <c r="E5647" s="57" t="s">
        <v>1764</v>
      </c>
      <c r="F5647" s="31" t="s">
        <v>76</v>
      </c>
      <c r="G5647" s="31" t="s">
        <v>49</v>
      </c>
      <c r="I5647" s="19" t="s">
        <v>6524</v>
      </c>
      <c r="K5647" s="31">
        <f>9288.4-4400</f>
        <v>4888.3999999999996</v>
      </c>
      <c r="Z5647" s="31" t="s">
        <v>1846</v>
      </c>
      <c r="AE5647" s="31" t="s">
        <v>4176</v>
      </c>
      <c r="AF5647" s="31">
        <v>95</v>
      </c>
      <c r="AK5647" s="32">
        <f>72-40</f>
        <v>32</v>
      </c>
      <c r="AQ5647" s="32" t="s">
        <v>6611</v>
      </c>
      <c r="AU5647">
        <v>5646</v>
      </c>
    </row>
    <row r="5648" spans="1:47" x14ac:dyDescent="0.2">
      <c r="A5648" s="13">
        <v>6807</v>
      </c>
      <c r="B5648" s="57" t="s">
        <v>45</v>
      </c>
      <c r="C5648" s="57" t="s">
        <v>4456</v>
      </c>
      <c r="D5648" s="29"/>
      <c r="E5648" s="57" t="s">
        <v>1764</v>
      </c>
      <c r="F5648" s="31" t="s">
        <v>76</v>
      </c>
      <c r="G5648" s="31" t="s">
        <v>49</v>
      </c>
      <c r="I5648" s="19" t="s">
        <v>6612</v>
      </c>
      <c r="K5648" s="135">
        <f>5*880</f>
        <v>4400</v>
      </c>
      <c r="L5648" s="33">
        <v>5</v>
      </c>
      <c r="S5648" s="33">
        <v>5</v>
      </c>
      <c r="T5648" s="31">
        <v>0</v>
      </c>
      <c r="U5648" s="31">
        <v>0</v>
      </c>
      <c r="V5648" s="31">
        <v>0</v>
      </c>
      <c r="W5648" s="47">
        <f>((3000+2800+3300+2800+2500)/5)*39.37/12</f>
        <v>9448.7999999999993</v>
      </c>
      <c r="Y5648" s="19" t="s">
        <v>51</v>
      </c>
      <c r="Z5648" s="19" t="s">
        <v>1846</v>
      </c>
      <c r="AA5648" s="34">
        <v>0.89236111111111116</v>
      </c>
      <c r="AB5648" s="34">
        <v>1.1423611111111112</v>
      </c>
      <c r="AC5648" s="49">
        <f>AVERAGE(AA5648:AB5648)</f>
        <v>1.0173611111111112</v>
      </c>
      <c r="AD5648" s="50">
        <v>2.33</v>
      </c>
      <c r="AE5648" s="31" t="s">
        <v>4176</v>
      </c>
      <c r="AF5648" s="31">
        <v>95</v>
      </c>
      <c r="AK5648" s="130">
        <f>5*8</f>
        <v>40</v>
      </c>
      <c r="AQ5648" s="18" t="s">
        <v>6613</v>
      </c>
      <c r="AU5648">
        <v>5647</v>
      </c>
    </row>
    <row r="5649" spans="1:47" x14ac:dyDescent="0.2">
      <c r="A5649" s="13">
        <v>6807</v>
      </c>
      <c r="B5649" s="57" t="s">
        <v>45</v>
      </c>
      <c r="C5649" s="57" t="s">
        <v>4456</v>
      </c>
      <c r="D5649" s="29"/>
      <c r="E5649" s="166" t="s">
        <v>6614</v>
      </c>
      <c r="F5649" s="31" t="s">
        <v>76</v>
      </c>
      <c r="G5649" s="31" t="s">
        <v>49</v>
      </c>
      <c r="I5649" s="19" t="s">
        <v>6615</v>
      </c>
      <c r="K5649" s="31">
        <v>1760</v>
      </c>
      <c r="L5649" s="33">
        <v>2</v>
      </c>
      <c r="S5649" s="33">
        <v>2</v>
      </c>
      <c r="T5649" s="31">
        <v>0</v>
      </c>
      <c r="U5649" s="31">
        <v>0</v>
      </c>
      <c r="V5649" s="31">
        <v>0</v>
      </c>
      <c r="W5649" s="47">
        <f>((2500+2000)/2)*39.37/12</f>
        <v>7381.875</v>
      </c>
      <c r="Y5649" s="19" t="s">
        <v>51</v>
      </c>
      <c r="Z5649" s="19" t="s">
        <v>1846</v>
      </c>
      <c r="AD5649" s="35">
        <v>2</v>
      </c>
      <c r="AE5649" s="31" t="s">
        <v>4176</v>
      </c>
      <c r="AF5649" s="31">
        <v>70</v>
      </c>
      <c r="AK5649" s="32">
        <v>16</v>
      </c>
      <c r="AQ5649" s="18" t="s">
        <v>6613</v>
      </c>
      <c r="AU5649">
        <v>5648</v>
      </c>
    </row>
    <row r="5650" spans="1:47" x14ac:dyDescent="0.2">
      <c r="A5650" s="13">
        <v>6807</v>
      </c>
      <c r="B5650" s="57" t="s">
        <v>45</v>
      </c>
      <c r="C5650" s="57" t="s">
        <v>4456</v>
      </c>
      <c r="D5650" s="29"/>
      <c r="E5650" s="57" t="s">
        <v>4149</v>
      </c>
      <c r="F5650" s="31" t="s">
        <v>76</v>
      </c>
      <c r="G5650" s="31" t="s">
        <v>49</v>
      </c>
      <c r="I5650" s="19" t="s">
        <v>6616</v>
      </c>
      <c r="K5650" s="31">
        <v>880</v>
      </c>
      <c r="L5650" s="33">
        <v>1</v>
      </c>
      <c r="S5650" s="33">
        <v>1</v>
      </c>
      <c r="T5650" s="31">
        <v>0</v>
      </c>
      <c r="U5650" s="31">
        <v>0</v>
      </c>
      <c r="V5650" s="31">
        <v>0</v>
      </c>
      <c r="W5650" s="47">
        <f>2400*39.37/12</f>
        <v>7874</v>
      </c>
      <c r="Y5650" s="19" t="s">
        <v>51</v>
      </c>
      <c r="Z5650" s="31" t="s">
        <v>1846</v>
      </c>
      <c r="AA5650" s="34">
        <v>2.7777777777777776E-2</v>
      </c>
      <c r="AB5650" s="34">
        <v>0.10416666666666667</v>
      </c>
      <c r="AC5650" s="49">
        <f>AVERAGE(AA5650:AB5650)</f>
        <v>6.5972222222222224E-2</v>
      </c>
      <c r="AD5650" s="50">
        <f>(AB5650-AA5650)*24</f>
        <v>1.8333333333333335</v>
      </c>
      <c r="AE5650" s="31" t="s">
        <v>4176</v>
      </c>
      <c r="AF5650" s="31">
        <v>75</v>
      </c>
      <c r="AK5650" s="32">
        <v>8</v>
      </c>
      <c r="AQ5650" s="18" t="s">
        <v>6613</v>
      </c>
      <c r="AU5650">
        <v>5649</v>
      </c>
    </row>
    <row r="5651" spans="1:47" x14ac:dyDescent="0.2">
      <c r="A5651" s="13">
        <v>6807</v>
      </c>
      <c r="B5651" s="57" t="s">
        <v>45</v>
      </c>
      <c r="C5651" s="57" t="s">
        <v>4843</v>
      </c>
      <c r="D5651" s="29"/>
      <c r="E5651" s="57" t="s">
        <v>5772</v>
      </c>
      <c r="F5651" s="31" t="s">
        <v>6354</v>
      </c>
      <c r="G5651" s="31" t="s">
        <v>69</v>
      </c>
      <c r="K5651" s="31">
        <v>418</v>
      </c>
      <c r="S5651" s="33">
        <v>1</v>
      </c>
      <c r="Z5651" s="31" t="s">
        <v>3814</v>
      </c>
      <c r="AE5651" s="31" t="s">
        <v>4411</v>
      </c>
      <c r="AF5651" s="31">
        <v>70</v>
      </c>
      <c r="AK5651" s="32">
        <v>5</v>
      </c>
      <c r="AQ5651" s="32" t="s">
        <v>6522</v>
      </c>
      <c r="AU5651">
        <v>5650</v>
      </c>
    </row>
    <row r="5652" spans="1:47" x14ac:dyDescent="0.2">
      <c r="A5652" s="13">
        <v>6807</v>
      </c>
      <c r="B5652" s="57" t="s">
        <v>45</v>
      </c>
      <c r="C5652" s="57" t="s">
        <v>4843</v>
      </c>
      <c r="D5652" s="29"/>
      <c r="E5652" s="57" t="s">
        <v>1064</v>
      </c>
      <c r="F5652" s="31" t="s">
        <v>76</v>
      </c>
      <c r="G5652" s="31" t="s">
        <v>49</v>
      </c>
      <c r="K5652" s="31">
        <v>572</v>
      </c>
      <c r="S5652" s="33">
        <v>1</v>
      </c>
      <c r="Z5652" s="31" t="s">
        <v>3814</v>
      </c>
      <c r="AE5652" s="31" t="s">
        <v>4411</v>
      </c>
      <c r="AF5652" s="31">
        <v>55</v>
      </c>
      <c r="AK5652" s="32">
        <v>8</v>
      </c>
      <c r="AQ5652" s="32" t="s">
        <v>6522</v>
      </c>
      <c r="AU5652">
        <v>5651</v>
      </c>
    </row>
    <row r="5653" spans="1:47" x14ac:dyDescent="0.2">
      <c r="A5653" s="13">
        <v>6807</v>
      </c>
      <c r="B5653" s="57" t="s">
        <v>45</v>
      </c>
      <c r="C5653" s="57" t="s">
        <v>4843</v>
      </c>
      <c r="D5653" s="29"/>
      <c r="E5653" s="57" t="s">
        <v>6527</v>
      </c>
      <c r="F5653" s="31" t="s">
        <v>76</v>
      </c>
      <c r="G5653" s="31" t="s">
        <v>49</v>
      </c>
      <c r="K5653" s="31">
        <v>3322</v>
      </c>
      <c r="S5653" s="33">
        <v>6</v>
      </c>
      <c r="Z5653" s="31" t="s">
        <v>3814</v>
      </c>
      <c r="AE5653" s="31" t="s">
        <v>4411</v>
      </c>
      <c r="AF5653" s="31">
        <v>100</v>
      </c>
      <c r="AK5653" s="32">
        <v>58</v>
      </c>
      <c r="AQ5653" s="32" t="s">
        <v>6522</v>
      </c>
      <c r="AU5653">
        <v>5652</v>
      </c>
    </row>
    <row r="5654" spans="1:47" x14ac:dyDescent="0.2">
      <c r="A5654" s="13">
        <v>6807</v>
      </c>
      <c r="B5654" s="57" t="s">
        <v>45</v>
      </c>
      <c r="C5654" s="57" t="s">
        <v>4843</v>
      </c>
      <c r="D5654" s="29"/>
      <c r="E5654" s="57" t="s">
        <v>3936</v>
      </c>
      <c r="F5654" s="31" t="s">
        <v>76</v>
      </c>
      <c r="G5654" s="31" t="s">
        <v>49</v>
      </c>
      <c r="K5654" s="31">
        <v>3740</v>
      </c>
      <c r="S5654" s="33">
        <v>6</v>
      </c>
      <c r="Z5654" s="31" t="s">
        <v>3814</v>
      </c>
      <c r="AE5654" s="31" t="s">
        <v>4411</v>
      </c>
      <c r="AF5654" s="31">
        <v>60</v>
      </c>
      <c r="AK5654" s="32">
        <v>41</v>
      </c>
      <c r="AQ5654" s="32" t="s">
        <v>6522</v>
      </c>
      <c r="AU5654">
        <v>5653</v>
      </c>
    </row>
    <row r="5655" spans="1:47" x14ac:dyDescent="0.2">
      <c r="A5655" s="13">
        <v>6807</v>
      </c>
      <c r="B5655" s="57" t="s">
        <v>45</v>
      </c>
      <c r="C5655" s="57" t="s">
        <v>4843</v>
      </c>
      <c r="D5655" s="29"/>
      <c r="E5655" s="57" t="s">
        <v>3876</v>
      </c>
      <c r="F5655" s="31" t="s">
        <v>76</v>
      </c>
      <c r="G5655" s="31" t="s">
        <v>49</v>
      </c>
      <c r="K5655" s="31">
        <v>7106</v>
      </c>
      <c r="S5655" s="33">
        <v>15</v>
      </c>
      <c r="Z5655" s="31" t="s">
        <v>3814</v>
      </c>
      <c r="AE5655" s="31" t="s">
        <v>4411</v>
      </c>
      <c r="AF5655" s="31">
        <v>70</v>
      </c>
      <c r="AK5655" s="32">
        <v>87</v>
      </c>
      <c r="AQ5655" s="32" t="s">
        <v>6522</v>
      </c>
      <c r="AU5655">
        <v>5654</v>
      </c>
    </row>
    <row r="5656" spans="1:47" x14ac:dyDescent="0.2">
      <c r="A5656" s="13">
        <v>6807</v>
      </c>
      <c r="B5656" s="57" t="s">
        <v>45</v>
      </c>
      <c r="C5656" s="57" t="s">
        <v>6550</v>
      </c>
      <c r="D5656" s="29"/>
      <c r="E5656" s="57" t="s">
        <v>6553</v>
      </c>
      <c r="F5656" s="31" t="s">
        <v>83</v>
      </c>
      <c r="G5656" s="31" t="s">
        <v>69</v>
      </c>
      <c r="I5656" s="31" t="s">
        <v>6554</v>
      </c>
      <c r="K5656" s="63"/>
      <c r="AQ5656" s="32" t="s">
        <v>6552</v>
      </c>
      <c r="AU5656">
        <v>5655</v>
      </c>
    </row>
    <row r="5657" spans="1:47" x14ac:dyDescent="0.2">
      <c r="A5657" s="26">
        <v>6807</v>
      </c>
      <c r="B5657" s="27">
        <v>8.819444444444445E-2</v>
      </c>
      <c r="C5657" s="28"/>
      <c r="D5657" s="29"/>
      <c r="E5657" s="30" t="s">
        <v>5224</v>
      </c>
      <c r="H5657" s="32">
        <v>0</v>
      </c>
      <c r="I5657" s="32" t="s">
        <v>5225</v>
      </c>
      <c r="AG5657" s="32">
        <v>0</v>
      </c>
      <c r="AH5657" s="32">
        <v>0</v>
      </c>
      <c r="AI5657" s="32">
        <v>0</v>
      </c>
      <c r="AK5657" s="32">
        <v>0</v>
      </c>
      <c r="AL5657" s="32">
        <f>28/60</f>
        <v>0.46666666666666667</v>
      </c>
      <c r="AP5657" s="32">
        <f>28/60</f>
        <v>0.46666666666666667</v>
      </c>
      <c r="AQ5657" s="32" t="s">
        <v>1101</v>
      </c>
      <c r="AU5657">
        <v>5656</v>
      </c>
    </row>
    <row r="5658" spans="1:47" x14ac:dyDescent="0.2">
      <c r="A5658" s="26">
        <v>6807</v>
      </c>
      <c r="B5658" s="27">
        <v>0.63888888888888895</v>
      </c>
      <c r="C5658" s="28"/>
      <c r="D5658" s="29"/>
      <c r="E5658" s="30" t="s">
        <v>464</v>
      </c>
      <c r="H5658" s="32">
        <v>0</v>
      </c>
      <c r="I5658" s="32" t="s">
        <v>4561</v>
      </c>
      <c r="AG5658" s="32">
        <v>0</v>
      </c>
      <c r="AH5658" s="32">
        <v>0</v>
      </c>
      <c r="AL5658" s="32">
        <v>0.25</v>
      </c>
      <c r="AO5658" s="32" t="s">
        <v>4067</v>
      </c>
      <c r="AP5658" s="32">
        <v>0.25</v>
      </c>
      <c r="AQ5658" s="32" t="s">
        <v>1522</v>
      </c>
      <c r="AU5658">
        <v>5657</v>
      </c>
    </row>
    <row r="5659" spans="1:47" x14ac:dyDescent="0.2">
      <c r="A5659" s="26">
        <v>6807</v>
      </c>
      <c r="B5659" s="27">
        <v>0.64930555555555558</v>
      </c>
      <c r="C5659" s="28"/>
      <c r="D5659" s="29"/>
      <c r="E5659" s="30" t="s">
        <v>4219</v>
      </c>
      <c r="H5659" s="32">
        <v>1</v>
      </c>
      <c r="I5659" s="32" t="s">
        <v>6617</v>
      </c>
      <c r="AI5659" s="32">
        <v>36690</v>
      </c>
      <c r="AK5659" s="32">
        <v>2</v>
      </c>
      <c r="AL5659" s="32">
        <f>1/6</f>
        <v>0.16666666666666666</v>
      </c>
      <c r="AO5659" s="32" t="s">
        <v>858</v>
      </c>
      <c r="AP5659" s="32">
        <f>1/6</f>
        <v>0.16666666666666666</v>
      </c>
      <c r="AQ5659" s="32" t="s">
        <v>6618</v>
      </c>
      <c r="AU5659">
        <v>5658</v>
      </c>
    </row>
    <row r="5660" spans="1:47" x14ac:dyDescent="0.2">
      <c r="A5660" s="26">
        <v>6807</v>
      </c>
      <c r="B5660" s="27">
        <v>0.95138888888888884</v>
      </c>
      <c r="C5660" s="28"/>
      <c r="D5660" s="29"/>
      <c r="E5660" s="30" t="s">
        <v>464</v>
      </c>
      <c r="H5660" s="32">
        <v>1</v>
      </c>
      <c r="I5660" s="32" t="s">
        <v>6619</v>
      </c>
      <c r="AG5660" s="32">
        <v>0</v>
      </c>
      <c r="AH5660" s="32">
        <v>0</v>
      </c>
      <c r="AK5660" s="32">
        <f>4+1+6</f>
        <v>11</v>
      </c>
      <c r="AL5660" s="32">
        <f>115/60</f>
        <v>1.9166666666666667</v>
      </c>
      <c r="AO5660" s="32" t="s">
        <v>3085</v>
      </c>
      <c r="AP5660" s="32">
        <f>115/60</f>
        <v>1.9166666666666667</v>
      </c>
      <c r="AQ5660" s="32" t="s">
        <v>6620</v>
      </c>
      <c r="AU5660">
        <v>5659</v>
      </c>
    </row>
    <row r="5661" spans="1:47" x14ac:dyDescent="0.2">
      <c r="A5661" s="26">
        <v>6807</v>
      </c>
      <c r="B5661" s="27">
        <v>0.96527777777777779</v>
      </c>
      <c r="C5661" s="28"/>
      <c r="D5661" s="29"/>
      <c r="E5661" s="30" t="s">
        <v>1282</v>
      </c>
      <c r="H5661" s="32">
        <v>1</v>
      </c>
      <c r="I5661" s="32" t="s">
        <v>6621</v>
      </c>
      <c r="AG5661" s="32">
        <v>0</v>
      </c>
      <c r="AH5661" s="32">
        <v>0</v>
      </c>
      <c r="AL5661" s="32">
        <f>2+50/60</f>
        <v>2.8333333333333335</v>
      </c>
      <c r="AP5661" s="32">
        <f>2+50/60</f>
        <v>2.8333333333333335</v>
      </c>
      <c r="AQ5661" s="32" t="s">
        <v>1101</v>
      </c>
      <c r="AU5661">
        <v>5660</v>
      </c>
    </row>
    <row r="5662" spans="1:47" x14ac:dyDescent="0.2">
      <c r="A5662" s="26">
        <v>6807</v>
      </c>
      <c r="B5662" s="27" t="s">
        <v>45</v>
      </c>
      <c r="C5662" s="28"/>
      <c r="D5662" s="29"/>
      <c r="E5662" s="30" t="s">
        <v>1531</v>
      </c>
      <c r="H5662" s="32">
        <v>0</v>
      </c>
      <c r="I5662" s="32" t="s">
        <v>1532</v>
      </c>
      <c r="AG5662" s="32">
        <v>0</v>
      </c>
      <c r="AH5662" s="32">
        <v>0</v>
      </c>
      <c r="AI5662" s="32">
        <v>0</v>
      </c>
      <c r="AK5662" s="32">
        <v>0</v>
      </c>
      <c r="AM5662" s="32">
        <f>498*35</f>
        <v>17430</v>
      </c>
      <c r="AO5662" s="32" t="s">
        <v>1533</v>
      </c>
      <c r="AQ5662" s="32" t="s">
        <v>1101</v>
      </c>
      <c r="AU5662">
        <v>5661</v>
      </c>
    </row>
    <row r="5663" spans="1:47" x14ac:dyDescent="0.2">
      <c r="A5663" s="26">
        <v>6807</v>
      </c>
      <c r="B5663" s="27" t="s">
        <v>45</v>
      </c>
      <c r="C5663" s="28"/>
      <c r="D5663" s="29"/>
      <c r="E5663" s="150" t="s">
        <v>2286</v>
      </c>
      <c r="H5663" s="32">
        <v>0</v>
      </c>
      <c r="I5663" s="32" t="s">
        <v>1824</v>
      </c>
      <c r="AG5663" s="32">
        <v>0</v>
      </c>
      <c r="AH5663" s="32">
        <v>0</v>
      </c>
      <c r="AI5663" s="32">
        <v>0</v>
      </c>
      <c r="AK5663" s="32">
        <v>0</v>
      </c>
      <c r="AM5663" s="32">
        <v>5500</v>
      </c>
      <c r="AO5663" s="73" t="s">
        <v>75</v>
      </c>
      <c r="AQ5663" s="32" t="s">
        <v>589</v>
      </c>
      <c r="AU5663">
        <v>5662</v>
      </c>
    </row>
    <row r="5664" spans="1:47" x14ac:dyDescent="0.2">
      <c r="A5664" s="26">
        <v>6807</v>
      </c>
      <c r="B5664" s="27"/>
      <c r="C5664" s="28"/>
      <c r="D5664" s="29"/>
      <c r="E5664" s="30" t="s">
        <v>3063</v>
      </c>
      <c r="H5664" s="32">
        <v>1</v>
      </c>
      <c r="I5664" s="32" t="s">
        <v>6622</v>
      </c>
      <c r="AL5664" s="32">
        <v>0.75</v>
      </c>
      <c r="AQ5664" s="32">
        <v>375</v>
      </c>
      <c r="AU5664">
        <v>5663</v>
      </c>
    </row>
    <row r="5665" spans="1:47" x14ac:dyDescent="0.2">
      <c r="A5665" s="26">
        <v>6807</v>
      </c>
      <c r="B5665" s="27"/>
      <c r="C5665" s="28"/>
      <c r="D5665" s="29"/>
      <c r="E5665" s="30" t="s">
        <v>1988</v>
      </c>
      <c r="H5665" s="32">
        <v>1</v>
      </c>
      <c r="I5665" s="32" t="s">
        <v>6623</v>
      </c>
      <c r="AK5665" s="32">
        <v>10</v>
      </c>
      <c r="AO5665" s="32" t="s">
        <v>6624</v>
      </c>
      <c r="AQ5665" s="32" t="s">
        <v>1522</v>
      </c>
      <c r="AU5665">
        <v>5664</v>
      </c>
    </row>
    <row r="5666" spans="1:47" x14ac:dyDescent="0.2">
      <c r="A5666" s="26">
        <v>6807</v>
      </c>
      <c r="B5666" s="27"/>
      <c r="C5666" s="28"/>
      <c r="D5666" s="29"/>
      <c r="E5666" s="30" t="s">
        <v>4666</v>
      </c>
      <c r="H5666" s="32">
        <v>1</v>
      </c>
      <c r="I5666" s="32" t="s">
        <v>6625</v>
      </c>
      <c r="AG5666" s="32">
        <v>0</v>
      </c>
      <c r="AH5666" s="32">
        <v>0</v>
      </c>
      <c r="AI5666" s="32">
        <v>6500</v>
      </c>
      <c r="AK5666" s="32">
        <v>10</v>
      </c>
      <c r="AL5666" s="32">
        <v>5</v>
      </c>
      <c r="AO5666" s="32" t="s">
        <v>4668</v>
      </c>
      <c r="AQ5666" s="32">
        <v>410</v>
      </c>
      <c r="AU5666">
        <v>5665</v>
      </c>
    </row>
    <row r="5667" spans="1:47" x14ac:dyDescent="0.2">
      <c r="A5667" s="26">
        <v>6807</v>
      </c>
      <c r="B5667" s="27"/>
      <c r="C5667" s="28"/>
      <c r="D5667" s="29"/>
      <c r="E5667" s="102" t="s">
        <v>1421</v>
      </c>
      <c r="H5667" s="32">
        <v>1</v>
      </c>
      <c r="I5667" s="32" t="s">
        <v>1422</v>
      </c>
      <c r="AK5667" s="32">
        <v>12</v>
      </c>
      <c r="AO5667" s="73"/>
      <c r="AQ5667" s="32" t="s">
        <v>589</v>
      </c>
      <c r="AU5667">
        <v>5666</v>
      </c>
    </row>
    <row r="5668" spans="1:47" x14ac:dyDescent="0.2">
      <c r="A5668" s="26">
        <v>6807</v>
      </c>
      <c r="B5668" s="27"/>
      <c r="C5668" s="125"/>
      <c r="D5668" s="126"/>
      <c r="E5668" s="30" t="s">
        <v>5900</v>
      </c>
      <c r="H5668" s="32"/>
      <c r="I5668" s="32" t="s">
        <v>6626</v>
      </c>
      <c r="AL5668" s="32">
        <f>3+19/60</f>
        <v>3.3166666666666664</v>
      </c>
      <c r="AO5668" s="32" t="s">
        <v>4493</v>
      </c>
      <c r="AQ5668" s="32">
        <v>470</v>
      </c>
      <c r="AU5668">
        <v>5667</v>
      </c>
    </row>
    <row r="5669" spans="1:47" x14ac:dyDescent="0.2">
      <c r="A5669" s="133">
        <v>6808</v>
      </c>
      <c r="B5669" s="39" t="s">
        <v>85</v>
      </c>
      <c r="C5669" s="39" t="s">
        <v>5533</v>
      </c>
      <c r="D5669" s="29"/>
      <c r="E5669" s="39" t="s">
        <v>3063</v>
      </c>
      <c r="F5669" s="47" t="s">
        <v>714</v>
      </c>
      <c r="G5669" s="47" t="s">
        <v>49</v>
      </c>
      <c r="H5669"/>
      <c r="I5669" s="47" t="s">
        <v>6627</v>
      </c>
      <c r="J5669" s="47"/>
      <c r="K5669" s="47"/>
      <c r="L5669" s="48"/>
      <c r="M5669" s="47"/>
      <c r="N5669" s="47"/>
      <c r="O5669" s="47"/>
      <c r="P5669" s="47"/>
      <c r="Q5669" s="47"/>
      <c r="R5669" s="47"/>
      <c r="S5669" s="48">
        <v>6</v>
      </c>
      <c r="T5669" s="47"/>
      <c r="U5669" s="47"/>
      <c r="V5669" s="47"/>
      <c r="W5669" s="47"/>
      <c r="X5669" s="47"/>
      <c r="Y5669" s="47"/>
      <c r="Z5669" s="31" t="s">
        <v>3724</v>
      </c>
      <c r="AA5669" s="49"/>
      <c r="AB5669" s="49"/>
      <c r="AC5669" s="49"/>
      <c r="AD5669" s="50"/>
      <c r="AE5669" s="47" t="s">
        <v>5536</v>
      </c>
      <c r="AF5669" s="47">
        <v>100</v>
      </c>
      <c r="AG5669"/>
      <c r="AH5669"/>
      <c r="AI5669"/>
      <c r="AJ5669"/>
      <c r="AK5669"/>
      <c r="AL5669"/>
      <c r="AM5669"/>
      <c r="AN5669"/>
      <c r="AO5669"/>
      <c r="AP5669"/>
      <c r="AQ5669"/>
      <c r="AU5669">
        <v>5668</v>
      </c>
    </row>
    <row r="5670" spans="1:47" x14ac:dyDescent="0.2">
      <c r="A5670" s="133">
        <v>6808</v>
      </c>
      <c r="B5670" s="39" t="s">
        <v>85</v>
      </c>
      <c r="C5670" s="39" t="s">
        <v>5533</v>
      </c>
      <c r="D5670" s="29"/>
      <c r="E5670" s="39" t="s">
        <v>6628</v>
      </c>
      <c r="F5670" s="47"/>
      <c r="G5670" s="47"/>
      <c r="H5670"/>
      <c r="I5670" s="47" t="s">
        <v>6629</v>
      </c>
      <c r="J5670" s="47"/>
      <c r="K5670" s="47"/>
      <c r="L5670" s="48"/>
      <c r="M5670" s="47"/>
      <c r="N5670" s="47"/>
      <c r="O5670" s="47"/>
      <c r="P5670" s="47"/>
      <c r="Q5670" s="47"/>
      <c r="R5670" s="47"/>
      <c r="S5670" s="48">
        <v>7</v>
      </c>
      <c r="T5670" s="47"/>
      <c r="U5670" s="47"/>
      <c r="V5670" s="47"/>
      <c r="W5670" s="47"/>
      <c r="X5670" s="47"/>
      <c r="Y5670" s="47"/>
      <c r="Z5670" s="31" t="s">
        <v>3724</v>
      </c>
      <c r="AA5670" s="49"/>
      <c r="AB5670" s="49"/>
      <c r="AC5670" s="49"/>
      <c r="AD5670" s="50"/>
      <c r="AE5670" s="47" t="s">
        <v>5536</v>
      </c>
      <c r="AF5670" s="47">
        <v>95</v>
      </c>
      <c r="AG5670"/>
      <c r="AH5670"/>
      <c r="AI5670"/>
      <c r="AJ5670"/>
      <c r="AK5670"/>
      <c r="AL5670"/>
      <c r="AM5670"/>
      <c r="AN5670"/>
      <c r="AO5670"/>
      <c r="AP5670"/>
      <c r="AQ5670"/>
      <c r="AU5670">
        <v>5669</v>
      </c>
    </row>
    <row r="5671" spans="1:47" x14ac:dyDescent="0.2">
      <c r="A5671" s="133">
        <v>6808</v>
      </c>
      <c r="B5671" s="39" t="s">
        <v>85</v>
      </c>
      <c r="C5671" s="39" t="s">
        <v>5626</v>
      </c>
      <c r="D5671" s="45"/>
      <c r="E5671" s="166" t="s">
        <v>6630</v>
      </c>
      <c r="F5671" s="31" t="s">
        <v>6631</v>
      </c>
      <c r="G5671" s="31" t="s">
        <v>69</v>
      </c>
      <c r="I5671" s="19" t="s">
        <v>6632</v>
      </c>
      <c r="K5671" s="19">
        <f>(26800-11740)*2.2</f>
        <v>33132</v>
      </c>
      <c r="L5671" s="135">
        <f>131-57</f>
        <v>74</v>
      </c>
      <c r="S5671" s="135">
        <f>131-57</f>
        <v>74</v>
      </c>
      <c r="T5671" s="31">
        <v>0</v>
      </c>
      <c r="W5671" s="47">
        <f>((1500+2500+4000)/3)*39.37/12</f>
        <v>8748.8888888888887</v>
      </c>
      <c r="Y5671" s="31" t="s">
        <v>120</v>
      </c>
      <c r="Z5671" s="31" t="s">
        <v>3724</v>
      </c>
      <c r="AA5671" s="34">
        <v>0.45833333333333331</v>
      </c>
      <c r="AC5671" s="34">
        <v>0.5</v>
      </c>
      <c r="AD5671" s="31"/>
      <c r="AE5671" s="31" t="s">
        <v>6385</v>
      </c>
      <c r="AQ5671" s="18" t="s">
        <v>6633</v>
      </c>
      <c r="AU5671">
        <v>5670</v>
      </c>
    </row>
    <row r="5672" spans="1:47" x14ac:dyDescent="0.2">
      <c r="A5672" s="133">
        <v>6808</v>
      </c>
      <c r="B5672" s="39" t="s">
        <v>85</v>
      </c>
      <c r="C5672" s="39" t="s">
        <v>5626</v>
      </c>
      <c r="D5672" s="45"/>
      <c r="E5672" s="144" t="s">
        <v>6634</v>
      </c>
      <c r="F5672" s="31" t="s">
        <v>6631</v>
      </c>
      <c r="G5672" s="31" t="s">
        <v>69</v>
      </c>
      <c r="I5672" s="19" t="s">
        <v>6635</v>
      </c>
      <c r="K5672" s="19">
        <f>(11740)*2.2</f>
        <v>25828.000000000004</v>
      </c>
      <c r="L5672" s="135">
        <v>57</v>
      </c>
      <c r="S5672" s="135">
        <v>57</v>
      </c>
      <c r="T5672" s="31">
        <v>0</v>
      </c>
      <c r="Y5672" s="31" t="s">
        <v>120</v>
      </c>
      <c r="Z5672" s="31" t="s">
        <v>3724</v>
      </c>
      <c r="AC5672" s="34">
        <v>0.77083333333333337</v>
      </c>
      <c r="AD5672" s="31"/>
      <c r="AE5672" s="31" t="s">
        <v>6385</v>
      </c>
      <c r="AQ5672" s="18" t="s">
        <v>6633</v>
      </c>
      <c r="AU5672">
        <v>5671</v>
      </c>
    </row>
    <row r="5673" spans="1:47" x14ac:dyDescent="0.2">
      <c r="A5673" s="133">
        <v>6808</v>
      </c>
      <c r="B5673" s="39" t="s">
        <v>45</v>
      </c>
      <c r="C5673" s="39">
        <v>97</v>
      </c>
      <c r="D5673" s="29" t="b">
        <v>0</v>
      </c>
      <c r="E5673" s="39" t="s">
        <v>6636</v>
      </c>
      <c r="F5673" s="47" t="s">
        <v>1969</v>
      </c>
      <c r="G5673" s="47" t="s">
        <v>205</v>
      </c>
      <c r="H5673"/>
      <c r="I5673" s="47" t="b">
        <v>1</v>
      </c>
      <c r="J5673" s="47" t="b">
        <v>1</v>
      </c>
      <c r="K5673" s="47">
        <v>8400</v>
      </c>
      <c r="L5673" s="48">
        <v>6</v>
      </c>
      <c r="M5673" s="47">
        <v>0</v>
      </c>
      <c r="N5673" s="47">
        <v>0</v>
      </c>
      <c r="O5673" s="47">
        <v>0</v>
      </c>
      <c r="P5673" s="47">
        <v>0</v>
      </c>
      <c r="Q5673" s="47">
        <v>0</v>
      </c>
      <c r="R5673" s="47">
        <v>0</v>
      </c>
      <c r="S5673" s="48">
        <v>5</v>
      </c>
      <c r="T5673" s="47">
        <v>1</v>
      </c>
      <c r="U5673" s="47">
        <v>0</v>
      </c>
      <c r="V5673" s="47">
        <v>0</v>
      </c>
      <c r="W5673" s="47">
        <v>5100</v>
      </c>
      <c r="X5673" s="47">
        <v>880</v>
      </c>
      <c r="Y5673" s="47"/>
      <c r="Z5673" s="47" t="s">
        <v>2466</v>
      </c>
      <c r="AA5673" s="49"/>
      <c r="AB5673" s="49"/>
      <c r="AC5673" s="49"/>
      <c r="AD5673" s="50"/>
      <c r="AE5673" s="47"/>
      <c r="AF5673" s="47"/>
      <c r="AG5673"/>
      <c r="AH5673"/>
      <c r="AI5673"/>
      <c r="AJ5673"/>
      <c r="AK5673"/>
      <c r="AL5673"/>
      <c r="AM5673"/>
      <c r="AN5673"/>
      <c r="AO5673"/>
      <c r="AP5673"/>
      <c r="AQ5673" t="s">
        <v>2526</v>
      </c>
      <c r="AU5673">
        <v>5672</v>
      </c>
    </row>
    <row r="5674" spans="1:47" x14ac:dyDescent="0.2">
      <c r="A5674" s="133">
        <v>6808</v>
      </c>
      <c r="B5674" s="39" t="s">
        <v>45</v>
      </c>
      <c r="C5674" s="39">
        <v>97</v>
      </c>
      <c r="D5674" s="29" t="b">
        <v>0</v>
      </c>
      <c r="E5674" s="39" t="s">
        <v>6606</v>
      </c>
      <c r="F5674" s="47" t="s">
        <v>529</v>
      </c>
      <c r="G5674" s="47" t="s">
        <v>205</v>
      </c>
      <c r="H5674"/>
      <c r="I5674" s="47" t="b">
        <v>0</v>
      </c>
      <c r="J5674" s="47" t="b">
        <v>0</v>
      </c>
      <c r="K5674" s="47">
        <v>3360</v>
      </c>
      <c r="L5674" s="48">
        <v>3</v>
      </c>
      <c r="M5674" s="47">
        <v>0</v>
      </c>
      <c r="N5674" s="47">
        <v>0</v>
      </c>
      <c r="O5674" s="47">
        <v>0</v>
      </c>
      <c r="P5674" s="47">
        <v>0</v>
      </c>
      <c r="Q5674" s="47">
        <v>0</v>
      </c>
      <c r="R5674" s="47">
        <v>0</v>
      </c>
      <c r="S5674" s="48">
        <v>2</v>
      </c>
      <c r="T5674" s="47">
        <v>1</v>
      </c>
      <c r="U5674" s="47">
        <v>0</v>
      </c>
      <c r="V5674" s="47">
        <v>0</v>
      </c>
      <c r="W5674" s="47">
        <v>6000</v>
      </c>
      <c r="X5674" s="47">
        <v>881</v>
      </c>
      <c r="Y5674" s="47"/>
      <c r="Z5674" s="47" t="s">
        <v>2466</v>
      </c>
      <c r="AA5674" s="49"/>
      <c r="AB5674" s="49"/>
      <c r="AC5674" s="49"/>
      <c r="AD5674" s="50"/>
      <c r="AE5674" s="47"/>
      <c r="AF5674" s="47"/>
      <c r="AG5674"/>
      <c r="AH5674"/>
      <c r="AI5674"/>
      <c r="AJ5674"/>
      <c r="AK5674"/>
      <c r="AL5674"/>
      <c r="AM5674"/>
      <c r="AN5674"/>
      <c r="AO5674"/>
      <c r="AP5674"/>
      <c r="AQ5674" t="s">
        <v>2526</v>
      </c>
      <c r="AU5674">
        <v>5673</v>
      </c>
    </row>
    <row r="5675" spans="1:47" x14ac:dyDescent="0.2">
      <c r="A5675" s="133">
        <v>6808</v>
      </c>
      <c r="B5675" s="39" t="s">
        <v>45</v>
      </c>
      <c r="C5675" s="39">
        <v>97</v>
      </c>
      <c r="D5675" s="29" t="b">
        <v>0</v>
      </c>
      <c r="E5675" s="39" t="s">
        <v>1551</v>
      </c>
      <c r="F5675" s="47" t="s">
        <v>529</v>
      </c>
      <c r="G5675" s="47" t="s">
        <v>205</v>
      </c>
      <c r="H5675"/>
      <c r="I5675" s="47" t="b">
        <v>0</v>
      </c>
      <c r="J5675" s="47" t="b">
        <v>0</v>
      </c>
      <c r="K5675" s="47">
        <v>3472</v>
      </c>
      <c r="L5675" s="48">
        <v>2</v>
      </c>
      <c r="M5675" s="47">
        <v>0</v>
      </c>
      <c r="N5675" s="47">
        <v>0</v>
      </c>
      <c r="O5675" s="47">
        <v>0</v>
      </c>
      <c r="P5675" s="47">
        <v>0</v>
      </c>
      <c r="Q5675" s="47">
        <v>0</v>
      </c>
      <c r="R5675" s="47">
        <v>0</v>
      </c>
      <c r="S5675" s="48">
        <v>2</v>
      </c>
      <c r="T5675" s="47">
        <v>0</v>
      </c>
      <c r="U5675" s="47">
        <v>0</v>
      </c>
      <c r="V5675" s="47">
        <v>0</v>
      </c>
      <c r="W5675" s="47">
        <v>4500</v>
      </c>
      <c r="X5675" s="47">
        <v>882</v>
      </c>
      <c r="Y5675" s="47"/>
      <c r="Z5675" s="47" t="s">
        <v>2466</v>
      </c>
      <c r="AA5675" s="49"/>
      <c r="AB5675" s="49"/>
      <c r="AC5675" s="49"/>
      <c r="AD5675" s="50"/>
      <c r="AE5675" s="47"/>
      <c r="AF5675" s="47"/>
      <c r="AG5675"/>
      <c r="AH5675"/>
      <c r="AI5675"/>
      <c r="AJ5675"/>
      <c r="AK5675"/>
      <c r="AL5675"/>
      <c r="AM5675"/>
      <c r="AN5675"/>
      <c r="AO5675"/>
      <c r="AP5675"/>
      <c r="AQ5675" t="s">
        <v>2526</v>
      </c>
      <c r="AU5675">
        <v>5674</v>
      </c>
    </row>
    <row r="5676" spans="1:47" x14ac:dyDescent="0.2">
      <c r="A5676" s="133">
        <v>6808</v>
      </c>
      <c r="B5676" s="39" t="s">
        <v>45</v>
      </c>
      <c r="C5676" s="39">
        <v>97</v>
      </c>
      <c r="D5676" s="29" t="b">
        <v>0</v>
      </c>
      <c r="E5676" s="39" t="s">
        <v>6637</v>
      </c>
      <c r="F5676" s="47" t="s">
        <v>529</v>
      </c>
      <c r="G5676" s="47" t="s">
        <v>205</v>
      </c>
      <c r="H5676"/>
      <c r="I5676" s="47" t="b">
        <v>0</v>
      </c>
      <c r="J5676" s="47" t="b">
        <v>0</v>
      </c>
      <c r="K5676" s="47">
        <v>1568</v>
      </c>
      <c r="L5676" s="48">
        <v>1</v>
      </c>
      <c r="M5676" s="47">
        <v>0</v>
      </c>
      <c r="N5676" s="47">
        <v>0</v>
      </c>
      <c r="O5676" s="47">
        <v>0</v>
      </c>
      <c r="P5676" s="47">
        <v>0</v>
      </c>
      <c r="Q5676" s="47">
        <v>0</v>
      </c>
      <c r="R5676" s="47">
        <v>0</v>
      </c>
      <c r="S5676" s="48">
        <v>1</v>
      </c>
      <c r="T5676" s="47">
        <v>0</v>
      </c>
      <c r="U5676" s="47">
        <v>0</v>
      </c>
      <c r="V5676" s="47">
        <v>0</v>
      </c>
      <c r="W5676" s="47">
        <v>4500</v>
      </c>
      <c r="X5676" s="47">
        <v>891</v>
      </c>
      <c r="Y5676" s="47"/>
      <c r="Z5676" s="47" t="s">
        <v>2466</v>
      </c>
      <c r="AA5676" s="49"/>
      <c r="AB5676" s="49"/>
      <c r="AC5676" s="49"/>
      <c r="AD5676" s="50"/>
      <c r="AE5676" s="47"/>
      <c r="AF5676" s="47"/>
      <c r="AG5676"/>
      <c r="AH5676"/>
      <c r="AI5676"/>
      <c r="AJ5676"/>
      <c r="AK5676"/>
      <c r="AL5676"/>
      <c r="AM5676"/>
      <c r="AN5676"/>
      <c r="AO5676"/>
      <c r="AP5676"/>
      <c r="AQ5676" t="s">
        <v>2526</v>
      </c>
      <c r="AU5676">
        <v>5675</v>
      </c>
    </row>
    <row r="5677" spans="1:47" x14ac:dyDescent="0.2">
      <c r="A5677" s="133">
        <v>6808</v>
      </c>
      <c r="B5677" s="39" t="s">
        <v>45</v>
      </c>
      <c r="C5677" s="39">
        <v>100</v>
      </c>
      <c r="D5677" s="29" t="b">
        <v>0</v>
      </c>
      <c r="E5677" s="39" t="s">
        <v>6638</v>
      </c>
      <c r="F5677" s="47" t="s">
        <v>1969</v>
      </c>
      <c r="G5677" s="47" t="s">
        <v>205</v>
      </c>
      <c r="H5677"/>
      <c r="I5677" s="47" t="b">
        <v>1</v>
      </c>
      <c r="J5677" s="47" t="b">
        <v>1</v>
      </c>
      <c r="K5677" s="47">
        <v>1872</v>
      </c>
      <c r="L5677" s="48">
        <v>6</v>
      </c>
      <c r="M5677" s="47">
        <v>0</v>
      </c>
      <c r="N5677" s="47">
        <v>0</v>
      </c>
      <c r="O5677" s="47">
        <v>0</v>
      </c>
      <c r="P5677" s="47">
        <v>0</v>
      </c>
      <c r="Q5677" s="47">
        <v>0</v>
      </c>
      <c r="R5677" s="47">
        <v>0</v>
      </c>
      <c r="S5677" s="48">
        <v>6</v>
      </c>
      <c r="T5677" s="47">
        <v>0</v>
      </c>
      <c r="U5677" s="47">
        <v>0</v>
      </c>
      <c r="V5677" s="47">
        <v>0</v>
      </c>
      <c r="W5677" s="47"/>
      <c r="X5677" s="47">
        <v>884</v>
      </c>
      <c r="Y5677" s="47"/>
      <c r="Z5677" s="47" t="s">
        <v>2524</v>
      </c>
      <c r="AA5677" s="49"/>
      <c r="AB5677" s="49"/>
      <c r="AC5677" s="49"/>
      <c r="AD5677" s="50"/>
      <c r="AE5677" s="47" t="s">
        <v>6445</v>
      </c>
      <c r="AF5677" s="47">
        <v>115</v>
      </c>
      <c r="AG5677"/>
      <c r="AH5677"/>
      <c r="AI5677"/>
      <c r="AJ5677"/>
      <c r="AK5677"/>
      <c r="AL5677"/>
      <c r="AM5677"/>
      <c r="AN5677"/>
      <c r="AO5677"/>
      <c r="AP5677"/>
      <c r="AQ5677" t="s">
        <v>2526</v>
      </c>
      <c r="AU5677">
        <v>5676</v>
      </c>
    </row>
    <row r="5678" spans="1:47" x14ac:dyDescent="0.2">
      <c r="A5678" s="133">
        <v>6808</v>
      </c>
      <c r="B5678" s="39" t="s">
        <v>45</v>
      </c>
      <c r="C5678" s="39">
        <v>100</v>
      </c>
      <c r="D5678" s="29" t="b">
        <v>0</v>
      </c>
      <c r="E5678" s="39" t="s">
        <v>1551</v>
      </c>
      <c r="F5678" s="47" t="s">
        <v>529</v>
      </c>
      <c r="G5678" s="47" t="s">
        <v>205</v>
      </c>
      <c r="H5678"/>
      <c r="I5678" s="47" t="b">
        <v>0</v>
      </c>
      <c r="J5678" s="47" t="b">
        <v>0</v>
      </c>
      <c r="K5678" s="47">
        <v>1560</v>
      </c>
      <c r="L5678" s="48">
        <v>5</v>
      </c>
      <c r="M5678" s="47">
        <v>0</v>
      </c>
      <c r="N5678" s="47">
        <v>0</v>
      </c>
      <c r="O5678" s="47">
        <v>0</v>
      </c>
      <c r="P5678" s="47">
        <v>0</v>
      </c>
      <c r="Q5678" s="47">
        <v>0</v>
      </c>
      <c r="R5678" s="47">
        <v>0</v>
      </c>
      <c r="S5678" s="48">
        <v>5</v>
      </c>
      <c r="T5678" s="47">
        <v>0</v>
      </c>
      <c r="U5678" s="47">
        <v>0</v>
      </c>
      <c r="V5678" s="47">
        <v>0</v>
      </c>
      <c r="W5678" s="47">
        <v>3000</v>
      </c>
      <c r="X5678" s="47">
        <v>885</v>
      </c>
      <c r="Y5678" s="47"/>
      <c r="Z5678" s="47" t="s">
        <v>2524</v>
      </c>
      <c r="AA5678" s="49"/>
      <c r="AB5678" s="49"/>
      <c r="AC5678" s="49"/>
      <c r="AD5678" s="50"/>
      <c r="AE5678" s="47" t="s">
        <v>6445</v>
      </c>
      <c r="AF5678" s="47">
        <v>55</v>
      </c>
      <c r="AG5678"/>
      <c r="AH5678"/>
      <c r="AI5678"/>
      <c r="AJ5678"/>
      <c r="AK5678"/>
      <c r="AL5678"/>
      <c r="AM5678"/>
      <c r="AN5678"/>
      <c r="AO5678"/>
      <c r="AP5678"/>
      <c r="AQ5678" t="s">
        <v>2526</v>
      </c>
      <c r="AU5678">
        <v>5677</v>
      </c>
    </row>
    <row r="5679" spans="1:47" x14ac:dyDescent="0.2">
      <c r="A5679" s="133">
        <v>6808</v>
      </c>
      <c r="B5679" s="39" t="s">
        <v>45</v>
      </c>
      <c r="C5679" s="39">
        <v>100</v>
      </c>
      <c r="D5679" s="29" t="b">
        <v>0</v>
      </c>
      <c r="E5679" s="39" t="s">
        <v>3575</v>
      </c>
      <c r="F5679" s="47" t="s">
        <v>529</v>
      </c>
      <c r="G5679" s="47" t="s">
        <v>205</v>
      </c>
      <c r="H5679"/>
      <c r="I5679" s="47" t="b">
        <v>0</v>
      </c>
      <c r="J5679" s="47" t="b">
        <v>0</v>
      </c>
      <c r="K5679" s="47">
        <v>312</v>
      </c>
      <c r="L5679" s="48">
        <v>1</v>
      </c>
      <c r="M5679" s="47">
        <v>0</v>
      </c>
      <c r="N5679" s="47">
        <v>0</v>
      </c>
      <c r="O5679" s="47">
        <v>0</v>
      </c>
      <c r="P5679" s="47">
        <v>0</v>
      </c>
      <c r="Q5679" s="47">
        <v>0</v>
      </c>
      <c r="R5679" s="47">
        <v>0</v>
      </c>
      <c r="S5679" s="48">
        <v>1</v>
      </c>
      <c r="T5679" s="47">
        <v>0</v>
      </c>
      <c r="U5679" s="47">
        <v>0</v>
      </c>
      <c r="V5679" s="47">
        <v>0</v>
      </c>
      <c r="W5679" s="47"/>
      <c r="X5679" s="47">
        <v>886</v>
      </c>
      <c r="Y5679" s="47"/>
      <c r="Z5679" s="47" t="s">
        <v>2524</v>
      </c>
      <c r="AA5679" s="49"/>
      <c r="AB5679" s="49"/>
      <c r="AC5679" s="49"/>
      <c r="AD5679" s="50"/>
      <c r="AE5679" s="47" t="s">
        <v>6445</v>
      </c>
      <c r="AF5679" s="47">
        <v>115</v>
      </c>
      <c r="AG5679"/>
      <c r="AH5679"/>
      <c r="AI5679"/>
      <c r="AJ5679"/>
      <c r="AK5679"/>
      <c r="AL5679"/>
      <c r="AM5679"/>
      <c r="AN5679"/>
      <c r="AO5679"/>
      <c r="AP5679"/>
      <c r="AQ5679" t="s">
        <v>2526</v>
      </c>
      <c r="AU5679">
        <v>5678</v>
      </c>
    </row>
    <row r="5680" spans="1:47" x14ac:dyDescent="0.2">
      <c r="A5680" s="133">
        <v>6808</v>
      </c>
      <c r="B5680" s="39" t="s">
        <v>45</v>
      </c>
      <c r="C5680" s="39">
        <v>216</v>
      </c>
      <c r="D5680" s="29" t="b">
        <v>0</v>
      </c>
      <c r="E5680" s="39" t="s">
        <v>6639</v>
      </c>
      <c r="F5680" s="47" t="s">
        <v>6640</v>
      </c>
      <c r="G5680" s="47" t="s">
        <v>49</v>
      </c>
      <c r="H5680"/>
      <c r="I5680" s="47" t="b">
        <v>1</v>
      </c>
      <c r="J5680" s="47" t="b">
        <v>1</v>
      </c>
      <c r="K5680" s="47">
        <v>8594</v>
      </c>
      <c r="L5680" s="48">
        <v>8</v>
      </c>
      <c r="M5680" s="47">
        <v>0</v>
      </c>
      <c r="N5680" s="47">
        <v>1</v>
      </c>
      <c r="O5680" s="47">
        <v>0</v>
      </c>
      <c r="P5680" s="47">
        <v>0</v>
      </c>
      <c r="Q5680" s="47">
        <v>0</v>
      </c>
      <c r="R5680" s="47">
        <v>0</v>
      </c>
      <c r="S5680" s="48">
        <v>7</v>
      </c>
      <c r="T5680" s="47">
        <v>0</v>
      </c>
      <c r="U5680" s="47">
        <v>0</v>
      </c>
      <c r="V5680" s="47">
        <v>1</v>
      </c>
      <c r="W5680" s="47">
        <v>6429</v>
      </c>
      <c r="X5680" s="47">
        <v>887</v>
      </c>
      <c r="Y5680" s="47"/>
      <c r="Z5680" s="47" t="s">
        <v>2466</v>
      </c>
      <c r="AA5680" s="49"/>
      <c r="AB5680" s="49"/>
      <c r="AC5680" s="49"/>
      <c r="AD5680" s="50"/>
      <c r="AE5680" s="47" t="s">
        <v>1312</v>
      </c>
      <c r="AF5680" s="47">
        <v>290</v>
      </c>
      <c r="AG5680"/>
      <c r="AH5680"/>
      <c r="AI5680"/>
      <c r="AJ5680"/>
      <c r="AK5680"/>
      <c r="AL5680"/>
      <c r="AM5680"/>
      <c r="AN5680"/>
      <c r="AO5680"/>
      <c r="AP5680"/>
      <c r="AQ5680" t="s">
        <v>2526</v>
      </c>
      <c r="AU5680">
        <v>5679</v>
      </c>
    </row>
    <row r="5681" spans="1:47" x14ac:dyDescent="0.2">
      <c r="A5681" s="133">
        <v>6808</v>
      </c>
      <c r="B5681" s="39" t="s">
        <v>45</v>
      </c>
      <c r="C5681" s="39">
        <v>216</v>
      </c>
      <c r="D5681" s="29" t="b">
        <v>0</v>
      </c>
      <c r="E5681" s="39" t="s">
        <v>1006</v>
      </c>
      <c r="F5681" s="47" t="s">
        <v>1743</v>
      </c>
      <c r="G5681" s="47" t="s">
        <v>49</v>
      </c>
      <c r="H5681"/>
      <c r="I5681" s="47" t="b">
        <v>0</v>
      </c>
      <c r="J5681" s="47" t="b">
        <v>0</v>
      </c>
      <c r="K5681" s="47">
        <v>2464</v>
      </c>
      <c r="L5681" s="48">
        <v>8</v>
      </c>
      <c r="M5681" s="47">
        <v>0</v>
      </c>
      <c r="N5681" s="47">
        <v>1</v>
      </c>
      <c r="O5681" s="47">
        <v>0</v>
      </c>
      <c r="P5681" s="47">
        <v>0</v>
      </c>
      <c r="Q5681" s="47">
        <v>0</v>
      </c>
      <c r="R5681" s="47">
        <v>0</v>
      </c>
      <c r="S5681" s="48">
        <v>2</v>
      </c>
      <c r="T5681" s="47">
        <v>0</v>
      </c>
      <c r="U5681" s="47">
        <v>0</v>
      </c>
      <c r="V5681" s="47">
        <v>1</v>
      </c>
      <c r="W5681" s="47">
        <v>7000</v>
      </c>
      <c r="X5681" s="47">
        <v>883</v>
      </c>
      <c r="Y5681" s="47"/>
      <c r="Z5681" s="47" t="s">
        <v>2466</v>
      </c>
      <c r="AA5681" s="49"/>
      <c r="AB5681" s="49"/>
      <c r="AC5681" s="49"/>
      <c r="AD5681" s="50"/>
      <c r="AE5681" s="47" t="s">
        <v>1312</v>
      </c>
      <c r="AF5681" s="47">
        <v>135</v>
      </c>
      <c r="AG5681"/>
      <c r="AH5681"/>
      <c r="AI5681"/>
      <c r="AJ5681"/>
      <c r="AK5681"/>
      <c r="AL5681"/>
      <c r="AM5681"/>
      <c r="AN5681"/>
      <c r="AO5681"/>
      <c r="AP5681"/>
      <c r="AQ5681" t="s">
        <v>2526</v>
      </c>
      <c r="AU5681">
        <v>5680</v>
      </c>
    </row>
    <row r="5682" spans="1:47" x14ac:dyDescent="0.2">
      <c r="A5682" s="133">
        <v>6808</v>
      </c>
      <c r="B5682" s="39" t="s">
        <v>45</v>
      </c>
      <c r="C5682" s="39">
        <v>216</v>
      </c>
      <c r="D5682" s="29" t="b">
        <v>0</v>
      </c>
      <c r="E5682" s="39" t="s">
        <v>110</v>
      </c>
      <c r="F5682" s="47" t="s">
        <v>48</v>
      </c>
      <c r="G5682" s="47" t="s">
        <v>49</v>
      </c>
      <c r="H5682"/>
      <c r="I5682" s="47" t="b">
        <v>0</v>
      </c>
      <c r="J5682" s="47" t="b">
        <v>0</v>
      </c>
      <c r="K5682" s="47">
        <v>2342</v>
      </c>
      <c r="L5682" s="48">
        <v>8</v>
      </c>
      <c r="M5682" s="47">
        <v>0</v>
      </c>
      <c r="N5682" s="47">
        <v>1</v>
      </c>
      <c r="O5682" s="47">
        <v>0</v>
      </c>
      <c r="P5682" s="47">
        <v>0</v>
      </c>
      <c r="Q5682" s="47">
        <v>0</v>
      </c>
      <c r="R5682" s="47">
        <v>0</v>
      </c>
      <c r="S5682" s="48">
        <v>2</v>
      </c>
      <c r="T5682" s="47">
        <v>0</v>
      </c>
      <c r="U5682" s="47">
        <v>0</v>
      </c>
      <c r="V5682" s="47">
        <v>1</v>
      </c>
      <c r="W5682" s="47">
        <v>6000</v>
      </c>
      <c r="X5682" s="47">
        <v>888</v>
      </c>
      <c r="Y5682" s="47"/>
      <c r="Z5682" s="47" t="s">
        <v>2466</v>
      </c>
      <c r="AA5682" s="49"/>
      <c r="AB5682" s="49"/>
      <c r="AC5682" s="49"/>
      <c r="AD5682" s="50"/>
      <c r="AE5682" s="47" t="s">
        <v>1312</v>
      </c>
      <c r="AF5682" s="47">
        <v>290</v>
      </c>
      <c r="AG5682"/>
      <c r="AH5682"/>
      <c r="AI5682"/>
      <c r="AJ5682"/>
      <c r="AK5682"/>
      <c r="AL5682"/>
      <c r="AM5682"/>
      <c r="AN5682"/>
      <c r="AO5682"/>
      <c r="AP5682"/>
      <c r="AQ5682" t="s">
        <v>2526</v>
      </c>
      <c r="AU5682">
        <v>5681</v>
      </c>
    </row>
    <row r="5683" spans="1:47" x14ac:dyDescent="0.2">
      <c r="A5683" s="133">
        <v>6808</v>
      </c>
      <c r="B5683" s="39" t="s">
        <v>45</v>
      </c>
      <c r="C5683" s="39">
        <v>216</v>
      </c>
      <c r="D5683" s="29" t="b">
        <v>0</v>
      </c>
      <c r="E5683" s="39" t="s">
        <v>3542</v>
      </c>
      <c r="F5683" s="47" t="s">
        <v>48</v>
      </c>
      <c r="G5683" s="47" t="s">
        <v>49</v>
      </c>
      <c r="H5683"/>
      <c r="I5683" s="47" t="b">
        <v>0</v>
      </c>
      <c r="J5683" s="47" t="b">
        <v>0</v>
      </c>
      <c r="K5683" s="47">
        <v>2566</v>
      </c>
      <c r="L5683" s="48">
        <v>8</v>
      </c>
      <c r="M5683" s="47">
        <v>0</v>
      </c>
      <c r="N5683" s="47">
        <v>1</v>
      </c>
      <c r="O5683" s="47">
        <v>0</v>
      </c>
      <c r="P5683" s="47">
        <v>0</v>
      </c>
      <c r="Q5683" s="47">
        <v>0</v>
      </c>
      <c r="R5683" s="47">
        <v>0</v>
      </c>
      <c r="S5683" s="48">
        <v>2</v>
      </c>
      <c r="T5683" s="47">
        <v>0</v>
      </c>
      <c r="U5683" s="47">
        <v>0</v>
      </c>
      <c r="V5683" s="47">
        <v>1</v>
      </c>
      <c r="W5683" s="47">
        <v>6000</v>
      </c>
      <c r="X5683" s="47">
        <v>889</v>
      </c>
      <c r="Y5683" s="47"/>
      <c r="Z5683" s="47" t="s">
        <v>2466</v>
      </c>
      <c r="AA5683" s="49"/>
      <c r="AB5683" s="49"/>
      <c r="AC5683" s="49"/>
      <c r="AD5683" s="50"/>
      <c r="AE5683" s="47" t="s">
        <v>1312</v>
      </c>
      <c r="AF5683" s="47">
        <v>130</v>
      </c>
      <c r="AG5683"/>
      <c r="AH5683"/>
      <c r="AI5683"/>
      <c r="AJ5683"/>
      <c r="AK5683"/>
      <c r="AL5683"/>
      <c r="AM5683"/>
      <c r="AN5683"/>
      <c r="AO5683"/>
      <c r="AP5683"/>
      <c r="AQ5683" t="s">
        <v>2526</v>
      </c>
      <c r="AU5683">
        <v>5682</v>
      </c>
    </row>
    <row r="5684" spans="1:47" x14ac:dyDescent="0.2">
      <c r="A5684" s="133">
        <v>6808</v>
      </c>
      <c r="B5684" s="39" t="s">
        <v>45</v>
      </c>
      <c r="C5684" s="39">
        <v>216</v>
      </c>
      <c r="D5684" s="29" t="b">
        <v>0</v>
      </c>
      <c r="E5684" s="39" t="s">
        <v>5707</v>
      </c>
      <c r="F5684" s="47" t="s">
        <v>529</v>
      </c>
      <c r="G5684" s="47" t="s">
        <v>205</v>
      </c>
      <c r="H5684"/>
      <c r="I5684" s="47" t="b">
        <v>0</v>
      </c>
      <c r="J5684" s="47" t="b">
        <v>0</v>
      </c>
      <c r="K5684" s="47">
        <v>1222</v>
      </c>
      <c r="L5684" s="48">
        <v>8</v>
      </c>
      <c r="M5684" s="47">
        <v>0</v>
      </c>
      <c r="N5684" s="47">
        <v>1</v>
      </c>
      <c r="O5684" s="47">
        <v>0</v>
      </c>
      <c r="P5684" s="47">
        <v>0</v>
      </c>
      <c r="Q5684" s="47">
        <v>0</v>
      </c>
      <c r="R5684" s="47">
        <v>0</v>
      </c>
      <c r="S5684" s="48">
        <v>1</v>
      </c>
      <c r="T5684" s="47">
        <v>0</v>
      </c>
      <c r="U5684" s="47">
        <v>0</v>
      </c>
      <c r="V5684" s="47">
        <v>1</v>
      </c>
      <c r="W5684" s="47">
        <v>7000</v>
      </c>
      <c r="X5684" s="47">
        <v>890</v>
      </c>
      <c r="Y5684" s="47"/>
      <c r="Z5684" s="47" t="s">
        <v>2466</v>
      </c>
      <c r="AA5684" s="49"/>
      <c r="AB5684" s="49"/>
      <c r="AC5684" s="49"/>
      <c r="AD5684" s="50"/>
      <c r="AE5684" s="47" t="s">
        <v>1312</v>
      </c>
      <c r="AF5684" s="47">
        <v>75</v>
      </c>
      <c r="AG5684"/>
      <c r="AH5684"/>
      <c r="AI5684"/>
      <c r="AJ5684"/>
      <c r="AK5684"/>
      <c r="AL5684"/>
      <c r="AM5684"/>
      <c r="AN5684"/>
      <c r="AO5684"/>
      <c r="AP5684"/>
      <c r="AQ5684" t="s">
        <v>2526</v>
      </c>
      <c r="AU5684">
        <v>5683</v>
      </c>
    </row>
    <row r="5685" spans="1:47" x14ac:dyDescent="0.2">
      <c r="A5685" s="13">
        <v>6808</v>
      </c>
      <c r="B5685" s="57" t="s">
        <v>45</v>
      </c>
      <c r="C5685" s="57" t="s">
        <v>142</v>
      </c>
      <c r="D5685" s="29"/>
      <c r="E5685" s="39" t="s">
        <v>6641</v>
      </c>
      <c r="F5685" s="47" t="s">
        <v>6463</v>
      </c>
      <c r="G5685" s="47" t="s">
        <v>69</v>
      </c>
      <c r="H5685"/>
      <c r="I5685" s="47" t="b">
        <v>1</v>
      </c>
      <c r="J5685" s="47" t="b">
        <v>1</v>
      </c>
      <c r="K5685" s="47">
        <f>2595*2.2</f>
        <v>5709.0000000000009</v>
      </c>
      <c r="L5685" s="48">
        <f>11+1</f>
        <v>12</v>
      </c>
      <c r="M5685" s="47"/>
      <c r="N5685" s="47">
        <v>1</v>
      </c>
      <c r="O5685" s="47"/>
      <c r="P5685" s="47"/>
      <c r="Q5685" s="47"/>
      <c r="R5685" s="47"/>
      <c r="S5685" s="48">
        <f>10+1</f>
        <v>11</v>
      </c>
      <c r="T5685" s="47">
        <v>0</v>
      </c>
      <c r="U5685" s="47">
        <v>1</v>
      </c>
      <c r="V5685" s="47">
        <v>0</v>
      </c>
      <c r="W5685" s="47"/>
      <c r="X5685" s="47"/>
      <c r="Y5685" s="47" t="s">
        <v>51</v>
      </c>
      <c r="Z5685" s="47"/>
      <c r="AA5685" s="49"/>
      <c r="AB5685" s="49"/>
      <c r="AC5685" s="49"/>
      <c r="AD5685" s="50"/>
      <c r="AE5685" s="47"/>
      <c r="AF5685" s="47"/>
      <c r="AG5685"/>
      <c r="AH5685"/>
      <c r="AI5685"/>
      <c r="AJ5685"/>
      <c r="AK5685">
        <f>10+47+3+1+2+3+14</f>
        <v>80</v>
      </c>
      <c r="AL5685"/>
      <c r="AM5685"/>
      <c r="AN5685"/>
      <c r="AO5685"/>
      <c r="AP5685"/>
      <c r="AQ5685" t="s">
        <v>6642</v>
      </c>
      <c r="AR5685" s="32" t="s">
        <v>6643</v>
      </c>
      <c r="AU5685">
        <v>5684</v>
      </c>
    </row>
    <row r="5686" spans="1:47" x14ac:dyDescent="0.2">
      <c r="A5686" s="13">
        <v>6808</v>
      </c>
      <c r="B5686" s="57" t="s">
        <v>45</v>
      </c>
      <c r="C5686" s="57" t="s">
        <v>142</v>
      </c>
      <c r="D5686" s="29"/>
      <c r="E5686" s="57" t="s">
        <v>5772</v>
      </c>
      <c r="F5686" s="31" t="s">
        <v>6354</v>
      </c>
      <c r="G5686" s="31" t="s">
        <v>69</v>
      </c>
      <c r="I5686" s="47" t="b">
        <v>0</v>
      </c>
      <c r="J5686" s="47" t="b">
        <v>0</v>
      </c>
      <c r="K5686" s="31">
        <v>3399</v>
      </c>
      <c r="S5686" s="33">
        <v>6</v>
      </c>
      <c r="AK5686" s="32">
        <v>53</v>
      </c>
      <c r="AQ5686" s="32" t="s">
        <v>6522</v>
      </c>
      <c r="AU5686">
        <v>5685</v>
      </c>
    </row>
    <row r="5687" spans="1:47" x14ac:dyDescent="0.2">
      <c r="A5687" s="13">
        <v>6808</v>
      </c>
      <c r="B5687" s="57" t="s">
        <v>45</v>
      </c>
      <c r="C5687" s="57" t="s">
        <v>142</v>
      </c>
      <c r="D5687" s="29"/>
      <c r="E5687" s="57" t="s">
        <v>3876</v>
      </c>
      <c r="F5687" s="31" t="s">
        <v>76</v>
      </c>
      <c r="G5687" s="31" t="s">
        <v>49</v>
      </c>
      <c r="I5687" s="47" t="b">
        <v>0</v>
      </c>
      <c r="J5687" s="47" t="b">
        <v>0</v>
      </c>
      <c r="K5687" s="31">
        <v>1199</v>
      </c>
      <c r="S5687" s="33">
        <v>2</v>
      </c>
      <c r="AK5687" s="32">
        <v>16</v>
      </c>
      <c r="AQ5687" s="32" t="s">
        <v>6522</v>
      </c>
      <c r="AU5687">
        <v>5686</v>
      </c>
    </row>
    <row r="5688" spans="1:47" x14ac:dyDescent="0.2">
      <c r="A5688" s="13">
        <v>6808</v>
      </c>
      <c r="B5688" s="57" t="s">
        <v>45</v>
      </c>
      <c r="C5688" s="57" t="s">
        <v>142</v>
      </c>
      <c r="D5688" s="29"/>
      <c r="E5688" s="57" t="s">
        <v>6610</v>
      </c>
      <c r="F5688" s="31" t="s">
        <v>6354</v>
      </c>
      <c r="G5688" s="31" t="s">
        <v>69</v>
      </c>
      <c r="I5688" s="47" t="b">
        <v>0</v>
      </c>
      <c r="J5688" s="47" t="b">
        <v>0</v>
      </c>
      <c r="K5688" s="31">
        <v>407</v>
      </c>
      <c r="S5688" s="33">
        <v>1</v>
      </c>
      <c r="AK5688" s="32">
        <v>7</v>
      </c>
      <c r="AQ5688" s="32" t="s">
        <v>6522</v>
      </c>
      <c r="AU5688">
        <v>5687</v>
      </c>
    </row>
    <row r="5689" spans="1:47" x14ac:dyDescent="0.2">
      <c r="A5689" s="13">
        <v>6808</v>
      </c>
      <c r="B5689" s="57" t="s">
        <v>45</v>
      </c>
      <c r="C5689" s="57" t="s">
        <v>142</v>
      </c>
      <c r="D5689" s="29"/>
      <c r="E5689" s="57" t="s">
        <v>3936</v>
      </c>
      <c r="F5689" s="31" t="s">
        <v>76</v>
      </c>
      <c r="G5689" s="31" t="s">
        <v>49</v>
      </c>
      <c r="I5689" s="47" t="b">
        <v>0</v>
      </c>
      <c r="J5689" s="47" t="b">
        <v>0</v>
      </c>
      <c r="K5689" s="31">
        <v>704</v>
      </c>
      <c r="S5689" s="33">
        <v>1</v>
      </c>
      <c r="AK5689" s="32">
        <v>11</v>
      </c>
      <c r="AQ5689" s="32" t="s">
        <v>6522</v>
      </c>
      <c r="AU5689">
        <v>5688</v>
      </c>
    </row>
    <row r="5690" spans="1:47" x14ac:dyDescent="0.2">
      <c r="A5690" s="13">
        <v>6808</v>
      </c>
      <c r="B5690" s="57" t="s">
        <v>45</v>
      </c>
      <c r="C5690" s="57" t="s">
        <v>5765</v>
      </c>
      <c r="D5690" s="29"/>
      <c r="E5690" s="57" t="s">
        <v>179</v>
      </c>
      <c r="F5690" s="31" t="s">
        <v>76</v>
      </c>
      <c r="G5690" s="31" t="s">
        <v>49</v>
      </c>
      <c r="K5690" s="31">
        <v>1870</v>
      </c>
      <c r="Z5690" s="31" t="s">
        <v>1846</v>
      </c>
      <c r="AE5690" s="31" t="s">
        <v>4176</v>
      </c>
      <c r="AF5690" s="31">
        <v>45</v>
      </c>
      <c r="AK5690" s="32">
        <v>17</v>
      </c>
      <c r="AQ5690" s="32" t="s">
        <v>6611</v>
      </c>
      <c r="AU5690">
        <v>5689</v>
      </c>
    </row>
    <row r="5691" spans="1:47" x14ac:dyDescent="0.2">
      <c r="A5691" s="13">
        <v>6808</v>
      </c>
      <c r="B5691" s="57" t="s">
        <v>45</v>
      </c>
      <c r="C5691" s="57" t="s">
        <v>5765</v>
      </c>
      <c r="D5691" s="29"/>
      <c r="E5691" s="57" t="s">
        <v>1764</v>
      </c>
      <c r="F5691" s="31" t="s">
        <v>76</v>
      </c>
      <c r="G5691" s="31" t="s">
        <v>49</v>
      </c>
      <c r="I5691" s="31" t="s">
        <v>6644</v>
      </c>
      <c r="K5691" s="31">
        <f>8580-4*880</f>
        <v>5060</v>
      </c>
      <c r="Z5691" s="31" t="s">
        <v>1846</v>
      </c>
      <c r="AE5691" s="31" t="s">
        <v>4176</v>
      </c>
      <c r="AF5691" s="31">
        <v>95</v>
      </c>
      <c r="AK5691" s="32">
        <f>77-32</f>
        <v>45</v>
      </c>
      <c r="AQ5691" s="32" t="s">
        <v>6611</v>
      </c>
      <c r="AU5691">
        <v>5690</v>
      </c>
    </row>
    <row r="5692" spans="1:47" x14ac:dyDescent="0.2">
      <c r="A5692" s="13">
        <v>6808</v>
      </c>
      <c r="B5692" s="57" t="s">
        <v>45</v>
      </c>
      <c r="C5692" s="57" t="s">
        <v>5765</v>
      </c>
      <c r="D5692" s="29"/>
      <c r="E5692" s="57" t="s">
        <v>788</v>
      </c>
      <c r="F5692" s="31" t="s">
        <v>76</v>
      </c>
      <c r="G5692" s="31" t="s">
        <v>49</v>
      </c>
      <c r="I5692" s="31" t="s">
        <v>6644</v>
      </c>
      <c r="K5692" s="31">
        <f>1980-880</f>
        <v>1100</v>
      </c>
      <c r="Z5692" s="31" t="s">
        <v>1846</v>
      </c>
      <c r="AE5692" s="31" t="s">
        <v>4176</v>
      </c>
      <c r="AF5692" s="31">
        <v>70</v>
      </c>
      <c r="AK5692" s="32">
        <f>17-8</f>
        <v>9</v>
      </c>
      <c r="AQ5692" s="32" t="s">
        <v>6611</v>
      </c>
      <c r="AU5692">
        <v>5691</v>
      </c>
    </row>
    <row r="5693" spans="1:47" x14ac:dyDescent="0.2">
      <c r="A5693" s="13">
        <v>6808</v>
      </c>
      <c r="B5693" s="57" t="s">
        <v>45</v>
      </c>
      <c r="C5693" s="57" t="s">
        <v>5765</v>
      </c>
      <c r="D5693" s="29"/>
      <c r="E5693" s="57" t="s">
        <v>175</v>
      </c>
      <c r="F5693" s="31" t="s">
        <v>76</v>
      </c>
      <c r="G5693" s="31" t="s">
        <v>49</v>
      </c>
      <c r="I5693" s="31" t="s">
        <v>6644</v>
      </c>
      <c r="K5693" s="31">
        <f>2596-2*880</f>
        <v>836</v>
      </c>
      <c r="Z5693" s="31" t="s">
        <v>1846</v>
      </c>
      <c r="AE5693" s="31" t="s">
        <v>4176</v>
      </c>
      <c r="AF5693" s="31">
        <v>55</v>
      </c>
      <c r="AK5693" s="32">
        <f>24-16</f>
        <v>8</v>
      </c>
      <c r="AQ5693" s="32" t="s">
        <v>6611</v>
      </c>
      <c r="AU5693">
        <v>5692</v>
      </c>
    </row>
    <row r="5694" spans="1:47" x14ac:dyDescent="0.2">
      <c r="A5694" s="13">
        <v>6808</v>
      </c>
      <c r="B5694" s="57" t="s">
        <v>45</v>
      </c>
      <c r="C5694" s="57" t="s">
        <v>4456</v>
      </c>
      <c r="D5694" s="29"/>
      <c r="E5694" s="57" t="s">
        <v>1764</v>
      </c>
      <c r="F5694" s="31" t="s">
        <v>76</v>
      </c>
      <c r="G5694" s="31" t="s">
        <v>49</v>
      </c>
      <c r="I5694" s="31" t="s">
        <v>6645</v>
      </c>
      <c r="K5694" s="135">
        <f>4*880</f>
        <v>3520</v>
      </c>
      <c r="L5694" s="33">
        <v>4</v>
      </c>
      <c r="S5694" s="33">
        <v>4</v>
      </c>
      <c r="T5694" s="31">
        <v>0</v>
      </c>
      <c r="U5694" s="31">
        <v>0</v>
      </c>
      <c r="V5694" s="31">
        <v>0</v>
      </c>
      <c r="W5694" s="47">
        <f>((3000+3000+3000+2700)/4)*39.37/12</f>
        <v>9596.4374999999982</v>
      </c>
      <c r="Y5694" s="19" t="s">
        <v>51</v>
      </c>
      <c r="Z5694" s="19" t="s">
        <v>1846</v>
      </c>
      <c r="AA5694" s="34">
        <v>0.89583333333333337</v>
      </c>
      <c r="AB5694" s="34">
        <v>0.12847222222222224</v>
      </c>
      <c r="AC5694" s="49">
        <f>AVERAGE(AA5694:AB5694)</f>
        <v>0.51215277777777779</v>
      </c>
      <c r="AD5694" s="50">
        <v>2.33</v>
      </c>
      <c r="AE5694" s="31" t="s">
        <v>4176</v>
      </c>
      <c r="AF5694" s="31">
        <v>95</v>
      </c>
      <c r="AK5694" s="130">
        <f>8*4</f>
        <v>32</v>
      </c>
      <c r="AQ5694" s="32" t="s">
        <v>6646</v>
      </c>
      <c r="AU5694">
        <v>5693</v>
      </c>
    </row>
    <row r="5695" spans="1:47" x14ac:dyDescent="0.2">
      <c r="A5695" s="13">
        <v>6808</v>
      </c>
      <c r="B5695" s="57" t="s">
        <v>45</v>
      </c>
      <c r="C5695" s="57" t="s">
        <v>4456</v>
      </c>
      <c r="D5695" s="29"/>
      <c r="E5695" s="57" t="s">
        <v>788</v>
      </c>
      <c r="F5695" s="31" t="s">
        <v>76</v>
      </c>
      <c r="G5695" s="31" t="s">
        <v>49</v>
      </c>
      <c r="I5695" s="31" t="s">
        <v>6647</v>
      </c>
      <c r="K5695" s="135">
        <v>880</v>
      </c>
      <c r="L5695" s="33">
        <v>1</v>
      </c>
      <c r="S5695" s="33">
        <v>1</v>
      </c>
      <c r="T5695" s="31">
        <v>0</v>
      </c>
      <c r="U5695" s="31">
        <v>0</v>
      </c>
      <c r="V5695" s="31">
        <v>0</v>
      </c>
      <c r="W5695" s="47">
        <f>2500*39.37/12</f>
        <v>8202.0833333333339</v>
      </c>
      <c r="Y5695" s="19" t="s">
        <v>51</v>
      </c>
      <c r="Z5695" s="19" t="s">
        <v>1846</v>
      </c>
      <c r="AA5695" s="34">
        <v>0.87847222222222221</v>
      </c>
      <c r="AB5695" s="34">
        <v>0.96180555555555547</v>
      </c>
      <c r="AC5695" s="49">
        <f>AVERAGE(AA5695:AB5695)</f>
        <v>0.92013888888888884</v>
      </c>
      <c r="AD5695" s="50">
        <f>(AB5695-AA5695)*24</f>
        <v>1.9999999999999982</v>
      </c>
      <c r="AE5695" s="31" t="s">
        <v>4176</v>
      </c>
      <c r="AF5695" s="31">
        <v>70</v>
      </c>
      <c r="AK5695" s="130">
        <v>8</v>
      </c>
      <c r="AQ5695" s="32" t="s">
        <v>6646</v>
      </c>
      <c r="AU5695">
        <v>5694</v>
      </c>
    </row>
    <row r="5696" spans="1:47" x14ac:dyDescent="0.2">
      <c r="A5696" s="13">
        <v>6808</v>
      </c>
      <c r="B5696" s="57" t="s">
        <v>45</v>
      </c>
      <c r="C5696" s="57" t="s">
        <v>4456</v>
      </c>
      <c r="D5696" s="29"/>
      <c r="E5696" s="57" t="s">
        <v>175</v>
      </c>
      <c r="F5696" s="31" t="s">
        <v>76</v>
      </c>
      <c r="G5696" s="31" t="s">
        <v>49</v>
      </c>
      <c r="I5696" s="31" t="s">
        <v>6648</v>
      </c>
      <c r="K5696" s="135">
        <f>2*880</f>
        <v>1760</v>
      </c>
      <c r="L5696" s="33">
        <v>2</v>
      </c>
      <c r="S5696" s="33">
        <v>2</v>
      </c>
      <c r="T5696" s="31">
        <v>0</v>
      </c>
      <c r="U5696" s="31">
        <v>0</v>
      </c>
      <c r="V5696" s="31">
        <v>0</v>
      </c>
      <c r="W5696" s="47">
        <f>((2000+2400)/2)*39.37/12</f>
        <v>7217.833333333333</v>
      </c>
      <c r="Y5696" s="19" t="s">
        <v>51</v>
      </c>
      <c r="Z5696" s="31" t="s">
        <v>1846</v>
      </c>
      <c r="AA5696" s="34">
        <v>0.87847222222222221</v>
      </c>
      <c r="AB5696" s="34">
        <v>1.09375</v>
      </c>
      <c r="AC5696" s="49">
        <f>AVERAGE(AA5696:AB5696)</f>
        <v>0.98611111111111116</v>
      </c>
      <c r="AD5696" s="50">
        <f>2+1/6</f>
        <v>2.1666666666666665</v>
      </c>
      <c r="AE5696" s="31" t="s">
        <v>4176</v>
      </c>
      <c r="AF5696" s="31">
        <v>55</v>
      </c>
      <c r="AK5696" s="130">
        <f>8*2</f>
        <v>16</v>
      </c>
      <c r="AQ5696" s="32" t="s">
        <v>6646</v>
      </c>
      <c r="AU5696">
        <v>5695</v>
      </c>
    </row>
    <row r="5697" spans="1:47" x14ac:dyDescent="0.2">
      <c r="A5697" s="13">
        <v>6808</v>
      </c>
      <c r="B5697" s="57" t="s">
        <v>45</v>
      </c>
      <c r="C5697" s="57" t="s">
        <v>4456</v>
      </c>
      <c r="D5697" s="29"/>
      <c r="E5697" s="57" t="s">
        <v>3812</v>
      </c>
      <c r="F5697" s="31" t="s">
        <v>1972</v>
      </c>
      <c r="G5697" s="31" t="s">
        <v>481</v>
      </c>
      <c r="I5697" s="31" t="s">
        <v>6649</v>
      </c>
      <c r="K5697" s="31">
        <v>968</v>
      </c>
      <c r="L5697" s="33">
        <v>1</v>
      </c>
      <c r="S5697" s="33">
        <v>1</v>
      </c>
      <c r="T5697" s="31">
        <v>0</v>
      </c>
      <c r="U5697" s="31">
        <v>0</v>
      </c>
      <c r="V5697" s="31">
        <v>0</v>
      </c>
      <c r="W5697" s="47">
        <f>2200*39.37/12</f>
        <v>7217.833333333333</v>
      </c>
      <c r="Y5697" s="19" t="s">
        <v>51</v>
      </c>
      <c r="Z5697" s="19" t="s">
        <v>1846</v>
      </c>
      <c r="AA5697" s="34">
        <v>0.875</v>
      </c>
      <c r="AB5697" s="34">
        <v>1</v>
      </c>
      <c r="AC5697" s="49">
        <f>AVERAGE(AA5697:AB5697)</f>
        <v>0.9375</v>
      </c>
      <c r="AD5697" s="50">
        <f>(AB5697-AA5697)*24</f>
        <v>3</v>
      </c>
      <c r="AE5697" s="31" t="s">
        <v>4176</v>
      </c>
      <c r="AF5697" s="31">
        <v>105</v>
      </c>
      <c r="AK5697" s="32">
        <v>8</v>
      </c>
      <c r="AQ5697" s="32" t="s">
        <v>6650</v>
      </c>
      <c r="AU5697">
        <v>5696</v>
      </c>
    </row>
    <row r="5698" spans="1:47" x14ac:dyDescent="0.2">
      <c r="A5698" s="13">
        <v>6808</v>
      </c>
      <c r="B5698" s="57" t="s">
        <v>45</v>
      </c>
      <c r="C5698" s="57" t="s">
        <v>4843</v>
      </c>
      <c r="D5698" s="29"/>
      <c r="E5698" s="57" t="s">
        <v>6527</v>
      </c>
      <c r="F5698" s="31" t="s">
        <v>76</v>
      </c>
      <c r="G5698" s="31" t="s">
        <v>49</v>
      </c>
      <c r="K5698" s="31">
        <v>1188</v>
      </c>
      <c r="S5698" s="33">
        <v>2</v>
      </c>
      <c r="Z5698" s="31" t="s">
        <v>3814</v>
      </c>
      <c r="AE5698" s="31" t="s">
        <v>4411</v>
      </c>
      <c r="AF5698" s="31">
        <v>100</v>
      </c>
      <c r="AK5698" s="32">
        <v>14</v>
      </c>
      <c r="AQ5698" s="32" t="s">
        <v>6522</v>
      </c>
      <c r="AU5698">
        <v>5697</v>
      </c>
    </row>
    <row r="5699" spans="1:47" x14ac:dyDescent="0.2">
      <c r="A5699" s="13">
        <v>6808</v>
      </c>
      <c r="B5699" s="57" t="s">
        <v>45</v>
      </c>
      <c r="C5699" s="57" t="s">
        <v>4843</v>
      </c>
      <c r="D5699" s="29"/>
      <c r="E5699" s="57" t="s">
        <v>6610</v>
      </c>
      <c r="F5699" s="31" t="s">
        <v>6354</v>
      </c>
      <c r="G5699" s="31" t="s">
        <v>69</v>
      </c>
      <c r="K5699" s="31">
        <v>1562</v>
      </c>
      <c r="S5699" s="33">
        <v>3</v>
      </c>
      <c r="Z5699" s="31" t="s">
        <v>3814</v>
      </c>
      <c r="AE5699" s="31" t="s">
        <v>4411</v>
      </c>
      <c r="AF5699" s="31">
        <v>55</v>
      </c>
      <c r="AK5699" s="32">
        <v>23</v>
      </c>
      <c r="AQ5699" s="32" t="s">
        <v>6522</v>
      </c>
      <c r="AU5699">
        <v>5698</v>
      </c>
    </row>
    <row r="5700" spans="1:47" x14ac:dyDescent="0.2">
      <c r="A5700" s="13">
        <v>6808</v>
      </c>
      <c r="B5700" s="57" t="s">
        <v>45</v>
      </c>
      <c r="C5700" s="57" t="s">
        <v>4843</v>
      </c>
      <c r="D5700" s="29"/>
      <c r="E5700" s="57" t="s">
        <v>3936</v>
      </c>
      <c r="F5700" s="31" t="s">
        <v>76</v>
      </c>
      <c r="G5700" s="31" t="s">
        <v>49</v>
      </c>
      <c r="K5700" s="31">
        <v>4180</v>
      </c>
      <c r="S5700" s="33">
        <v>8</v>
      </c>
      <c r="Z5700" s="31" t="s">
        <v>3814</v>
      </c>
      <c r="AE5700" s="31" t="s">
        <v>4411</v>
      </c>
      <c r="AF5700" s="31">
        <v>60</v>
      </c>
      <c r="AK5700" s="32">
        <v>58</v>
      </c>
      <c r="AQ5700" s="32" t="s">
        <v>6522</v>
      </c>
      <c r="AU5700">
        <v>5699</v>
      </c>
    </row>
    <row r="5701" spans="1:47" x14ac:dyDescent="0.2">
      <c r="A5701" s="13">
        <v>6808</v>
      </c>
      <c r="B5701" s="57" t="s">
        <v>45</v>
      </c>
      <c r="C5701" s="57" t="s">
        <v>4843</v>
      </c>
      <c r="D5701" s="29"/>
      <c r="E5701" s="57" t="s">
        <v>3876</v>
      </c>
      <c r="F5701" s="31" t="s">
        <v>76</v>
      </c>
      <c r="G5701" s="31" t="s">
        <v>49</v>
      </c>
      <c r="K5701" s="31">
        <v>4400</v>
      </c>
      <c r="S5701" s="33">
        <v>8</v>
      </c>
      <c r="Z5701" s="31" t="s">
        <v>3814</v>
      </c>
      <c r="AE5701" s="31" t="s">
        <v>4411</v>
      </c>
      <c r="AF5701" s="31">
        <v>70</v>
      </c>
      <c r="AK5701" s="32">
        <v>64</v>
      </c>
      <c r="AQ5701" s="32" t="s">
        <v>6522</v>
      </c>
      <c r="AU5701">
        <v>5700</v>
      </c>
    </row>
    <row r="5702" spans="1:47" x14ac:dyDescent="0.2">
      <c r="A5702" s="13">
        <v>6808</v>
      </c>
      <c r="B5702" s="57" t="s">
        <v>45</v>
      </c>
      <c r="C5702" s="57" t="s">
        <v>6550</v>
      </c>
      <c r="D5702" s="29"/>
      <c r="E5702" s="57" t="s">
        <v>124</v>
      </c>
      <c r="F5702" s="31" t="s">
        <v>76</v>
      </c>
      <c r="G5702" s="31" t="s">
        <v>49</v>
      </c>
      <c r="K5702" s="31">
        <v>1045</v>
      </c>
      <c r="AK5702" s="32">
        <v>15</v>
      </c>
      <c r="AQ5702" s="32" t="s">
        <v>6552</v>
      </c>
      <c r="AU5702">
        <v>5701</v>
      </c>
    </row>
    <row r="5703" spans="1:47" x14ac:dyDescent="0.2">
      <c r="A5703" s="13">
        <v>6808</v>
      </c>
      <c r="B5703" s="57" t="s">
        <v>45</v>
      </c>
      <c r="C5703" s="57" t="s">
        <v>6550</v>
      </c>
      <c r="D5703" s="29"/>
      <c r="E5703" s="57" t="s">
        <v>6651</v>
      </c>
      <c r="K5703" s="31">
        <v>330</v>
      </c>
      <c r="AK5703" s="32">
        <v>3</v>
      </c>
      <c r="AQ5703" s="32" t="s">
        <v>6552</v>
      </c>
      <c r="AU5703">
        <v>5702</v>
      </c>
    </row>
    <row r="5704" spans="1:47" x14ac:dyDescent="0.2">
      <c r="A5704" s="13">
        <v>6808</v>
      </c>
      <c r="B5704" s="57" t="s">
        <v>45</v>
      </c>
      <c r="C5704" s="57" t="s">
        <v>6550</v>
      </c>
      <c r="D5704" s="29"/>
      <c r="E5704" s="57" t="s">
        <v>6652</v>
      </c>
      <c r="F5704" s="31" t="s">
        <v>688</v>
      </c>
      <c r="I5704" s="31" t="s">
        <v>6653</v>
      </c>
      <c r="K5704" s="63"/>
      <c r="AQ5704" s="32" t="s">
        <v>6552</v>
      </c>
      <c r="AU5704">
        <v>5703</v>
      </c>
    </row>
    <row r="5705" spans="1:47" x14ac:dyDescent="0.2">
      <c r="A5705" s="13">
        <v>6808</v>
      </c>
      <c r="B5705" s="57" t="s">
        <v>45</v>
      </c>
      <c r="C5705" s="57" t="s">
        <v>6550</v>
      </c>
      <c r="D5705" s="29"/>
      <c r="E5705" s="57" t="s">
        <v>688</v>
      </c>
      <c r="F5705" s="31" t="s">
        <v>688</v>
      </c>
      <c r="I5705" s="31" t="s">
        <v>6654</v>
      </c>
      <c r="K5705" s="63"/>
      <c r="AQ5705" s="32" t="s">
        <v>6552</v>
      </c>
      <c r="AU5705">
        <v>5704</v>
      </c>
    </row>
    <row r="5706" spans="1:47" x14ac:dyDescent="0.2">
      <c r="A5706" s="13">
        <v>6808</v>
      </c>
      <c r="B5706" s="57" t="s">
        <v>45</v>
      </c>
      <c r="C5706" s="57" t="s">
        <v>6550</v>
      </c>
      <c r="D5706" s="45"/>
      <c r="E5706" s="144" t="s">
        <v>6655</v>
      </c>
      <c r="I5706" s="31" t="s">
        <v>6656</v>
      </c>
      <c r="K5706" s="63"/>
      <c r="AQ5706" s="32" t="s">
        <v>6552</v>
      </c>
      <c r="AU5706">
        <v>5705</v>
      </c>
    </row>
    <row r="5707" spans="1:47" x14ac:dyDescent="0.2">
      <c r="A5707" s="13">
        <v>6808</v>
      </c>
      <c r="B5707" s="57" t="s">
        <v>45</v>
      </c>
      <c r="C5707" s="57" t="s">
        <v>6550</v>
      </c>
      <c r="D5707" s="29"/>
      <c r="E5707" s="57" t="s">
        <v>819</v>
      </c>
      <c r="F5707" s="31" t="s">
        <v>76</v>
      </c>
      <c r="G5707" s="31" t="s">
        <v>49</v>
      </c>
      <c r="I5707" s="31" t="s">
        <v>6657</v>
      </c>
      <c r="K5707" s="63"/>
      <c r="AQ5707" s="32" t="s">
        <v>6552</v>
      </c>
      <c r="AU5707">
        <v>5706</v>
      </c>
    </row>
    <row r="5708" spans="1:47" x14ac:dyDescent="0.2">
      <c r="A5708" s="13">
        <v>6808</v>
      </c>
      <c r="B5708" s="57" t="s">
        <v>45</v>
      </c>
      <c r="C5708" s="57" t="s">
        <v>6550</v>
      </c>
      <c r="D5708" s="29"/>
      <c r="E5708" s="57" t="s">
        <v>1895</v>
      </c>
      <c r="I5708" s="31" t="s">
        <v>6658</v>
      </c>
      <c r="K5708" s="63"/>
      <c r="AQ5708" s="32" t="s">
        <v>6552</v>
      </c>
      <c r="AU5708">
        <v>5707</v>
      </c>
    </row>
    <row r="5709" spans="1:47" x14ac:dyDescent="0.2">
      <c r="A5709" s="13">
        <v>6808</v>
      </c>
      <c r="B5709" s="57" t="s">
        <v>45</v>
      </c>
      <c r="C5709" s="57" t="s">
        <v>6550</v>
      </c>
      <c r="D5709" s="29"/>
      <c r="E5709" s="57" t="s">
        <v>6557</v>
      </c>
      <c r="I5709" s="31" t="s">
        <v>6558</v>
      </c>
      <c r="J5709" s="33"/>
      <c r="K5709" s="193"/>
      <c r="AQ5709" s="32" t="s">
        <v>6552</v>
      </c>
      <c r="AU5709">
        <v>5708</v>
      </c>
    </row>
    <row r="5710" spans="1:47" x14ac:dyDescent="0.2">
      <c r="A5710" s="13">
        <v>6808</v>
      </c>
      <c r="B5710" s="57" t="s">
        <v>45</v>
      </c>
      <c r="C5710" s="57" t="s">
        <v>6550</v>
      </c>
      <c r="D5710" s="29"/>
      <c r="E5710" s="57" t="s">
        <v>688</v>
      </c>
      <c r="F5710" s="31" t="s">
        <v>76</v>
      </c>
      <c r="G5710" s="31" t="s">
        <v>49</v>
      </c>
      <c r="I5710" s="31" t="s">
        <v>6559</v>
      </c>
      <c r="K5710" s="63"/>
      <c r="AQ5710" s="32" t="s">
        <v>6552</v>
      </c>
      <c r="AU5710">
        <v>5709</v>
      </c>
    </row>
    <row r="5711" spans="1:47" x14ac:dyDescent="0.2">
      <c r="A5711" s="13">
        <v>6808</v>
      </c>
      <c r="B5711" s="57" t="s">
        <v>45</v>
      </c>
      <c r="C5711" s="57" t="s">
        <v>6550</v>
      </c>
      <c r="D5711" s="29"/>
      <c r="E5711" s="57" t="s">
        <v>447</v>
      </c>
      <c r="F5711" s="31" t="s">
        <v>4413</v>
      </c>
      <c r="I5711" s="31" t="s">
        <v>6659</v>
      </c>
      <c r="J5711" s="33"/>
      <c r="K5711" s="193"/>
      <c r="AQ5711" s="32" t="s">
        <v>6552</v>
      </c>
      <c r="AU5711">
        <v>5710</v>
      </c>
    </row>
    <row r="5712" spans="1:47" x14ac:dyDescent="0.2">
      <c r="A5712" s="26">
        <v>6808</v>
      </c>
      <c r="B5712" s="27">
        <v>7.6388888888888895E-2</v>
      </c>
      <c r="C5712" s="28"/>
      <c r="D5712" s="29"/>
      <c r="E5712" s="30" t="s">
        <v>464</v>
      </c>
      <c r="H5712" s="32">
        <v>1</v>
      </c>
      <c r="I5712" s="32" t="s">
        <v>6660</v>
      </c>
      <c r="AG5712" s="32">
        <v>0</v>
      </c>
      <c r="AH5712" s="32">
        <v>2</v>
      </c>
      <c r="AL5712" s="32">
        <v>2.5</v>
      </c>
      <c r="AO5712" s="32" t="s">
        <v>1898</v>
      </c>
      <c r="AP5712" s="32">
        <v>2.5</v>
      </c>
      <c r="AQ5712" s="32" t="s">
        <v>6661</v>
      </c>
      <c r="AU5712">
        <v>5711</v>
      </c>
    </row>
    <row r="5713" spans="1:47" x14ac:dyDescent="0.2">
      <c r="A5713" s="26">
        <v>6808</v>
      </c>
      <c r="B5713" s="27">
        <v>0.48958333333333331</v>
      </c>
      <c r="C5713" s="28"/>
      <c r="D5713" s="29"/>
      <c r="E5713" s="30" t="s">
        <v>4219</v>
      </c>
      <c r="H5713" s="32">
        <v>0</v>
      </c>
      <c r="I5713" s="32" t="s">
        <v>6662</v>
      </c>
      <c r="AG5713" s="32">
        <v>0</v>
      </c>
      <c r="AH5713" s="32">
        <v>0</v>
      </c>
      <c r="AI5713" s="32">
        <v>0</v>
      </c>
      <c r="AK5713" s="32">
        <v>0</v>
      </c>
      <c r="AL5713" s="32">
        <f>1/6</f>
        <v>0.16666666666666666</v>
      </c>
      <c r="AO5713" s="32" t="s">
        <v>858</v>
      </c>
      <c r="AP5713" s="32">
        <f>1/6</f>
        <v>0.16666666666666666</v>
      </c>
      <c r="AQ5713" s="32" t="s">
        <v>1101</v>
      </c>
      <c r="AU5713">
        <v>5712</v>
      </c>
    </row>
    <row r="5714" spans="1:47" x14ac:dyDescent="0.2">
      <c r="A5714" s="26">
        <v>6808</v>
      </c>
      <c r="B5714" s="27">
        <v>0.48958333333333331</v>
      </c>
      <c r="C5714" s="28"/>
      <c r="D5714" s="29"/>
      <c r="E5714" s="30" t="s">
        <v>3155</v>
      </c>
      <c r="H5714" s="32">
        <v>0</v>
      </c>
      <c r="I5714" s="32" t="s">
        <v>3156</v>
      </c>
      <c r="AG5714" s="32">
        <v>0</v>
      </c>
      <c r="AH5714" s="32">
        <v>0</v>
      </c>
      <c r="AI5714" s="32">
        <v>0</v>
      </c>
      <c r="AK5714" s="32">
        <v>0</v>
      </c>
      <c r="AP5714" s="32">
        <v>2</v>
      </c>
      <c r="AQ5714" s="32" t="s">
        <v>1101</v>
      </c>
      <c r="AU5714">
        <v>5713</v>
      </c>
    </row>
    <row r="5715" spans="1:47" x14ac:dyDescent="0.2">
      <c r="A5715" s="26">
        <v>6808</v>
      </c>
      <c r="B5715" s="27">
        <v>0.49444444444444446</v>
      </c>
      <c r="C5715" s="28"/>
      <c r="D5715" s="29"/>
      <c r="E5715" s="30" t="s">
        <v>5224</v>
      </c>
      <c r="H5715" s="32">
        <v>0</v>
      </c>
      <c r="I5715" s="32" t="s">
        <v>5225</v>
      </c>
      <c r="AG5715" s="32">
        <v>0</v>
      </c>
      <c r="AH5715" s="32">
        <v>0</v>
      </c>
      <c r="AI5715" s="32">
        <v>0</v>
      </c>
      <c r="AK5715" s="32">
        <v>0</v>
      </c>
      <c r="AL5715" s="32">
        <f>146/60</f>
        <v>2.4333333333333331</v>
      </c>
      <c r="AP5715" s="32">
        <f>146/60</f>
        <v>2.4333333333333331</v>
      </c>
      <c r="AQ5715" s="32" t="s">
        <v>1101</v>
      </c>
      <c r="AU5715">
        <v>5714</v>
      </c>
    </row>
    <row r="5716" spans="1:47" x14ac:dyDescent="0.2">
      <c r="A5716" s="26">
        <v>6808</v>
      </c>
      <c r="B5716" s="27">
        <v>0.5</v>
      </c>
      <c r="C5716" s="28"/>
      <c r="D5716" s="29"/>
      <c r="E5716" s="30" t="s">
        <v>3063</v>
      </c>
      <c r="H5716" s="32">
        <v>1</v>
      </c>
      <c r="I5716" s="32" t="s">
        <v>6663</v>
      </c>
      <c r="AL5716" s="32">
        <v>6</v>
      </c>
      <c r="AQ5716" s="32">
        <v>375</v>
      </c>
      <c r="AU5716">
        <v>5715</v>
      </c>
    </row>
    <row r="5717" spans="1:47" x14ac:dyDescent="0.2">
      <c r="A5717" s="26">
        <v>6808</v>
      </c>
      <c r="B5717" s="27">
        <v>0.5180555555555556</v>
      </c>
      <c r="C5717" s="28"/>
      <c r="D5717" s="29"/>
      <c r="E5717" s="30" t="s">
        <v>464</v>
      </c>
      <c r="H5717" s="32">
        <v>0</v>
      </c>
      <c r="I5717" s="32" t="s">
        <v>6664</v>
      </c>
      <c r="AG5717" s="32">
        <v>0</v>
      </c>
      <c r="AH5717" s="32">
        <v>0</v>
      </c>
      <c r="AL5717" s="32">
        <f>27/60</f>
        <v>0.45</v>
      </c>
      <c r="AO5717" s="32" t="s">
        <v>4067</v>
      </c>
      <c r="AP5717" s="32">
        <f>27/60</f>
        <v>0.45</v>
      </c>
      <c r="AQ5717" s="32" t="s">
        <v>1522</v>
      </c>
      <c r="AU5717">
        <v>5716</v>
      </c>
    </row>
    <row r="5718" spans="1:47" x14ac:dyDescent="0.2">
      <c r="A5718" s="26">
        <v>6808</v>
      </c>
      <c r="B5718" s="27">
        <v>0.53263888888888888</v>
      </c>
      <c r="C5718" s="28"/>
      <c r="D5718" s="29"/>
      <c r="E5718" s="30" t="s">
        <v>4709</v>
      </c>
      <c r="H5718" s="32">
        <v>0</v>
      </c>
      <c r="I5718" s="32" t="s">
        <v>4710</v>
      </c>
      <c r="AG5718" s="32">
        <v>0</v>
      </c>
      <c r="AH5718" s="32">
        <v>0</v>
      </c>
      <c r="AI5718" s="32">
        <v>0</v>
      </c>
      <c r="AK5718" s="32">
        <v>0</v>
      </c>
      <c r="AL5718" s="32">
        <f>68/60</f>
        <v>1.1333333333333333</v>
      </c>
      <c r="AM5718" s="32">
        <f>AL5718*(261300+974800)/18.75</f>
        <v>74715.377777777772</v>
      </c>
      <c r="AO5718" s="32" t="s">
        <v>6665</v>
      </c>
      <c r="AP5718" s="32">
        <f>68/60</f>
        <v>1.1333333333333333</v>
      </c>
      <c r="AQ5718" s="32" t="s">
        <v>589</v>
      </c>
      <c r="AU5718">
        <v>5717</v>
      </c>
    </row>
    <row r="5719" spans="1:47" x14ac:dyDescent="0.2">
      <c r="A5719" s="26">
        <v>6808</v>
      </c>
      <c r="B5719" s="27">
        <v>0.53749999999999998</v>
      </c>
      <c r="C5719" s="28"/>
      <c r="D5719" s="29"/>
      <c r="E5719" s="30" t="s">
        <v>3737</v>
      </c>
      <c r="H5719" s="32">
        <v>0</v>
      </c>
      <c r="I5719" s="32" t="s">
        <v>4926</v>
      </c>
      <c r="AG5719" s="32">
        <v>0</v>
      </c>
      <c r="AH5719" s="32">
        <v>0</v>
      </c>
      <c r="AI5719" s="32">
        <v>0</v>
      </c>
      <c r="AK5719" s="32">
        <v>0</v>
      </c>
      <c r="AM5719" s="74"/>
      <c r="AQ5719" s="32" t="s">
        <v>1101</v>
      </c>
      <c r="AU5719">
        <v>5718</v>
      </c>
    </row>
    <row r="5720" spans="1:47" x14ac:dyDescent="0.2">
      <c r="A5720" s="26">
        <v>6808</v>
      </c>
      <c r="B5720" s="27">
        <v>0.54861111111111105</v>
      </c>
      <c r="C5720" s="28"/>
      <c r="D5720" s="29"/>
      <c r="E5720" s="30" t="s">
        <v>631</v>
      </c>
      <c r="H5720" s="32">
        <v>0</v>
      </c>
      <c r="I5720" s="32" t="s">
        <v>837</v>
      </c>
      <c r="AG5720" s="32">
        <v>0</v>
      </c>
      <c r="AH5720" s="32">
        <v>0</v>
      </c>
      <c r="AI5720" s="32">
        <v>0</v>
      </c>
      <c r="AK5720" s="32">
        <v>0</v>
      </c>
      <c r="AL5720" s="32">
        <v>0.5</v>
      </c>
      <c r="AP5720" s="32">
        <v>0.5</v>
      </c>
      <c r="AQ5720" s="32">
        <v>465</v>
      </c>
      <c r="AU5720">
        <v>5719</v>
      </c>
    </row>
    <row r="5721" spans="1:47" x14ac:dyDescent="0.2">
      <c r="A5721" s="26">
        <v>6808</v>
      </c>
      <c r="B5721" s="27">
        <v>0.6875</v>
      </c>
      <c r="C5721" s="28"/>
      <c r="D5721" s="29"/>
      <c r="E5721" s="30" t="s">
        <v>464</v>
      </c>
      <c r="H5721" s="32">
        <v>0</v>
      </c>
      <c r="I5721" s="32" t="s">
        <v>6666</v>
      </c>
      <c r="AG5721" s="32">
        <v>0</v>
      </c>
      <c r="AH5721" s="32">
        <v>0</v>
      </c>
      <c r="AL5721" s="32">
        <f>74/60</f>
        <v>1.2333333333333334</v>
      </c>
      <c r="AO5721" s="32" t="s">
        <v>4067</v>
      </c>
      <c r="AP5721" s="32">
        <f>74/60</f>
        <v>1.2333333333333334</v>
      </c>
      <c r="AQ5721" s="32" t="s">
        <v>1522</v>
      </c>
      <c r="AU5721">
        <v>5720</v>
      </c>
    </row>
    <row r="5722" spans="1:47" x14ac:dyDescent="0.2">
      <c r="A5722" s="26">
        <v>6808</v>
      </c>
      <c r="B5722" s="27">
        <v>0.94791666666666663</v>
      </c>
      <c r="C5722" s="28"/>
      <c r="D5722" s="29"/>
      <c r="E5722" s="30" t="s">
        <v>464</v>
      </c>
      <c r="H5722" s="32">
        <v>0</v>
      </c>
      <c r="I5722" s="32" t="s">
        <v>6667</v>
      </c>
      <c r="AG5722" s="32">
        <v>0</v>
      </c>
      <c r="AH5722" s="32">
        <v>0</v>
      </c>
      <c r="AL5722" s="32">
        <f>170/60</f>
        <v>2.8333333333333335</v>
      </c>
      <c r="AO5722" s="32" t="s">
        <v>4067</v>
      </c>
      <c r="AP5722" s="32">
        <f>170/60</f>
        <v>2.8333333333333335</v>
      </c>
      <c r="AQ5722" s="32" t="s">
        <v>1522</v>
      </c>
      <c r="AU5722">
        <v>5721</v>
      </c>
    </row>
    <row r="5723" spans="1:47" x14ac:dyDescent="0.2">
      <c r="A5723" s="26">
        <v>6808</v>
      </c>
      <c r="B5723" s="27">
        <v>0.95138888888888884</v>
      </c>
      <c r="C5723" s="28"/>
      <c r="D5723" s="29"/>
      <c r="E5723" s="30" t="s">
        <v>1282</v>
      </c>
      <c r="H5723" s="32">
        <v>1</v>
      </c>
      <c r="I5723" s="32" t="s">
        <v>6668</v>
      </c>
      <c r="AG5723" s="32">
        <v>0</v>
      </c>
      <c r="AH5723" s="32">
        <v>0</v>
      </c>
      <c r="AL5723" s="32">
        <f>(58+9+35+18)/60</f>
        <v>2</v>
      </c>
      <c r="AP5723" s="32">
        <v>2</v>
      </c>
      <c r="AQ5723" s="32" t="s">
        <v>1101</v>
      </c>
      <c r="AU5723">
        <v>5722</v>
      </c>
    </row>
    <row r="5724" spans="1:47" x14ac:dyDescent="0.2">
      <c r="A5724" s="26">
        <v>6808</v>
      </c>
      <c r="B5724" s="27">
        <v>0.95833333333333337</v>
      </c>
      <c r="C5724" s="28"/>
      <c r="D5724" s="29"/>
      <c r="E5724" s="30" t="s">
        <v>4219</v>
      </c>
      <c r="H5724" s="32">
        <v>1</v>
      </c>
      <c r="I5724" s="32" t="s">
        <v>6669</v>
      </c>
      <c r="AL5724" s="32">
        <v>1.5</v>
      </c>
      <c r="AO5724" s="32" t="s">
        <v>858</v>
      </c>
      <c r="AP5724" s="32">
        <v>1.5</v>
      </c>
      <c r="AQ5724" s="32" t="s">
        <v>1101</v>
      </c>
      <c r="AU5724">
        <v>5723</v>
      </c>
    </row>
    <row r="5725" spans="1:47" x14ac:dyDescent="0.2">
      <c r="A5725" s="26">
        <v>6808</v>
      </c>
      <c r="B5725" s="27">
        <v>0.96111111111111114</v>
      </c>
      <c r="C5725" s="28"/>
      <c r="D5725" s="29"/>
      <c r="E5725" s="30" t="s">
        <v>3737</v>
      </c>
      <c r="H5725" s="32">
        <v>0</v>
      </c>
      <c r="I5725" s="32" t="s">
        <v>4926</v>
      </c>
      <c r="AG5725" s="32">
        <v>0</v>
      </c>
      <c r="AH5725" s="32">
        <v>0</v>
      </c>
      <c r="AI5725" s="32">
        <v>0</v>
      </c>
      <c r="AK5725" s="32">
        <v>0</v>
      </c>
      <c r="AL5725" s="32">
        <f>152/60</f>
        <v>2.5333333333333332</v>
      </c>
      <c r="AM5725" s="33">
        <f>3125*AL5725</f>
        <v>7916.6666666666661</v>
      </c>
      <c r="AP5725" s="32">
        <f>152/60</f>
        <v>2.5333333333333332</v>
      </c>
      <c r="AQ5725" s="32" t="s">
        <v>1101</v>
      </c>
      <c r="AU5725">
        <v>5724</v>
      </c>
    </row>
    <row r="5726" spans="1:47" x14ac:dyDescent="0.2">
      <c r="A5726" s="26">
        <v>6808</v>
      </c>
      <c r="B5726" s="27">
        <v>0.96180555555555547</v>
      </c>
      <c r="C5726" s="28"/>
      <c r="D5726" s="29"/>
      <c r="E5726" s="30" t="s">
        <v>869</v>
      </c>
      <c r="H5726" s="32">
        <v>0</v>
      </c>
      <c r="I5726" s="32" t="s">
        <v>2344</v>
      </c>
      <c r="AG5726" s="32">
        <v>0</v>
      </c>
      <c r="AH5726" s="32">
        <v>0</v>
      </c>
      <c r="AI5726" s="32">
        <v>0</v>
      </c>
      <c r="AK5726" s="32">
        <v>0</v>
      </c>
      <c r="AL5726" s="32">
        <f>26/60</f>
        <v>0.43333333333333335</v>
      </c>
      <c r="AP5726" s="32">
        <f>26/60</f>
        <v>0.43333333333333335</v>
      </c>
      <c r="AQ5726" s="32" t="s">
        <v>589</v>
      </c>
      <c r="AU5726">
        <v>5725</v>
      </c>
    </row>
    <row r="5727" spans="1:47" x14ac:dyDescent="0.2">
      <c r="A5727" s="26">
        <v>6808</v>
      </c>
      <c r="B5727" s="27">
        <v>0.97222222222222221</v>
      </c>
      <c r="C5727" s="28"/>
      <c r="D5727" s="29"/>
      <c r="E5727" s="102" t="s">
        <v>1102</v>
      </c>
      <c r="H5727" s="32">
        <v>0</v>
      </c>
      <c r="I5727" s="32" t="s">
        <v>1103</v>
      </c>
      <c r="AG5727" s="32">
        <v>0</v>
      </c>
      <c r="AH5727" s="32">
        <v>0</v>
      </c>
      <c r="AI5727" s="32">
        <v>0</v>
      </c>
      <c r="AK5727" s="32">
        <v>0</v>
      </c>
      <c r="AL5727" s="32">
        <v>0.25</v>
      </c>
      <c r="AO5727" s="73" t="s">
        <v>1006</v>
      </c>
      <c r="AP5727" s="32">
        <v>0.25</v>
      </c>
      <c r="AQ5727" s="32" t="s">
        <v>589</v>
      </c>
      <c r="AU5727">
        <v>5726</v>
      </c>
    </row>
    <row r="5728" spans="1:47" x14ac:dyDescent="0.2">
      <c r="A5728" s="26">
        <v>6808</v>
      </c>
      <c r="B5728" s="27">
        <v>0.97916666666666663</v>
      </c>
      <c r="C5728" s="28"/>
      <c r="D5728" s="29"/>
      <c r="E5728" s="30" t="s">
        <v>2087</v>
      </c>
      <c r="H5728" s="32">
        <v>0</v>
      </c>
      <c r="I5728" s="32"/>
      <c r="AG5728" s="32">
        <v>0</v>
      </c>
      <c r="AH5728" s="32">
        <v>0</v>
      </c>
      <c r="AI5728" s="32">
        <v>0</v>
      </c>
      <c r="AK5728" s="32">
        <v>0</v>
      </c>
      <c r="AL5728" s="32">
        <v>0</v>
      </c>
      <c r="AP5728" s="32">
        <v>0.5</v>
      </c>
      <c r="AQ5728" s="32" t="s">
        <v>1101</v>
      </c>
      <c r="AU5728">
        <v>5727</v>
      </c>
    </row>
    <row r="5729" spans="1:47" x14ac:dyDescent="0.2">
      <c r="A5729" s="26">
        <v>6808</v>
      </c>
      <c r="B5729" s="27" t="s">
        <v>45</v>
      </c>
      <c r="C5729" s="28"/>
      <c r="D5729" s="29"/>
      <c r="E5729" s="30" t="s">
        <v>1461</v>
      </c>
      <c r="H5729" s="32">
        <v>1</v>
      </c>
      <c r="I5729" s="32" t="s">
        <v>6670</v>
      </c>
      <c r="AG5729" s="32">
        <v>0</v>
      </c>
      <c r="AH5729" s="32">
        <v>0</v>
      </c>
      <c r="AI5729" s="32">
        <v>7908</v>
      </c>
      <c r="AK5729" s="32">
        <v>23</v>
      </c>
      <c r="AO5729" s="32" t="s">
        <v>1463</v>
      </c>
      <c r="AQ5729" s="32">
        <v>404</v>
      </c>
      <c r="AU5729">
        <v>5728</v>
      </c>
    </row>
    <row r="5730" spans="1:47" x14ac:dyDescent="0.2">
      <c r="A5730" s="26">
        <v>6808</v>
      </c>
      <c r="B5730" s="27" t="s">
        <v>45</v>
      </c>
      <c r="C5730" s="28"/>
      <c r="D5730" s="29"/>
      <c r="E5730" s="30" t="s">
        <v>1531</v>
      </c>
      <c r="H5730" s="32">
        <v>1</v>
      </c>
      <c r="I5730" s="32" t="s">
        <v>6671</v>
      </c>
      <c r="AM5730" s="32">
        <f>498*87</f>
        <v>43326</v>
      </c>
      <c r="AO5730" s="32" t="s">
        <v>1533</v>
      </c>
      <c r="AQ5730" s="32" t="s">
        <v>1101</v>
      </c>
      <c r="AU5730">
        <v>5729</v>
      </c>
    </row>
    <row r="5731" spans="1:47" x14ac:dyDescent="0.2">
      <c r="A5731" s="26">
        <v>6808</v>
      </c>
      <c r="B5731" s="27" t="s">
        <v>45</v>
      </c>
      <c r="C5731" s="28"/>
      <c r="D5731" s="29"/>
      <c r="E5731" s="30" t="s">
        <v>631</v>
      </c>
      <c r="H5731" s="32">
        <v>1</v>
      </c>
      <c r="I5731" s="32" t="s">
        <v>6672</v>
      </c>
      <c r="AK5731" s="32">
        <v>10</v>
      </c>
      <c r="AQ5731" s="32" t="s">
        <v>6673</v>
      </c>
      <c r="AU5731">
        <v>5730</v>
      </c>
    </row>
    <row r="5732" spans="1:47" x14ac:dyDescent="0.2">
      <c r="A5732" s="26">
        <v>6808</v>
      </c>
      <c r="B5732" s="27" t="s">
        <v>45</v>
      </c>
      <c r="C5732" s="28"/>
      <c r="D5732" s="29"/>
      <c r="E5732" s="30" t="s">
        <v>2478</v>
      </c>
      <c r="H5732" s="32">
        <v>1</v>
      </c>
      <c r="I5732" s="32" t="s">
        <v>6674</v>
      </c>
      <c r="AG5732" s="32">
        <v>0</v>
      </c>
      <c r="AH5732" s="32">
        <v>1</v>
      </c>
      <c r="AI5732" s="32">
        <f>10000+12000+300000*22/1342</f>
        <v>26918.032786885247</v>
      </c>
      <c r="AK5732" s="32">
        <v>11</v>
      </c>
      <c r="AQ5732" s="32" t="s">
        <v>2496</v>
      </c>
      <c r="AU5732">
        <v>5731</v>
      </c>
    </row>
    <row r="5733" spans="1:47" x14ac:dyDescent="0.2">
      <c r="A5733" s="26">
        <v>6808</v>
      </c>
      <c r="B5733" s="27" t="s">
        <v>45</v>
      </c>
      <c r="C5733" s="28"/>
      <c r="D5733" s="29"/>
      <c r="E5733" s="150" t="s">
        <v>2286</v>
      </c>
      <c r="H5733" s="32">
        <v>0</v>
      </c>
      <c r="I5733" s="32" t="s">
        <v>1824</v>
      </c>
      <c r="AG5733" s="32">
        <v>0</v>
      </c>
      <c r="AH5733" s="32">
        <v>0</v>
      </c>
      <c r="AI5733" s="32">
        <v>0</v>
      </c>
      <c r="AK5733" s="32">
        <v>0</v>
      </c>
      <c r="AM5733" s="32">
        <v>12500</v>
      </c>
      <c r="AO5733" s="73" t="s">
        <v>75</v>
      </c>
      <c r="AQ5733" s="32" t="s">
        <v>589</v>
      </c>
      <c r="AU5733">
        <v>5732</v>
      </c>
    </row>
    <row r="5734" spans="1:47" x14ac:dyDescent="0.2">
      <c r="A5734" s="26">
        <v>6808</v>
      </c>
      <c r="B5734" s="27" t="s">
        <v>45</v>
      </c>
      <c r="C5734" s="28"/>
      <c r="D5734" s="29"/>
      <c r="E5734" s="30" t="s">
        <v>3689</v>
      </c>
      <c r="H5734" s="32"/>
      <c r="I5734" s="32" t="s">
        <v>6675</v>
      </c>
      <c r="AK5734" s="32">
        <v>6</v>
      </c>
      <c r="AQ5734" s="32" t="s">
        <v>6537</v>
      </c>
      <c r="AU5734">
        <v>5733</v>
      </c>
    </row>
    <row r="5735" spans="1:47" x14ac:dyDescent="0.2">
      <c r="A5735" s="26">
        <v>6808</v>
      </c>
      <c r="B5735" s="27"/>
      <c r="C5735" s="28"/>
      <c r="D5735" s="29"/>
      <c r="E5735" s="30" t="s">
        <v>4666</v>
      </c>
      <c r="H5735" s="32">
        <v>1</v>
      </c>
      <c r="I5735" s="32" t="s">
        <v>6676</v>
      </c>
      <c r="AG5735" s="32">
        <v>0</v>
      </c>
      <c r="AH5735" s="32">
        <v>0</v>
      </c>
      <c r="AI5735" s="32">
        <v>15000</v>
      </c>
      <c r="AK5735" s="32">
        <v>10</v>
      </c>
      <c r="AL5735" s="32">
        <f>4+5/6</f>
        <v>4.833333333333333</v>
      </c>
      <c r="AO5735" s="32" t="s">
        <v>4668</v>
      </c>
      <c r="AP5735" s="32">
        <f>4+5/6</f>
        <v>4.833333333333333</v>
      </c>
      <c r="AQ5735" s="32">
        <v>410</v>
      </c>
      <c r="AU5735">
        <v>5734</v>
      </c>
    </row>
    <row r="5736" spans="1:47" x14ac:dyDescent="0.2">
      <c r="A5736" s="26">
        <v>6808</v>
      </c>
      <c r="B5736" s="27"/>
      <c r="C5736" s="28"/>
      <c r="D5736" s="29"/>
      <c r="E5736" s="102" t="s">
        <v>1421</v>
      </c>
      <c r="H5736" s="32">
        <v>1</v>
      </c>
      <c r="I5736" s="32" t="s">
        <v>6677</v>
      </c>
      <c r="AK5736" s="32">
        <v>26</v>
      </c>
      <c r="AO5736" s="73"/>
      <c r="AQ5736" s="32" t="s">
        <v>589</v>
      </c>
      <c r="AU5736">
        <v>5735</v>
      </c>
    </row>
    <row r="5737" spans="1:47" x14ac:dyDescent="0.2">
      <c r="A5737" s="26">
        <v>6808</v>
      </c>
      <c r="B5737" s="27"/>
      <c r="C5737" s="28"/>
      <c r="D5737" s="29"/>
      <c r="E5737" s="102" t="s">
        <v>1421</v>
      </c>
      <c r="H5737" s="32">
        <v>1</v>
      </c>
      <c r="I5737" s="32" t="s">
        <v>3355</v>
      </c>
      <c r="AK5737" s="32">
        <v>7</v>
      </c>
      <c r="AO5737" s="73"/>
      <c r="AQ5737" s="32" t="s">
        <v>589</v>
      </c>
      <c r="AU5737">
        <v>5736</v>
      </c>
    </row>
    <row r="5738" spans="1:47" x14ac:dyDescent="0.2">
      <c r="A5738" s="26">
        <v>6808</v>
      </c>
      <c r="B5738" s="27"/>
      <c r="C5738" s="28"/>
      <c r="D5738" s="29"/>
      <c r="E5738" s="30" t="s">
        <v>4469</v>
      </c>
      <c r="H5738" s="32">
        <v>0</v>
      </c>
      <c r="I5738" s="32" t="s">
        <v>6678</v>
      </c>
      <c r="AG5738" s="32">
        <v>0</v>
      </c>
      <c r="AH5738" s="32">
        <v>0</v>
      </c>
      <c r="AI5738" s="32">
        <v>0</v>
      </c>
      <c r="AK5738" s="32">
        <v>0</v>
      </c>
      <c r="AL5738" s="32">
        <f>87/60</f>
        <v>1.45</v>
      </c>
      <c r="AO5738" s="32" t="s">
        <v>5210</v>
      </c>
      <c r="AP5738" s="32">
        <f>87/60</f>
        <v>1.45</v>
      </c>
      <c r="AQ5738" s="32" t="s">
        <v>5211</v>
      </c>
      <c r="AU5738">
        <v>5737</v>
      </c>
    </row>
    <row r="5739" spans="1:47" x14ac:dyDescent="0.2">
      <c r="A5739" s="26">
        <v>6808</v>
      </c>
      <c r="B5739" s="27"/>
      <c r="C5739" s="28"/>
      <c r="D5739" s="29"/>
      <c r="E5739" s="30" t="s">
        <v>5102</v>
      </c>
      <c r="H5739" s="32">
        <v>0</v>
      </c>
      <c r="I5739" s="32" t="s">
        <v>5103</v>
      </c>
      <c r="AG5739" s="32">
        <v>0</v>
      </c>
      <c r="AH5739" s="32">
        <v>0</v>
      </c>
      <c r="AI5739" s="32">
        <v>0</v>
      </c>
      <c r="AK5739" s="32">
        <v>0</v>
      </c>
      <c r="AL5739" s="18">
        <v>1.5</v>
      </c>
      <c r="AM5739" s="18">
        <f>300000/11</f>
        <v>27272.727272727272</v>
      </c>
      <c r="AN5739" s="18"/>
      <c r="AO5739" s="32" t="s">
        <v>6665</v>
      </c>
      <c r="AP5739" s="18">
        <v>1.5</v>
      </c>
      <c r="AQ5739" s="32" t="s">
        <v>589</v>
      </c>
      <c r="AU5739">
        <v>5738</v>
      </c>
    </row>
    <row r="5740" spans="1:47" x14ac:dyDescent="0.2">
      <c r="A5740" s="133">
        <v>6809</v>
      </c>
      <c r="B5740" s="39" t="s">
        <v>85</v>
      </c>
      <c r="C5740" s="39">
        <v>55</v>
      </c>
      <c r="D5740" s="29" t="b">
        <v>0</v>
      </c>
      <c r="E5740" s="39" t="s">
        <v>6679</v>
      </c>
      <c r="F5740" s="47" t="s">
        <v>6680</v>
      </c>
      <c r="G5740" s="47" t="s">
        <v>49</v>
      </c>
      <c r="H5740"/>
      <c r="I5740" s="47" t="b">
        <v>1</v>
      </c>
      <c r="J5740" s="47" t="b">
        <v>1</v>
      </c>
      <c r="K5740" s="47">
        <v>2022</v>
      </c>
      <c r="L5740" s="48">
        <v>12</v>
      </c>
      <c r="M5740" s="47">
        <v>0</v>
      </c>
      <c r="N5740" s="47">
        <v>2</v>
      </c>
      <c r="O5740" s="47">
        <v>2</v>
      </c>
      <c r="P5740" s="47">
        <v>8</v>
      </c>
      <c r="Q5740" s="47">
        <v>0</v>
      </c>
      <c r="R5740" s="47">
        <v>0</v>
      </c>
      <c r="S5740" s="48">
        <v>8</v>
      </c>
      <c r="T5740" s="47">
        <v>0</v>
      </c>
      <c r="U5740" s="47">
        <v>2</v>
      </c>
      <c r="V5740" s="47">
        <v>0</v>
      </c>
      <c r="W5740" s="47">
        <v>13000</v>
      </c>
      <c r="X5740" s="47">
        <v>892</v>
      </c>
      <c r="Y5740" s="47" t="s">
        <v>51</v>
      </c>
      <c r="Z5740" s="47" t="s">
        <v>3618</v>
      </c>
      <c r="AA5740" s="49">
        <v>0.22916666666666666</v>
      </c>
      <c r="AB5740" s="49">
        <v>0.43055555555555558</v>
      </c>
      <c r="AC5740" s="49">
        <v>0.33680555555555558</v>
      </c>
      <c r="AD5740" s="50">
        <f>(AB5740-AA5740)*24</f>
        <v>4.8333333333333339</v>
      </c>
      <c r="AE5740" s="47" t="s">
        <v>5433</v>
      </c>
      <c r="AF5740" s="47">
        <f>140/0.62</f>
        <v>225.80645161290323</v>
      </c>
      <c r="AG5740"/>
      <c r="AH5740"/>
      <c r="AI5740"/>
      <c r="AJ5740"/>
      <c r="AK5740">
        <f>15+2</f>
        <v>17</v>
      </c>
      <c r="AL5740"/>
      <c r="AM5740"/>
      <c r="AN5740"/>
      <c r="AO5740"/>
      <c r="AP5740"/>
      <c r="AQ5740" t="s">
        <v>5434</v>
      </c>
      <c r="AU5740">
        <v>5739</v>
      </c>
    </row>
    <row r="5741" spans="1:47" x14ac:dyDescent="0.2">
      <c r="A5741" s="133">
        <v>6809</v>
      </c>
      <c r="B5741" s="39" t="s">
        <v>85</v>
      </c>
      <c r="C5741" s="39">
        <v>55</v>
      </c>
      <c r="D5741" s="29" t="b">
        <v>0</v>
      </c>
      <c r="E5741" s="39" t="s">
        <v>2964</v>
      </c>
      <c r="F5741" s="47" t="s">
        <v>6681</v>
      </c>
      <c r="G5741" s="47" t="s">
        <v>49</v>
      </c>
      <c r="H5741"/>
      <c r="I5741" s="47" t="b">
        <v>0</v>
      </c>
      <c r="J5741" s="47" t="b">
        <v>0</v>
      </c>
      <c r="K5741" s="47">
        <v>1798</v>
      </c>
      <c r="L5741" s="48">
        <v>12</v>
      </c>
      <c r="M5741" s="47">
        <v>0</v>
      </c>
      <c r="N5741" s="47">
        <v>2</v>
      </c>
      <c r="O5741" s="47">
        <v>2</v>
      </c>
      <c r="P5741" s="47">
        <v>8</v>
      </c>
      <c r="Q5741" s="47">
        <v>0</v>
      </c>
      <c r="R5741" s="47">
        <v>0</v>
      </c>
      <c r="S5741" s="48">
        <v>7</v>
      </c>
      <c r="T5741" s="47">
        <v>0</v>
      </c>
      <c r="U5741" s="47">
        <v>2</v>
      </c>
      <c r="V5741" s="47">
        <v>0</v>
      </c>
      <c r="W5741" s="47">
        <v>13000</v>
      </c>
      <c r="X5741" s="47">
        <v>893</v>
      </c>
      <c r="Y5741" s="47" t="s">
        <v>51</v>
      </c>
      <c r="Z5741" s="47" t="s">
        <v>3618</v>
      </c>
      <c r="AA5741" s="49">
        <v>0.22916666666666666</v>
      </c>
      <c r="AB5741" s="49">
        <v>0.43055555555555558</v>
      </c>
      <c r="AC5741" s="49">
        <v>0.33680555555555558</v>
      </c>
      <c r="AD5741" s="50">
        <f>(AB5741-AA5741)*24</f>
        <v>4.8333333333333339</v>
      </c>
      <c r="AE5741" s="47" t="s">
        <v>5433</v>
      </c>
      <c r="AF5741" s="47">
        <f>140/0.62</f>
        <v>225.80645161290323</v>
      </c>
      <c r="AG5741"/>
      <c r="AH5741"/>
      <c r="AI5741"/>
      <c r="AJ5741"/>
      <c r="AK5741">
        <v>15</v>
      </c>
      <c r="AL5741"/>
      <c r="AM5741"/>
      <c r="AN5741"/>
      <c r="AO5741"/>
      <c r="AP5741"/>
      <c r="AQ5741" t="s">
        <v>5434</v>
      </c>
      <c r="AU5741">
        <v>5740</v>
      </c>
    </row>
    <row r="5742" spans="1:47" x14ac:dyDescent="0.2">
      <c r="A5742" s="133">
        <v>6809</v>
      </c>
      <c r="B5742" s="39" t="s">
        <v>85</v>
      </c>
      <c r="C5742" s="39">
        <v>55</v>
      </c>
      <c r="D5742" s="29" t="b">
        <v>0</v>
      </c>
      <c r="E5742" s="39" t="s">
        <v>6682</v>
      </c>
      <c r="F5742" s="47" t="s">
        <v>144</v>
      </c>
      <c r="G5742" s="47" t="s">
        <v>73</v>
      </c>
      <c r="H5742"/>
      <c r="I5742" s="47" t="b">
        <v>0</v>
      </c>
      <c r="J5742" s="47" t="b">
        <v>0</v>
      </c>
      <c r="K5742" s="47">
        <v>224</v>
      </c>
      <c r="L5742" s="48">
        <v>12</v>
      </c>
      <c r="M5742" s="47">
        <v>0</v>
      </c>
      <c r="N5742" s="47">
        <v>2</v>
      </c>
      <c r="O5742" s="47">
        <v>2</v>
      </c>
      <c r="P5742" s="47">
        <v>8</v>
      </c>
      <c r="Q5742" s="47">
        <v>0</v>
      </c>
      <c r="R5742" s="47">
        <v>0</v>
      </c>
      <c r="S5742" s="48">
        <v>1</v>
      </c>
      <c r="T5742" s="47">
        <v>0</v>
      </c>
      <c r="U5742" s="47">
        <v>2</v>
      </c>
      <c r="V5742" s="47">
        <v>0</v>
      </c>
      <c r="W5742" s="47">
        <v>13000</v>
      </c>
      <c r="X5742" s="47">
        <v>894</v>
      </c>
      <c r="Y5742" s="47" t="s">
        <v>51</v>
      </c>
      <c r="Z5742" s="47" t="s">
        <v>3618</v>
      </c>
      <c r="AA5742" s="49">
        <v>0.22916666666666666</v>
      </c>
      <c r="AB5742" s="49">
        <v>0.43055555555555558</v>
      </c>
      <c r="AC5742" s="49">
        <f>AVERAGE(AA5742:AB5742)</f>
        <v>0.3298611111111111</v>
      </c>
      <c r="AD5742" s="50">
        <f>(AB5742-AA5742)*24</f>
        <v>4.8333333333333339</v>
      </c>
      <c r="AE5742" s="47" t="s">
        <v>5433</v>
      </c>
      <c r="AF5742" s="47"/>
      <c r="AG5742"/>
      <c r="AH5742"/>
      <c r="AI5742"/>
      <c r="AJ5742"/>
      <c r="AK5742">
        <v>2</v>
      </c>
      <c r="AL5742"/>
      <c r="AM5742"/>
      <c r="AN5742"/>
      <c r="AO5742"/>
      <c r="AP5742"/>
      <c r="AQ5742" t="s">
        <v>5434</v>
      </c>
      <c r="AU5742">
        <v>5741</v>
      </c>
    </row>
    <row r="5743" spans="1:47" x14ac:dyDescent="0.2">
      <c r="A5743" s="133">
        <v>6809</v>
      </c>
      <c r="B5743" s="39" t="s">
        <v>85</v>
      </c>
      <c r="C5743" s="39">
        <v>99</v>
      </c>
      <c r="D5743" s="29" t="b">
        <v>0</v>
      </c>
      <c r="E5743" s="39" t="s">
        <v>5791</v>
      </c>
      <c r="F5743" s="47" t="s">
        <v>529</v>
      </c>
      <c r="G5743" s="47" t="s">
        <v>205</v>
      </c>
      <c r="H5743"/>
      <c r="I5743" s="47" t="b">
        <v>0</v>
      </c>
      <c r="J5743" s="47" t="b">
        <v>1</v>
      </c>
      <c r="K5743" s="47">
        <v>914</v>
      </c>
      <c r="L5743" s="48">
        <v>11</v>
      </c>
      <c r="M5743" s="47">
        <v>0</v>
      </c>
      <c r="N5743" s="47">
        <v>3</v>
      </c>
      <c r="O5743" s="47">
        <v>4</v>
      </c>
      <c r="P5743" s="47">
        <v>0</v>
      </c>
      <c r="Q5743" s="47">
        <v>0</v>
      </c>
      <c r="R5743" s="47">
        <v>0</v>
      </c>
      <c r="S5743" s="48">
        <v>4</v>
      </c>
      <c r="T5743" s="47">
        <v>0</v>
      </c>
      <c r="U5743" s="47">
        <v>0</v>
      </c>
      <c r="V5743" s="47">
        <v>0</v>
      </c>
      <c r="W5743" s="47">
        <v>10000</v>
      </c>
      <c r="X5743" s="47">
        <v>895</v>
      </c>
      <c r="Y5743" s="47" t="s">
        <v>51</v>
      </c>
      <c r="Z5743" s="47" t="s">
        <v>5139</v>
      </c>
      <c r="AA5743" s="49">
        <v>0.23958333333333334</v>
      </c>
      <c r="AB5743" s="49">
        <v>0.3576388888888889</v>
      </c>
      <c r="AC5743" s="49">
        <f>AVERAGE(AA5743:AB5743)</f>
        <v>0.2986111111111111</v>
      </c>
      <c r="AD5743" s="50">
        <f>(AB5743-AA5743)*24</f>
        <v>2.833333333333333</v>
      </c>
      <c r="AE5743" s="47" t="s">
        <v>5433</v>
      </c>
      <c r="AF5743" s="47">
        <v>115</v>
      </c>
      <c r="AG5743"/>
      <c r="AH5743"/>
      <c r="AI5743"/>
      <c r="AJ5743"/>
      <c r="AK5743">
        <v>5</v>
      </c>
      <c r="AL5743"/>
      <c r="AM5743"/>
      <c r="AN5743"/>
      <c r="AO5743"/>
      <c r="AP5743"/>
      <c r="AQ5743" t="s">
        <v>2526</v>
      </c>
      <c r="AU5743">
        <v>5742</v>
      </c>
    </row>
    <row r="5744" spans="1:47" x14ac:dyDescent="0.2">
      <c r="A5744" s="133">
        <v>6809</v>
      </c>
      <c r="B5744" s="39" t="s">
        <v>85</v>
      </c>
      <c r="C5744" s="39">
        <v>104</v>
      </c>
      <c r="D5744" s="29" t="b">
        <v>0</v>
      </c>
      <c r="E5744" s="39" t="s">
        <v>3909</v>
      </c>
      <c r="F5744" s="47" t="s">
        <v>1663</v>
      </c>
      <c r="G5744" s="47" t="s">
        <v>274</v>
      </c>
      <c r="H5744"/>
      <c r="I5744" s="47" t="b">
        <v>0</v>
      </c>
      <c r="J5744" s="47" t="b">
        <v>1</v>
      </c>
      <c r="K5744" s="47">
        <v>2736</v>
      </c>
      <c r="L5744" s="48">
        <v>12</v>
      </c>
      <c r="M5744" s="47">
        <v>0</v>
      </c>
      <c r="N5744" s="47">
        <v>2</v>
      </c>
      <c r="O5744" s="47">
        <v>0</v>
      </c>
      <c r="P5744" s="47">
        <v>0</v>
      </c>
      <c r="Q5744" s="47">
        <v>0</v>
      </c>
      <c r="R5744" s="47">
        <v>0</v>
      </c>
      <c r="S5744" s="48">
        <v>10</v>
      </c>
      <c r="T5744" s="47">
        <v>7</v>
      </c>
      <c r="U5744" s="47">
        <v>0</v>
      </c>
      <c r="V5744" s="47">
        <v>0</v>
      </c>
      <c r="W5744" s="47">
        <v>11500</v>
      </c>
      <c r="X5744" s="47">
        <v>896</v>
      </c>
      <c r="Y5744" s="47" t="s">
        <v>120</v>
      </c>
      <c r="Z5744" s="47" t="s">
        <v>5139</v>
      </c>
      <c r="AA5744" s="49">
        <v>0.21527777777777779</v>
      </c>
      <c r="AB5744" s="49">
        <v>0.39583333333333331</v>
      </c>
      <c r="AC5744" s="49">
        <v>0.33680555555555558</v>
      </c>
      <c r="AD5744" s="50">
        <f>(AB5744-AA5744)*24</f>
        <v>4.3333333333333321</v>
      </c>
      <c r="AE5744" s="47" t="s">
        <v>5433</v>
      </c>
      <c r="AF5744" s="47">
        <v>190</v>
      </c>
      <c r="AG5744"/>
      <c r="AH5744"/>
      <c r="AI5744"/>
      <c r="AJ5744"/>
      <c r="AK5744"/>
      <c r="AL5744"/>
      <c r="AM5744"/>
      <c r="AN5744"/>
      <c r="AO5744"/>
      <c r="AP5744"/>
      <c r="AQ5744" t="s">
        <v>5485</v>
      </c>
      <c r="AU5744">
        <v>5743</v>
      </c>
    </row>
    <row r="5745" spans="1:47" x14ac:dyDescent="0.2">
      <c r="A5745" s="37">
        <v>6809</v>
      </c>
      <c r="B5745" s="38" t="s">
        <v>85</v>
      </c>
      <c r="C5745" s="39" t="s">
        <v>5626</v>
      </c>
      <c r="D5745" s="45"/>
      <c r="E5745" s="144" t="s">
        <v>6683</v>
      </c>
      <c r="F5745" s="31" t="s">
        <v>6684</v>
      </c>
      <c r="G5745" s="31" t="s">
        <v>69</v>
      </c>
      <c r="I5745" s="19" t="s">
        <v>6685</v>
      </c>
      <c r="K5745" s="19">
        <f>11450*2.2</f>
        <v>25190.000000000004</v>
      </c>
      <c r="S5745" s="33">
        <v>61</v>
      </c>
      <c r="T5745" s="31">
        <v>0</v>
      </c>
      <c r="W5745" s="47">
        <f>((4500+4500+1700)/3)*39.37/12</f>
        <v>11701.638888888889</v>
      </c>
      <c r="Y5745" s="19" t="s">
        <v>51</v>
      </c>
      <c r="Z5745" s="31" t="s">
        <v>3724</v>
      </c>
      <c r="AC5745" s="34">
        <v>0.77083333333333337</v>
      </c>
      <c r="AD5745" s="31"/>
      <c r="AE5745" s="31" t="s">
        <v>6385</v>
      </c>
      <c r="AQ5745" s="18" t="s">
        <v>6686</v>
      </c>
      <c r="AU5745">
        <v>5744</v>
      </c>
    </row>
    <row r="5746" spans="1:47" x14ac:dyDescent="0.2">
      <c r="A5746" s="37">
        <v>6809</v>
      </c>
      <c r="B5746" s="38" t="s">
        <v>85</v>
      </c>
      <c r="C5746" s="39" t="s">
        <v>5533</v>
      </c>
      <c r="D5746" s="29"/>
      <c r="E5746" s="38" t="s">
        <v>788</v>
      </c>
      <c r="F5746" s="32" t="s">
        <v>714</v>
      </c>
      <c r="G5746" s="47" t="s">
        <v>49</v>
      </c>
      <c r="H5746"/>
      <c r="I5746" s="32" t="s">
        <v>6687</v>
      </c>
      <c r="J5746" s="47"/>
      <c r="K5746" s="47">
        <f>(26*20+12*45)*2.2</f>
        <v>2332</v>
      </c>
      <c r="L5746" s="48">
        <v>8</v>
      </c>
      <c r="M5746" s="47"/>
      <c r="N5746" s="47">
        <v>1</v>
      </c>
      <c r="O5746" s="47"/>
      <c r="P5746" s="47"/>
      <c r="Q5746" s="47"/>
      <c r="R5746" s="47"/>
      <c r="S5746" s="48">
        <v>7</v>
      </c>
      <c r="T5746" s="47">
        <v>0</v>
      </c>
      <c r="U5746" s="47">
        <v>0</v>
      </c>
      <c r="V5746" s="47">
        <v>0</v>
      </c>
      <c r="W5746" s="47">
        <f>4200*39.37/12</f>
        <v>13779.5</v>
      </c>
      <c r="X5746" s="47"/>
      <c r="Y5746" s="47" t="s">
        <v>120</v>
      </c>
      <c r="Z5746" s="31" t="s">
        <v>3724</v>
      </c>
      <c r="AA5746" s="49">
        <v>0.41319444444444442</v>
      </c>
      <c r="AB5746" s="49">
        <v>0.51388888888888895</v>
      </c>
      <c r="AC5746" s="49">
        <v>0.47569444444444442</v>
      </c>
      <c r="AD5746" s="50">
        <f>(AB5746-AA5746)*24</f>
        <v>2.4166666666666687</v>
      </c>
      <c r="AE5746" s="47" t="s">
        <v>5536</v>
      </c>
      <c r="AF5746" s="47">
        <v>70</v>
      </c>
      <c r="AG5746"/>
      <c r="AH5746"/>
      <c r="AI5746"/>
      <c r="AJ5746"/>
      <c r="AK5746">
        <f>12+26</f>
        <v>38</v>
      </c>
      <c r="AL5746"/>
      <c r="AM5746"/>
      <c r="AN5746"/>
      <c r="AO5746"/>
      <c r="AP5746"/>
      <c r="AQ5746" t="s">
        <v>6688</v>
      </c>
      <c r="AU5746">
        <v>5745</v>
      </c>
    </row>
    <row r="5747" spans="1:47" x14ac:dyDescent="0.2">
      <c r="A5747" s="133">
        <v>6809</v>
      </c>
      <c r="B5747" s="39" t="s">
        <v>45</v>
      </c>
      <c r="C5747" s="39">
        <v>97</v>
      </c>
      <c r="D5747" s="29" t="b">
        <v>0</v>
      </c>
      <c r="E5747" s="39" t="s">
        <v>6689</v>
      </c>
      <c r="F5747" s="47" t="s">
        <v>6690</v>
      </c>
      <c r="G5747" s="47" t="s">
        <v>205</v>
      </c>
      <c r="H5747"/>
      <c r="I5747" s="47" t="b">
        <v>1</v>
      </c>
      <c r="J5747" s="47" t="b">
        <v>1</v>
      </c>
      <c r="K5747" s="47">
        <v>3248</v>
      </c>
      <c r="L5747" s="48">
        <v>6</v>
      </c>
      <c r="M5747" s="47">
        <v>0</v>
      </c>
      <c r="N5747" s="47">
        <v>2</v>
      </c>
      <c r="O5747" s="47">
        <v>0</v>
      </c>
      <c r="P5747" s="47">
        <v>0</v>
      </c>
      <c r="Q5747" s="47">
        <v>0</v>
      </c>
      <c r="R5747" s="47">
        <v>0</v>
      </c>
      <c r="S5747" s="48">
        <v>2</v>
      </c>
      <c r="T5747" s="47">
        <v>2</v>
      </c>
      <c r="U5747" s="47">
        <v>0</v>
      </c>
      <c r="V5747" s="47">
        <v>0</v>
      </c>
      <c r="W5747" s="47">
        <v>7000</v>
      </c>
      <c r="X5747" s="47">
        <v>897</v>
      </c>
      <c r="Y5747" s="47"/>
      <c r="Z5747" s="47" t="s">
        <v>2466</v>
      </c>
      <c r="AA5747" s="49"/>
      <c r="AB5747" s="49"/>
      <c r="AC5747" s="49"/>
      <c r="AD5747" s="50"/>
      <c r="AE5747" s="47"/>
      <c r="AF5747" s="47"/>
      <c r="AG5747"/>
      <c r="AH5747"/>
      <c r="AI5747"/>
      <c r="AJ5747"/>
      <c r="AK5747"/>
      <c r="AL5747"/>
      <c r="AM5747"/>
      <c r="AN5747"/>
      <c r="AO5747"/>
      <c r="AP5747"/>
      <c r="AQ5747" t="s">
        <v>2526</v>
      </c>
      <c r="AU5747">
        <v>5746</v>
      </c>
    </row>
    <row r="5748" spans="1:47" x14ac:dyDescent="0.2">
      <c r="A5748" s="133">
        <v>6809</v>
      </c>
      <c r="B5748" s="39" t="s">
        <v>45</v>
      </c>
      <c r="C5748" s="39">
        <v>97</v>
      </c>
      <c r="D5748" s="29" t="b">
        <v>0</v>
      </c>
      <c r="E5748" s="39" t="s">
        <v>6691</v>
      </c>
      <c r="F5748" s="47" t="s">
        <v>529</v>
      </c>
      <c r="G5748" s="47" t="s">
        <v>205</v>
      </c>
      <c r="H5748"/>
      <c r="I5748" s="47" t="b">
        <v>0</v>
      </c>
      <c r="J5748" s="47" t="b">
        <v>0</v>
      </c>
      <c r="K5748" s="47">
        <v>1680</v>
      </c>
      <c r="L5748" s="48">
        <v>3</v>
      </c>
      <c r="M5748" s="47">
        <v>0</v>
      </c>
      <c r="N5748" s="47">
        <v>2</v>
      </c>
      <c r="O5748" s="47">
        <v>0</v>
      </c>
      <c r="P5748" s="47">
        <v>0</v>
      </c>
      <c r="Q5748" s="47">
        <v>0</v>
      </c>
      <c r="R5748" s="47">
        <v>0</v>
      </c>
      <c r="S5748" s="48">
        <v>1</v>
      </c>
      <c r="T5748" s="47">
        <v>0</v>
      </c>
      <c r="U5748" s="47">
        <v>0</v>
      </c>
      <c r="V5748" s="47">
        <v>0</v>
      </c>
      <c r="W5748" s="47">
        <v>7000</v>
      </c>
      <c r="X5748" s="47">
        <v>898</v>
      </c>
      <c r="Y5748" s="47"/>
      <c r="Z5748" s="47" t="s">
        <v>2466</v>
      </c>
      <c r="AA5748" s="49"/>
      <c r="AB5748" s="49"/>
      <c r="AC5748" s="49"/>
      <c r="AD5748" s="50"/>
      <c r="AE5748" s="47"/>
      <c r="AF5748" s="47"/>
      <c r="AG5748"/>
      <c r="AH5748"/>
      <c r="AI5748"/>
      <c r="AJ5748"/>
      <c r="AK5748"/>
      <c r="AL5748"/>
      <c r="AM5748"/>
      <c r="AN5748"/>
      <c r="AO5748"/>
      <c r="AP5748"/>
      <c r="AQ5748" t="s">
        <v>2526</v>
      </c>
      <c r="AU5748">
        <v>5747</v>
      </c>
    </row>
    <row r="5749" spans="1:47" x14ac:dyDescent="0.2">
      <c r="A5749" s="133">
        <v>6809</v>
      </c>
      <c r="B5749" s="39" t="s">
        <v>45</v>
      </c>
      <c r="C5749" s="39">
        <v>97</v>
      </c>
      <c r="D5749" s="29" t="b">
        <v>0</v>
      </c>
      <c r="E5749" s="39" t="s">
        <v>6692</v>
      </c>
      <c r="F5749" s="47" t="s">
        <v>348</v>
      </c>
      <c r="G5749" s="47" t="s">
        <v>49</v>
      </c>
      <c r="H5749"/>
      <c r="I5749" s="47" t="b">
        <v>0</v>
      </c>
      <c r="J5749" s="47" t="b">
        <v>0</v>
      </c>
      <c r="K5749" s="47">
        <v>1568</v>
      </c>
      <c r="L5749" s="48">
        <v>3</v>
      </c>
      <c r="M5749" s="47">
        <v>0</v>
      </c>
      <c r="N5749" s="47">
        <v>0</v>
      </c>
      <c r="O5749" s="47">
        <v>0</v>
      </c>
      <c r="P5749" s="47">
        <v>0</v>
      </c>
      <c r="Q5749" s="47">
        <v>0</v>
      </c>
      <c r="R5749" s="47">
        <v>0</v>
      </c>
      <c r="S5749" s="48">
        <v>1</v>
      </c>
      <c r="T5749" s="47">
        <v>2</v>
      </c>
      <c r="U5749" s="47">
        <v>0</v>
      </c>
      <c r="V5749" s="47">
        <v>0</v>
      </c>
      <c r="W5749" s="47">
        <v>7000</v>
      </c>
      <c r="X5749" s="47">
        <v>899</v>
      </c>
      <c r="Y5749" s="47"/>
      <c r="Z5749" s="47" t="s">
        <v>2466</v>
      </c>
      <c r="AA5749" s="49"/>
      <c r="AB5749" s="49"/>
      <c r="AC5749" s="49"/>
      <c r="AD5749" s="50"/>
      <c r="AE5749" s="47"/>
      <c r="AF5749" s="47"/>
      <c r="AG5749"/>
      <c r="AH5749"/>
      <c r="AI5749"/>
      <c r="AJ5749"/>
      <c r="AK5749"/>
      <c r="AL5749"/>
      <c r="AM5749"/>
      <c r="AN5749"/>
      <c r="AO5749"/>
      <c r="AP5749"/>
      <c r="AQ5749" t="s">
        <v>2526</v>
      </c>
      <c r="AU5749">
        <v>5748</v>
      </c>
    </row>
    <row r="5750" spans="1:47" x14ac:dyDescent="0.2">
      <c r="A5750" s="133">
        <v>6809</v>
      </c>
      <c r="B5750" s="39" t="s">
        <v>45</v>
      </c>
      <c r="C5750" s="39">
        <v>100</v>
      </c>
      <c r="D5750" s="29" t="b">
        <v>0</v>
      </c>
      <c r="E5750" s="39" t="s">
        <v>6693</v>
      </c>
      <c r="F5750" s="47" t="s">
        <v>6694</v>
      </c>
      <c r="G5750" s="47" t="s">
        <v>205</v>
      </c>
      <c r="H5750"/>
      <c r="I5750" s="47" t="b">
        <v>1</v>
      </c>
      <c r="J5750" s="47" t="b">
        <v>1</v>
      </c>
      <c r="K5750" s="47">
        <v>1872</v>
      </c>
      <c r="L5750" s="48">
        <v>9</v>
      </c>
      <c r="M5750" s="47">
        <v>0</v>
      </c>
      <c r="N5750" s="47">
        <v>3</v>
      </c>
      <c r="O5750" s="47">
        <v>0</v>
      </c>
      <c r="P5750" s="47">
        <v>0</v>
      </c>
      <c r="Q5750" s="47">
        <v>1</v>
      </c>
      <c r="R5750" s="47">
        <v>0</v>
      </c>
      <c r="S5750" s="48">
        <v>6</v>
      </c>
      <c r="T5750" s="47">
        <v>0</v>
      </c>
      <c r="U5750" s="47">
        <v>0</v>
      </c>
      <c r="V5750" s="47">
        <v>0</v>
      </c>
      <c r="W5750" s="47">
        <v>1500</v>
      </c>
      <c r="X5750" s="47">
        <v>900</v>
      </c>
      <c r="Y5750" s="47"/>
      <c r="Z5750" s="47" t="s">
        <v>2524</v>
      </c>
      <c r="AA5750" s="49"/>
      <c r="AB5750" s="49"/>
      <c r="AC5750" s="49"/>
      <c r="AD5750" s="50"/>
      <c r="AE5750" s="47" t="s">
        <v>6445</v>
      </c>
      <c r="AF5750" s="47"/>
      <c r="AG5750"/>
      <c r="AH5750"/>
      <c r="AI5750"/>
      <c r="AJ5750"/>
      <c r="AK5750"/>
      <c r="AL5750"/>
      <c r="AM5750"/>
      <c r="AN5750"/>
      <c r="AO5750"/>
      <c r="AP5750"/>
      <c r="AQ5750" t="s">
        <v>2526</v>
      </c>
      <c r="AU5750">
        <v>5749</v>
      </c>
    </row>
    <row r="5751" spans="1:47" x14ac:dyDescent="0.2">
      <c r="A5751" s="133">
        <v>6809</v>
      </c>
      <c r="B5751" s="39" t="s">
        <v>45</v>
      </c>
      <c r="C5751" s="39">
        <v>100</v>
      </c>
      <c r="D5751" s="29" t="b">
        <v>0</v>
      </c>
      <c r="E5751" s="39" t="s">
        <v>6695</v>
      </c>
      <c r="F5751" s="47" t="s">
        <v>529</v>
      </c>
      <c r="G5751" s="47" t="s">
        <v>205</v>
      </c>
      <c r="H5751"/>
      <c r="I5751" s="47" t="b">
        <v>0</v>
      </c>
      <c r="J5751" s="47" t="b">
        <v>0</v>
      </c>
      <c r="K5751" s="47">
        <v>1248</v>
      </c>
      <c r="L5751" s="48">
        <v>9</v>
      </c>
      <c r="M5751" s="47">
        <v>0</v>
      </c>
      <c r="N5751" s="47">
        <v>3</v>
      </c>
      <c r="O5751" s="47">
        <v>0</v>
      </c>
      <c r="P5751" s="47">
        <v>0</v>
      </c>
      <c r="Q5751" s="47">
        <v>1</v>
      </c>
      <c r="R5751" s="47">
        <v>0</v>
      </c>
      <c r="S5751" s="48">
        <v>4</v>
      </c>
      <c r="T5751" s="47">
        <v>0</v>
      </c>
      <c r="U5751" s="47">
        <v>0</v>
      </c>
      <c r="V5751" s="47">
        <v>0</v>
      </c>
      <c r="W5751" s="47">
        <v>1500</v>
      </c>
      <c r="X5751" s="47">
        <v>901</v>
      </c>
      <c r="Y5751" s="47"/>
      <c r="Z5751" s="47" t="s">
        <v>2524</v>
      </c>
      <c r="AA5751" s="49"/>
      <c r="AB5751" s="49"/>
      <c r="AC5751" s="49"/>
      <c r="AD5751" s="50"/>
      <c r="AE5751" s="47" t="s">
        <v>6445</v>
      </c>
      <c r="AF5751" s="47"/>
      <c r="AG5751"/>
      <c r="AH5751"/>
      <c r="AI5751"/>
      <c r="AJ5751"/>
      <c r="AK5751"/>
      <c r="AL5751"/>
      <c r="AM5751"/>
      <c r="AN5751"/>
      <c r="AO5751"/>
      <c r="AP5751"/>
      <c r="AQ5751" t="s">
        <v>2526</v>
      </c>
      <c r="AU5751">
        <v>5750</v>
      </c>
    </row>
    <row r="5752" spans="1:47" x14ac:dyDescent="0.2">
      <c r="A5752" s="133">
        <v>6809</v>
      </c>
      <c r="B5752" s="39" t="s">
        <v>45</v>
      </c>
      <c r="C5752" s="39">
        <v>100</v>
      </c>
      <c r="D5752" s="29" t="b">
        <v>0</v>
      </c>
      <c r="E5752" s="39" t="s">
        <v>6593</v>
      </c>
      <c r="F5752" s="47" t="s">
        <v>5176</v>
      </c>
      <c r="G5752" s="47" t="s">
        <v>49</v>
      </c>
      <c r="H5752"/>
      <c r="I5752" s="47" t="b">
        <v>0</v>
      </c>
      <c r="J5752" s="47" t="b">
        <v>0</v>
      </c>
      <c r="K5752" s="47">
        <v>312</v>
      </c>
      <c r="L5752" s="48">
        <v>9</v>
      </c>
      <c r="M5752" s="47">
        <v>0</v>
      </c>
      <c r="N5752" s="47">
        <v>3</v>
      </c>
      <c r="O5752" s="47">
        <v>0</v>
      </c>
      <c r="P5752" s="47">
        <v>0</v>
      </c>
      <c r="Q5752" s="47">
        <v>1</v>
      </c>
      <c r="R5752" s="47">
        <v>0</v>
      </c>
      <c r="S5752" s="48">
        <v>1</v>
      </c>
      <c r="T5752" s="47">
        <v>0</v>
      </c>
      <c r="U5752" s="47">
        <v>0</v>
      </c>
      <c r="V5752" s="47">
        <v>0</v>
      </c>
      <c r="W5752" s="47">
        <v>1500</v>
      </c>
      <c r="X5752" s="47">
        <v>902</v>
      </c>
      <c r="Y5752" s="47"/>
      <c r="Z5752" s="47" t="s">
        <v>2524</v>
      </c>
      <c r="AA5752" s="49"/>
      <c r="AB5752" s="49"/>
      <c r="AC5752" s="49"/>
      <c r="AD5752" s="50"/>
      <c r="AE5752" s="47" t="s">
        <v>6445</v>
      </c>
      <c r="AF5752" s="47">
        <v>30</v>
      </c>
      <c r="AG5752"/>
      <c r="AH5752"/>
      <c r="AI5752"/>
      <c r="AJ5752"/>
      <c r="AK5752"/>
      <c r="AL5752"/>
      <c r="AM5752"/>
      <c r="AN5752"/>
      <c r="AO5752"/>
      <c r="AP5752"/>
      <c r="AQ5752" t="s">
        <v>2526</v>
      </c>
      <c r="AU5752">
        <v>5751</v>
      </c>
    </row>
    <row r="5753" spans="1:47" x14ac:dyDescent="0.2">
      <c r="A5753" s="133">
        <v>6809</v>
      </c>
      <c r="B5753" s="39" t="s">
        <v>45</v>
      </c>
      <c r="C5753" s="39">
        <v>100</v>
      </c>
      <c r="D5753" s="29" t="b">
        <v>0</v>
      </c>
      <c r="E5753" s="39" t="s">
        <v>6696</v>
      </c>
      <c r="F5753" s="47" t="s">
        <v>6697</v>
      </c>
      <c r="G5753" s="47" t="s">
        <v>627</v>
      </c>
      <c r="H5753"/>
      <c r="I5753" s="47" t="b">
        <v>0</v>
      </c>
      <c r="J5753" s="47" t="b">
        <v>0</v>
      </c>
      <c r="K5753" s="47">
        <v>312</v>
      </c>
      <c r="L5753" s="48">
        <v>9</v>
      </c>
      <c r="M5753" s="47">
        <v>0</v>
      </c>
      <c r="N5753" s="47">
        <v>3</v>
      </c>
      <c r="O5753" s="47">
        <v>0</v>
      </c>
      <c r="P5753" s="47">
        <v>0</v>
      </c>
      <c r="Q5753" s="47">
        <v>1</v>
      </c>
      <c r="R5753" s="47">
        <v>0</v>
      </c>
      <c r="S5753" s="48">
        <v>1</v>
      </c>
      <c r="T5753" s="47">
        <v>0</v>
      </c>
      <c r="U5753" s="47">
        <v>0</v>
      </c>
      <c r="V5753" s="47">
        <v>0</v>
      </c>
      <c r="W5753" s="47"/>
      <c r="X5753" s="47">
        <v>903</v>
      </c>
      <c r="Y5753" s="47"/>
      <c r="Z5753" s="47" t="s">
        <v>2524</v>
      </c>
      <c r="AA5753" s="49"/>
      <c r="AB5753" s="49"/>
      <c r="AC5753" s="49"/>
      <c r="AD5753" s="50"/>
      <c r="AE5753" s="47" t="s">
        <v>6445</v>
      </c>
      <c r="AF5753" s="47">
        <v>70</v>
      </c>
      <c r="AG5753"/>
      <c r="AH5753"/>
      <c r="AI5753"/>
      <c r="AJ5753"/>
      <c r="AK5753"/>
      <c r="AL5753"/>
      <c r="AM5753"/>
      <c r="AN5753"/>
      <c r="AO5753"/>
      <c r="AP5753"/>
      <c r="AQ5753" t="s">
        <v>2526</v>
      </c>
      <c r="AU5753">
        <v>5752</v>
      </c>
    </row>
    <row r="5754" spans="1:47" x14ac:dyDescent="0.2">
      <c r="A5754" s="133">
        <v>6809</v>
      </c>
      <c r="B5754" s="39" t="s">
        <v>45</v>
      </c>
      <c r="C5754" s="39">
        <v>215</v>
      </c>
      <c r="D5754" s="29" t="b">
        <v>0</v>
      </c>
      <c r="E5754" s="39" t="s">
        <v>6695</v>
      </c>
      <c r="F5754" s="47" t="s">
        <v>529</v>
      </c>
      <c r="G5754" s="47" t="s">
        <v>205</v>
      </c>
      <c r="H5754"/>
      <c r="I5754" s="47" t="b">
        <v>0</v>
      </c>
      <c r="J5754" s="47" t="b">
        <v>1</v>
      </c>
      <c r="K5754" s="47">
        <v>14244</v>
      </c>
      <c r="L5754" s="48">
        <v>8</v>
      </c>
      <c r="M5754" s="47">
        <v>0</v>
      </c>
      <c r="N5754" s="47">
        <v>0</v>
      </c>
      <c r="O5754" s="47">
        <v>0</v>
      </c>
      <c r="P5754" s="47">
        <v>0</v>
      </c>
      <c r="Q5754" s="47">
        <v>0</v>
      </c>
      <c r="R5754" s="47">
        <v>0</v>
      </c>
      <c r="S5754" s="48">
        <v>8</v>
      </c>
      <c r="T5754" s="47">
        <v>1</v>
      </c>
      <c r="U5754" s="47">
        <v>0</v>
      </c>
      <c r="V5754" s="47">
        <v>0</v>
      </c>
      <c r="W5754" s="47">
        <v>1700</v>
      </c>
      <c r="X5754" s="47">
        <v>904</v>
      </c>
      <c r="Y5754" s="47"/>
      <c r="Z5754" s="47" t="s">
        <v>2466</v>
      </c>
      <c r="AA5754" s="49"/>
      <c r="AB5754" s="49"/>
      <c r="AC5754" s="49"/>
      <c r="AD5754" s="50"/>
      <c r="AE5754" s="47"/>
      <c r="AF5754" s="47"/>
      <c r="AG5754"/>
      <c r="AH5754"/>
      <c r="AI5754"/>
      <c r="AJ5754"/>
      <c r="AK5754"/>
      <c r="AL5754"/>
      <c r="AM5754"/>
      <c r="AN5754"/>
      <c r="AO5754"/>
      <c r="AP5754"/>
      <c r="AQ5754" t="s">
        <v>2526</v>
      </c>
      <c r="AU5754">
        <v>5753</v>
      </c>
    </row>
    <row r="5755" spans="1:47" x14ac:dyDescent="0.2">
      <c r="A5755" s="37">
        <v>6809</v>
      </c>
      <c r="B5755" s="38" t="s">
        <v>45</v>
      </c>
      <c r="C5755" s="39" t="s">
        <v>253</v>
      </c>
      <c r="D5755" s="29"/>
      <c r="E5755" s="38" t="s">
        <v>6698</v>
      </c>
      <c r="F5755" s="32" t="s">
        <v>246</v>
      </c>
      <c r="G5755" s="47"/>
      <c r="H5755"/>
      <c r="I5755" s="32"/>
      <c r="J5755" s="47"/>
      <c r="K5755" s="47"/>
      <c r="L5755" s="48"/>
      <c r="M5755" s="47"/>
      <c r="N5755" s="47"/>
      <c r="O5755" s="47"/>
      <c r="P5755" s="47"/>
      <c r="Q5755" s="47"/>
      <c r="R5755" s="47"/>
      <c r="S5755" s="48"/>
      <c r="T5755" s="47"/>
      <c r="U5755" s="47"/>
      <c r="V5755" s="47"/>
      <c r="W5755" s="47"/>
      <c r="X5755" s="47"/>
      <c r="Y5755" s="47"/>
      <c r="Z5755" s="47"/>
      <c r="AA5755" s="49"/>
      <c r="AB5755" s="49"/>
      <c r="AC5755" s="49"/>
      <c r="AD5755" s="50"/>
      <c r="AE5755" s="47"/>
      <c r="AF5755" s="47"/>
      <c r="AG5755"/>
      <c r="AH5755"/>
      <c r="AI5755"/>
      <c r="AJ5755"/>
      <c r="AK5755"/>
      <c r="AL5755"/>
      <c r="AM5755"/>
      <c r="AN5755"/>
      <c r="AO5755"/>
      <c r="AP5755"/>
      <c r="AQ5755"/>
      <c r="AU5755">
        <v>5754</v>
      </c>
    </row>
    <row r="5756" spans="1:47" x14ac:dyDescent="0.2">
      <c r="A5756" s="37">
        <v>6809</v>
      </c>
      <c r="B5756" s="38" t="s">
        <v>45</v>
      </c>
      <c r="C5756" s="39" t="s">
        <v>253</v>
      </c>
      <c r="D5756" s="29"/>
      <c r="E5756" s="38" t="s">
        <v>6699</v>
      </c>
      <c r="F5756" s="32" t="s">
        <v>3969</v>
      </c>
      <c r="G5756" s="47"/>
      <c r="H5756"/>
      <c r="I5756" s="32" t="s">
        <v>6700</v>
      </c>
      <c r="J5756" s="47"/>
      <c r="K5756" s="47"/>
      <c r="L5756" s="48"/>
      <c r="M5756" s="47"/>
      <c r="N5756" s="47"/>
      <c r="O5756" s="47"/>
      <c r="P5756" s="47"/>
      <c r="Q5756" s="47"/>
      <c r="R5756" s="47"/>
      <c r="S5756" s="48"/>
      <c r="T5756" s="47"/>
      <c r="U5756" s="47"/>
      <c r="V5756" s="47"/>
      <c r="W5756" s="47"/>
      <c r="X5756" s="47"/>
      <c r="Y5756" s="47"/>
      <c r="Z5756" s="47"/>
      <c r="AA5756" s="49"/>
      <c r="AB5756" s="49"/>
      <c r="AC5756" s="49"/>
      <c r="AD5756" s="50"/>
      <c r="AE5756" s="47"/>
      <c r="AF5756" s="47"/>
      <c r="AG5756"/>
      <c r="AH5756"/>
      <c r="AI5756"/>
      <c r="AJ5756"/>
      <c r="AK5756"/>
      <c r="AL5756"/>
      <c r="AM5756"/>
      <c r="AN5756"/>
      <c r="AO5756"/>
      <c r="AP5756"/>
      <c r="AQ5756"/>
      <c r="AU5756">
        <v>5755</v>
      </c>
    </row>
    <row r="5757" spans="1:47" x14ac:dyDescent="0.2">
      <c r="A5757" s="13">
        <v>6809</v>
      </c>
      <c r="B5757" s="57" t="s">
        <v>45</v>
      </c>
      <c r="C5757" s="57" t="s">
        <v>142</v>
      </c>
      <c r="D5757" s="29"/>
      <c r="E5757" s="38" t="s">
        <v>6701</v>
      </c>
      <c r="F5757" s="32" t="s">
        <v>6463</v>
      </c>
      <c r="G5757" s="47" t="s">
        <v>49</v>
      </c>
      <c r="H5757"/>
      <c r="I5757" s="47" t="b">
        <v>1</v>
      </c>
      <c r="J5757" s="47" t="b">
        <v>1</v>
      </c>
      <c r="K5757" s="47">
        <f>2985*2.2</f>
        <v>6567.0000000000009</v>
      </c>
      <c r="L5757" s="48">
        <v>11</v>
      </c>
      <c r="M5757" s="47"/>
      <c r="N5757" s="47">
        <v>1</v>
      </c>
      <c r="O5757" s="47"/>
      <c r="P5757" s="47"/>
      <c r="Q5757" s="47"/>
      <c r="R5757" s="47"/>
      <c r="S5757" s="48">
        <v>10</v>
      </c>
      <c r="T5757" s="47">
        <v>0</v>
      </c>
      <c r="U5757" s="47">
        <v>2</v>
      </c>
      <c r="V5757" s="47">
        <v>0</v>
      </c>
      <c r="W5757" s="47"/>
      <c r="X5757" s="47"/>
      <c r="Y5757" s="47" t="s">
        <v>120</v>
      </c>
      <c r="Z5757" s="47"/>
      <c r="AA5757" s="49"/>
      <c r="AB5757" s="49"/>
      <c r="AC5757" s="49"/>
      <c r="AD5757" s="50"/>
      <c r="AE5757" s="47"/>
      <c r="AF5757" s="47"/>
      <c r="AG5757"/>
      <c r="AH5757"/>
      <c r="AI5757"/>
      <c r="AJ5757"/>
      <c r="AK5757">
        <f>7+55+3+2+5+4+11</f>
        <v>87</v>
      </c>
      <c r="AL5757"/>
      <c r="AM5757"/>
      <c r="AN5757"/>
      <c r="AO5757"/>
      <c r="AP5757"/>
      <c r="AQ5757" t="s">
        <v>6642</v>
      </c>
      <c r="AR5757" s="32" t="s">
        <v>6702</v>
      </c>
      <c r="AU5757">
        <v>5756</v>
      </c>
    </row>
    <row r="5758" spans="1:47" x14ac:dyDescent="0.2">
      <c r="A5758" s="13">
        <v>6809</v>
      </c>
      <c r="B5758" s="57" t="s">
        <v>45</v>
      </c>
      <c r="C5758" s="57" t="s">
        <v>142</v>
      </c>
      <c r="D5758" s="29"/>
      <c r="E5758" s="57" t="s">
        <v>1078</v>
      </c>
      <c r="F5758" s="31" t="s">
        <v>76</v>
      </c>
      <c r="G5758" s="31" t="s">
        <v>49</v>
      </c>
      <c r="I5758" s="47" t="b">
        <v>0</v>
      </c>
      <c r="J5758" s="47" t="b">
        <v>0</v>
      </c>
      <c r="K5758" s="31">
        <v>1320</v>
      </c>
      <c r="S5758" s="33">
        <v>2</v>
      </c>
      <c r="AK5758" s="32">
        <v>19</v>
      </c>
      <c r="AQ5758" s="32" t="s">
        <v>6522</v>
      </c>
      <c r="AU5758">
        <v>5757</v>
      </c>
    </row>
    <row r="5759" spans="1:47" x14ac:dyDescent="0.2">
      <c r="A5759" s="13">
        <v>6809</v>
      </c>
      <c r="B5759" s="57" t="s">
        <v>45</v>
      </c>
      <c r="C5759" s="57" t="s">
        <v>142</v>
      </c>
      <c r="D5759" s="29"/>
      <c r="E5759" s="57" t="s">
        <v>5390</v>
      </c>
      <c r="F5759" s="31" t="s">
        <v>6354</v>
      </c>
      <c r="G5759" s="31" t="s">
        <v>69</v>
      </c>
      <c r="I5759" s="47" t="b">
        <v>0</v>
      </c>
      <c r="J5759" s="47" t="b">
        <v>0</v>
      </c>
      <c r="K5759" s="31">
        <v>1848</v>
      </c>
      <c r="S5759" s="33">
        <v>3</v>
      </c>
      <c r="AK5759" s="32">
        <v>24</v>
      </c>
      <c r="AQ5759" s="32" t="s">
        <v>6522</v>
      </c>
      <c r="AU5759">
        <v>5758</v>
      </c>
    </row>
    <row r="5760" spans="1:47" x14ac:dyDescent="0.2">
      <c r="A5760" s="13">
        <v>6809</v>
      </c>
      <c r="B5760" s="57" t="s">
        <v>45</v>
      </c>
      <c r="C5760" s="57" t="s">
        <v>142</v>
      </c>
      <c r="D5760" s="29"/>
      <c r="E5760" s="57" t="s">
        <v>2747</v>
      </c>
      <c r="F5760" s="31" t="s">
        <v>76</v>
      </c>
      <c r="G5760" s="31" t="s">
        <v>49</v>
      </c>
      <c r="I5760" s="47" t="b">
        <v>0</v>
      </c>
      <c r="J5760" s="47" t="b">
        <v>0</v>
      </c>
      <c r="K5760" s="31">
        <v>1122</v>
      </c>
      <c r="S5760" s="33">
        <v>2</v>
      </c>
      <c r="AK5760" s="32">
        <v>15</v>
      </c>
      <c r="AQ5760" s="32" t="s">
        <v>6522</v>
      </c>
      <c r="AU5760">
        <v>5759</v>
      </c>
    </row>
    <row r="5761" spans="1:47" x14ac:dyDescent="0.2">
      <c r="A5761" s="13">
        <v>6809</v>
      </c>
      <c r="B5761" s="57" t="s">
        <v>45</v>
      </c>
      <c r="C5761" s="57" t="s">
        <v>142</v>
      </c>
      <c r="D5761" s="29"/>
      <c r="E5761" s="57" t="s">
        <v>3936</v>
      </c>
      <c r="F5761" s="31" t="s">
        <v>6354</v>
      </c>
      <c r="G5761" s="31" t="s">
        <v>69</v>
      </c>
      <c r="I5761" s="47" t="b">
        <v>0</v>
      </c>
      <c r="J5761" s="47" t="b">
        <v>0</v>
      </c>
      <c r="K5761" s="31">
        <v>671</v>
      </c>
      <c r="S5761" s="33">
        <v>1</v>
      </c>
      <c r="AK5761" s="32">
        <v>10</v>
      </c>
      <c r="AQ5761" s="32" t="s">
        <v>6522</v>
      </c>
      <c r="AU5761">
        <v>5760</v>
      </c>
    </row>
    <row r="5762" spans="1:47" x14ac:dyDescent="0.2">
      <c r="A5762" s="13">
        <v>6809</v>
      </c>
      <c r="B5762" s="57" t="s">
        <v>45</v>
      </c>
      <c r="C5762" s="57" t="s">
        <v>142</v>
      </c>
      <c r="D5762" s="29"/>
      <c r="E5762" s="57" t="s">
        <v>5772</v>
      </c>
      <c r="F5762" s="31" t="s">
        <v>6354</v>
      </c>
      <c r="G5762" s="31" t="s">
        <v>69</v>
      </c>
      <c r="I5762" s="47" t="b">
        <v>0</v>
      </c>
      <c r="J5762" s="47" t="b">
        <v>0</v>
      </c>
      <c r="K5762" s="31">
        <v>704</v>
      </c>
      <c r="S5762" s="33">
        <v>1</v>
      </c>
      <c r="AK5762" s="32">
        <v>8</v>
      </c>
      <c r="AQ5762" s="32" t="s">
        <v>6522</v>
      </c>
      <c r="AU5762">
        <v>5761</v>
      </c>
    </row>
    <row r="5763" spans="1:47" x14ac:dyDescent="0.2">
      <c r="A5763" s="13">
        <v>6809</v>
      </c>
      <c r="B5763" s="57" t="s">
        <v>45</v>
      </c>
      <c r="C5763" s="57" t="s">
        <v>142</v>
      </c>
      <c r="D5763" s="29"/>
      <c r="E5763" s="57" t="s">
        <v>5882</v>
      </c>
      <c r="F5763" s="31" t="s">
        <v>76</v>
      </c>
      <c r="G5763" s="31" t="s">
        <v>49</v>
      </c>
      <c r="I5763" s="47" t="b">
        <v>0</v>
      </c>
      <c r="J5763" s="47" t="b">
        <v>0</v>
      </c>
      <c r="K5763" s="31">
        <v>902</v>
      </c>
      <c r="S5763" s="33">
        <v>1</v>
      </c>
      <c r="AK5763" s="32">
        <v>11</v>
      </c>
      <c r="AQ5763" s="32" t="s">
        <v>6522</v>
      </c>
      <c r="AU5763">
        <v>5762</v>
      </c>
    </row>
    <row r="5764" spans="1:47" x14ac:dyDescent="0.2">
      <c r="A5764" s="13">
        <v>6809</v>
      </c>
      <c r="B5764" s="57" t="s">
        <v>45</v>
      </c>
      <c r="C5764" s="57" t="s">
        <v>5765</v>
      </c>
      <c r="D5764" s="29"/>
      <c r="E5764" s="57" t="s">
        <v>6703</v>
      </c>
      <c r="F5764" s="31" t="s">
        <v>204</v>
      </c>
      <c r="G5764" s="31" t="s">
        <v>205</v>
      </c>
      <c r="I5764" s="32" t="s">
        <v>6704</v>
      </c>
      <c r="K5764" s="31">
        <f>7876-4400</f>
        <v>3476</v>
      </c>
      <c r="Z5764" s="31" t="s">
        <v>1846</v>
      </c>
      <c r="AE5764" s="31" t="s">
        <v>4176</v>
      </c>
      <c r="AF5764" s="31">
        <v>60</v>
      </c>
      <c r="AK5764" s="32">
        <f>70-40</f>
        <v>30</v>
      </c>
      <c r="AQ5764" s="32" t="s">
        <v>6705</v>
      </c>
      <c r="AU5764">
        <v>5763</v>
      </c>
    </row>
    <row r="5765" spans="1:47" x14ac:dyDescent="0.2">
      <c r="A5765" s="13">
        <v>6809</v>
      </c>
      <c r="B5765" s="57" t="s">
        <v>45</v>
      </c>
      <c r="C5765" s="57" t="s">
        <v>4456</v>
      </c>
      <c r="D5765" s="29"/>
      <c r="E5765" s="57" t="s">
        <v>6703</v>
      </c>
      <c r="F5765" s="31" t="s">
        <v>204</v>
      </c>
      <c r="G5765" s="31" t="s">
        <v>205</v>
      </c>
      <c r="I5765" s="137" t="s">
        <v>6706</v>
      </c>
      <c r="K5765" s="135">
        <f>880*5</f>
        <v>4400</v>
      </c>
      <c r="L5765" s="33">
        <v>5</v>
      </c>
      <c r="S5765" s="33">
        <v>5</v>
      </c>
      <c r="T5765" s="31">
        <v>0</v>
      </c>
      <c r="U5765" s="31">
        <v>0</v>
      </c>
      <c r="V5765" s="31">
        <v>0</v>
      </c>
      <c r="W5765" s="47">
        <f>((2000+2200+2600+2000+2100)/5)*39.37/12</f>
        <v>7152.2166666666662</v>
      </c>
      <c r="Y5765" s="19" t="s">
        <v>51</v>
      </c>
      <c r="Z5765" s="19" t="s">
        <v>1846</v>
      </c>
      <c r="AA5765" s="34">
        <v>0.91666666666666663</v>
      </c>
      <c r="AB5765" s="34">
        <v>1.0208333333333333</v>
      </c>
      <c r="AC5765" s="49">
        <f>AVERAGE(AA5765:AB5765)</f>
        <v>0.96875</v>
      </c>
      <c r="AD5765" s="50">
        <v>2.5</v>
      </c>
      <c r="AE5765" s="31" t="s">
        <v>4176</v>
      </c>
      <c r="AF5765" s="31">
        <v>60</v>
      </c>
      <c r="AK5765" s="130">
        <f>5*8</f>
        <v>40</v>
      </c>
      <c r="AQ5765" s="32" t="s">
        <v>6707</v>
      </c>
      <c r="AU5765">
        <v>5764</v>
      </c>
    </row>
    <row r="5766" spans="1:47" x14ac:dyDescent="0.2">
      <c r="A5766" s="13">
        <v>6809</v>
      </c>
      <c r="B5766" s="57" t="s">
        <v>45</v>
      </c>
      <c r="C5766" s="57" t="s">
        <v>4843</v>
      </c>
      <c r="D5766" s="29"/>
      <c r="E5766" s="57" t="s">
        <v>1078</v>
      </c>
      <c r="F5766" s="31" t="s">
        <v>76</v>
      </c>
      <c r="G5766" s="31" t="s">
        <v>49</v>
      </c>
      <c r="K5766" s="31">
        <v>528</v>
      </c>
      <c r="S5766" s="33">
        <v>1</v>
      </c>
      <c r="Z5766" s="31" t="s">
        <v>3814</v>
      </c>
      <c r="AE5766" s="31" t="s">
        <v>4411</v>
      </c>
      <c r="AF5766" s="31">
        <v>70</v>
      </c>
      <c r="AK5766" s="32">
        <v>6</v>
      </c>
      <c r="AQ5766" s="32" t="s">
        <v>6522</v>
      </c>
      <c r="AU5766">
        <v>5765</v>
      </c>
    </row>
    <row r="5767" spans="1:47" x14ac:dyDescent="0.2">
      <c r="A5767" s="13">
        <v>6809</v>
      </c>
      <c r="B5767" s="57" t="s">
        <v>45</v>
      </c>
      <c r="C5767" s="57" t="s">
        <v>4843</v>
      </c>
      <c r="D5767" s="29"/>
      <c r="E5767" s="57" t="s">
        <v>5772</v>
      </c>
      <c r="F5767" s="31" t="s">
        <v>6354</v>
      </c>
      <c r="G5767" s="31" t="s">
        <v>69</v>
      </c>
      <c r="K5767" s="31">
        <v>2134</v>
      </c>
      <c r="S5767" s="33">
        <v>5</v>
      </c>
      <c r="Z5767" s="31" t="s">
        <v>3814</v>
      </c>
      <c r="AE5767" s="31" t="s">
        <v>4411</v>
      </c>
      <c r="AF5767" s="31">
        <v>70</v>
      </c>
      <c r="AK5767" s="32">
        <v>28</v>
      </c>
      <c r="AQ5767" s="32" t="s">
        <v>6522</v>
      </c>
      <c r="AU5767">
        <v>5766</v>
      </c>
    </row>
    <row r="5768" spans="1:47" x14ac:dyDescent="0.2">
      <c r="A5768" s="13">
        <v>6809</v>
      </c>
      <c r="B5768" s="57" t="s">
        <v>45</v>
      </c>
      <c r="C5768" s="57" t="s">
        <v>4843</v>
      </c>
      <c r="D5768" s="29"/>
      <c r="E5768" s="57" t="s">
        <v>2747</v>
      </c>
      <c r="F5768" s="31" t="s">
        <v>76</v>
      </c>
      <c r="G5768" s="31" t="s">
        <v>49</v>
      </c>
      <c r="K5768" s="31">
        <v>3762</v>
      </c>
      <c r="S5768" s="33">
        <v>7</v>
      </c>
      <c r="Z5768" s="31" t="s">
        <v>3814</v>
      </c>
      <c r="AE5768" s="31" t="s">
        <v>4411</v>
      </c>
      <c r="AF5768" s="31">
        <v>50</v>
      </c>
      <c r="AK5768" s="32">
        <v>51</v>
      </c>
      <c r="AQ5768" s="32" t="s">
        <v>6522</v>
      </c>
      <c r="AU5768">
        <v>5767</v>
      </c>
    </row>
    <row r="5769" spans="1:47" x14ac:dyDescent="0.2">
      <c r="A5769" s="13">
        <v>6809</v>
      </c>
      <c r="B5769" s="57" t="s">
        <v>45</v>
      </c>
      <c r="C5769" s="57" t="s">
        <v>4843</v>
      </c>
      <c r="D5769" s="29"/>
      <c r="E5769" s="57" t="s">
        <v>6527</v>
      </c>
      <c r="F5769" s="31" t="s">
        <v>76</v>
      </c>
      <c r="G5769" s="31" t="s">
        <v>49</v>
      </c>
      <c r="K5769" s="31">
        <v>550</v>
      </c>
      <c r="S5769" s="33">
        <v>1</v>
      </c>
      <c r="Z5769" s="31" t="s">
        <v>3814</v>
      </c>
      <c r="AE5769" s="31" t="s">
        <v>4411</v>
      </c>
      <c r="AF5769" s="31">
        <v>100</v>
      </c>
      <c r="AK5769" s="32">
        <v>10</v>
      </c>
      <c r="AQ5769" s="32" t="s">
        <v>6522</v>
      </c>
      <c r="AU5769">
        <v>5768</v>
      </c>
    </row>
    <row r="5770" spans="1:47" x14ac:dyDescent="0.2">
      <c r="A5770" s="13">
        <v>6809</v>
      </c>
      <c r="B5770" s="57" t="s">
        <v>45</v>
      </c>
      <c r="C5770" s="57" t="s">
        <v>4843</v>
      </c>
      <c r="D5770" s="29"/>
      <c r="E5770" s="57" t="s">
        <v>5882</v>
      </c>
      <c r="F5770" s="31" t="s">
        <v>76</v>
      </c>
      <c r="G5770" s="31" t="s">
        <v>49</v>
      </c>
      <c r="K5770" s="31">
        <v>1078</v>
      </c>
      <c r="S5770" s="33">
        <v>2</v>
      </c>
      <c r="Z5770" s="31" t="s">
        <v>3814</v>
      </c>
      <c r="AE5770" s="31" t="s">
        <v>4411</v>
      </c>
      <c r="AF5770" s="31">
        <v>65</v>
      </c>
      <c r="AK5770" s="32">
        <v>16</v>
      </c>
      <c r="AQ5770" s="32" t="s">
        <v>6522</v>
      </c>
      <c r="AU5770">
        <v>5769</v>
      </c>
    </row>
    <row r="5771" spans="1:47" x14ac:dyDescent="0.2">
      <c r="A5771" s="13">
        <v>6809</v>
      </c>
      <c r="B5771" s="57" t="s">
        <v>45</v>
      </c>
      <c r="C5771" s="57" t="s">
        <v>6550</v>
      </c>
      <c r="D5771" s="29"/>
      <c r="E5771" s="57" t="s">
        <v>6708</v>
      </c>
      <c r="K5771" s="31">
        <v>1210</v>
      </c>
      <c r="AK5771" s="32">
        <v>11</v>
      </c>
      <c r="AQ5771" s="32" t="s">
        <v>6552</v>
      </c>
      <c r="AU5771">
        <v>5770</v>
      </c>
    </row>
    <row r="5772" spans="1:47" x14ac:dyDescent="0.2">
      <c r="A5772" s="13">
        <v>6809</v>
      </c>
      <c r="B5772" s="57" t="s">
        <v>45</v>
      </c>
      <c r="C5772" s="57" t="s">
        <v>6550</v>
      </c>
      <c r="D5772" s="29"/>
      <c r="E5772" s="57" t="s">
        <v>6387</v>
      </c>
      <c r="F5772" s="31" t="s">
        <v>4413</v>
      </c>
      <c r="K5772" s="31">
        <v>550</v>
      </c>
      <c r="AK5772" s="32">
        <v>20</v>
      </c>
      <c r="AQ5772" s="32" t="s">
        <v>6552</v>
      </c>
      <c r="AU5772">
        <v>5771</v>
      </c>
    </row>
    <row r="5773" spans="1:47" x14ac:dyDescent="0.2">
      <c r="A5773" s="13">
        <v>6809</v>
      </c>
      <c r="B5773" s="57" t="s">
        <v>45</v>
      </c>
      <c r="C5773" s="57" t="s">
        <v>6550</v>
      </c>
      <c r="D5773" s="29"/>
      <c r="E5773" s="57" t="s">
        <v>6652</v>
      </c>
      <c r="K5773" s="31">
        <v>550</v>
      </c>
      <c r="AK5773" s="32">
        <v>10</v>
      </c>
      <c r="AQ5773" s="32" t="s">
        <v>6552</v>
      </c>
      <c r="AU5773">
        <v>5772</v>
      </c>
    </row>
    <row r="5774" spans="1:47" x14ac:dyDescent="0.2">
      <c r="A5774" s="13">
        <v>6809</v>
      </c>
      <c r="B5774" s="57" t="s">
        <v>45</v>
      </c>
      <c r="C5774" s="57" t="s">
        <v>6550</v>
      </c>
      <c r="D5774" s="29"/>
      <c r="E5774" s="57" t="s">
        <v>3820</v>
      </c>
      <c r="F5774" s="31" t="s">
        <v>4413</v>
      </c>
      <c r="K5774" s="31">
        <v>660</v>
      </c>
      <c r="AK5774" s="32">
        <v>12</v>
      </c>
      <c r="AQ5774" s="32" t="s">
        <v>6552</v>
      </c>
      <c r="AU5774">
        <v>5773</v>
      </c>
    </row>
    <row r="5775" spans="1:47" x14ac:dyDescent="0.2">
      <c r="A5775" s="13">
        <v>6809</v>
      </c>
      <c r="B5775" s="57" t="s">
        <v>45</v>
      </c>
      <c r="C5775" s="57" t="s">
        <v>6550</v>
      </c>
      <c r="D5775" s="29"/>
      <c r="E5775" s="57" t="s">
        <v>6709</v>
      </c>
      <c r="F5775" s="31" t="s">
        <v>76</v>
      </c>
      <c r="G5775" s="31" t="s">
        <v>49</v>
      </c>
      <c r="I5775" s="31" t="s">
        <v>6710</v>
      </c>
      <c r="K5775" s="63"/>
      <c r="AQ5775" s="32" t="s">
        <v>6552</v>
      </c>
      <c r="AU5775">
        <v>5774</v>
      </c>
    </row>
    <row r="5776" spans="1:47" x14ac:dyDescent="0.2">
      <c r="A5776" s="13">
        <v>6809</v>
      </c>
      <c r="B5776" s="57" t="s">
        <v>45</v>
      </c>
      <c r="C5776" s="57" t="s">
        <v>6550</v>
      </c>
      <c r="D5776" s="29"/>
      <c r="E5776" s="57" t="s">
        <v>819</v>
      </c>
      <c r="F5776" s="31" t="s">
        <v>76</v>
      </c>
      <c r="G5776" s="31" t="s">
        <v>49</v>
      </c>
      <c r="I5776" s="31" t="s">
        <v>6657</v>
      </c>
      <c r="K5776" s="63"/>
      <c r="AQ5776" s="32" t="s">
        <v>6552</v>
      </c>
      <c r="AU5776">
        <v>5775</v>
      </c>
    </row>
    <row r="5777" spans="1:47" x14ac:dyDescent="0.2">
      <c r="A5777" s="13">
        <v>6809</v>
      </c>
      <c r="B5777" s="57" t="s">
        <v>45</v>
      </c>
      <c r="C5777" s="57" t="s">
        <v>6550</v>
      </c>
      <c r="D5777" s="29"/>
      <c r="E5777" s="57" t="s">
        <v>1895</v>
      </c>
      <c r="I5777" s="31" t="s">
        <v>6658</v>
      </c>
      <c r="K5777" s="63"/>
      <c r="AQ5777" s="32" t="s">
        <v>6552</v>
      </c>
      <c r="AU5777">
        <v>5776</v>
      </c>
    </row>
    <row r="5778" spans="1:47" x14ac:dyDescent="0.2">
      <c r="A5778" s="13">
        <v>6809</v>
      </c>
      <c r="B5778" s="57" t="s">
        <v>45</v>
      </c>
      <c r="C5778" s="57" t="s">
        <v>6550</v>
      </c>
      <c r="D5778" s="29"/>
      <c r="E5778" s="57" t="s">
        <v>6555</v>
      </c>
      <c r="F5778" s="31" t="s">
        <v>4413</v>
      </c>
      <c r="I5778" s="31" t="s">
        <v>6556</v>
      </c>
      <c r="K5778" s="63"/>
      <c r="AQ5778" s="32" t="s">
        <v>6552</v>
      </c>
      <c r="AU5778">
        <v>5777</v>
      </c>
    </row>
    <row r="5779" spans="1:47" x14ac:dyDescent="0.2">
      <c r="A5779" s="13">
        <v>6809</v>
      </c>
      <c r="B5779" s="57" t="s">
        <v>45</v>
      </c>
      <c r="C5779" s="57" t="s">
        <v>6550</v>
      </c>
      <c r="D5779" s="29"/>
      <c r="E5779" s="57" t="s">
        <v>688</v>
      </c>
      <c r="F5779" s="31" t="s">
        <v>76</v>
      </c>
      <c r="G5779" s="31" t="s">
        <v>49</v>
      </c>
      <c r="I5779" s="31" t="s">
        <v>6559</v>
      </c>
      <c r="K5779" s="63"/>
      <c r="AQ5779" s="32" t="s">
        <v>6552</v>
      </c>
      <c r="AU5779">
        <v>5778</v>
      </c>
    </row>
    <row r="5780" spans="1:47" x14ac:dyDescent="0.2">
      <c r="A5780" s="13">
        <v>6809</v>
      </c>
      <c r="B5780" s="57" t="s">
        <v>45</v>
      </c>
      <c r="C5780" s="57" t="s">
        <v>6550</v>
      </c>
      <c r="D5780" s="29"/>
      <c r="E5780" s="57" t="s">
        <v>447</v>
      </c>
      <c r="F5780" s="31" t="s">
        <v>4413</v>
      </c>
      <c r="I5780" s="31" t="s">
        <v>6659</v>
      </c>
      <c r="J5780" s="33"/>
      <c r="K5780" s="193"/>
      <c r="AQ5780" s="32" t="s">
        <v>6552</v>
      </c>
      <c r="AU5780">
        <v>5779</v>
      </c>
    </row>
    <row r="5781" spans="1:47" x14ac:dyDescent="0.2">
      <c r="A5781" s="26">
        <v>6809</v>
      </c>
      <c r="B5781" s="27">
        <v>5.5555555555555558E-3</v>
      </c>
      <c r="C5781" s="28"/>
      <c r="D5781" s="29"/>
      <c r="E5781" s="102" t="s">
        <v>5200</v>
      </c>
      <c r="H5781" s="32">
        <v>0</v>
      </c>
      <c r="I5781" s="32" t="s">
        <v>5893</v>
      </c>
      <c r="AG5781" s="32">
        <v>0</v>
      </c>
      <c r="AH5781" s="32">
        <v>0</v>
      </c>
      <c r="AI5781" s="32">
        <v>0</v>
      </c>
      <c r="AK5781" s="32">
        <v>0</v>
      </c>
      <c r="AL5781" s="32">
        <f>134/60</f>
        <v>2.2333333333333334</v>
      </c>
      <c r="AO5781" s="32" t="s">
        <v>6665</v>
      </c>
      <c r="AP5781" s="32">
        <f>134/60</f>
        <v>2.2333333333333334</v>
      </c>
      <c r="AQ5781" s="32" t="s">
        <v>589</v>
      </c>
      <c r="AU5781">
        <v>5780</v>
      </c>
    </row>
    <row r="5782" spans="1:47" x14ac:dyDescent="0.2">
      <c r="A5782" s="26">
        <v>6809</v>
      </c>
      <c r="B5782" s="27">
        <v>2.7777777777777776E-2</v>
      </c>
      <c r="C5782" s="28"/>
      <c r="D5782" s="29"/>
      <c r="E5782" s="30" t="s">
        <v>110</v>
      </c>
      <c r="H5782" s="32">
        <v>1</v>
      </c>
      <c r="I5782" s="32" t="s">
        <v>6711</v>
      </c>
      <c r="AG5782" s="32">
        <v>6</v>
      </c>
      <c r="AH5782" s="32">
        <v>10</v>
      </c>
      <c r="AI5782" s="32">
        <v>477000</v>
      </c>
      <c r="AK5782" s="32">
        <v>10</v>
      </c>
      <c r="AL5782" s="32">
        <f>70/60</f>
        <v>1.1666666666666667</v>
      </c>
      <c r="AP5782" s="32">
        <f>70/60</f>
        <v>1.1666666666666667</v>
      </c>
      <c r="AQ5782" s="32" t="s">
        <v>4712</v>
      </c>
      <c r="AU5782">
        <v>5781</v>
      </c>
    </row>
    <row r="5783" spans="1:47" x14ac:dyDescent="0.2">
      <c r="A5783" s="26">
        <v>6809</v>
      </c>
      <c r="B5783" s="27">
        <v>4.1666666666666664E-2</v>
      </c>
      <c r="C5783" s="28"/>
      <c r="D5783" s="29"/>
      <c r="E5783" s="102" t="s">
        <v>1102</v>
      </c>
      <c r="H5783" s="32">
        <v>0</v>
      </c>
      <c r="I5783" s="32" t="s">
        <v>1103</v>
      </c>
      <c r="AG5783" s="32">
        <v>0</v>
      </c>
      <c r="AH5783" s="32">
        <v>0</v>
      </c>
      <c r="AI5783" s="32">
        <v>0</v>
      </c>
      <c r="AK5783" s="32">
        <v>0</v>
      </c>
      <c r="AL5783" s="32">
        <v>0.33300000000000002</v>
      </c>
      <c r="AO5783" s="73" t="s">
        <v>1006</v>
      </c>
      <c r="AP5783" s="32">
        <v>0.33300000000000002</v>
      </c>
      <c r="AQ5783" s="32" t="s">
        <v>589</v>
      </c>
      <c r="AU5783">
        <v>5782</v>
      </c>
    </row>
    <row r="5784" spans="1:47" x14ac:dyDescent="0.2">
      <c r="A5784" s="26">
        <v>6809</v>
      </c>
      <c r="B5784" s="27">
        <v>0.05</v>
      </c>
      <c r="C5784" s="28"/>
      <c r="D5784" s="29"/>
      <c r="E5784" s="30" t="s">
        <v>869</v>
      </c>
      <c r="H5784" s="32">
        <v>0</v>
      </c>
      <c r="I5784" s="32" t="s">
        <v>6712</v>
      </c>
      <c r="AG5784" s="32">
        <v>0</v>
      </c>
      <c r="AH5784" s="32">
        <v>0</v>
      </c>
      <c r="AI5784" s="32">
        <v>0</v>
      </c>
      <c r="AK5784" s="32">
        <v>0</v>
      </c>
      <c r="AL5784" s="32">
        <f>33/60</f>
        <v>0.55000000000000004</v>
      </c>
      <c r="AP5784" s="32">
        <f>33/60</f>
        <v>0.55000000000000004</v>
      </c>
      <c r="AQ5784" s="32" t="s">
        <v>589</v>
      </c>
      <c r="AU5784">
        <v>5783</v>
      </c>
    </row>
    <row r="5785" spans="1:47" x14ac:dyDescent="0.2">
      <c r="A5785" s="26">
        <v>6809</v>
      </c>
      <c r="B5785" s="27">
        <v>0.10416666666666667</v>
      </c>
      <c r="C5785" s="28"/>
      <c r="D5785" s="29"/>
      <c r="E5785" s="30" t="s">
        <v>3737</v>
      </c>
      <c r="H5785" s="32">
        <v>0</v>
      </c>
      <c r="I5785" s="32" t="s">
        <v>4926</v>
      </c>
      <c r="AG5785" s="32">
        <v>0</v>
      </c>
      <c r="AH5785" s="32">
        <v>0</v>
      </c>
      <c r="AI5785" s="32">
        <v>0</v>
      </c>
      <c r="AK5785" s="32">
        <v>0</v>
      </c>
      <c r="AL5785" s="32">
        <v>0.33300000000000002</v>
      </c>
      <c r="AM5785" s="33">
        <f>3125*AL5785</f>
        <v>1040.625</v>
      </c>
      <c r="AP5785" s="32">
        <v>0.33300000000000002</v>
      </c>
      <c r="AQ5785" s="32" t="s">
        <v>1101</v>
      </c>
      <c r="AU5785">
        <v>5784</v>
      </c>
    </row>
    <row r="5786" spans="1:47" x14ac:dyDescent="0.2">
      <c r="A5786" s="26">
        <v>6809</v>
      </c>
      <c r="B5786" s="27">
        <v>0.33333333333333331</v>
      </c>
      <c r="C5786" s="28"/>
      <c r="D5786" s="29"/>
      <c r="E5786" s="30" t="s">
        <v>4219</v>
      </c>
      <c r="H5786" s="32">
        <v>0</v>
      </c>
      <c r="I5786" s="32" t="s">
        <v>6713</v>
      </c>
      <c r="AG5786" s="32">
        <v>0</v>
      </c>
      <c r="AH5786" s="32">
        <v>0</v>
      </c>
      <c r="AI5786" s="32">
        <v>0</v>
      </c>
      <c r="AK5786" s="32">
        <v>0</v>
      </c>
      <c r="AL5786" s="32">
        <f>55/60</f>
        <v>0.91666666666666663</v>
      </c>
      <c r="AO5786" s="32" t="s">
        <v>858</v>
      </c>
      <c r="AP5786" s="32">
        <f>55/60</f>
        <v>0.91666666666666663</v>
      </c>
      <c r="AQ5786" s="32" t="s">
        <v>1101</v>
      </c>
      <c r="AU5786">
        <v>5785</v>
      </c>
    </row>
    <row r="5787" spans="1:47" x14ac:dyDescent="0.2">
      <c r="A5787" s="26">
        <v>6809</v>
      </c>
      <c r="B5787" s="27">
        <v>0.3354166666666667</v>
      </c>
      <c r="C5787" s="28"/>
      <c r="D5787" s="29"/>
      <c r="E5787" s="102" t="s">
        <v>1102</v>
      </c>
      <c r="H5787" s="32">
        <v>0</v>
      </c>
      <c r="I5787" s="32" t="s">
        <v>6714</v>
      </c>
      <c r="AG5787" s="32">
        <v>0</v>
      </c>
      <c r="AH5787" s="32">
        <v>0</v>
      </c>
      <c r="AI5787" s="32">
        <v>0</v>
      </c>
      <c r="AK5787" s="32">
        <v>0</v>
      </c>
      <c r="AL5787" s="32">
        <f>89/60</f>
        <v>1.4833333333333334</v>
      </c>
      <c r="AO5787" s="73" t="s">
        <v>1006</v>
      </c>
      <c r="AP5787" s="32">
        <f>89/60</f>
        <v>1.4833333333333334</v>
      </c>
      <c r="AQ5787" s="32" t="s">
        <v>589</v>
      </c>
      <c r="AU5787">
        <v>5786</v>
      </c>
    </row>
    <row r="5788" spans="1:47" x14ac:dyDescent="0.2">
      <c r="A5788" s="26">
        <v>6809</v>
      </c>
      <c r="B5788" s="27">
        <v>0.36388888888888887</v>
      </c>
      <c r="C5788" s="28"/>
      <c r="D5788" s="29"/>
      <c r="E5788" s="102" t="s">
        <v>5200</v>
      </c>
      <c r="H5788" s="32">
        <v>0</v>
      </c>
      <c r="I5788" s="32" t="s">
        <v>6715</v>
      </c>
      <c r="AG5788" s="32">
        <v>0</v>
      </c>
      <c r="AH5788" s="32">
        <v>0</v>
      </c>
      <c r="AI5788" s="32">
        <v>0</v>
      </c>
      <c r="AK5788" s="32">
        <v>0</v>
      </c>
      <c r="AL5788" s="32">
        <f>61/60</f>
        <v>1.0166666666666666</v>
      </c>
      <c r="AO5788" s="73"/>
      <c r="AP5788" s="32">
        <f>61/60</f>
        <v>1.0166666666666666</v>
      </c>
      <c r="AQ5788" s="32" t="s">
        <v>589</v>
      </c>
      <c r="AU5788">
        <v>5787</v>
      </c>
    </row>
    <row r="5789" spans="1:47" x14ac:dyDescent="0.2">
      <c r="A5789" s="26">
        <v>6809</v>
      </c>
      <c r="B5789" s="27">
        <v>0.37083333333333335</v>
      </c>
      <c r="C5789" s="28"/>
      <c r="D5789" s="29"/>
      <c r="E5789" s="30" t="s">
        <v>3155</v>
      </c>
      <c r="H5789" s="32">
        <v>0</v>
      </c>
      <c r="I5789" s="32" t="s">
        <v>3156</v>
      </c>
      <c r="AG5789" s="32">
        <v>0</v>
      </c>
      <c r="AH5789" s="32">
        <v>0</v>
      </c>
      <c r="AI5789" s="32">
        <v>0</v>
      </c>
      <c r="AK5789" s="32">
        <v>0</v>
      </c>
      <c r="AP5789" s="32">
        <f>67/60</f>
        <v>1.1166666666666667</v>
      </c>
      <c r="AQ5789" s="32" t="s">
        <v>1101</v>
      </c>
      <c r="AU5789">
        <v>5788</v>
      </c>
    </row>
    <row r="5790" spans="1:47" x14ac:dyDescent="0.2">
      <c r="A5790" s="26">
        <v>6809</v>
      </c>
      <c r="B5790" s="27">
        <v>0.37152777777777773</v>
      </c>
      <c r="C5790" s="28"/>
      <c r="D5790" s="29"/>
      <c r="E5790" s="30" t="s">
        <v>3737</v>
      </c>
      <c r="H5790" s="32">
        <v>0</v>
      </c>
      <c r="I5790" s="32" t="s">
        <v>4926</v>
      </c>
      <c r="AG5790" s="32">
        <v>0</v>
      </c>
      <c r="AH5790" s="32">
        <v>0</v>
      </c>
      <c r="AI5790" s="32">
        <v>0</v>
      </c>
      <c r="AK5790" s="32">
        <v>0</v>
      </c>
      <c r="AL5790" s="32">
        <f>66/60</f>
        <v>1.1000000000000001</v>
      </c>
      <c r="AM5790" s="33">
        <f>(3125+3691)*AL5790</f>
        <v>7497.6</v>
      </c>
      <c r="AP5790" s="32">
        <f>66/60</f>
        <v>1.1000000000000001</v>
      </c>
      <c r="AQ5790" s="32" t="s">
        <v>1101</v>
      </c>
      <c r="AU5790">
        <v>5789</v>
      </c>
    </row>
    <row r="5791" spans="1:47" x14ac:dyDescent="0.2">
      <c r="A5791" s="26">
        <v>6809</v>
      </c>
      <c r="B5791" s="27">
        <v>0.47222222222222227</v>
      </c>
      <c r="C5791" s="28"/>
      <c r="D5791" s="29"/>
      <c r="E5791" s="30" t="s">
        <v>631</v>
      </c>
      <c r="H5791" s="32">
        <v>0</v>
      </c>
      <c r="I5791" s="32" t="s">
        <v>6716</v>
      </c>
      <c r="AG5791" s="32">
        <v>0</v>
      </c>
      <c r="AH5791" s="32">
        <v>0</v>
      </c>
      <c r="AI5791" s="32">
        <v>0</v>
      </c>
      <c r="AK5791" s="32">
        <v>0</v>
      </c>
      <c r="AL5791" s="32">
        <v>1.25</v>
      </c>
      <c r="AP5791" s="32">
        <v>1.25</v>
      </c>
      <c r="AQ5791" s="32">
        <v>465</v>
      </c>
      <c r="AU5791">
        <v>5790</v>
      </c>
    </row>
    <row r="5792" spans="1:47" x14ac:dyDescent="0.2">
      <c r="A5792" s="26">
        <v>6809</v>
      </c>
      <c r="B5792" s="27">
        <v>0.47569444444444442</v>
      </c>
      <c r="C5792" s="28"/>
      <c r="D5792" s="29"/>
      <c r="E5792" s="30" t="s">
        <v>4709</v>
      </c>
      <c r="H5792" s="32">
        <v>0</v>
      </c>
      <c r="I5792" s="32" t="s">
        <v>4710</v>
      </c>
      <c r="AG5792" s="32">
        <v>0</v>
      </c>
      <c r="AH5792" s="32">
        <v>0</v>
      </c>
      <c r="AI5792" s="32">
        <v>0</v>
      </c>
      <c r="AK5792" s="32">
        <v>0</v>
      </c>
      <c r="AL5792" s="32">
        <f>5/6</f>
        <v>0.83333333333333337</v>
      </c>
      <c r="AM5792" s="32">
        <f>AL5792*(261300+974800)/18.75</f>
        <v>54937.777777777781</v>
      </c>
      <c r="AP5792" s="32">
        <f>5/6</f>
        <v>0.83333333333333337</v>
      </c>
      <c r="AQ5792" s="32" t="s">
        <v>589</v>
      </c>
      <c r="AU5792">
        <v>5791</v>
      </c>
    </row>
    <row r="5793" spans="1:47" x14ac:dyDescent="0.2">
      <c r="A5793" s="26">
        <v>6809</v>
      </c>
      <c r="B5793" s="27">
        <v>0.53125</v>
      </c>
      <c r="C5793" s="28"/>
      <c r="D5793" s="29"/>
      <c r="E5793" s="30" t="s">
        <v>4713</v>
      </c>
      <c r="H5793" s="32">
        <v>0</v>
      </c>
      <c r="I5793" s="32" t="s">
        <v>4714</v>
      </c>
      <c r="AG5793" s="32">
        <v>0</v>
      </c>
      <c r="AH5793" s="32">
        <v>0</v>
      </c>
      <c r="AI5793" s="32">
        <v>0</v>
      </c>
      <c r="AK5793" s="32">
        <v>0</v>
      </c>
      <c r="AL5793" s="32">
        <v>0.5</v>
      </c>
      <c r="AP5793" s="32">
        <v>0.5</v>
      </c>
      <c r="AQ5793" s="32" t="s">
        <v>1101</v>
      </c>
      <c r="AU5793">
        <v>5792</v>
      </c>
    </row>
    <row r="5794" spans="1:47" x14ac:dyDescent="0.2">
      <c r="A5794" s="26">
        <v>6809</v>
      </c>
      <c r="B5794" s="27">
        <v>0.61041666666666672</v>
      </c>
      <c r="C5794" s="28"/>
      <c r="D5794" s="29"/>
      <c r="E5794" s="30" t="s">
        <v>869</v>
      </c>
      <c r="H5794" s="32">
        <v>0</v>
      </c>
      <c r="I5794" s="32" t="s">
        <v>2344</v>
      </c>
      <c r="AG5794" s="32">
        <v>0</v>
      </c>
      <c r="AH5794" s="32">
        <v>0</v>
      </c>
      <c r="AI5794" s="32">
        <v>0</v>
      </c>
      <c r="AK5794" s="32">
        <v>0</v>
      </c>
      <c r="AL5794" s="32">
        <f>18/60</f>
        <v>0.3</v>
      </c>
      <c r="AP5794" s="32">
        <f>18/60</f>
        <v>0.3</v>
      </c>
      <c r="AQ5794" s="32" t="s">
        <v>589</v>
      </c>
      <c r="AU5794">
        <v>5793</v>
      </c>
    </row>
    <row r="5795" spans="1:47" x14ac:dyDescent="0.2">
      <c r="A5795" s="26">
        <v>6809</v>
      </c>
      <c r="B5795" s="27">
        <v>0.875</v>
      </c>
      <c r="C5795" s="28"/>
      <c r="D5795" s="29"/>
      <c r="E5795" s="30" t="s">
        <v>631</v>
      </c>
      <c r="H5795" s="32">
        <v>0</v>
      </c>
      <c r="I5795" s="32" t="s">
        <v>6717</v>
      </c>
      <c r="AG5795" s="32">
        <v>0</v>
      </c>
      <c r="AH5795" s="32">
        <v>0</v>
      </c>
      <c r="AI5795" s="32">
        <v>0</v>
      </c>
      <c r="AK5795" s="32">
        <v>0</v>
      </c>
      <c r="AL5795" s="32">
        <v>0.33329999999999999</v>
      </c>
      <c r="AP5795" s="32">
        <v>0.33329999999999999</v>
      </c>
      <c r="AQ5795" s="32">
        <v>465</v>
      </c>
      <c r="AU5795">
        <v>5794</v>
      </c>
    </row>
    <row r="5796" spans="1:47" x14ac:dyDescent="0.2">
      <c r="A5796" s="26">
        <v>6809</v>
      </c>
      <c r="B5796" s="27">
        <v>0.90972222222222221</v>
      </c>
      <c r="C5796" s="28"/>
      <c r="D5796" s="29"/>
      <c r="E5796" s="30" t="s">
        <v>464</v>
      </c>
      <c r="H5796" s="32">
        <v>0</v>
      </c>
      <c r="I5796" s="32" t="s">
        <v>6718</v>
      </c>
      <c r="AG5796" s="32">
        <v>0</v>
      </c>
      <c r="AH5796" s="32">
        <v>0</v>
      </c>
      <c r="AL5796" s="32">
        <f>5/6</f>
        <v>0.83333333333333337</v>
      </c>
      <c r="AO5796" s="32" t="s">
        <v>4067</v>
      </c>
      <c r="AP5796" s="32">
        <f>5/6</f>
        <v>0.83333333333333337</v>
      </c>
      <c r="AQ5796" s="32" t="s">
        <v>1522</v>
      </c>
      <c r="AU5796">
        <v>5795</v>
      </c>
    </row>
    <row r="5797" spans="1:47" x14ac:dyDescent="0.2">
      <c r="A5797" s="26">
        <v>6809</v>
      </c>
      <c r="B5797" s="27">
        <v>0.93055555555555547</v>
      </c>
      <c r="C5797" s="28"/>
      <c r="D5797" s="29"/>
      <c r="E5797" s="30" t="s">
        <v>4713</v>
      </c>
      <c r="H5797" s="32">
        <v>0</v>
      </c>
      <c r="I5797" s="32" t="s">
        <v>4714</v>
      </c>
      <c r="AG5797" s="32">
        <v>0</v>
      </c>
      <c r="AH5797" s="32">
        <v>0</v>
      </c>
      <c r="AI5797" s="32">
        <v>0</v>
      </c>
      <c r="AK5797" s="32">
        <v>0</v>
      </c>
      <c r="AL5797" s="32">
        <f>2+1/6</f>
        <v>2.1666666666666665</v>
      </c>
      <c r="AP5797" s="32">
        <f>2+1/6</f>
        <v>2.1666666666666665</v>
      </c>
      <c r="AQ5797" s="32" t="s">
        <v>1101</v>
      </c>
      <c r="AU5797">
        <v>5796</v>
      </c>
    </row>
    <row r="5798" spans="1:47" x14ac:dyDescent="0.2">
      <c r="A5798" s="26">
        <v>6809</v>
      </c>
      <c r="B5798" s="27">
        <v>0.93472222222222223</v>
      </c>
      <c r="C5798" s="28"/>
      <c r="D5798" s="29"/>
      <c r="E5798" s="30" t="s">
        <v>869</v>
      </c>
      <c r="H5798" s="32">
        <v>0</v>
      </c>
      <c r="I5798" s="32" t="s">
        <v>2344</v>
      </c>
      <c r="AG5798" s="32">
        <v>0</v>
      </c>
      <c r="AH5798" s="32">
        <v>0</v>
      </c>
      <c r="AI5798" s="32">
        <v>0</v>
      </c>
      <c r="AK5798" s="32">
        <v>0</v>
      </c>
      <c r="AL5798" s="32">
        <f>126/60</f>
        <v>2.1</v>
      </c>
      <c r="AP5798" s="32">
        <f>126/60</f>
        <v>2.1</v>
      </c>
      <c r="AQ5798" s="32" t="s">
        <v>589</v>
      </c>
      <c r="AU5798">
        <v>5797</v>
      </c>
    </row>
    <row r="5799" spans="1:47" x14ac:dyDescent="0.2">
      <c r="A5799" s="26">
        <v>6809</v>
      </c>
      <c r="B5799" s="27">
        <v>0.93611111111111101</v>
      </c>
      <c r="C5799" s="28"/>
      <c r="D5799" s="29"/>
      <c r="E5799" s="102" t="s">
        <v>1102</v>
      </c>
      <c r="H5799" s="32">
        <v>0</v>
      </c>
      <c r="I5799" s="32" t="s">
        <v>1103</v>
      </c>
      <c r="AG5799" s="32">
        <v>0</v>
      </c>
      <c r="AH5799" s="32">
        <v>0</v>
      </c>
      <c r="AI5799" s="32">
        <v>0</v>
      </c>
      <c r="AK5799" s="32">
        <v>0</v>
      </c>
      <c r="AL5799" s="32">
        <f>19/60</f>
        <v>0.31666666666666665</v>
      </c>
      <c r="AO5799" s="73" t="s">
        <v>1006</v>
      </c>
      <c r="AP5799" s="32">
        <f>19/60</f>
        <v>0.31666666666666665</v>
      </c>
      <c r="AQ5799" s="32" t="s">
        <v>589</v>
      </c>
      <c r="AU5799">
        <v>5798</v>
      </c>
    </row>
    <row r="5800" spans="1:47" x14ac:dyDescent="0.2">
      <c r="A5800" s="26">
        <v>6809</v>
      </c>
      <c r="B5800" s="27">
        <v>0.94097222222222221</v>
      </c>
      <c r="C5800" s="28"/>
      <c r="D5800" s="29"/>
      <c r="E5800" s="30" t="s">
        <v>3737</v>
      </c>
      <c r="H5800" s="32">
        <v>0</v>
      </c>
      <c r="I5800" s="32" t="s">
        <v>6719</v>
      </c>
      <c r="AG5800" s="32">
        <v>0</v>
      </c>
      <c r="AH5800" s="32">
        <v>0</v>
      </c>
      <c r="AI5800" s="32">
        <v>0</v>
      </c>
      <c r="AK5800" s="32">
        <v>0</v>
      </c>
      <c r="AL5800" s="32">
        <f>132/60</f>
        <v>2.2000000000000002</v>
      </c>
      <c r="AM5800" s="33">
        <f>3125*AL5800</f>
        <v>6875.0000000000009</v>
      </c>
      <c r="AP5800" s="32">
        <f>132/60</f>
        <v>2.2000000000000002</v>
      </c>
      <c r="AQ5800" s="32" t="s">
        <v>1101</v>
      </c>
      <c r="AU5800">
        <v>5799</v>
      </c>
    </row>
    <row r="5801" spans="1:47" x14ac:dyDescent="0.2">
      <c r="A5801" s="26">
        <v>6809</v>
      </c>
      <c r="B5801" s="27">
        <v>0.94861111111111107</v>
      </c>
      <c r="C5801" s="28"/>
      <c r="D5801" s="29"/>
      <c r="E5801" s="30" t="s">
        <v>5224</v>
      </c>
      <c r="H5801" s="32">
        <v>0</v>
      </c>
      <c r="I5801" s="32" t="s">
        <v>5225</v>
      </c>
      <c r="AG5801" s="32">
        <v>0</v>
      </c>
      <c r="AH5801" s="32">
        <v>0</v>
      </c>
      <c r="AI5801" s="32">
        <v>0</v>
      </c>
      <c r="AK5801" s="32">
        <v>0</v>
      </c>
      <c r="AL5801" s="32">
        <f>91/60</f>
        <v>1.5166666666666666</v>
      </c>
      <c r="AP5801" s="32">
        <f>91/60</f>
        <v>1.5166666666666666</v>
      </c>
      <c r="AQ5801" s="32" t="s">
        <v>1101</v>
      </c>
      <c r="AU5801">
        <v>5800</v>
      </c>
    </row>
    <row r="5802" spans="1:47" x14ac:dyDescent="0.2">
      <c r="A5802" s="26">
        <v>6809</v>
      </c>
      <c r="B5802" s="27">
        <v>0.95416666666666661</v>
      </c>
      <c r="C5802" s="28"/>
      <c r="D5802" s="29"/>
      <c r="E5802" s="30" t="s">
        <v>3155</v>
      </c>
      <c r="H5802" s="32">
        <v>0</v>
      </c>
      <c r="I5802" s="32" t="s">
        <v>6720</v>
      </c>
      <c r="AG5802" s="32">
        <v>0</v>
      </c>
      <c r="AH5802" s="32">
        <v>0</v>
      </c>
      <c r="AI5802" s="32">
        <v>0</v>
      </c>
      <c r="AK5802" s="32">
        <v>0</v>
      </c>
      <c r="AP5802" s="32">
        <f>100/60</f>
        <v>1.6666666666666667</v>
      </c>
      <c r="AQ5802" s="32" t="s">
        <v>1101</v>
      </c>
      <c r="AU5802">
        <v>5801</v>
      </c>
    </row>
    <row r="5803" spans="1:47" x14ac:dyDescent="0.2">
      <c r="A5803" s="26">
        <v>6809</v>
      </c>
      <c r="B5803" s="27">
        <v>0.96250000000000002</v>
      </c>
      <c r="C5803" s="28"/>
      <c r="D5803" s="29"/>
      <c r="E5803" s="102" t="s">
        <v>5200</v>
      </c>
      <c r="H5803" s="32">
        <v>0</v>
      </c>
      <c r="I5803" s="32" t="s">
        <v>5893</v>
      </c>
      <c r="AG5803" s="32">
        <v>0</v>
      </c>
      <c r="AH5803" s="32">
        <v>0</v>
      </c>
      <c r="AI5803" s="32">
        <v>0</v>
      </c>
      <c r="AK5803" s="32">
        <v>0</v>
      </c>
      <c r="AL5803" s="32">
        <f>88/60</f>
        <v>1.4666666666666666</v>
      </c>
      <c r="AO5803" s="73"/>
      <c r="AP5803" s="32">
        <f>88/60</f>
        <v>1.4666666666666666</v>
      </c>
      <c r="AQ5803" s="32" t="s">
        <v>589</v>
      </c>
      <c r="AU5803">
        <v>5802</v>
      </c>
    </row>
    <row r="5804" spans="1:47" x14ac:dyDescent="0.2">
      <c r="A5804" s="26">
        <v>6809</v>
      </c>
      <c r="B5804" s="27">
        <v>0.97013888888888899</v>
      </c>
      <c r="C5804" s="28"/>
      <c r="D5804" s="29"/>
      <c r="E5804" s="30" t="s">
        <v>110</v>
      </c>
      <c r="H5804" s="32">
        <v>0</v>
      </c>
      <c r="I5804" s="32" t="s">
        <v>3587</v>
      </c>
      <c r="AG5804" s="32">
        <v>0</v>
      </c>
      <c r="AH5804" s="32">
        <v>0</v>
      </c>
      <c r="AI5804" s="32">
        <v>0</v>
      </c>
      <c r="AK5804" s="32">
        <v>0</v>
      </c>
      <c r="AL5804" s="32">
        <f>51/60</f>
        <v>0.85</v>
      </c>
      <c r="AP5804" s="32">
        <f>51/60</f>
        <v>0.85</v>
      </c>
      <c r="AQ5804" s="32" t="s">
        <v>1101</v>
      </c>
      <c r="AU5804">
        <v>5803</v>
      </c>
    </row>
    <row r="5805" spans="1:47" x14ac:dyDescent="0.2">
      <c r="A5805" s="26">
        <v>6809</v>
      </c>
      <c r="B5805" s="27">
        <v>0.98958333333333337</v>
      </c>
      <c r="C5805" s="28"/>
      <c r="D5805" s="29"/>
      <c r="E5805" s="30" t="s">
        <v>2087</v>
      </c>
      <c r="H5805" s="32">
        <v>1</v>
      </c>
      <c r="I5805" s="32" t="s">
        <v>6721</v>
      </c>
      <c r="AG5805" s="32">
        <v>0</v>
      </c>
      <c r="AH5805" s="32">
        <v>0</v>
      </c>
      <c r="AI5805" s="32">
        <v>0</v>
      </c>
      <c r="AK5805" s="32">
        <v>1</v>
      </c>
      <c r="AL5805" s="32">
        <v>0</v>
      </c>
      <c r="AM5805" s="32">
        <v>400</v>
      </c>
      <c r="AP5805" s="32">
        <v>0.25</v>
      </c>
      <c r="AQ5805" s="32" t="s">
        <v>1101</v>
      </c>
      <c r="AU5805">
        <v>5804</v>
      </c>
    </row>
    <row r="5806" spans="1:47" x14ac:dyDescent="0.2">
      <c r="A5806" s="26">
        <v>6809</v>
      </c>
      <c r="B5806" s="27">
        <v>0.9916666666666667</v>
      </c>
      <c r="C5806" s="28"/>
      <c r="D5806" s="29"/>
      <c r="E5806" s="30" t="s">
        <v>1282</v>
      </c>
      <c r="H5806" s="32">
        <v>0</v>
      </c>
      <c r="I5806" s="32" t="s">
        <v>6722</v>
      </c>
      <c r="AG5806" s="32">
        <v>0</v>
      </c>
      <c r="AH5806" s="32">
        <v>0</v>
      </c>
      <c r="AI5806" s="32">
        <v>0</v>
      </c>
      <c r="AK5806" s="32">
        <v>0</v>
      </c>
      <c r="AL5806" s="32">
        <f>1/6</f>
        <v>0.16666666666666666</v>
      </c>
      <c r="AP5806" s="32">
        <f>1/6</f>
        <v>0.16666666666666666</v>
      </c>
      <c r="AQ5806" s="32" t="s">
        <v>1101</v>
      </c>
      <c r="AU5806">
        <v>5805</v>
      </c>
    </row>
    <row r="5807" spans="1:47" x14ac:dyDescent="0.2">
      <c r="A5807" s="26">
        <v>6809</v>
      </c>
      <c r="B5807" s="27">
        <v>0.99236111111111114</v>
      </c>
      <c r="C5807" s="28"/>
      <c r="D5807" s="29"/>
      <c r="E5807" s="30" t="s">
        <v>2964</v>
      </c>
      <c r="H5807" s="32">
        <v>1</v>
      </c>
      <c r="I5807" s="32" t="s">
        <v>6723</v>
      </c>
      <c r="AG5807" s="32">
        <v>2</v>
      </c>
      <c r="AH5807" s="32">
        <v>5</v>
      </c>
      <c r="AI5807" s="32">
        <f>23368+1763+507</f>
        <v>25638</v>
      </c>
      <c r="AK5807" s="32">
        <v>15</v>
      </c>
      <c r="AL5807" s="32">
        <f>(62+72+41)/60</f>
        <v>2.9166666666666665</v>
      </c>
      <c r="AP5807" s="32">
        <f>(62+72+41)/60</f>
        <v>2.9166666666666665</v>
      </c>
      <c r="AQ5807" s="32" t="s">
        <v>6724</v>
      </c>
      <c r="AU5807">
        <v>5806</v>
      </c>
    </row>
    <row r="5808" spans="1:47" x14ac:dyDescent="0.2">
      <c r="A5808" s="26">
        <v>6809</v>
      </c>
      <c r="B5808" s="27" t="s">
        <v>85</v>
      </c>
      <c r="C5808" s="28"/>
      <c r="D5808" s="29"/>
      <c r="E5808" s="30" t="s">
        <v>720</v>
      </c>
      <c r="H5808" s="32">
        <v>1</v>
      </c>
      <c r="I5808" s="32" t="s">
        <v>2377</v>
      </c>
      <c r="AG5808" s="32">
        <v>10</v>
      </c>
      <c r="AH5808" s="32">
        <v>5</v>
      </c>
      <c r="AQ5808" s="32">
        <v>460</v>
      </c>
      <c r="AU5808">
        <v>5807</v>
      </c>
    </row>
    <row r="5809" spans="1:47" x14ac:dyDescent="0.2">
      <c r="A5809" s="26">
        <v>6809</v>
      </c>
      <c r="B5809" s="27" t="s">
        <v>85</v>
      </c>
      <c r="C5809" s="28"/>
      <c r="D5809" s="29"/>
      <c r="E5809" s="30" t="s">
        <v>1531</v>
      </c>
      <c r="H5809" s="32">
        <v>0</v>
      </c>
      <c r="I5809" s="32" t="s">
        <v>1532</v>
      </c>
      <c r="AG5809" s="32">
        <v>0</v>
      </c>
      <c r="AH5809" s="32">
        <v>0</v>
      </c>
      <c r="AI5809" s="32">
        <v>0</v>
      </c>
      <c r="AK5809" s="32">
        <v>0</v>
      </c>
      <c r="AM5809" s="32">
        <f>498*17</f>
        <v>8466</v>
      </c>
      <c r="AO5809" s="32" t="s">
        <v>1533</v>
      </c>
      <c r="AQ5809" s="32" t="s">
        <v>1101</v>
      </c>
      <c r="AU5809">
        <v>5808</v>
      </c>
    </row>
    <row r="5810" spans="1:47" x14ac:dyDescent="0.2">
      <c r="A5810" s="26">
        <v>6809</v>
      </c>
      <c r="B5810" s="27" t="s">
        <v>45</v>
      </c>
      <c r="C5810" s="28"/>
      <c r="D5810" s="29"/>
      <c r="E5810" s="30" t="s">
        <v>6725</v>
      </c>
      <c r="H5810" s="32">
        <v>1</v>
      </c>
      <c r="I5810" s="32" t="s">
        <v>6726</v>
      </c>
      <c r="AG5810" s="32">
        <v>0</v>
      </c>
      <c r="AH5810" s="32">
        <v>0</v>
      </c>
      <c r="AJ5810" s="32">
        <v>8800</v>
      </c>
      <c r="AK5810" s="32">
        <v>10</v>
      </c>
      <c r="AO5810" s="32" t="s">
        <v>6696</v>
      </c>
      <c r="AQ5810" s="32" t="s">
        <v>6727</v>
      </c>
      <c r="AU5810">
        <v>5809</v>
      </c>
    </row>
    <row r="5811" spans="1:47" x14ac:dyDescent="0.2">
      <c r="A5811" s="26">
        <v>6809</v>
      </c>
      <c r="B5811" s="27" t="s">
        <v>45</v>
      </c>
      <c r="C5811" s="28"/>
      <c r="D5811" s="29"/>
      <c r="E5811" s="30" t="s">
        <v>6703</v>
      </c>
      <c r="F5811" s="31" t="s">
        <v>529</v>
      </c>
      <c r="H5811" s="32">
        <v>1</v>
      </c>
      <c r="I5811" s="32" t="s">
        <v>6728</v>
      </c>
      <c r="AQ5811" s="32" t="s">
        <v>6729</v>
      </c>
      <c r="AU5811">
        <v>5810</v>
      </c>
    </row>
    <row r="5812" spans="1:47" x14ac:dyDescent="0.2">
      <c r="A5812" s="26">
        <v>6809</v>
      </c>
      <c r="B5812" s="27"/>
      <c r="C5812" s="28"/>
      <c r="D5812" s="29"/>
      <c r="E5812" s="102" t="s">
        <v>1421</v>
      </c>
      <c r="H5812" s="32">
        <v>1</v>
      </c>
      <c r="I5812" s="32" t="s">
        <v>1422</v>
      </c>
      <c r="AK5812" s="32">
        <v>21</v>
      </c>
      <c r="AO5812" s="73"/>
      <c r="AQ5812" s="32" t="s">
        <v>589</v>
      </c>
      <c r="AU5812">
        <v>5811</v>
      </c>
    </row>
    <row r="5813" spans="1:47" x14ac:dyDescent="0.2">
      <c r="A5813" s="26">
        <v>6809</v>
      </c>
      <c r="B5813" s="27"/>
      <c r="C5813" s="28"/>
      <c r="D5813" s="29"/>
      <c r="E5813" s="30" t="s">
        <v>4666</v>
      </c>
      <c r="H5813" s="32">
        <v>0</v>
      </c>
      <c r="I5813" s="32" t="s">
        <v>6730</v>
      </c>
      <c r="AG5813" s="32">
        <v>0</v>
      </c>
      <c r="AH5813" s="32">
        <v>0</v>
      </c>
      <c r="AI5813" s="32">
        <v>0</v>
      </c>
      <c r="AK5813" s="32">
        <v>0</v>
      </c>
      <c r="AL5813" s="32">
        <v>0.5</v>
      </c>
      <c r="AO5813" s="32" t="s">
        <v>4668</v>
      </c>
      <c r="AP5813" s="32">
        <v>0.5</v>
      </c>
      <c r="AQ5813" s="32">
        <v>410</v>
      </c>
      <c r="AU5813">
        <v>5812</v>
      </c>
    </row>
    <row r="5814" spans="1:47" x14ac:dyDescent="0.2">
      <c r="A5814" s="26">
        <v>6809</v>
      </c>
      <c r="B5814" s="27"/>
      <c r="C5814" s="28"/>
      <c r="D5814" s="29"/>
      <c r="E5814" s="30" t="s">
        <v>4469</v>
      </c>
      <c r="H5814" s="32">
        <v>0</v>
      </c>
      <c r="I5814" s="32" t="s">
        <v>6731</v>
      </c>
      <c r="AG5814" s="32">
        <v>0</v>
      </c>
      <c r="AH5814" s="32">
        <v>0</v>
      </c>
      <c r="AI5814" s="32">
        <v>0</v>
      </c>
      <c r="AK5814" s="32">
        <v>0</v>
      </c>
      <c r="AL5814" s="32">
        <f>41/60</f>
        <v>0.68333333333333335</v>
      </c>
      <c r="AO5814" s="32" t="s">
        <v>5210</v>
      </c>
      <c r="AP5814" s="32">
        <f>41/60</f>
        <v>0.68333333333333335</v>
      </c>
      <c r="AQ5814" s="32" t="s">
        <v>5211</v>
      </c>
      <c r="AU5814">
        <v>5813</v>
      </c>
    </row>
    <row r="5815" spans="1:47" x14ac:dyDescent="0.2">
      <c r="A5815" s="26">
        <v>6809</v>
      </c>
      <c r="B5815" s="27"/>
      <c r="C5815" s="28"/>
      <c r="D5815" s="29"/>
      <c r="E5815" s="30" t="s">
        <v>5102</v>
      </c>
      <c r="H5815" s="32">
        <v>0</v>
      </c>
      <c r="I5815" s="32" t="s">
        <v>5103</v>
      </c>
      <c r="AG5815" s="32">
        <v>0</v>
      </c>
      <c r="AH5815" s="32">
        <v>0</v>
      </c>
      <c r="AI5815" s="32">
        <v>0</v>
      </c>
      <c r="AK5815" s="32">
        <v>0</v>
      </c>
      <c r="AL5815" s="18">
        <v>1.5</v>
      </c>
      <c r="AM5815" s="18">
        <f>300000/11</f>
        <v>27272.727272727272</v>
      </c>
      <c r="AN5815" s="18"/>
      <c r="AO5815" s="18" t="s">
        <v>6732</v>
      </c>
      <c r="AP5815" s="18">
        <v>1.5</v>
      </c>
      <c r="AQ5815" s="32" t="s">
        <v>589</v>
      </c>
      <c r="AU5815">
        <v>5814</v>
      </c>
    </row>
    <row r="5816" spans="1:47" x14ac:dyDescent="0.2">
      <c r="A5816" s="133">
        <v>6810</v>
      </c>
      <c r="B5816" s="39" t="s">
        <v>85</v>
      </c>
      <c r="C5816" s="39">
        <v>55</v>
      </c>
      <c r="D5816" s="29" t="b">
        <v>0</v>
      </c>
      <c r="E5816" s="39" t="s">
        <v>6733</v>
      </c>
      <c r="F5816" s="47" t="s">
        <v>48</v>
      </c>
      <c r="G5816" s="47" t="s">
        <v>49</v>
      </c>
      <c r="H5816"/>
      <c r="I5816" s="47" t="b">
        <v>0</v>
      </c>
      <c r="J5816" s="47" t="b">
        <v>1</v>
      </c>
      <c r="K5816" s="47">
        <v>2246</v>
      </c>
      <c r="L5816" s="48">
        <v>12</v>
      </c>
      <c r="M5816" s="47">
        <v>0</v>
      </c>
      <c r="N5816" s="47">
        <v>2</v>
      </c>
      <c r="O5816" s="47">
        <v>0</v>
      </c>
      <c r="P5816" s="47">
        <v>10</v>
      </c>
      <c r="Q5816" s="47">
        <v>0</v>
      </c>
      <c r="R5816" s="47">
        <v>0</v>
      </c>
      <c r="S5816" s="48">
        <v>10</v>
      </c>
      <c r="T5816" s="47">
        <v>0</v>
      </c>
      <c r="U5816" s="47">
        <v>0</v>
      </c>
      <c r="V5816" s="47">
        <v>0</v>
      </c>
      <c r="W5816" s="47">
        <v>15000</v>
      </c>
      <c r="X5816" s="47">
        <v>905</v>
      </c>
      <c r="Y5816" s="47" t="s">
        <v>120</v>
      </c>
      <c r="Z5816" s="47" t="s">
        <v>3618</v>
      </c>
      <c r="AA5816" s="49">
        <v>0.42708333333333331</v>
      </c>
      <c r="AB5816" s="49">
        <v>0.61458333333333337</v>
      </c>
      <c r="AC5816" s="49">
        <v>0.51041666666666663</v>
      </c>
      <c r="AD5816" s="50">
        <f>(AB5816-AA5816)*24</f>
        <v>4.5000000000000018</v>
      </c>
      <c r="AE5816" s="47" t="s">
        <v>5433</v>
      </c>
      <c r="AF5816" s="47">
        <v>130</v>
      </c>
      <c r="AG5816"/>
      <c r="AH5816"/>
      <c r="AI5816"/>
      <c r="AJ5816"/>
      <c r="AK5816">
        <v>19</v>
      </c>
      <c r="AL5816"/>
      <c r="AM5816"/>
      <c r="AN5816"/>
      <c r="AO5816"/>
      <c r="AP5816"/>
      <c r="AQ5816" t="s">
        <v>5434</v>
      </c>
      <c r="AU5816">
        <v>5815</v>
      </c>
    </row>
    <row r="5817" spans="1:47" x14ac:dyDescent="0.2">
      <c r="A5817" s="133">
        <v>6810</v>
      </c>
      <c r="B5817" s="39" t="s">
        <v>85</v>
      </c>
      <c r="C5817" s="39">
        <v>99</v>
      </c>
      <c r="D5817" s="29" t="b">
        <v>0</v>
      </c>
      <c r="E5817" s="39" t="s">
        <v>3575</v>
      </c>
      <c r="F5817" s="47" t="s">
        <v>529</v>
      </c>
      <c r="G5817" s="47" t="s">
        <v>205</v>
      </c>
      <c r="H5817"/>
      <c r="I5817" s="47" t="b">
        <v>0</v>
      </c>
      <c r="J5817" s="47" t="b">
        <v>1</v>
      </c>
      <c r="K5817" s="47">
        <v>1935</v>
      </c>
      <c r="L5817" s="48">
        <v>12</v>
      </c>
      <c r="M5817" s="47">
        <v>0</v>
      </c>
      <c r="N5817" s="47">
        <v>0</v>
      </c>
      <c r="O5817" s="47">
        <v>0</v>
      </c>
      <c r="P5817" s="47">
        <v>0</v>
      </c>
      <c r="Q5817" s="47">
        <v>0</v>
      </c>
      <c r="R5817" s="47">
        <v>0</v>
      </c>
      <c r="S5817" s="48">
        <v>12</v>
      </c>
      <c r="T5817" s="47">
        <v>0</v>
      </c>
      <c r="U5817" s="47">
        <v>0</v>
      </c>
      <c r="V5817" s="47">
        <v>0</v>
      </c>
      <c r="W5817" s="47">
        <v>13000</v>
      </c>
      <c r="X5817" s="47">
        <v>906</v>
      </c>
      <c r="Y5817" s="47" t="s">
        <v>51</v>
      </c>
      <c r="Z5817" s="47" t="s">
        <v>5139</v>
      </c>
      <c r="AA5817" s="49">
        <v>0.21875</v>
      </c>
      <c r="AB5817" s="49">
        <v>0.30902777777777779</v>
      </c>
      <c r="AC5817" s="49">
        <f>AVERAGE(AA5817:AB5817)</f>
        <v>0.2638888888888889</v>
      </c>
      <c r="AD5817" s="50">
        <f>(AB5817-AA5817)*24</f>
        <v>2.166666666666667</v>
      </c>
      <c r="AE5817" s="47" t="s">
        <v>5433</v>
      </c>
      <c r="AF5817" s="47">
        <v>140</v>
      </c>
      <c r="AG5817"/>
      <c r="AH5817"/>
      <c r="AI5817"/>
      <c r="AJ5817"/>
      <c r="AK5817">
        <v>19</v>
      </c>
      <c r="AL5817"/>
      <c r="AM5817"/>
      <c r="AN5817"/>
      <c r="AO5817"/>
      <c r="AP5817"/>
      <c r="AQ5817" t="s">
        <v>2526</v>
      </c>
      <c r="AU5817">
        <v>5816</v>
      </c>
    </row>
    <row r="5818" spans="1:47" x14ac:dyDescent="0.2">
      <c r="A5818" s="133">
        <v>6810</v>
      </c>
      <c r="B5818" s="38" t="s">
        <v>85</v>
      </c>
      <c r="C5818" s="39" t="s">
        <v>5533</v>
      </c>
      <c r="D5818" s="29"/>
      <c r="E5818" s="38" t="s">
        <v>788</v>
      </c>
      <c r="F5818" s="32" t="s">
        <v>714</v>
      </c>
      <c r="G5818" s="47" t="s">
        <v>49</v>
      </c>
      <c r="H5818"/>
      <c r="I5818" s="47" t="s">
        <v>6734</v>
      </c>
      <c r="J5818" s="47"/>
      <c r="K5818" s="47"/>
      <c r="L5818" s="48"/>
      <c r="M5818" s="47"/>
      <c r="N5818" s="47"/>
      <c r="O5818" s="47"/>
      <c r="P5818" s="47"/>
      <c r="Q5818" s="47"/>
      <c r="R5818" s="47"/>
      <c r="S5818" s="48">
        <v>14</v>
      </c>
      <c r="T5818" s="47"/>
      <c r="U5818" s="47"/>
      <c r="V5818" s="47"/>
      <c r="W5818" s="47"/>
      <c r="X5818" s="47"/>
      <c r="Y5818" s="47"/>
      <c r="Z5818" s="31" t="s">
        <v>3724</v>
      </c>
      <c r="AA5818" s="49"/>
      <c r="AB5818" s="49"/>
      <c r="AC5818" s="49"/>
      <c r="AD5818" s="50"/>
      <c r="AE5818" s="47" t="s">
        <v>5536</v>
      </c>
      <c r="AF5818" s="47">
        <v>70</v>
      </c>
      <c r="AG5818"/>
      <c r="AH5818"/>
      <c r="AI5818"/>
      <c r="AJ5818"/>
      <c r="AK5818"/>
      <c r="AL5818"/>
      <c r="AM5818"/>
      <c r="AN5818"/>
      <c r="AO5818"/>
      <c r="AP5818"/>
      <c r="AQ5818"/>
      <c r="AU5818">
        <v>5817</v>
      </c>
    </row>
    <row r="5819" spans="1:47" x14ac:dyDescent="0.2">
      <c r="A5819" s="37">
        <v>6810</v>
      </c>
      <c r="B5819" s="38" t="s">
        <v>85</v>
      </c>
      <c r="C5819" s="39" t="s">
        <v>5626</v>
      </c>
      <c r="D5819" s="45"/>
      <c r="E5819" s="195" t="s">
        <v>6709</v>
      </c>
      <c r="F5819" s="19" t="s">
        <v>170</v>
      </c>
      <c r="G5819" s="19" t="s">
        <v>69</v>
      </c>
      <c r="I5819" s="19" t="s">
        <v>6735</v>
      </c>
      <c r="K5819" s="19">
        <f>7580*2.2</f>
        <v>16676</v>
      </c>
      <c r="S5819" s="33">
        <v>62</v>
      </c>
      <c r="T5819" s="31">
        <v>2</v>
      </c>
      <c r="W5819" s="47">
        <f>((4000+4700)/2)*39.37/12</f>
        <v>14271.625</v>
      </c>
      <c r="Y5819" s="19" t="s">
        <v>51</v>
      </c>
      <c r="Z5819" s="31" t="s">
        <v>3724</v>
      </c>
      <c r="AC5819" s="34">
        <v>0.77777777777777779</v>
      </c>
      <c r="AD5819" s="31"/>
      <c r="AE5819" s="31" t="s">
        <v>6385</v>
      </c>
      <c r="AF5819" s="31">
        <v>100</v>
      </c>
      <c r="AQ5819" s="18" t="s">
        <v>6736</v>
      </c>
      <c r="AU5819">
        <v>5818</v>
      </c>
    </row>
    <row r="5820" spans="1:47" x14ac:dyDescent="0.2">
      <c r="A5820" s="133">
        <v>6810</v>
      </c>
      <c r="B5820" s="39" t="s">
        <v>45</v>
      </c>
      <c r="C5820" s="39">
        <v>100</v>
      </c>
      <c r="D5820" s="29" t="b">
        <v>0</v>
      </c>
      <c r="E5820" s="39" t="s">
        <v>5707</v>
      </c>
      <c r="F5820" s="47" t="s">
        <v>529</v>
      </c>
      <c r="G5820" s="47" t="s">
        <v>205</v>
      </c>
      <c r="H5820"/>
      <c r="I5820" s="47" t="b">
        <v>0</v>
      </c>
      <c r="J5820" s="47" t="b">
        <v>1</v>
      </c>
      <c r="K5820" s="47">
        <v>2192</v>
      </c>
      <c r="L5820" s="48">
        <v>3</v>
      </c>
      <c r="M5820" s="47">
        <v>0</v>
      </c>
      <c r="N5820" s="47">
        <v>0</v>
      </c>
      <c r="O5820" s="47">
        <v>0</v>
      </c>
      <c r="P5820" s="47">
        <v>0</v>
      </c>
      <c r="Q5820" s="47">
        <v>0</v>
      </c>
      <c r="R5820" s="47">
        <v>0</v>
      </c>
      <c r="S5820" s="48">
        <v>3</v>
      </c>
      <c r="T5820" s="47">
        <v>0</v>
      </c>
      <c r="U5820" s="47">
        <v>0</v>
      </c>
      <c r="V5820" s="47">
        <v>0</v>
      </c>
      <c r="W5820" s="47">
        <v>4000</v>
      </c>
      <c r="X5820" s="47">
        <v>907</v>
      </c>
      <c r="Y5820" s="47"/>
      <c r="Z5820" s="47" t="s">
        <v>6737</v>
      </c>
      <c r="AA5820" s="49"/>
      <c r="AB5820" s="49"/>
      <c r="AC5820" s="49"/>
      <c r="AD5820" s="50"/>
      <c r="AE5820" s="47" t="s">
        <v>6445</v>
      </c>
      <c r="AF5820" s="47">
        <v>85</v>
      </c>
      <c r="AG5820"/>
      <c r="AH5820"/>
      <c r="AI5820"/>
      <c r="AJ5820"/>
      <c r="AK5820"/>
      <c r="AL5820"/>
      <c r="AM5820"/>
      <c r="AN5820"/>
      <c r="AO5820"/>
      <c r="AP5820"/>
      <c r="AQ5820" t="s">
        <v>2526</v>
      </c>
      <c r="AU5820">
        <v>5819</v>
      </c>
    </row>
    <row r="5821" spans="1:47" x14ac:dyDescent="0.2">
      <c r="A5821" s="133">
        <v>6810</v>
      </c>
      <c r="B5821" s="39" t="s">
        <v>45</v>
      </c>
      <c r="C5821" s="39">
        <v>215</v>
      </c>
      <c r="D5821" s="29" t="b">
        <v>0</v>
      </c>
      <c r="E5821" s="39" t="s">
        <v>6738</v>
      </c>
      <c r="F5821" s="47" t="s">
        <v>6739</v>
      </c>
      <c r="G5821" s="47" t="s">
        <v>205</v>
      </c>
      <c r="H5821"/>
      <c r="I5821" s="47" t="b">
        <v>1</v>
      </c>
      <c r="J5821" s="47" t="b">
        <v>1</v>
      </c>
      <c r="K5821" s="47">
        <v>10098</v>
      </c>
      <c r="L5821" s="48">
        <v>8</v>
      </c>
      <c r="M5821" s="47">
        <v>2</v>
      </c>
      <c r="N5821" s="47">
        <v>1</v>
      </c>
      <c r="O5821" s="47">
        <v>0</v>
      </c>
      <c r="P5821" s="47">
        <v>0</v>
      </c>
      <c r="Q5821" s="47">
        <v>0</v>
      </c>
      <c r="R5821" s="47">
        <v>0</v>
      </c>
      <c r="S5821" s="48">
        <v>5</v>
      </c>
      <c r="T5821" s="47">
        <v>0</v>
      </c>
      <c r="U5821" s="47">
        <v>0</v>
      </c>
      <c r="V5821" s="47">
        <v>1</v>
      </c>
      <c r="W5821" s="47">
        <v>2300</v>
      </c>
      <c r="X5821" s="47">
        <v>908</v>
      </c>
      <c r="Y5821" s="47"/>
      <c r="Z5821" s="47" t="s">
        <v>2466</v>
      </c>
      <c r="AA5821" s="49"/>
      <c r="AB5821" s="49"/>
      <c r="AC5821" s="49"/>
      <c r="AD5821" s="50"/>
      <c r="AE5821" s="47"/>
      <c r="AF5821" s="47"/>
      <c r="AG5821"/>
      <c r="AH5821"/>
      <c r="AI5821"/>
      <c r="AJ5821"/>
      <c r="AK5821"/>
      <c r="AL5821"/>
      <c r="AM5821"/>
      <c r="AN5821"/>
      <c r="AO5821"/>
      <c r="AP5821"/>
      <c r="AQ5821" t="s">
        <v>2526</v>
      </c>
      <c r="AU5821">
        <v>5820</v>
      </c>
    </row>
    <row r="5822" spans="1:47" x14ac:dyDescent="0.2">
      <c r="A5822" s="133">
        <v>6810</v>
      </c>
      <c r="B5822" s="39" t="s">
        <v>45</v>
      </c>
      <c r="C5822" s="39">
        <v>215</v>
      </c>
      <c r="D5822" s="29" t="b">
        <v>0</v>
      </c>
      <c r="E5822" s="39" t="s">
        <v>5707</v>
      </c>
      <c r="F5822" s="47" t="s">
        <v>529</v>
      </c>
      <c r="G5822" s="47" t="s">
        <v>205</v>
      </c>
      <c r="H5822"/>
      <c r="I5822" s="47" t="b">
        <v>0</v>
      </c>
      <c r="J5822" s="47" t="b">
        <v>0</v>
      </c>
      <c r="K5822" s="47">
        <v>8056</v>
      </c>
      <c r="L5822" s="48">
        <v>7</v>
      </c>
      <c r="M5822" s="47">
        <v>2</v>
      </c>
      <c r="N5822" s="47">
        <v>1</v>
      </c>
      <c r="O5822" s="47">
        <v>0</v>
      </c>
      <c r="P5822" s="47">
        <v>0</v>
      </c>
      <c r="Q5822" s="47">
        <v>0</v>
      </c>
      <c r="R5822" s="47">
        <v>0</v>
      </c>
      <c r="S5822" s="48">
        <v>4</v>
      </c>
      <c r="T5822" s="47">
        <v>0</v>
      </c>
      <c r="U5822" s="47">
        <v>0</v>
      </c>
      <c r="V5822" s="47">
        <v>1</v>
      </c>
      <c r="W5822" s="47">
        <v>2500</v>
      </c>
      <c r="X5822" s="47">
        <v>909</v>
      </c>
      <c r="Y5822" s="47"/>
      <c r="Z5822" s="47" t="s">
        <v>2466</v>
      </c>
      <c r="AA5822" s="49"/>
      <c r="AB5822" s="49"/>
      <c r="AC5822" s="49"/>
      <c r="AD5822" s="50"/>
      <c r="AE5822" s="47"/>
      <c r="AF5822" s="47"/>
      <c r="AG5822"/>
      <c r="AH5822"/>
      <c r="AI5822"/>
      <c r="AJ5822"/>
      <c r="AK5822"/>
      <c r="AL5822"/>
      <c r="AM5822"/>
      <c r="AN5822"/>
      <c r="AO5822"/>
      <c r="AP5822"/>
      <c r="AQ5822" t="s">
        <v>2526</v>
      </c>
      <c r="AU5822">
        <v>5821</v>
      </c>
    </row>
    <row r="5823" spans="1:47" x14ac:dyDescent="0.2">
      <c r="A5823" s="133">
        <v>6810</v>
      </c>
      <c r="B5823" s="39" t="s">
        <v>45</v>
      </c>
      <c r="C5823" s="39">
        <v>215</v>
      </c>
      <c r="D5823" s="29" t="b">
        <v>0</v>
      </c>
      <c r="E5823" s="39" t="s">
        <v>1028</v>
      </c>
      <c r="F5823" s="47" t="s">
        <v>1743</v>
      </c>
      <c r="G5823" s="47" t="s">
        <v>49</v>
      </c>
      <c r="H5823"/>
      <c r="I5823" s="47" t="b">
        <v>0</v>
      </c>
      <c r="J5823" s="47" t="b">
        <v>0</v>
      </c>
      <c r="K5823" s="47">
        <v>2042</v>
      </c>
      <c r="L5823" s="48">
        <v>1</v>
      </c>
      <c r="M5823" s="47">
        <v>2</v>
      </c>
      <c r="N5823" s="47">
        <v>1</v>
      </c>
      <c r="O5823" s="47">
        <v>0</v>
      </c>
      <c r="P5823" s="47">
        <v>0</v>
      </c>
      <c r="Q5823" s="47">
        <v>0</v>
      </c>
      <c r="R5823" s="47">
        <v>0</v>
      </c>
      <c r="S5823" s="48">
        <v>1</v>
      </c>
      <c r="T5823" s="47">
        <v>0</v>
      </c>
      <c r="U5823" s="47">
        <v>0</v>
      </c>
      <c r="V5823" s="47">
        <v>1</v>
      </c>
      <c r="W5823" s="47">
        <v>1500</v>
      </c>
      <c r="X5823" s="47">
        <v>910</v>
      </c>
      <c r="Y5823" s="47"/>
      <c r="Z5823" s="47" t="s">
        <v>2466</v>
      </c>
      <c r="AA5823" s="49"/>
      <c r="AB5823" s="49"/>
      <c r="AC5823" s="49"/>
      <c r="AD5823" s="50"/>
      <c r="AE5823" s="47"/>
      <c r="AF5823" s="47"/>
      <c r="AG5823"/>
      <c r="AH5823"/>
      <c r="AI5823"/>
      <c r="AJ5823"/>
      <c r="AK5823"/>
      <c r="AL5823"/>
      <c r="AM5823"/>
      <c r="AN5823"/>
      <c r="AO5823"/>
      <c r="AP5823"/>
      <c r="AQ5823" t="s">
        <v>2526</v>
      </c>
      <c r="AU5823">
        <v>5822</v>
      </c>
    </row>
    <row r="5824" spans="1:47" x14ac:dyDescent="0.2">
      <c r="A5824" s="26">
        <v>6810</v>
      </c>
      <c r="B5824" s="27">
        <v>6.9444444444444441E-3</v>
      </c>
      <c r="C5824" s="28"/>
      <c r="D5824" s="29"/>
      <c r="E5824" s="102" t="s">
        <v>1102</v>
      </c>
      <c r="H5824" s="32">
        <v>0</v>
      </c>
      <c r="I5824" s="32" t="s">
        <v>1103</v>
      </c>
      <c r="AG5824" s="32">
        <v>0</v>
      </c>
      <c r="AH5824" s="32">
        <v>0</v>
      </c>
      <c r="AI5824" s="32">
        <v>0</v>
      </c>
      <c r="AK5824" s="32">
        <v>0</v>
      </c>
      <c r="AL5824" s="32">
        <v>0.5</v>
      </c>
      <c r="AO5824" s="73" t="s">
        <v>1006</v>
      </c>
      <c r="AP5824" s="32">
        <v>0.5</v>
      </c>
      <c r="AQ5824" s="32" t="s">
        <v>589</v>
      </c>
      <c r="AU5824">
        <v>5823</v>
      </c>
    </row>
    <row r="5825" spans="1:47" x14ac:dyDescent="0.2">
      <c r="A5825" s="26">
        <v>6810</v>
      </c>
      <c r="B5825" s="27">
        <v>3.125E-2</v>
      </c>
      <c r="C5825" s="28"/>
      <c r="D5825" s="29"/>
      <c r="E5825" s="30" t="s">
        <v>4219</v>
      </c>
      <c r="H5825" s="32">
        <v>1</v>
      </c>
      <c r="I5825" s="32" t="s">
        <v>6740</v>
      </c>
      <c r="AL5825" s="32">
        <f>35/60</f>
        <v>0.58333333333333337</v>
      </c>
      <c r="AO5825" s="32" t="s">
        <v>858</v>
      </c>
      <c r="AP5825" s="32">
        <f>35/60</f>
        <v>0.58333333333333337</v>
      </c>
      <c r="AQ5825" s="32" t="s">
        <v>1101</v>
      </c>
      <c r="AU5825">
        <v>5824</v>
      </c>
    </row>
    <row r="5826" spans="1:47" x14ac:dyDescent="0.2">
      <c r="A5826" s="26">
        <v>6810</v>
      </c>
      <c r="B5826" s="27">
        <v>7.7777777777777779E-2</v>
      </c>
      <c r="C5826" s="28"/>
      <c r="D5826" s="29"/>
      <c r="E5826" s="30" t="s">
        <v>3737</v>
      </c>
      <c r="H5826" s="32">
        <v>0</v>
      </c>
      <c r="I5826" s="32" t="s">
        <v>4926</v>
      </c>
      <c r="AG5826" s="32">
        <v>0</v>
      </c>
      <c r="AH5826" s="32">
        <v>0</v>
      </c>
      <c r="AI5826" s="32">
        <v>0</v>
      </c>
      <c r="AK5826" s="32">
        <v>0</v>
      </c>
      <c r="AM5826" s="74"/>
      <c r="AQ5826" s="32" t="s">
        <v>1101</v>
      </c>
      <c r="AU5826">
        <v>5825</v>
      </c>
    </row>
    <row r="5827" spans="1:47" x14ac:dyDescent="0.2">
      <c r="A5827" s="26">
        <v>6810</v>
      </c>
      <c r="B5827" s="27">
        <v>0.3125</v>
      </c>
      <c r="C5827" s="28"/>
      <c r="D5827" s="29"/>
      <c r="E5827" s="30" t="s">
        <v>5987</v>
      </c>
      <c r="H5827" s="32">
        <v>1</v>
      </c>
      <c r="I5827" s="32" t="s">
        <v>6741</v>
      </c>
      <c r="AG5827" s="32">
        <v>0</v>
      </c>
      <c r="AH5827" s="32">
        <v>0</v>
      </c>
      <c r="AI5827" s="32">
        <v>0</v>
      </c>
      <c r="AP5827" s="32">
        <f>8/60</f>
        <v>0.13333333333333333</v>
      </c>
      <c r="AQ5827" s="32">
        <v>490</v>
      </c>
      <c r="AU5827">
        <v>5826</v>
      </c>
    </row>
    <row r="5828" spans="1:47" x14ac:dyDescent="0.2">
      <c r="A5828" s="26">
        <v>6810</v>
      </c>
      <c r="B5828" s="27">
        <v>0.3576388888888889</v>
      </c>
      <c r="C5828" s="28"/>
      <c r="D5828" s="29"/>
      <c r="E5828" s="30" t="s">
        <v>464</v>
      </c>
      <c r="H5828" s="32">
        <v>0</v>
      </c>
      <c r="I5828" s="32" t="s">
        <v>4561</v>
      </c>
      <c r="AG5828" s="32">
        <v>0</v>
      </c>
      <c r="AH5828" s="32">
        <v>0</v>
      </c>
      <c r="AL5828" s="32">
        <f>1/6</f>
        <v>0.16666666666666666</v>
      </c>
      <c r="AO5828" s="32" t="s">
        <v>4067</v>
      </c>
      <c r="AP5828" s="32">
        <f>1/6</f>
        <v>0.16666666666666666</v>
      </c>
      <c r="AQ5828" s="32" t="s">
        <v>1522</v>
      </c>
      <c r="AU5828">
        <v>5827</v>
      </c>
    </row>
    <row r="5829" spans="1:47" x14ac:dyDescent="0.2">
      <c r="A5829" s="26">
        <v>6810</v>
      </c>
      <c r="B5829" s="27">
        <v>0.42291666666666666</v>
      </c>
      <c r="C5829" s="28"/>
      <c r="D5829" s="29"/>
      <c r="E5829" s="30" t="s">
        <v>869</v>
      </c>
      <c r="H5829" s="32">
        <v>0</v>
      </c>
      <c r="I5829" s="32" t="s">
        <v>2344</v>
      </c>
      <c r="AG5829" s="32">
        <v>0</v>
      </c>
      <c r="AH5829" s="32">
        <v>0</v>
      </c>
      <c r="AI5829" s="32">
        <v>0</v>
      </c>
      <c r="AK5829" s="32">
        <v>0</v>
      </c>
      <c r="AL5829" s="32">
        <f>79/60</f>
        <v>1.3166666666666667</v>
      </c>
      <c r="AP5829" s="32">
        <f>79/60</f>
        <v>1.3166666666666667</v>
      </c>
      <c r="AQ5829" s="32" t="s">
        <v>589</v>
      </c>
      <c r="AU5829">
        <v>5828</v>
      </c>
    </row>
    <row r="5830" spans="1:47" x14ac:dyDescent="0.2">
      <c r="A5830" s="26">
        <v>6810</v>
      </c>
      <c r="B5830" s="27">
        <v>0.51388888888888895</v>
      </c>
      <c r="C5830" s="28"/>
      <c r="D5830" s="29"/>
      <c r="E5830" s="30" t="s">
        <v>1282</v>
      </c>
      <c r="H5830" s="32">
        <v>0</v>
      </c>
      <c r="I5830" s="32" t="s">
        <v>6742</v>
      </c>
      <c r="AG5830" s="32">
        <v>0</v>
      </c>
      <c r="AH5830" s="32">
        <v>0</v>
      </c>
      <c r="AI5830" s="32">
        <v>0</v>
      </c>
      <c r="AK5830" s="32">
        <v>0</v>
      </c>
      <c r="AL5830" s="32">
        <v>0.33300000000000002</v>
      </c>
      <c r="AP5830" s="32">
        <v>0.33300000000000002</v>
      </c>
      <c r="AQ5830" s="32" t="s">
        <v>1101</v>
      </c>
      <c r="AU5830">
        <v>5829</v>
      </c>
    </row>
    <row r="5831" spans="1:47" x14ac:dyDescent="0.2">
      <c r="A5831" s="26">
        <v>6810</v>
      </c>
      <c r="B5831" s="27">
        <v>0.53472222222222221</v>
      </c>
      <c r="C5831" s="28"/>
      <c r="D5831" s="29"/>
      <c r="E5831" s="30" t="s">
        <v>4219</v>
      </c>
      <c r="H5831" s="32">
        <v>0</v>
      </c>
      <c r="I5831" s="32" t="s">
        <v>6743</v>
      </c>
      <c r="AG5831" s="32">
        <v>0</v>
      </c>
      <c r="AH5831" s="32">
        <v>0</v>
      </c>
      <c r="AI5831" s="32">
        <v>0</v>
      </c>
      <c r="AK5831" s="32">
        <v>0</v>
      </c>
      <c r="AL5831" s="32">
        <v>0.75</v>
      </c>
      <c r="AO5831" s="32" t="s">
        <v>858</v>
      </c>
      <c r="AP5831" s="32">
        <v>0.75</v>
      </c>
      <c r="AQ5831" s="32" t="s">
        <v>1101</v>
      </c>
      <c r="AU5831">
        <v>5830</v>
      </c>
    </row>
    <row r="5832" spans="1:47" x14ac:dyDescent="0.2">
      <c r="A5832" s="26">
        <v>6810</v>
      </c>
      <c r="B5832" s="27">
        <v>0.54513888888888895</v>
      </c>
      <c r="C5832" s="28"/>
      <c r="D5832" s="29"/>
      <c r="E5832" s="30" t="s">
        <v>4219</v>
      </c>
      <c r="H5832" s="32">
        <v>1</v>
      </c>
      <c r="I5832" s="32"/>
      <c r="AL5832" s="32">
        <v>0.33300000000000002</v>
      </c>
      <c r="AO5832" s="32" t="s">
        <v>858</v>
      </c>
      <c r="AP5832" s="32">
        <v>0.33300000000000002</v>
      </c>
      <c r="AQ5832" s="32" t="s">
        <v>1101</v>
      </c>
      <c r="AU5832">
        <v>5831</v>
      </c>
    </row>
    <row r="5833" spans="1:47" x14ac:dyDescent="0.2">
      <c r="A5833" s="26">
        <v>6810</v>
      </c>
      <c r="B5833" s="27">
        <v>0.55000000000000004</v>
      </c>
      <c r="C5833" s="28"/>
      <c r="D5833" s="29"/>
      <c r="E5833" s="30" t="s">
        <v>2964</v>
      </c>
      <c r="H5833" s="32">
        <v>0</v>
      </c>
      <c r="I5833" s="32" t="s">
        <v>4158</v>
      </c>
      <c r="AG5833" s="32">
        <v>0</v>
      </c>
      <c r="AH5833" s="32">
        <v>0</v>
      </c>
      <c r="AI5833" s="32">
        <v>0</v>
      </c>
      <c r="AK5833" s="32">
        <v>0</v>
      </c>
      <c r="AL5833" s="32">
        <f>28/60</f>
        <v>0.46666666666666667</v>
      </c>
      <c r="AP5833" s="32">
        <f>28/60</f>
        <v>0.46666666666666667</v>
      </c>
      <c r="AQ5833" s="32" t="s">
        <v>1101</v>
      </c>
      <c r="AU5833">
        <v>5832</v>
      </c>
    </row>
    <row r="5834" spans="1:47" x14ac:dyDescent="0.2">
      <c r="A5834" s="26">
        <v>6810</v>
      </c>
      <c r="B5834" s="27">
        <v>0.5756944444444444</v>
      </c>
      <c r="C5834" s="28"/>
      <c r="D5834" s="29"/>
      <c r="E5834" s="30" t="s">
        <v>3737</v>
      </c>
      <c r="H5834" s="32">
        <v>0</v>
      </c>
      <c r="I5834" s="32" t="s">
        <v>4926</v>
      </c>
      <c r="AG5834" s="32">
        <v>0</v>
      </c>
      <c r="AH5834" s="32">
        <v>0</v>
      </c>
      <c r="AI5834" s="32">
        <v>0</v>
      </c>
      <c r="AK5834" s="32">
        <v>0</v>
      </c>
      <c r="AM5834" s="74"/>
      <c r="AQ5834" s="32" t="s">
        <v>1101</v>
      </c>
      <c r="AU5834">
        <v>5833</v>
      </c>
    </row>
    <row r="5835" spans="1:47" x14ac:dyDescent="0.2">
      <c r="A5835" s="26">
        <v>6810</v>
      </c>
      <c r="B5835" s="27">
        <v>0.5805555555555556</v>
      </c>
      <c r="C5835" s="28"/>
      <c r="D5835" s="29"/>
      <c r="E5835" s="30" t="s">
        <v>1282</v>
      </c>
      <c r="H5835" s="32">
        <v>0</v>
      </c>
      <c r="I5835" s="32" t="s">
        <v>6744</v>
      </c>
      <c r="AG5835" s="32">
        <v>0</v>
      </c>
      <c r="AH5835" s="32">
        <v>0</v>
      </c>
      <c r="AI5835" s="32">
        <v>0</v>
      </c>
      <c r="AK5835" s="32">
        <v>0</v>
      </c>
      <c r="AL5835" s="32">
        <v>0.33300000000000002</v>
      </c>
      <c r="AP5835" s="32">
        <v>0.33300000000000002</v>
      </c>
      <c r="AQ5835" s="32" t="s">
        <v>1101</v>
      </c>
      <c r="AU5835">
        <v>5834</v>
      </c>
    </row>
    <row r="5836" spans="1:47" x14ac:dyDescent="0.2">
      <c r="A5836" s="26">
        <v>6810</v>
      </c>
      <c r="B5836" s="27">
        <v>0.59027777777777779</v>
      </c>
      <c r="C5836" s="28"/>
      <c r="D5836" s="29"/>
      <c r="E5836" s="30" t="s">
        <v>464</v>
      </c>
      <c r="H5836" s="32">
        <v>0</v>
      </c>
      <c r="I5836" s="32" t="s">
        <v>4561</v>
      </c>
      <c r="AG5836" s="32">
        <v>0</v>
      </c>
      <c r="AH5836" s="32">
        <v>0</v>
      </c>
      <c r="AL5836" s="32">
        <v>0.33300000000000002</v>
      </c>
      <c r="AO5836" s="32" t="s">
        <v>4067</v>
      </c>
      <c r="AP5836" s="32">
        <v>0.33300000000000002</v>
      </c>
      <c r="AQ5836" s="32" t="s">
        <v>1522</v>
      </c>
      <c r="AU5836">
        <v>5835</v>
      </c>
    </row>
    <row r="5837" spans="1:47" x14ac:dyDescent="0.2">
      <c r="A5837" s="26">
        <v>6810</v>
      </c>
      <c r="B5837" s="27">
        <v>0.94791666666666663</v>
      </c>
      <c r="C5837" s="28"/>
      <c r="D5837" s="29"/>
      <c r="E5837" s="30" t="s">
        <v>4219</v>
      </c>
      <c r="H5837" s="32">
        <v>1</v>
      </c>
      <c r="I5837" s="32"/>
      <c r="AL5837" s="32">
        <v>0.33300000000000002</v>
      </c>
      <c r="AO5837" s="32" t="s">
        <v>858</v>
      </c>
      <c r="AP5837" s="32">
        <v>0.33300000000000002</v>
      </c>
      <c r="AQ5837" s="32" t="s">
        <v>1101</v>
      </c>
      <c r="AU5837">
        <v>5836</v>
      </c>
    </row>
    <row r="5838" spans="1:47" x14ac:dyDescent="0.2">
      <c r="A5838" s="26">
        <v>6810</v>
      </c>
      <c r="B5838" s="27">
        <v>0.95833333333333337</v>
      </c>
      <c r="C5838" s="28"/>
      <c r="D5838" s="29"/>
      <c r="E5838" s="30" t="s">
        <v>1028</v>
      </c>
      <c r="H5838" s="32">
        <v>1</v>
      </c>
      <c r="I5838" s="32" t="s">
        <v>6745</v>
      </c>
      <c r="AG5838" s="32">
        <v>3</v>
      </c>
      <c r="AI5838" s="32">
        <v>52656</v>
      </c>
      <c r="AK5838" s="32">
        <v>17</v>
      </c>
      <c r="AL5838" s="32">
        <v>24</v>
      </c>
      <c r="AO5838" s="32" t="s">
        <v>1030</v>
      </c>
      <c r="AQ5838" s="32">
        <v>433</v>
      </c>
      <c r="AU5838">
        <v>5837</v>
      </c>
    </row>
    <row r="5839" spans="1:47" x14ac:dyDescent="0.2">
      <c r="A5839" s="26">
        <v>6810</v>
      </c>
      <c r="B5839" s="27">
        <v>0.95833333333333337</v>
      </c>
      <c r="C5839" s="28"/>
      <c r="D5839" s="29"/>
      <c r="E5839" s="102" t="s">
        <v>1102</v>
      </c>
      <c r="H5839" s="32">
        <v>0</v>
      </c>
      <c r="I5839" s="32" t="s">
        <v>1103</v>
      </c>
      <c r="AG5839" s="32">
        <v>0</v>
      </c>
      <c r="AH5839" s="32">
        <v>0</v>
      </c>
      <c r="AI5839" s="32">
        <v>0</v>
      </c>
      <c r="AK5839" s="32">
        <v>0</v>
      </c>
      <c r="AL5839" s="32">
        <f>47/60</f>
        <v>0.78333333333333333</v>
      </c>
      <c r="AO5839" s="73" t="s">
        <v>1006</v>
      </c>
      <c r="AP5839" s="32">
        <f>47/60</f>
        <v>0.78333333333333333</v>
      </c>
      <c r="AQ5839" s="32" t="s">
        <v>589</v>
      </c>
      <c r="AU5839">
        <v>5838</v>
      </c>
    </row>
    <row r="5840" spans="1:47" x14ac:dyDescent="0.2">
      <c r="A5840" s="26">
        <v>6810</v>
      </c>
      <c r="B5840" s="27">
        <v>0.9590277777777777</v>
      </c>
      <c r="C5840" s="28"/>
      <c r="D5840" s="29"/>
      <c r="E5840" s="30" t="s">
        <v>3737</v>
      </c>
      <c r="H5840" s="32">
        <v>0</v>
      </c>
      <c r="I5840" s="32" t="s">
        <v>4926</v>
      </c>
      <c r="AG5840" s="32">
        <v>0</v>
      </c>
      <c r="AH5840" s="32">
        <v>0</v>
      </c>
      <c r="AI5840" s="32">
        <v>0</v>
      </c>
      <c r="AK5840" s="32">
        <v>0</v>
      </c>
      <c r="AM5840" s="74"/>
      <c r="AQ5840" s="32" t="s">
        <v>1101</v>
      </c>
      <c r="AU5840">
        <v>5839</v>
      </c>
    </row>
    <row r="5841" spans="1:47" x14ac:dyDescent="0.2">
      <c r="A5841" s="26">
        <v>6810</v>
      </c>
      <c r="B5841" s="27">
        <v>0.96180555555555547</v>
      </c>
      <c r="C5841" s="28"/>
      <c r="D5841" s="29"/>
      <c r="E5841" s="30" t="s">
        <v>631</v>
      </c>
      <c r="H5841" s="32">
        <v>0</v>
      </c>
      <c r="I5841" s="32" t="s">
        <v>837</v>
      </c>
      <c r="AG5841" s="32">
        <v>0</v>
      </c>
      <c r="AH5841" s="32">
        <v>0</v>
      </c>
      <c r="AI5841" s="32">
        <v>0</v>
      </c>
      <c r="AK5841" s="32">
        <v>0</v>
      </c>
      <c r="AL5841" s="32">
        <f>35/60</f>
        <v>0.58333333333333337</v>
      </c>
      <c r="AP5841" s="32">
        <f>35/60</f>
        <v>0.58333333333333337</v>
      </c>
      <c r="AQ5841" s="32">
        <v>465</v>
      </c>
      <c r="AU5841">
        <v>5840</v>
      </c>
    </row>
    <row r="5842" spans="1:47" x14ac:dyDescent="0.2">
      <c r="A5842" s="26">
        <v>6810</v>
      </c>
      <c r="B5842" s="27">
        <v>0.97222222222222221</v>
      </c>
      <c r="C5842" s="28"/>
      <c r="D5842" s="29"/>
      <c r="E5842" s="30" t="s">
        <v>2964</v>
      </c>
      <c r="H5842" s="32">
        <v>0</v>
      </c>
      <c r="I5842" s="32" t="s">
        <v>4158</v>
      </c>
      <c r="AG5842" s="32">
        <v>0</v>
      </c>
      <c r="AH5842" s="32">
        <v>0</v>
      </c>
      <c r="AI5842" s="32">
        <v>0</v>
      </c>
      <c r="AK5842" s="32">
        <v>0</v>
      </c>
      <c r="AL5842" s="32">
        <f>23/60</f>
        <v>0.38333333333333336</v>
      </c>
      <c r="AP5842" s="32">
        <f>23/60</f>
        <v>0.38333333333333336</v>
      </c>
      <c r="AQ5842" s="32" t="s">
        <v>1101</v>
      </c>
      <c r="AU5842">
        <v>5841</v>
      </c>
    </row>
    <row r="5843" spans="1:47" x14ac:dyDescent="0.2">
      <c r="A5843" s="26">
        <v>6810</v>
      </c>
      <c r="B5843" s="27">
        <v>0.97291666666666676</v>
      </c>
      <c r="C5843" s="28"/>
      <c r="D5843" s="29"/>
      <c r="E5843" s="30" t="s">
        <v>5224</v>
      </c>
      <c r="H5843" s="32">
        <v>0</v>
      </c>
      <c r="I5843" s="32" t="s">
        <v>5225</v>
      </c>
      <c r="AG5843" s="32">
        <v>0</v>
      </c>
      <c r="AH5843" s="32">
        <v>0</v>
      </c>
      <c r="AI5843" s="32">
        <v>0</v>
      </c>
      <c r="AK5843" s="32">
        <v>0</v>
      </c>
      <c r="AL5843" s="32">
        <f>26/60</f>
        <v>0.43333333333333335</v>
      </c>
      <c r="AP5843" s="32">
        <f>26/60</f>
        <v>0.43333333333333335</v>
      </c>
      <c r="AQ5843" s="32" t="s">
        <v>1101</v>
      </c>
      <c r="AU5843">
        <v>5842</v>
      </c>
    </row>
    <row r="5844" spans="1:47" x14ac:dyDescent="0.2">
      <c r="A5844" s="26">
        <v>6810</v>
      </c>
      <c r="B5844" s="27" t="s">
        <v>45</v>
      </c>
      <c r="C5844" s="28"/>
      <c r="D5844" s="29"/>
      <c r="E5844" s="30" t="s">
        <v>1531</v>
      </c>
      <c r="H5844" s="32">
        <v>0</v>
      </c>
      <c r="I5844" s="32" t="s">
        <v>1532</v>
      </c>
      <c r="AG5844" s="32">
        <v>0</v>
      </c>
      <c r="AH5844" s="32">
        <v>0</v>
      </c>
      <c r="AI5844" s="32">
        <v>0</v>
      </c>
      <c r="AK5844" s="32">
        <v>0</v>
      </c>
      <c r="AM5844" s="32">
        <f>498*14</f>
        <v>6972</v>
      </c>
      <c r="AO5844" s="32" t="s">
        <v>1533</v>
      </c>
      <c r="AQ5844" s="32" t="s">
        <v>1101</v>
      </c>
      <c r="AU5844">
        <v>5843</v>
      </c>
    </row>
    <row r="5845" spans="1:47" x14ac:dyDescent="0.2">
      <c r="A5845" s="26">
        <v>6810</v>
      </c>
      <c r="B5845" s="27" t="s">
        <v>45</v>
      </c>
      <c r="C5845" s="28"/>
      <c r="D5845" s="29"/>
      <c r="E5845" s="150" t="s">
        <v>2286</v>
      </c>
      <c r="H5845" s="32">
        <v>0</v>
      </c>
      <c r="I5845" s="32" t="s">
        <v>1824</v>
      </c>
      <c r="AG5845" s="32">
        <v>0</v>
      </c>
      <c r="AH5845" s="32">
        <v>0</v>
      </c>
      <c r="AI5845" s="32">
        <v>0</v>
      </c>
      <c r="AK5845" s="32">
        <v>0</v>
      </c>
      <c r="AM5845" s="32">
        <v>5500</v>
      </c>
      <c r="AO5845" s="73" t="s">
        <v>75</v>
      </c>
      <c r="AQ5845" s="32" t="s">
        <v>589</v>
      </c>
      <c r="AU5845">
        <v>5844</v>
      </c>
    </row>
    <row r="5846" spans="1:47" x14ac:dyDescent="0.2">
      <c r="A5846" s="26">
        <v>6810</v>
      </c>
      <c r="B5846" s="27"/>
      <c r="C5846" s="28"/>
      <c r="D5846" s="29"/>
      <c r="E5846" s="30" t="s">
        <v>4666</v>
      </c>
      <c r="H5846" s="32">
        <v>1</v>
      </c>
      <c r="I5846" s="32" t="s">
        <v>6746</v>
      </c>
      <c r="AG5846" s="32">
        <v>0</v>
      </c>
      <c r="AH5846" s="32">
        <v>0</v>
      </c>
      <c r="AI5846" s="32">
        <v>0</v>
      </c>
      <c r="AL5846" s="32">
        <v>2</v>
      </c>
      <c r="AO5846" s="32" t="s">
        <v>4668</v>
      </c>
      <c r="AP5846" s="32">
        <v>2</v>
      </c>
      <c r="AQ5846" s="32">
        <v>410</v>
      </c>
      <c r="AU5846">
        <v>5845</v>
      </c>
    </row>
    <row r="5847" spans="1:47" x14ac:dyDescent="0.2">
      <c r="A5847" s="26">
        <v>6810</v>
      </c>
      <c r="B5847" s="27"/>
      <c r="C5847" s="28"/>
      <c r="D5847" s="29"/>
      <c r="E5847" s="30" t="s">
        <v>6747</v>
      </c>
      <c r="H5847" s="32">
        <v>1</v>
      </c>
      <c r="I5847" s="32" t="s">
        <v>6748</v>
      </c>
      <c r="AG5847" s="32">
        <v>0</v>
      </c>
      <c r="AH5847" s="32">
        <v>0</v>
      </c>
      <c r="AI5847" s="32">
        <f>313+6508</f>
        <v>6821</v>
      </c>
      <c r="AK5847" s="32">
        <v>17</v>
      </c>
      <c r="AM5847" s="32">
        <v>1862</v>
      </c>
      <c r="AO5847" s="32" t="s">
        <v>1006</v>
      </c>
      <c r="AQ5847" s="91" t="s">
        <v>6749</v>
      </c>
      <c r="AU5847">
        <v>5846</v>
      </c>
    </row>
    <row r="5848" spans="1:47" x14ac:dyDescent="0.2">
      <c r="A5848" s="133">
        <v>6811</v>
      </c>
      <c r="B5848" s="39" t="s">
        <v>45</v>
      </c>
      <c r="C5848" s="39">
        <v>216</v>
      </c>
      <c r="D5848" s="29" t="b">
        <v>0</v>
      </c>
      <c r="E5848" s="39" t="s">
        <v>6750</v>
      </c>
      <c r="F5848" s="47" t="s">
        <v>6751</v>
      </c>
      <c r="G5848" s="47" t="s">
        <v>205</v>
      </c>
      <c r="H5848"/>
      <c r="I5848" s="47" t="b">
        <v>1</v>
      </c>
      <c r="J5848" s="47" t="b">
        <v>1</v>
      </c>
      <c r="K5848" s="47">
        <v>2118</v>
      </c>
      <c r="L5848" s="48">
        <v>8</v>
      </c>
      <c r="M5848" s="47">
        <v>6</v>
      </c>
      <c r="N5848" s="47">
        <v>0</v>
      </c>
      <c r="O5848" s="47">
        <v>0</v>
      </c>
      <c r="P5848" s="47">
        <v>0</v>
      </c>
      <c r="Q5848" s="47">
        <v>0</v>
      </c>
      <c r="R5848" s="47">
        <v>0</v>
      </c>
      <c r="S5848" s="48">
        <v>2</v>
      </c>
      <c r="T5848" s="47">
        <v>0</v>
      </c>
      <c r="U5848" s="47">
        <v>0</v>
      </c>
      <c r="V5848" s="47">
        <v>0</v>
      </c>
      <c r="W5848" s="47">
        <v>7500</v>
      </c>
      <c r="X5848" s="47">
        <v>911</v>
      </c>
      <c r="Y5848" s="47"/>
      <c r="Z5848" s="47" t="s">
        <v>2466</v>
      </c>
      <c r="AA5848" s="49"/>
      <c r="AB5848" s="49"/>
      <c r="AC5848" s="49"/>
      <c r="AD5848" s="50"/>
      <c r="AE5848" s="47" t="s">
        <v>1312</v>
      </c>
      <c r="AF5848" s="47">
        <v>130</v>
      </c>
      <c r="AG5848"/>
      <c r="AH5848"/>
      <c r="AI5848"/>
      <c r="AJ5848"/>
      <c r="AK5848"/>
      <c r="AL5848"/>
      <c r="AM5848"/>
      <c r="AN5848"/>
      <c r="AO5848"/>
      <c r="AP5848"/>
      <c r="AQ5848" t="s">
        <v>2526</v>
      </c>
      <c r="AU5848">
        <v>5847</v>
      </c>
    </row>
    <row r="5849" spans="1:47" x14ac:dyDescent="0.2">
      <c r="A5849" s="133">
        <v>6811</v>
      </c>
      <c r="B5849" s="39" t="s">
        <v>45</v>
      </c>
      <c r="C5849" s="39">
        <v>216</v>
      </c>
      <c r="D5849" s="29" t="b">
        <v>0</v>
      </c>
      <c r="E5849" s="39" t="s">
        <v>3542</v>
      </c>
      <c r="F5849" s="47" t="s">
        <v>76</v>
      </c>
      <c r="G5849" s="47" t="s">
        <v>49</v>
      </c>
      <c r="H5849"/>
      <c r="I5849" s="47" t="b">
        <v>0</v>
      </c>
      <c r="J5849" s="47" t="b">
        <v>0</v>
      </c>
      <c r="K5849" s="47">
        <v>774</v>
      </c>
      <c r="L5849" s="48">
        <v>8</v>
      </c>
      <c r="M5849" s="47">
        <v>6</v>
      </c>
      <c r="N5849" s="47">
        <v>0</v>
      </c>
      <c r="O5849" s="47">
        <v>0</v>
      </c>
      <c r="P5849" s="47">
        <v>0</v>
      </c>
      <c r="Q5849" s="47">
        <v>0</v>
      </c>
      <c r="R5849" s="47">
        <v>0</v>
      </c>
      <c r="S5849" s="48">
        <v>1</v>
      </c>
      <c r="T5849" s="47">
        <v>0</v>
      </c>
      <c r="U5849" s="47">
        <v>0</v>
      </c>
      <c r="V5849" s="47">
        <v>0</v>
      </c>
      <c r="W5849" s="47">
        <v>8000</v>
      </c>
      <c r="X5849" s="47">
        <v>912</v>
      </c>
      <c r="Y5849" s="47"/>
      <c r="Z5849" s="47" t="s">
        <v>2466</v>
      </c>
      <c r="AA5849" s="49"/>
      <c r="AB5849" s="49"/>
      <c r="AC5849" s="49"/>
      <c r="AD5849" s="50"/>
      <c r="AE5849" s="47" t="s">
        <v>1312</v>
      </c>
      <c r="AF5849" s="47">
        <v>130</v>
      </c>
      <c r="AG5849"/>
      <c r="AH5849"/>
      <c r="AI5849"/>
      <c r="AJ5849"/>
      <c r="AK5849"/>
      <c r="AL5849"/>
      <c r="AM5849"/>
      <c r="AN5849"/>
      <c r="AO5849"/>
      <c r="AP5849"/>
      <c r="AQ5849" t="s">
        <v>2526</v>
      </c>
      <c r="AU5849">
        <v>5848</v>
      </c>
    </row>
    <row r="5850" spans="1:47" x14ac:dyDescent="0.2">
      <c r="A5850" s="133">
        <v>6811</v>
      </c>
      <c r="B5850" s="39" t="s">
        <v>45</v>
      </c>
      <c r="C5850" s="39">
        <v>216</v>
      </c>
      <c r="D5850" s="29" t="b">
        <v>0</v>
      </c>
      <c r="E5850" s="39" t="s">
        <v>5707</v>
      </c>
      <c r="F5850" s="47" t="s">
        <v>529</v>
      </c>
      <c r="G5850" s="47" t="s">
        <v>205</v>
      </c>
      <c r="H5850"/>
      <c r="I5850" s="47" t="b">
        <v>0</v>
      </c>
      <c r="J5850" s="47" t="b">
        <v>0</v>
      </c>
      <c r="K5850" s="47">
        <v>1344</v>
      </c>
      <c r="L5850" s="48">
        <v>8</v>
      </c>
      <c r="M5850" s="47">
        <v>6</v>
      </c>
      <c r="N5850" s="47">
        <v>0</v>
      </c>
      <c r="O5850" s="47">
        <v>0</v>
      </c>
      <c r="P5850" s="47">
        <v>0</v>
      </c>
      <c r="Q5850" s="47">
        <v>0</v>
      </c>
      <c r="R5850" s="47">
        <v>0</v>
      </c>
      <c r="S5850" s="48">
        <v>1</v>
      </c>
      <c r="T5850" s="47">
        <v>0</v>
      </c>
      <c r="U5850" s="47">
        <v>0</v>
      </c>
      <c r="V5850" s="47">
        <v>0</v>
      </c>
      <c r="W5850" s="47">
        <v>7000</v>
      </c>
      <c r="X5850" s="47">
        <v>913</v>
      </c>
      <c r="Y5850" s="47"/>
      <c r="Z5850" s="47" t="s">
        <v>2466</v>
      </c>
      <c r="AA5850" s="49"/>
      <c r="AB5850" s="49"/>
      <c r="AC5850" s="49"/>
      <c r="AD5850" s="50"/>
      <c r="AE5850" s="47" t="s">
        <v>1312</v>
      </c>
      <c r="AF5850" s="47">
        <v>75</v>
      </c>
      <c r="AG5850"/>
      <c r="AH5850"/>
      <c r="AI5850"/>
      <c r="AJ5850"/>
      <c r="AK5850"/>
      <c r="AL5850"/>
      <c r="AM5850"/>
      <c r="AN5850"/>
      <c r="AO5850"/>
      <c r="AP5850"/>
      <c r="AQ5850" t="s">
        <v>2526</v>
      </c>
      <c r="AU5850">
        <v>5849</v>
      </c>
    </row>
    <row r="5851" spans="1:47" x14ac:dyDescent="0.2">
      <c r="A5851" s="13">
        <v>6811</v>
      </c>
      <c r="B5851" s="57" t="s">
        <v>45</v>
      </c>
      <c r="C5851" s="57" t="s">
        <v>142</v>
      </c>
      <c r="D5851" s="29"/>
      <c r="E5851" s="57" t="s">
        <v>6752</v>
      </c>
      <c r="F5851" s="31" t="s">
        <v>6753</v>
      </c>
      <c r="G5851" s="31" t="s">
        <v>49</v>
      </c>
      <c r="I5851" s="47" t="b">
        <v>1</v>
      </c>
      <c r="J5851" s="47" t="b">
        <v>1</v>
      </c>
      <c r="K5851" s="31">
        <f>1865*2.2</f>
        <v>4103</v>
      </c>
      <c r="L5851" s="33">
        <v>9</v>
      </c>
      <c r="M5851" s="31">
        <v>2</v>
      </c>
      <c r="N5851" s="31">
        <v>1</v>
      </c>
      <c r="S5851" s="33">
        <v>5</v>
      </c>
      <c r="Y5851" s="31" t="s">
        <v>51</v>
      </c>
      <c r="AK5851" s="32">
        <f>27+8+2+1+1+9</f>
        <v>48</v>
      </c>
      <c r="AQ5851" t="s">
        <v>6754</v>
      </c>
      <c r="AR5851" s="32" t="s">
        <v>6755</v>
      </c>
      <c r="AU5851">
        <v>5850</v>
      </c>
    </row>
    <row r="5852" spans="1:47" x14ac:dyDescent="0.2">
      <c r="A5852" s="13">
        <v>6811</v>
      </c>
      <c r="B5852" s="57" t="s">
        <v>45</v>
      </c>
      <c r="C5852" s="57" t="s">
        <v>142</v>
      </c>
      <c r="D5852" s="29"/>
      <c r="E5852" s="57" t="s">
        <v>5772</v>
      </c>
      <c r="F5852" s="31" t="s">
        <v>76</v>
      </c>
      <c r="G5852" s="31" t="s">
        <v>49</v>
      </c>
      <c r="I5852" s="47" t="b">
        <v>0</v>
      </c>
      <c r="J5852" s="47" t="b">
        <v>0</v>
      </c>
      <c r="K5852" s="31">
        <v>704</v>
      </c>
      <c r="S5852" s="33">
        <v>1</v>
      </c>
      <c r="AK5852" s="32">
        <v>8</v>
      </c>
      <c r="AQ5852" s="32" t="s">
        <v>6522</v>
      </c>
      <c r="AU5852">
        <v>5851</v>
      </c>
    </row>
    <row r="5853" spans="1:47" x14ac:dyDescent="0.2">
      <c r="A5853" s="13">
        <v>6811</v>
      </c>
      <c r="B5853" s="57" t="s">
        <v>45</v>
      </c>
      <c r="C5853" s="57" t="s">
        <v>142</v>
      </c>
      <c r="D5853" s="29"/>
      <c r="E5853" s="57" t="s">
        <v>6756</v>
      </c>
      <c r="F5853" s="31" t="s">
        <v>6354</v>
      </c>
      <c r="G5853" s="31" t="s">
        <v>69</v>
      </c>
      <c r="I5853" s="47" t="b">
        <v>0</v>
      </c>
      <c r="J5853" s="47" t="b">
        <v>0</v>
      </c>
      <c r="K5853" s="31">
        <v>1122</v>
      </c>
      <c r="S5853" s="33">
        <v>2</v>
      </c>
      <c r="AK5853" s="32">
        <v>13</v>
      </c>
      <c r="AQ5853" s="32" t="s">
        <v>6522</v>
      </c>
      <c r="AU5853">
        <v>5852</v>
      </c>
    </row>
    <row r="5854" spans="1:47" x14ac:dyDescent="0.2">
      <c r="A5854" s="13">
        <v>6811</v>
      </c>
      <c r="B5854" s="57" t="s">
        <v>45</v>
      </c>
      <c r="C5854" s="57" t="s">
        <v>142</v>
      </c>
      <c r="D5854" s="29"/>
      <c r="E5854" s="57" t="s">
        <v>1078</v>
      </c>
      <c r="F5854" s="31" t="s">
        <v>76</v>
      </c>
      <c r="G5854" s="31" t="s">
        <v>49</v>
      </c>
      <c r="I5854" s="47" t="b">
        <v>0</v>
      </c>
      <c r="J5854" s="47" t="b">
        <v>0</v>
      </c>
      <c r="K5854" s="31">
        <v>2277</v>
      </c>
      <c r="S5854" s="33">
        <v>3</v>
      </c>
      <c r="AK5854" s="32">
        <v>27</v>
      </c>
      <c r="AQ5854" s="32" t="s">
        <v>6522</v>
      </c>
      <c r="AU5854">
        <v>5853</v>
      </c>
    </row>
    <row r="5855" spans="1:47" x14ac:dyDescent="0.2">
      <c r="A5855" s="13">
        <v>6811</v>
      </c>
      <c r="B5855" s="57" t="s">
        <v>45</v>
      </c>
      <c r="C5855" s="57" t="s">
        <v>4843</v>
      </c>
      <c r="D5855" s="29"/>
      <c r="E5855" s="57" t="s">
        <v>5772</v>
      </c>
      <c r="F5855" s="31" t="s">
        <v>76</v>
      </c>
      <c r="G5855" s="31" t="s">
        <v>49</v>
      </c>
      <c r="K5855" s="31">
        <v>2541</v>
      </c>
      <c r="S5855" s="33">
        <v>5</v>
      </c>
      <c r="Z5855" s="31" t="s">
        <v>3814</v>
      </c>
      <c r="AE5855" s="31" t="s">
        <v>4411</v>
      </c>
      <c r="AF5855" s="31">
        <v>70</v>
      </c>
      <c r="AK5855" s="32">
        <v>33</v>
      </c>
      <c r="AQ5855" s="32" t="s">
        <v>6522</v>
      </c>
      <c r="AU5855">
        <v>5854</v>
      </c>
    </row>
    <row r="5856" spans="1:47" x14ac:dyDescent="0.2">
      <c r="A5856" s="13">
        <v>6811</v>
      </c>
      <c r="B5856" s="57" t="s">
        <v>45</v>
      </c>
      <c r="C5856" s="57" t="s">
        <v>4843</v>
      </c>
      <c r="D5856" s="29"/>
      <c r="E5856" s="57" t="s">
        <v>6494</v>
      </c>
      <c r="F5856" s="31" t="s">
        <v>76</v>
      </c>
      <c r="G5856" s="31" t="s">
        <v>49</v>
      </c>
      <c r="K5856" s="31">
        <v>3542</v>
      </c>
      <c r="S5856" s="33">
        <v>6</v>
      </c>
      <c r="Z5856" s="31" t="s">
        <v>3814</v>
      </c>
      <c r="AE5856" s="31" t="s">
        <v>4411</v>
      </c>
      <c r="AF5856" s="31">
        <v>50</v>
      </c>
      <c r="AK5856" s="32">
        <v>37</v>
      </c>
      <c r="AQ5856" s="32" t="s">
        <v>6522</v>
      </c>
      <c r="AU5856">
        <v>5855</v>
      </c>
    </row>
    <row r="5857" spans="1:47" x14ac:dyDescent="0.2">
      <c r="A5857" s="13">
        <v>6811</v>
      </c>
      <c r="B5857" s="57" t="s">
        <v>45</v>
      </c>
      <c r="C5857" s="57" t="s">
        <v>4843</v>
      </c>
      <c r="D5857" s="29"/>
      <c r="E5857" s="57" t="s">
        <v>6757</v>
      </c>
      <c r="F5857" s="31" t="s">
        <v>76</v>
      </c>
      <c r="G5857" s="31" t="s">
        <v>49</v>
      </c>
      <c r="K5857" s="31">
        <v>616</v>
      </c>
      <c r="S5857" s="33">
        <v>1</v>
      </c>
      <c r="Z5857" s="31" t="s">
        <v>3814</v>
      </c>
      <c r="AE5857" s="31" t="s">
        <v>4411</v>
      </c>
      <c r="AF5857" s="31">
        <v>40</v>
      </c>
      <c r="AK5857" s="32">
        <v>7</v>
      </c>
      <c r="AQ5857" s="32" t="s">
        <v>6522</v>
      </c>
      <c r="AU5857">
        <v>5856</v>
      </c>
    </row>
    <row r="5858" spans="1:47" x14ac:dyDescent="0.2">
      <c r="A5858" s="13">
        <v>6811</v>
      </c>
      <c r="B5858" s="57" t="s">
        <v>45</v>
      </c>
      <c r="C5858" s="57" t="s">
        <v>6550</v>
      </c>
      <c r="D5858" s="29"/>
      <c r="E5858" s="57" t="s">
        <v>6758</v>
      </c>
      <c r="K5858" s="31">
        <v>220</v>
      </c>
      <c r="AK5858" s="32">
        <v>4</v>
      </c>
      <c r="AQ5858" s="32" t="s">
        <v>6552</v>
      </c>
      <c r="AU5858">
        <v>5857</v>
      </c>
    </row>
    <row r="5859" spans="1:47" x14ac:dyDescent="0.2">
      <c r="A5859" s="13">
        <v>6811</v>
      </c>
      <c r="B5859" s="57" t="s">
        <v>45</v>
      </c>
      <c r="C5859" s="57" t="s">
        <v>6550</v>
      </c>
      <c r="D5859" s="29"/>
      <c r="E5859" s="57" t="s">
        <v>6709</v>
      </c>
      <c r="F5859" s="31" t="s">
        <v>76</v>
      </c>
      <c r="G5859" s="31" t="s">
        <v>49</v>
      </c>
      <c r="I5859" s="31" t="s">
        <v>6710</v>
      </c>
      <c r="K5859" s="63"/>
      <c r="AQ5859" s="32" t="s">
        <v>6552</v>
      </c>
      <c r="AU5859">
        <v>5858</v>
      </c>
    </row>
    <row r="5860" spans="1:47" x14ac:dyDescent="0.2">
      <c r="A5860" s="13">
        <v>6811</v>
      </c>
      <c r="B5860" s="57" t="s">
        <v>45</v>
      </c>
      <c r="C5860" s="57" t="s">
        <v>6550</v>
      </c>
      <c r="D5860" s="29"/>
      <c r="E5860" s="57" t="s">
        <v>6655</v>
      </c>
      <c r="I5860" s="31" t="s">
        <v>6656</v>
      </c>
      <c r="K5860" s="63"/>
      <c r="AQ5860" s="32" t="s">
        <v>6552</v>
      </c>
      <c r="AU5860">
        <v>5859</v>
      </c>
    </row>
    <row r="5861" spans="1:47" x14ac:dyDescent="0.2">
      <c r="A5861" s="13">
        <v>6811</v>
      </c>
      <c r="B5861" s="57" t="s">
        <v>45</v>
      </c>
      <c r="C5861" s="57" t="s">
        <v>6550</v>
      </c>
      <c r="D5861" s="29"/>
      <c r="E5861" s="57" t="s">
        <v>1895</v>
      </c>
      <c r="I5861" s="31" t="s">
        <v>6658</v>
      </c>
      <c r="K5861" s="63"/>
      <c r="AQ5861" s="32" t="s">
        <v>6552</v>
      </c>
      <c r="AU5861">
        <v>5860</v>
      </c>
    </row>
    <row r="5862" spans="1:47" x14ac:dyDescent="0.2">
      <c r="A5862" s="13">
        <v>6811</v>
      </c>
      <c r="B5862" s="57" t="s">
        <v>45</v>
      </c>
      <c r="C5862" s="57" t="s">
        <v>6550</v>
      </c>
      <c r="D5862" s="29"/>
      <c r="E5862" s="57" t="s">
        <v>688</v>
      </c>
      <c r="F5862" s="31" t="s">
        <v>76</v>
      </c>
      <c r="G5862" s="31" t="s">
        <v>49</v>
      </c>
      <c r="I5862" s="31" t="s">
        <v>6559</v>
      </c>
      <c r="K5862" s="63"/>
      <c r="AQ5862" s="32" t="s">
        <v>6552</v>
      </c>
      <c r="AU5862">
        <v>5861</v>
      </c>
    </row>
    <row r="5863" spans="1:47" x14ac:dyDescent="0.2">
      <c r="A5863" s="26">
        <v>6811</v>
      </c>
      <c r="B5863" s="27">
        <v>1.7361111111111112E-2</v>
      </c>
      <c r="C5863" s="28"/>
      <c r="D5863" s="29"/>
      <c r="E5863" s="30" t="s">
        <v>1282</v>
      </c>
      <c r="H5863" s="32">
        <v>0</v>
      </c>
      <c r="I5863" s="32" t="s">
        <v>6759</v>
      </c>
      <c r="AG5863" s="32">
        <v>0</v>
      </c>
      <c r="AH5863" s="32">
        <v>0</v>
      </c>
      <c r="AI5863" s="32">
        <v>0</v>
      </c>
      <c r="AK5863" s="32">
        <v>0</v>
      </c>
      <c r="AL5863" s="32">
        <v>0.25</v>
      </c>
      <c r="AP5863" s="32">
        <v>0.25</v>
      </c>
      <c r="AQ5863" s="32" t="s">
        <v>1101</v>
      </c>
      <c r="AU5863">
        <v>5862</v>
      </c>
    </row>
    <row r="5864" spans="1:47" x14ac:dyDescent="0.2">
      <c r="A5864" s="26">
        <v>6811</v>
      </c>
      <c r="B5864" s="27">
        <v>9.375E-2</v>
      </c>
      <c r="C5864" s="28"/>
      <c r="D5864" s="29"/>
      <c r="E5864" s="30" t="s">
        <v>464</v>
      </c>
      <c r="H5864" s="32">
        <v>0</v>
      </c>
      <c r="I5864" s="32" t="s">
        <v>4561</v>
      </c>
      <c r="AG5864" s="32">
        <v>0</v>
      </c>
      <c r="AH5864" s="32">
        <v>0</v>
      </c>
      <c r="AL5864" s="32">
        <f>33/60</f>
        <v>0.55000000000000004</v>
      </c>
      <c r="AO5864" s="32" t="s">
        <v>4067</v>
      </c>
      <c r="AP5864" s="32">
        <f>33/60</f>
        <v>0.55000000000000004</v>
      </c>
      <c r="AQ5864" s="32" t="s">
        <v>1522</v>
      </c>
      <c r="AU5864">
        <v>5863</v>
      </c>
    </row>
    <row r="5865" spans="1:47" x14ac:dyDescent="0.2">
      <c r="A5865" s="26">
        <v>6811</v>
      </c>
      <c r="B5865" s="27" t="s">
        <v>85</v>
      </c>
      <c r="C5865" s="28"/>
      <c r="D5865" s="29"/>
      <c r="E5865" s="30" t="s">
        <v>1531</v>
      </c>
      <c r="H5865" s="32">
        <v>0</v>
      </c>
      <c r="I5865" s="32" t="s">
        <v>6760</v>
      </c>
      <c r="AG5865" s="32">
        <v>0</v>
      </c>
      <c r="AH5865" s="32">
        <v>0</v>
      </c>
      <c r="AI5865" s="32">
        <v>0</v>
      </c>
      <c r="AK5865" s="32">
        <v>0</v>
      </c>
      <c r="AM5865" s="32">
        <f>498*17</f>
        <v>8466</v>
      </c>
      <c r="AO5865" s="32" t="s">
        <v>1533</v>
      </c>
      <c r="AQ5865" s="32" t="s">
        <v>1101</v>
      </c>
      <c r="AU5865">
        <v>5864</v>
      </c>
    </row>
    <row r="5866" spans="1:47" x14ac:dyDescent="0.2">
      <c r="A5866" s="133">
        <v>6812</v>
      </c>
      <c r="B5866" s="39" t="s">
        <v>85</v>
      </c>
      <c r="C5866" s="39">
        <v>55</v>
      </c>
      <c r="D5866" s="29" t="b">
        <v>0</v>
      </c>
      <c r="E5866" s="39" t="s">
        <v>6761</v>
      </c>
      <c r="F5866" s="47" t="s">
        <v>6762</v>
      </c>
      <c r="G5866" s="47" t="s">
        <v>49</v>
      </c>
      <c r="H5866"/>
      <c r="I5866" s="47" t="b">
        <v>1</v>
      </c>
      <c r="J5866" s="47" t="b">
        <v>1</v>
      </c>
      <c r="K5866" s="47">
        <f>672+1350</f>
        <v>2022</v>
      </c>
      <c r="L5866" s="48">
        <v>12</v>
      </c>
      <c r="M5866" s="47">
        <v>0</v>
      </c>
      <c r="N5866" s="47">
        <v>3</v>
      </c>
      <c r="O5866" s="47">
        <v>0</v>
      </c>
      <c r="P5866" s="47">
        <v>9</v>
      </c>
      <c r="Q5866" s="47">
        <v>0</v>
      </c>
      <c r="R5866" s="47">
        <v>0</v>
      </c>
      <c r="S5866" s="48">
        <v>9</v>
      </c>
      <c r="T5866" s="47">
        <v>0</v>
      </c>
      <c r="U5866" s="47">
        <v>0</v>
      </c>
      <c r="V5866" s="47">
        <v>0</v>
      </c>
      <c r="W5866" s="47">
        <v>13333</v>
      </c>
      <c r="X5866" s="47">
        <v>914</v>
      </c>
      <c r="Y5866" s="47" t="s">
        <v>120</v>
      </c>
      <c r="Z5866" s="47" t="s">
        <v>3618</v>
      </c>
      <c r="AA5866" s="49">
        <v>0.4861111111111111</v>
      </c>
      <c r="AB5866" s="49">
        <v>0.64583333333333337</v>
      </c>
      <c r="AC5866" s="49"/>
      <c r="AD5866" s="50">
        <f>(AB5866-AA5866)*24</f>
        <v>3.8333333333333344</v>
      </c>
      <c r="AE5866" s="47" t="s">
        <v>5433</v>
      </c>
      <c r="AF5866" s="47">
        <v>135</v>
      </c>
      <c r="AG5866"/>
      <c r="AH5866"/>
      <c r="AI5866"/>
      <c r="AJ5866"/>
      <c r="AK5866">
        <v>17</v>
      </c>
      <c r="AL5866"/>
      <c r="AM5866"/>
      <c r="AN5866"/>
      <c r="AO5866"/>
      <c r="AP5866"/>
      <c r="AQ5866" t="s">
        <v>5434</v>
      </c>
      <c r="AU5866">
        <v>5865</v>
      </c>
    </row>
    <row r="5867" spans="1:47" x14ac:dyDescent="0.2">
      <c r="A5867" s="133">
        <v>6812</v>
      </c>
      <c r="B5867" s="39" t="s">
        <v>85</v>
      </c>
      <c r="C5867" s="39">
        <v>55</v>
      </c>
      <c r="D5867" s="29" t="b">
        <v>0</v>
      </c>
      <c r="E5867" s="39" t="s">
        <v>1551</v>
      </c>
      <c r="F5867" s="47" t="s">
        <v>529</v>
      </c>
      <c r="G5867" s="47" t="s">
        <v>205</v>
      </c>
      <c r="H5867"/>
      <c r="I5867" s="47" t="b">
        <v>0</v>
      </c>
      <c r="J5867" s="47" t="b">
        <v>0</v>
      </c>
      <c r="K5867" s="47">
        <f>6*112</f>
        <v>672</v>
      </c>
      <c r="L5867" s="48">
        <v>6</v>
      </c>
      <c r="M5867" s="47">
        <v>0</v>
      </c>
      <c r="N5867" s="47">
        <v>3</v>
      </c>
      <c r="O5867" s="47">
        <v>0</v>
      </c>
      <c r="P5867" s="47">
        <v>3</v>
      </c>
      <c r="Q5867" s="47">
        <v>0</v>
      </c>
      <c r="R5867" s="47">
        <v>0</v>
      </c>
      <c r="S5867" s="48">
        <v>3</v>
      </c>
      <c r="T5867" s="47">
        <v>0</v>
      </c>
      <c r="U5867" s="47">
        <v>0</v>
      </c>
      <c r="V5867" s="47">
        <v>0</v>
      </c>
      <c r="W5867" s="47">
        <v>14000</v>
      </c>
      <c r="X5867" s="47">
        <v>915</v>
      </c>
      <c r="Y5867" s="47" t="s">
        <v>51</v>
      </c>
      <c r="Z5867" s="47" t="s">
        <v>3618</v>
      </c>
      <c r="AA5867" s="49">
        <v>0.4861111111111111</v>
      </c>
      <c r="AB5867" s="49">
        <v>0.57638888888888895</v>
      </c>
      <c r="AC5867" s="49">
        <v>0.55208333333333337</v>
      </c>
      <c r="AD5867" s="50">
        <f>(AB5867-AA5867)*24</f>
        <v>2.1666666666666683</v>
      </c>
      <c r="AE5867" s="47" t="s">
        <v>5433</v>
      </c>
      <c r="AF5867" s="47">
        <v>45</v>
      </c>
      <c r="AG5867"/>
      <c r="AH5867"/>
      <c r="AI5867"/>
      <c r="AJ5867"/>
      <c r="AK5867">
        <v>6</v>
      </c>
      <c r="AL5867"/>
      <c r="AM5867"/>
      <c r="AN5867"/>
      <c r="AO5867"/>
      <c r="AP5867"/>
      <c r="AQ5867" t="s">
        <v>5434</v>
      </c>
      <c r="AU5867">
        <v>5866</v>
      </c>
    </row>
    <row r="5868" spans="1:47" x14ac:dyDescent="0.2">
      <c r="A5868" s="133">
        <v>6812</v>
      </c>
      <c r="B5868" s="39" t="s">
        <v>85</v>
      </c>
      <c r="C5868" s="39">
        <v>55</v>
      </c>
      <c r="D5868" s="29" t="b">
        <v>0</v>
      </c>
      <c r="E5868" s="39" t="s">
        <v>75</v>
      </c>
      <c r="F5868" s="47" t="s">
        <v>6763</v>
      </c>
      <c r="G5868" s="47" t="s">
        <v>49</v>
      </c>
      <c r="H5868"/>
      <c r="I5868" s="47" t="b">
        <v>0</v>
      </c>
      <c r="J5868" s="47" t="b">
        <v>0</v>
      </c>
      <c r="K5868" s="47">
        <v>1350</v>
      </c>
      <c r="L5868" s="48">
        <v>6</v>
      </c>
      <c r="M5868" s="47">
        <v>0</v>
      </c>
      <c r="N5868" s="47">
        <v>0</v>
      </c>
      <c r="O5868" s="47">
        <v>0</v>
      </c>
      <c r="P5868" s="47">
        <v>6</v>
      </c>
      <c r="Q5868" s="47">
        <v>0</v>
      </c>
      <c r="R5868" s="47">
        <v>0</v>
      </c>
      <c r="S5868" s="48">
        <v>6</v>
      </c>
      <c r="T5868" s="47">
        <v>0</v>
      </c>
      <c r="U5868" s="47">
        <v>0</v>
      </c>
      <c r="V5868" s="47">
        <v>0</v>
      </c>
      <c r="W5868" s="47">
        <v>13000</v>
      </c>
      <c r="X5868" s="47">
        <v>916</v>
      </c>
      <c r="Y5868" s="47" t="s">
        <v>120</v>
      </c>
      <c r="Z5868" s="47" t="s">
        <v>3618</v>
      </c>
      <c r="AA5868" s="49">
        <v>0.4861111111111111</v>
      </c>
      <c r="AB5868" s="49">
        <v>0.64583333333333337</v>
      </c>
      <c r="AC5868" s="49">
        <v>0.58333333333333337</v>
      </c>
      <c r="AD5868" s="50">
        <f>(AB5868-AA5868)*24</f>
        <v>3.8333333333333344</v>
      </c>
      <c r="AE5868" s="47" t="s">
        <v>5433</v>
      </c>
      <c r="AF5868" s="47">
        <v>135</v>
      </c>
      <c r="AG5868"/>
      <c r="AH5868"/>
      <c r="AI5868"/>
      <c r="AJ5868"/>
      <c r="AK5868">
        <v>11</v>
      </c>
      <c r="AL5868"/>
      <c r="AM5868"/>
      <c r="AN5868"/>
      <c r="AO5868"/>
      <c r="AP5868"/>
      <c r="AQ5868" t="s">
        <v>5434</v>
      </c>
      <c r="AU5868">
        <v>5867</v>
      </c>
    </row>
    <row r="5869" spans="1:47" x14ac:dyDescent="0.2">
      <c r="A5869" s="133">
        <v>6812</v>
      </c>
      <c r="B5869" s="39" t="s">
        <v>85</v>
      </c>
      <c r="C5869" s="39">
        <v>99</v>
      </c>
      <c r="D5869" s="29" t="b">
        <v>0</v>
      </c>
      <c r="E5869" s="39" t="s">
        <v>6764</v>
      </c>
      <c r="F5869" s="47" t="s">
        <v>2398</v>
      </c>
      <c r="G5869" s="47" t="s">
        <v>49</v>
      </c>
      <c r="H5869"/>
      <c r="I5869" s="47" t="b">
        <v>0</v>
      </c>
      <c r="J5869" s="47" t="b">
        <v>1</v>
      </c>
      <c r="K5869" s="47">
        <v>2506</v>
      </c>
      <c r="L5869" s="48">
        <v>12</v>
      </c>
      <c r="M5869" s="47">
        <v>0</v>
      </c>
      <c r="N5869" s="47">
        <v>0</v>
      </c>
      <c r="O5869" s="47">
        <v>0</v>
      </c>
      <c r="P5869" s="47">
        <v>0</v>
      </c>
      <c r="Q5869" s="47">
        <v>0</v>
      </c>
      <c r="R5869" s="47">
        <v>0</v>
      </c>
      <c r="S5869" s="48">
        <v>12</v>
      </c>
      <c r="T5869" s="47">
        <v>0</v>
      </c>
      <c r="U5869" s="47">
        <v>0</v>
      </c>
      <c r="V5869" s="47">
        <v>2</v>
      </c>
      <c r="W5869" s="47">
        <v>12000</v>
      </c>
      <c r="X5869" s="47">
        <v>917</v>
      </c>
      <c r="Y5869" s="47" t="s">
        <v>120</v>
      </c>
      <c r="Z5869" s="47" t="s">
        <v>5139</v>
      </c>
      <c r="AA5869" s="49">
        <v>0.49305555555555558</v>
      </c>
      <c r="AB5869" s="49">
        <v>0.64930555555555558</v>
      </c>
      <c r="AC5869" s="49">
        <f>AVERAGE(AA5869:AB5869)</f>
        <v>0.57118055555555558</v>
      </c>
      <c r="AD5869" s="50">
        <f>(AB5869-AA5869)*24</f>
        <v>3.75</v>
      </c>
      <c r="AE5869" s="47" t="s">
        <v>5433</v>
      </c>
      <c r="AF5869" s="47">
        <v>100</v>
      </c>
      <c r="AG5869"/>
      <c r="AH5869"/>
      <c r="AI5869"/>
      <c r="AJ5869"/>
      <c r="AK5869">
        <v>15</v>
      </c>
      <c r="AL5869"/>
      <c r="AM5869"/>
      <c r="AN5869"/>
      <c r="AO5869"/>
      <c r="AP5869"/>
      <c r="AQ5869" t="s">
        <v>2526</v>
      </c>
      <c r="AR5869" s="32" t="s">
        <v>6765</v>
      </c>
      <c r="AU5869">
        <v>5868</v>
      </c>
    </row>
    <row r="5870" spans="1:47" x14ac:dyDescent="0.2">
      <c r="A5870" s="133">
        <v>6812</v>
      </c>
      <c r="B5870" s="38" t="s">
        <v>85</v>
      </c>
      <c r="C5870" s="39" t="s">
        <v>5533</v>
      </c>
      <c r="D5870" s="29"/>
      <c r="E5870" s="38" t="s">
        <v>788</v>
      </c>
      <c r="F5870" s="32" t="s">
        <v>714</v>
      </c>
      <c r="G5870" s="47" t="s">
        <v>49</v>
      </c>
      <c r="H5870"/>
      <c r="I5870" s="47" t="s">
        <v>6766</v>
      </c>
      <c r="J5870" s="47"/>
      <c r="K5870" s="47"/>
      <c r="L5870" s="48"/>
      <c r="M5870" s="47"/>
      <c r="N5870" s="47"/>
      <c r="O5870" s="47"/>
      <c r="P5870" s="47"/>
      <c r="Q5870" s="47"/>
      <c r="R5870" s="47"/>
      <c r="S5870" s="48">
        <v>7</v>
      </c>
      <c r="T5870" s="47"/>
      <c r="U5870" s="47"/>
      <c r="V5870" s="47"/>
      <c r="W5870" s="47"/>
      <c r="X5870" s="47"/>
      <c r="Y5870" s="47"/>
      <c r="Z5870" s="31" t="s">
        <v>3724</v>
      </c>
      <c r="AA5870" s="49"/>
      <c r="AB5870" s="49"/>
      <c r="AC5870" s="49"/>
      <c r="AD5870" s="50"/>
      <c r="AE5870" s="47" t="s">
        <v>5536</v>
      </c>
      <c r="AF5870" s="47">
        <v>70</v>
      </c>
      <c r="AG5870"/>
      <c r="AH5870"/>
      <c r="AI5870"/>
      <c r="AJ5870"/>
      <c r="AK5870"/>
      <c r="AL5870"/>
      <c r="AM5870"/>
      <c r="AN5870"/>
      <c r="AO5870"/>
      <c r="AP5870"/>
      <c r="AQ5870"/>
      <c r="AU5870">
        <v>5869</v>
      </c>
    </row>
    <row r="5871" spans="1:47" x14ac:dyDescent="0.2">
      <c r="A5871" s="133">
        <v>6812</v>
      </c>
      <c r="B5871" s="38" t="s">
        <v>85</v>
      </c>
      <c r="C5871" s="39" t="s">
        <v>5533</v>
      </c>
      <c r="D5871" s="29"/>
      <c r="E5871" s="39" t="s">
        <v>3063</v>
      </c>
      <c r="F5871" s="32" t="s">
        <v>714</v>
      </c>
      <c r="G5871" s="47" t="s">
        <v>49</v>
      </c>
      <c r="H5871"/>
      <c r="I5871" s="47" t="s">
        <v>6767</v>
      </c>
      <c r="J5871" s="47"/>
      <c r="K5871" s="47"/>
      <c r="L5871" s="48">
        <v>8</v>
      </c>
      <c r="M5871" s="47"/>
      <c r="N5871" s="47"/>
      <c r="O5871" s="47">
        <v>1</v>
      </c>
      <c r="P5871" s="47"/>
      <c r="Q5871" s="47"/>
      <c r="R5871" s="47"/>
      <c r="S5871" s="48">
        <v>7</v>
      </c>
      <c r="T5871" s="47"/>
      <c r="U5871" s="47"/>
      <c r="V5871" s="47"/>
      <c r="W5871" s="47"/>
      <c r="X5871" s="47"/>
      <c r="Y5871" s="47"/>
      <c r="Z5871" s="31" t="s">
        <v>3724</v>
      </c>
      <c r="AA5871" s="49"/>
      <c r="AB5871" s="49"/>
      <c r="AC5871" s="49"/>
      <c r="AD5871" s="50"/>
      <c r="AE5871" s="47" t="s">
        <v>5536</v>
      </c>
      <c r="AF5871" s="47">
        <v>100</v>
      </c>
      <c r="AG5871"/>
      <c r="AH5871"/>
      <c r="AI5871"/>
      <c r="AJ5871"/>
      <c r="AK5871"/>
      <c r="AL5871"/>
      <c r="AM5871"/>
      <c r="AN5871"/>
      <c r="AO5871"/>
      <c r="AP5871"/>
      <c r="AQ5871"/>
      <c r="AU5871">
        <v>5870</v>
      </c>
    </row>
    <row r="5872" spans="1:47" x14ac:dyDescent="0.2">
      <c r="A5872" s="133">
        <v>6812</v>
      </c>
      <c r="B5872" s="39" t="s">
        <v>45</v>
      </c>
      <c r="C5872" s="39">
        <v>97</v>
      </c>
      <c r="D5872" s="29" t="b">
        <v>0</v>
      </c>
      <c r="E5872" s="39" t="s">
        <v>5707</v>
      </c>
      <c r="F5872" s="47" t="s">
        <v>529</v>
      </c>
      <c r="G5872" s="47" t="s">
        <v>205</v>
      </c>
      <c r="H5872"/>
      <c r="I5872" s="47" t="b">
        <v>0</v>
      </c>
      <c r="J5872" s="47" t="b">
        <v>1</v>
      </c>
      <c r="K5872" s="47">
        <v>2542</v>
      </c>
      <c r="L5872" s="48">
        <v>6</v>
      </c>
      <c r="M5872" s="47">
        <v>3</v>
      </c>
      <c r="N5872" s="47">
        <v>0</v>
      </c>
      <c r="O5872" s="47">
        <v>0</v>
      </c>
      <c r="P5872" s="47">
        <v>0</v>
      </c>
      <c r="Q5872" s="47">
        <v>0</v>
      </c>
      <c r="R5872" s="47">
        <v>0</v>
      </c>
      <c r="S5872" s="48">
        <v>3</v>
      </c>
      <c r="T5872" s="47">
        <v>0</v>
      </c>
      <c r="U5872" s="47">
        <v>0</v>
      </c>
      <c r="V5872" s="47">
        <v>1</v>
      </c>
      <c r="W5872" s="47">
        <v>2000</v>
      </c>
      <c r="X5872" s="47">
        <v>918</v>
      </c>
      <c r="Y5872" s="47"/>
      <c r="Z5872" s="47" t="s">
        <v>2466</v>
      </c>
      <c r="AA5872" s="49"/>
      <c r="AB5872" s="49"/>
      <c r="AC5872" s="49"/>
      <c r="AD5872" s="50"/>
      <c r="AE5872" s="47"/>
      <c r="AF5872" s="47"/>
      <c r="AG5872"/>
      <c r="AH5872"/>
      <c r="AI5872"/>
      <c r="AJ5872"/>
      <c r="AK5872"/>
      <c r="AL5872"/>
      <c r="AM5872"/>
      <c r="AN5872"/>
      <c r="AO5872"/>
      <c r="AP5872"/>
      <c r="AQ5872" t="s">
        <v>2526</v>
      </c>
      <c r="AU5872">
        <v>5871</v>
      </c>
    </row>
    <row r="5873" spans="1:47" x14ac:dyDescent="0.2">
      <c r="A5873" s="133">
        <v>6812</v>
      </c>
      <c r="B5873" s="39" t="s">
        <v>45</v>
      </c>
      <c r="C5873" s="39">
        <v>215</v>
      </c>
      <c r="D5873" s="29" t="b">
        <v>0</v>
      </c>
      <c r="E5873" s="39" t="s">
        <v>6768</v>
      </c>
      <c r="F5873" s="47" t="s">
        <v>6769</v>
      </c>
      <c r="G5873" s="47" t="s">
        <v>205</v>
      </c>
      <c r="H5873"/>
      <c r="I5873" s="47" t="b">
        <v>1</v>
      </c>
      <c r="J5873" s="47" t="b">
        <v>1</v>
      </c>
      <c r="K5873" s="47">
        <v>10335</v>
      </c>
      <c r="L5873" s="48">
        <v>6</v>
      </c>
      <c r="M5873" s="47">
        <v>0</v>
      </c>
      <c r="N5873" s="47">
        <v>1</v>
      </c>
      <c r="O5873" s="47">
        <v>0</v>
      </c>
      <c r="P5873" s="47">
        <v>0</v>
      </c>
      <c r="Q5873" s="47">
        <v>0</v>
      </c>
      <c r="R5873" s="47">
        <v>0</v>
      </c>
      <c r="S5873" s="48">
        <v>5</v>
      </c>
      <c r="T5873" s="47">
        <v>0</v>
      </c>
      <c r="U5873" s="47">
        <v>0</v>
      </c>
      <c r="V5873" s="47">
        <v>0</v>
      </c>
      <c r="W5873" s="47">
        <v>1160</v>
      </c>
      <c r="X5873" s="47">
        <v>919</v>
      </c>
      <c r="Y5873" s="47"/>
      <c r="Z5873" s="47" t="s">
        <v>2466</v>
      </c>
      <c r="AA5873" s="49"/>
      <c r="AB5873" s="49"/>
      <c r="AC5873" s="49"/>
      <c r="AD5873" s="50"/>
      <c r="AE5873" s="47"/>
      <c r="AF5873" s="47"/>
      <c r="AG5873"/>
      <c r="AH5873"/>
      <c r="AI5873"/>
      <c r="AJ5873"/>
      <c r="AK5873"/>
      <c r="AL5873"/>
      <c r="AM5873"/>
      <c r="AN5873"/>
      <c r="AO5873"/>
      <c r="AP5873"/>
      <c r="AQ5873" t="s">
        <v>2526</v>
      </c>
      <c r="AU5873">
        <v>5872</v>
      </c>
    </row>
    <row r="5874" spans="1:47" x14ac:dyDescent="0.2">
      <c r="A5874" s="133">
        <v>6812</v>
      </c>
      <c r="B5874" s="39" t="s">
        <v>45</v>
      </c>
      <c r="C5874" s="39">
        <v>215</v>
      </c>
      <c r="D5874" s="29" t="b">
        <v>0</v>
      </c>
      <c r="E5874" s="39" t="s">
        <v>3909</v>
      </c>
      <c r="F5874" s="47" t="s">
        <v>4092</v>
      </c>
      <c r="G5874" s="47" t="s">
        <v>274</v>
      </c>
      <c r="H5874"/>
      <c r="I5874" s="47" t="b">
        <v>0</v>
      </c>
      <c r="J5874" s="47" t="b">
        <v>0</v>
      </c>
      <c r="K5874" s="47">
        <v>4184</v>
      </c>
      <c r="L5874" s="48">
        <v>3</v>
      </c>
      <c r="M5874" s="47">
        <v>0</v>
      </c>
      <c r="N5874" s="47">
        <v>1</v>
      </c>
      <c r="O5874" s="47">
        <v>0</v>
      </c>
      <c r="P5874" s="47">
        <v>0</v>
      </c>
      <c r="Q5874" s="47">
        <v>0</v>
      </c>
      <c r="R5874" s="47">
        <v>0</v>
      </c>
      <c r="S5874" s="48">
        <v>2</v>
      </c>
      <c r="T5874" s="47">
        <v>0</v>
      </c>
      <c r="U5874" s="47">
        <v>0</v>
      </c>
      <c r="V5874" s="47">
        <v>0</v>
      </c>
      <c r="W5874" s="47">
        <v>500</v>
      </c>
      <c r="X5874" s="47">
        <v>920</v>
      </c>
      <c r="Y5874" s="47"/>
      <c r="Z5874" s="47" t="s">
        <v>2466</v>
      </c>
      <c r="AA5874" s="49"/>
      <c r="AB5874" s="49"/>
      <c r="AC5874" s="49"/>
      <c r="AD5874" s="50"/>
      <c r="AE5874" s="47"/>
      <c r="AF5874" s="47"/>
      <c r="AG5874"/>
      <c r="AH5874"/>
      <c r="AI5874"/>
      <c r="AJ5874"/>
      <c r="AK5874"/>
      <c r="AL5874"/>
      <c r="AM5874"/>
      <c r="AN5874"/>
      <c r="AO5874"/>
      <c r="AP5874"/>
      <c r="AQ5874" t="s">
        <v>2526</v>
      </c>
      <c r="AU5874">
        <v>5873</v>
      </c>
    </row>
    <row r="5875" spans="1:47" x14ac:dyDescent="0.2">
      <c r="A5875" s="133">
        <v>6812</v>
      </c>
      <c r="B5875" s="39" t="s">
        <v>45</v>
      </c>
      <c r="C5875" s="39">
        <v>215</v>
      </c>
      <c r="D5875" s="29" t="b">
        <v>0</v>
      </c>
      <c r="E5875" s="39" t="s">
        <v>5707</v>
      </c>
      <c r="F5875" s="47" t="s">
        <v>529</v>
      </c>
      <c r="G5875" s="47" t="s">
        <v>205</v>
      </c>
      <c r="H5875"/>
      <c r="I5875" s="47" t="b">
        <v>0</v>
      </c>
      <c r="J5875" s="47" t="b">
        <v>0</v>
      </c>
      <c r="K5875" s="47">
        <v>6151</v>
      </c>
      <c r="L5875" s="48">
        <v>3</v>
      </c>
      <c r="M5875" s="47">
        <v>0</v>
      </c>
      <c r="N5875" s="47">
        <v>0</v>
      </c>
      <c r="O5875" s="47">
        <v>0</v>
      </c>
      <c r="P5875" s="47">
        <v>0</v>
      </c>
      <c r="Q5875" s="47">
        <v>0</v>
      </c>
      <c r="R5875" s="47">
        <v>0</v>
      </c>
      <c r="S5875" s="48">
        <v>3</v>
      </c>
      <c r="T5875" s="47">
        <v>0</v>
      </c>
      <c r="U5875" s="47">
        <v>0</v>
      </c>
      <c r="V5875" s="47">
        <v>0</v>
      </c>
      <c r="W5875" s="47">
        <v>1600</v>
      </c>
      <c r="X5875" s="47">
        <v>921</v>
      </c>
      <c r="Y5875" s="47"/>
      <c r="Z5875" s="47" t="s">
        <v>2466</v>
      </c>
      <c r="AA5875" s="49"/>
      <c r="AB5875" s="49"/>
      <c r="AC5875" s="49"/>
      <c r="AD5875" s="50"/>
      <c r="AE5875" s="47"/>
      <c r="AF5875" s="47"/>
      <c r="AG5875"/>
      <c r="AH5875"/>
      <c r="AI5875"/>
      <c r="AJ5875"/>
      <c r="AK5875"/>
      <c r="AL5875"/>
      <c r="AM5875"/>
      <c r="AN5875"/>
      <c r="AO5875"/>
      <c r="AP5875"/>
      <c r="AQ5875" t="s">
        <v>2526</v>
      </c>
      <c r="AU5875">
        <v>5874</v>
      </c>
    </row>
    <row r="5876" spans="1:47" x14ac:dyDescent="0.2">
      <c r="A5876" s="13">
        <v>6812</v>
      </c>
      <c r="B5876" s="57" t="s">
        <v>45</v>
      </c>
      <c r="C5876" s="57" t="s">
        <v>142</v>
      </c>
      <c r="D5876" s="29"/>
      <c r="E5876" s="57" t="s">
        <v>6770</v>
      </c>
      <c r="F5876" s="47" t="s">
        <v>246</v>
      </c>
      <c r="G5876" s="47" t="s">
        <v>49</v>
      </c>
      <c r="H5876"/>
      <c r="I5876" s="47" t="b">
        <v>1</v>
      </c>
      <c r="J5876" s="47" t="b">
        <v>1</v>
      </c>
      <c r="K5876" s="47">
        <f>(200+240)*2.2</f>
        <v>968.00000000000011</v>
      </c>
      <c r="L5876" s="48">
        <v>2</v>
      </c>
      <c r="M5876" s="47">
        <v>1</v>
      </c>
      <c r="N5876" s="47"/>
      <c r="O5876" s="47"/>
      <c r="P5876" s="47"/>
      <c r="Q5876" s="47"/>
      <c r="R5876" s="47"/>
      <c r="S5876" s="48">
        <v>1</v>
      </c>
      <c r="T5876" s="47">
        <v>0</v>
      </c>
      <c r="U5876" s="47">
        <v>1</v>
      </c>
      <c r="V5876" s="47">
        <v>0</v>
      </c>
      <c r="W5876" s="47"/>
      <c r="X5876" s="47"/>
      <c r="Y5876" s="47" t="s">
        <v>51</v>
      </c>
      <c r="Z5876" s="47"/>
      <c r="AA5876" s="49"/>
      <c r="AB5876" s="49"/>
      <c r="AC5876" s="49"/>
      <c r="AD5876" s="50"/>
      <c r="AE5876" s="47"/>
      <c r="AF5876" s="47"/>
      <c r="AG5876"/>
      <c r="AH5876"/>
      <c r="AI5876"/>
      <c r="AJ5876"/>
      <c r="AK5876">
        <f>2+12</f>
        <v>14</v>
      </c>
      <c r="AL5876"/>
      <c r="AM5876"/>
      <c r="AN5876"/>
      <c r="AO5876"/>
      <c r="AP5876"/>
      <c r="AQ5876" t="s">
        <v>6771</v>
      </c>
      <c r="AR5876" s="32" t="s">
        <v>6772</v>
      </c>
      <c r="AU5876">
        <v>5875</v>
      </c>
    </row>
    <row r="5877" spans="1:47" x14ac:dyDescent="0.2">
      <c r="A5877" s="13">
        <v>6812</v>
      </c>
      <c r="B5877" s="57" t="s">
        <v>45</v>
      </c>
      <c r="C5877" s="57" t="s">
        <v>142</v>
      </c>
      <c r="D5877" s="29"/>
      <c r="E5877" s="57" t="s">
        <v>1064</v>
      </c>
      <c r="F5877" s="31" t="s">
        <v>76</v>
      </c>
      <c r="G5877" s="47" t="s">
        <v>49</v>
      </c>
      <c r="I5877" s="47" t="b">
        <v>0</v>
      </c>
      <c r="J5877" s="47" t="b">
        <v>0</v>
      </c>
      <c r="K5877" s="31">
        <v>440</v>
      </c>
      <c r="S5877" s="33">
        <v>1</v>
      </c>
      <c r="AK5877" s="32">
        <v>7</v>
      </c>
      <c r="AQ5877" s="32" t="s">
        <v>6522</v>
      </c>
      <c r="AU5877">
        <v>5876</v>
      </c>
    </row>
    <row r="5878" spans="1:47" x14ac:dyDescent="0.2">
      <c r="A5878" s="13">
        <v>6812</v>
      </c>
      <c r="B5878" s="57" t="s">
        <v>45</v>
      </c>
      <c r="C5878" s="57" t="s">
        <v>142</v>
      </c>
      <c r="D5878" s="29"/>
      <c r="E5878" s="57" t="s">
        <v>6610</v>
      </c>
      <c r="F5878" s="31" t="s">
        <v>76</v>
      </c>
      <c r="G5878" s="47" t="s">
        <v>49</v>
      </c>
      <c r="I5878" s="47" t="b">
        <v>0</v>
      </c>
      <c r="J5878" s="47" t="b">
        <v>0</v>
      </c>
      <c r="K5878" s="31">
        <v>528</v>
      </c>
      <c r="S5878" s="33">
        <v>1</v>
      </c>
      <c r="AK5878" s="32">
        <v>7</v>
      </c>
      <c r="AQ5878" s="32" t="s">
        <v>6522</v>
      </c>
      <c r="AU5878">
        <v>5877</v>
      </c>
    </row>
    <row r="5879" spans="1:47" x14ac:dyDescent="0.2">
      <c r="A5879" s="26">
        <v>6812</v>
      </c>
      <c r="B5879" s="27">
        <v>0.48749999999999999</v>
      </c>
      <c r="C5879" s="28"/>
      <c r="D5879" s="29"/>
      <c r="E5879" s="30" t="s">
        <v>1282</v>
      </c>
      <c r="H5879" s="32">
        <v>0</v>
      </c>
      <c r="I5879" s="32" t="s">
        <v>6773</v>
      </c>
      <c r="AG5879" s="32">
        <v>0</v>
      </c>
      <c r="AH5879" s="32">
        <v>0</v>
      </c>
      <c r="AI5879" s="32">
        <v>0</v>
      </c>
      <c r="AK5879" s="32">
        <v>0</v>
      </c>
      <c r="AL5879" s="32">
        <f>3+58/60</f>
        <v>3.9666666666666668</v>
      </c>
      <c r="AP5879" s="32">
        <f>3+58/60</f>
        <v>3.9666666666666668</v>
      </c>
      <c r="AQ5879" s="32" t="s">
        <v>1101</v>
      </c>
      <c r="AU5879">
        <v>5878</v>
      </c>
    </row>
    <row r="5880" spans="1:47" x14ac:dyDescent="0.2">
      <c r="A5880" s="26">
        <v>6812</v>
      </c>
      <c r="B5880" s="27">
        <v>0.52430555555555558</v>
      </c>
      <c r="C5880" s="28"/>
      <c r="D5880" s="29"/>
      <c r="E5880" s="30" t="s">
        <v>464</v>
      </c>
      <c r="H5880" s="32">
        <v>0</v>
      </c>
      <c r="I5880" s="32" t="s">
        <v>6774</v>
      </c>
      <c r="AG5880" s="32">
        <v>0</v>
      </c>
      <c r="AH5880" s="32">
        <v>0</v>
      </c>
      <c r="AL5880" s="32">
        <f>65/60</f>
        <v>1.0833333333333333</v>
      </c>
      <c r="AO5880" s="32" t="s">
        <v>4067</v>
      </c>
      <c r="AP5880" s="32">
        <f>65/60</f>
        <v>1.0833333333333333</v>
      </c>
      <c r="AQ5880" s="32" t="s">
        <v>1522</v>
      </c>
      <c r="AU5880">
        <v>5879</v>
      </c>
    </row>
    <row r="5881" spans="1:47" x14ac:dyDescent="0.2">
      <c r="A5881" s="26">
        <v>6812</v>
      </c>
      <c r="B5881" s="27">
        <v>0.60763888888888895</v>
      </c>
      <c r="C5881" s="28"/>
      <c r="D5881" s="29"/>
      <c r="E5881" s="102" t="s">
        <v>1102</v>
      </c>
      <c r="H5881" s="32">
        <v>0</v>
      </c>
      <c r="I5881" s="32" t="s">
        <v>6775</v>
      </c>
      <c r="AG5881" s="32">
        <v>0</v>
      </c>
      <c r="AH5881" s="32">
        <v>0</v>
      </c>
      <c r="AI5881" s="32">
        <v>0</v>
      </c>
      <c r="AK5881" s="32">
        <v>0</v>
      </c>
      <c r="AL5881" s="32">
        <f>38/60</f>
        <v>0.6333333333333333</v>
      </c>
      <c r="AO5881" s="73" t="s">
        <v>1006</v>
      </c>
      <c r="AP5881" s="32">
        <f>38/60</f>
        <v>0.6333333333333333</v>
      </c>
      <c r="AQ5881" s="32" t="s">
        <v>589</v>
      </c>
      <c r="AU5881">
        <v>5880</v>
      </c>
    </row>
    <row r="5882" spans="1:47" x14ac:dyDescent="0.2">
      <c r="A5882" s="26">
        <v>6812</v>
      </c>
      <c r="B5882" s="27">
        <v>0.61458333333333337</v>
      </c>
      <c r="C5882" s="28"/>
      <c r="D5882" s="29"/>
      <c r="E5882" s="30" t="s">
        <v>78</v>
      </c>
      <c r="H5882" s="32">
        <v>1</v>
      </c>
      <c r="I5882" s="32"/>
      <c r="AG5882" s="32">
        <v>0</v>
      </c>
      <c r="AH5882" s="32">
        <v>0</v>
      </c>
      <c r="AJ5882" s="32">
        <v>53867</v>
      </c>
      <c r="AK5882" s="32">
        <v>11</v>
      </c>
      <c r="AO5882" s="32" t="s">
        <v>80</v>
      </c>
      <c r="AP5882" s="32">
        <f>35/60</f>
        <v>0.58333333333333337</v>
      </c>
      <c r="AQ5882" s="32" t="s">
        <v>1101</v>
      </c>
      <c r="AU5882">
        <v>5881</v>
      </c>
    </row>
    <row r="5883" spans="1:47" x14ac:dyDescent="0.2">
      <c r="A5883" s="26">
        <v>6812</v>
      </c>
      <c r="B5883" s="27">
        <v>0.64583333333333337</v>
      </c>
      <c r="C5883" s="28"/>
      <c r="D5883" s="29"/>
      <c r="E5883" s="30" t="s">
        <v>4219</v>
      </c>
      <c r="H5883" s="32">
        <v>0</v>
      </c>
      <c r="I5883" s="32" t="s">
        <v>4249</v>
      </c>
      <c r="AG5883" s="32">
        <v>0</v>
      </c>
      <c r="AH5883" s="32">
        <v>0</v>
      </c>
      <c r="AI5883" s="32">
        <v>0</v>
      </c>
      <c r="AK5883" s="32">
        <v>0</v>
      </c>
      <c r="AL5883" s="32">
        <v>0.25</v>
      </c>
      <c r="AO5883" s="32" t="s">
        <v>858</v>
      </c>
      <c r="AP5883" s="32">
        <v>0.25</v>
      </c>
      <c r="AQ5883" s="32" t="s">
        <v>1101</v>
      </c>
      <c r="AU5883">
        <v>5882</v>
      </c>
    </row>
    <row r="5884" spans="1:47" x14ac:dyDescent="0.2">
      <c r="A5884" s="26">
        <v>6812</v>
      </c>
      <c r="B5884" s="27">
        <v>0.73263888888888884</v>
      </c>
      <c r="C5884" s="28"/>
      <c r="D5884" s="29"/>
      <c r="E5884" s="30" t="s">
        <v>3737</v>
      </c>
      <c r="H5884" s="32">
        <v>0</v>
      </c>
      <c r="I5884" s="32" t="s">
        <v>4926</v>
      </c>
      <c r="AG5884" s="32">
        <v>0</v>
      </c>
      <c r="AH5884" s="32">
        <v>0</v>
      </c>
      <c r="AI5884" s="32">
        <v>0</v>
      </c>
      <c r="AK5884" s="32">
        <v>0</v>
      </c>
      <c r="AM5884" s="74"/>
      <c r="AQ5884" s="32" t="s">
        <v>1101</v>
      </c>
      <c r="AU5884">
        <v>5883</v>
      </c>
    </row>
    <row r="5885" spans="1:47" x14ac:dyDescent="0.2">
      <c r="A5885" s="26">
        <v>6812</v>
      </c>
      <c r="B5885" s="27">
        <v>0.92013888888888884</v>
      </c>
      <c r="C5885" s="28"/>
      <c r="D5885" s="29"/>
      <c r="E5885" s="30" t="s">
        <v>4219</v>
      </c>
      <c r="H5885" s="32">
        <v>1</v>
      </c>
      <c r="I5885" s="32"/>
      <c r="AL5885" s="32">
        <v>1</v>
      </c>
      <c r="AO5885" s="32" t="s">
        <v>858</v>
      </c>
      <c r="AP5885" s="32">
        <v>1</v>
      </c>
      <c r="AQ5885" s="32" t="s">
        <v>1101</v>
      </c>
      <c r="AU5885">
        <v>5884</v>
      </c>
    </row>
    <row r="5886" spans="1:47" x14ac:dyDescent="0.2">
      <c r="A5886" s="26">
        <v>6812</v>
      </c>
      <c r="B5886" s="27">
        <v>0.92013888888888884</v>
      </c>
      <c r="C5886" s="28"/>
      <c r="D5886" s="29"/>
      <c r="E5886" s="30" t="s">
        <v>464</v>
      </c>
      <c r="H5886" s="32">
        <v>0</v>
      </c>
      <c r="I5886" s="32" t="s">
        <v>6776</v>
      </c>
      <c r="AG5886" s="32">
        <v>0</v>
      </c>
      <c r="AH5886" s="32">
        <v>0</v>
      </c>
      <c r="AL5886" s="32">
        <f>91/60</f>
        <v>1.5166666666666666</v>
      </c>
      <c r="AO5886" s="32" t="s">
        <v>4067</v>
      </c>
      <c r="AP5886" s="32">
        <f>91/60</f>
        <v>1.5166666666666666</v>
      </c>
      <c r="AQ5886" s="32" t="s">
        <v>1522</v>
      </c>
      <c r="AU5886">
        <v>5885</v>
      </c>
    </row>
    <row r="5887" spans="1:47" x14ac:dyDescent="0.2">
      <c r="A5887" s="26">
        <v>6812</v>
      </c>
      <c r="B5887" s="27">
        <v>0.94374999999999998</v>
      </c>
      <c r="C5887" s="28"/>
      <c r="D5887" s="29"/>
      <c r="E5887" s="30" t="s">
        <v>869</v>
      </c>
      <c r="H5887" s="32">
        <v>0</v>
      </c>
      <c r="I5887" s="32" t="s">
        <v>2344</v>
      </c>
      <c r="AG5887" s="32">
        <v>0</v>
      </c>
      <c r="AH5887" s="32">
        <v>0</v>
      </c>
      <c r="AI5887" s="32">
        <v>0</v>
      </c>
      <c r="AK5887" s="32">
        <v>0</v>
      </c>
      <c r="AL5887" s="32">
        <f>13/60</f>
        <v>0.21666666666666667</v>
      </c>
      <c r="AP5887" s="32">
        <f>13/60</f>
        <v>0.21666666666666667</v>
      </c>
      <c r="AQ5887" s="32" t="s">
        <v>589</v>
      </c>
      <c r="AU5887">
        <v>5886</v>
      </c>
    </row>
    <row r="5888" spans="1:47" x14ac:dyDescent="0.2">
      <c r="A5888" s="26">
        <v>6812</v>
      </c>
      <c r="B5888" s="27">
        <v>0.94444444444444453</v>
      </c>
      <c r="C5888" s="28"/>
      <c r="D5888" s="29"/>
      <c r="E5888" s="102" t="s">
        <v>1102</v>
      </c>
      <c r="H5888" s="32">
        <v>0</v>
      </c>
      <c r="I5888" s="32" t="s">
        <v>1103</v>
      </c>
      <c r="AG5888" s="32">
        <v>0</v>
      </c>
      <c r="AH5888" s="32">
        <v>0</v>
      </c>
      <c r="AI5888" s="32">
        <v>0</v>
      </c>
      <c r="AK5888" s="32">
        <v>0</v>
      </c>
      <c r="AL5888" s="32">
        <f>17/60</f>
        <v>0.28333333333333333</v>
      </c>
      <c r="AO5888" s="73" t="s">
        <v>1006</v>
      </c>
      <c r="AP5888" s="32">
        <f>17/60</f>
        <v>0.28333333333333333</v>
      </c>
      <c r="AQ5888" s="32" t="s">
        <v>589</v>
      </c>
      <c r="AU5888">
        <v>5887</v>
      </c>
    </row>
    <row r="5889" spans="1:47" x14ac:dyDescent="0.2">
      <c r="A5889" s="26">
        <v>6812</v>
      </c>
      <c r="B5889" s="27">
        <v>0.94791666666666663</v>
      </c>
      <c r="C5889" s="28"/>
      <c r="D5889" s="29"/>
      <c r="E5889" s="30" t="s">
        <v>3737</v>
      </c>
      <c r="H5889" s="32">
        <v>0</v>
      </c>
      <c r="I5889" s="32" t="s">
        <v>4926</v>
      </c>
      <c r="AG5889" s="32">
        <v>0</v>
      </c>
      <c r="AH5889" s="32">
        <v>0</v>
      </c>
      <c r="AI5889" s="32">
        <v>0</v>
      </c>
      <c r="AK5889" s="32">
        <v>0</v>
      </c>
      <c r="AL5889" s="32">
        <v>1.75</v>
      </c>
      <c r="AM5889" s="33">
        <f>3125*AL5889</f>
        <v>5468.75</v>
      </c>
      <c r="AP5889" s="32">
        <v>1.75</v>
      </c>
      <c r="AQ5889" s="32" t="s">
        <v>1101</v>
      </c>
      <c r="AU5889">
        <v>5888</v>
      </c>
    </row>
    <row r="5890" spans="1:47" x14ac:dyDescent="0.2">
      <c r="A5890" s="26">
        <v>6812</v>
      </c>
      <c r="B5890" s="27">
        <v>0.97430555555555554</v>
      </c>
      <c r="C5890" s="28"/>
      <c r="D5890" s="29"/>
      <c r="E5890" s="30" t="s">
        <v>2964</v>
      </c>
      <c r="H5890" s="32">
        <v>0</v>
      </c>
      <c r="I5890" s="32" t="s">
        <v>4158</v>
      </c>
      <c r="AG5890" s="32">
        <v>0</v>
      </c>
      <c r="AH5890" s="32">
        <v>0</v>
      </c>
      <c r="AI5890" s="32">
        <v>0</v>
      </c>
      <c r="AK5890" s="32">
        <v>0</v>
      </c>
      <c r="AL5890" s="32">
        <f>41/60</f>
        <v>0.68333333333333335</v>
      </c>
      <c r="AP5890" s="32">
        <f>41/60</f>
        <v>0.68333333333333335</v>
      </c>
      <c r="AQ5890" s="32" t="s">
        <v>1101</v>
      </c>
      <c r="AU5890">
        <v>5889</v>
      </c>
    </row>
    <row r="5891" spans="1:47" x14ac:dyDescent="0.2">
      <c r="A5891" s="26">
        <v>6812</v>
      </c>
      <c r="B5891" s="27" t="s">
        <v>85</v>
      </c>
      <c r="C5891" s="28"/>
      <c r="D5891" s="29"/>
      <c r="E5891" s="30" t="s">
        <v>1531</v>
      </c>
      <c r="H5891" s="32">
        <v>0</v>
      </c>
      <c r="I5891" s="32" t="s">
        <v>5480</v>
      </c>
      <c r="AG5891" s="32">
        <v>0</v>
      </c>
      <c r="AH5891" s="32">
        <v>0</v>
      </c>
      <c r="AI5891" s="32">
        <v>0</v>
      </c>
      <c r="AK5891" s="32">
        <v>0</v>
      </c>
      <c r="AM5891" s="32">
        <f>498*35</f>
        <v>17430</v>
      </c>
      <c r="AO5891" s="32" t="s">
        <v>1533</v>
      </c>
      <c r="AQ5891" s="32" t="s">
        <v>1101</v>
      </c>
      <c r="AU5891">
        <v>5890</v>
      </c>
    </row>
    <row r="5892" spans="1:47" x14ac:dyDescent="0.2">
      <c r="A5892" s="26">
        <v>6812</v>
      </c>
      <c r="B5892" s="27" t="s">
        <v>85</v>
      </c>
      <c r="C5892" s="28"/>
      <c r="D5892" s="29"/>
      <c r="E5892" s="30" t="s">
        <v>4666</v>
      </c>
      <c r="H5892" s="32">
        <v>0</v>
      </c>
      <c r="I5892" s="32" t="s">
        <v>6777</v>
      </c>
      <c r="AG5892" s="32">
        <v>0</v>
      </c>
      <c r="AH5892" s="32">
        <v>0</v>
      </c>
      <c r="AI5892" s="32">
        <v>0</v>
      </c>
      <c r="AO5892" s="32" t="s">
        <v>4668</v>
      </c>
      <c r="AQ5892" s="32">
        <v>410</v>
      </c>
      <c r="AU5892">
        <v>5891</v>
      </c>
    </row>
    <row r="5893" spans="1:47" x14ac:dyDescent="0.2">
      <c r="A5893" s="26">
        <v>6812</v>
      </c>
      <c r="B5893" s="27" t="s">
        <v>45</v>
      </c>
      <c r="C5893" s="28"/>
      <c r="D5893" s="29"/>
      <c r="E5893" s="30" t="s">
        <v>626</v>
      </c>
      <c r="H5893" s="32">
        <v>1</v>
      </c>
      <c r="I5893" s="32" t="s">
        <v>6778</v>
      </c>
      <c r="AI5893" s="32">
        <v>165350</v>
      </c>
      <c r="AK5893" s="32">
        <v>35</v>
      </c>
      <c r="AL5893" s="32">
        <f>12*24</f>
        <v>288</v>
      </c>
      <c r="AO5893" s="32" t="s">
        <v>5729</v>
      </c>
      <c r="AQ5893" s="32" t="s">
        <v>6779</v>
      </c>
      <c r="AU5893">
        <v>5892</v>
      </c>
    </row>
    <row r="5894" spans="1:47" x14ac:dyDescent="0.2">
      <c r="A5894" s="26">
        <v>6812</v>
      </c>
      <c r="B5894" s="27" t="s">
        <v>45</v>
      </c>
      <c r="C5894" s="28"/>
      <c r="D5894" s="29"/>
      <c r="E5894" s="30" t="s">
        <v>2478</v>
      </c>
      <c r="H5894" s="32">
        <v>1</v>
      </c>
      <c r="I5894" s="32" t="s">
        <v>6780</v>
      </c>
      <c r="AG5894" s="32">
        <v>0</v>
      </c>
      <c r="AH5894" s="32">
        <v>0</v>
      </c>
      <c r="AI5894" s="32">
        <v>122354.69448584203</v>
      </c>
      <c r="AK5894" s="32">
        <v>5</v>
      </c>
      <c r="AQ5894" s="32" t="s">
        <v>6781</v>
      </c>
      <c r="AU5894">
        <v>5893</v>
      </c>
    </row>
    <row r="5895" spans="1:47" x14ac:dyDescent="0.2">
      <c r="A5895" s="26">
        <v>6812</v>
      </c>
      <c r="B5895" s="27"/>
      <c r="C5895" s="28"/>
      <c r="D5895" s="29"/>
      <c r="E5895" s="30" t="s">
        <v>3063</v>
      </c>
      <c r="H5895" s="32">
        <v>1</v>
      </c>
      <c r="I5895" s="32" t="s">
        <v>6782</v>
      </c>
      <c r="AG5895" s="32">
        <v>0</v>
      </c>
      <c r="AH5895" s="32">
        <v>0</v>
      </c>
      <c r="AI5895" s="32">
        <v>0</v>
      </c>
      <c r="AJ5895" s="32">
        <v>0</v>
      </c>
      <c r="AL5895" s="32">
        <v>0</v>
      </c>
      <c r="AM5895" s="32">
        <v>0</v>
      </c>
      <c r="AQ5895" s="32">
        <v>375</v>
      </c>
      <c r="AU5895">
        <v>5894</v>
      </c>
    </row>
    <row r="5896" spans="1:47" x14ac:dyDescent="0.2">
      <c r="A5896" s="26">
        <v>6812</v>
      </c>
      <c r="B5896" s="27"/>
      <c r="C5896" s="28"/>
      <c r="D5896" s="29"/>
      <c r="E5896" s="30" t="s">
        <v>4469</v>
      </c>
      <c r="H5896" s="32">
        <v>0</v>
      </c>
      <c r="I5896" s="32" t="s">
        <v>6783</v>
      </c>
      <c r="AG5896" s="32">
        <v>0</v>
      </c>
      <c r="AH5896" s="32">
        <v>0</v>
      </c>
      <c r="AI5896" s="32">
        <v>0</v>
      </c>
      <c r="AK5896" s="32">
        <v>0</v>
      </c>
      <c r="AL5896" s="32">
        <f>63/60</f>
        <v>1.05</v>
      </c>
      <c r="AO5896" s="32" t="s">
        <v>5210</v>
      </c>
      <c r="AP5896" s="32">
        <f>63/60</f>
        <v>1.05</v>
      </c>
      <c r="AQ5896" s="32" t="s">
        <v>5211</v>
      </c>
      <c r="AU5896">
        <v>5895</v>
      </c>
    </row>
    <row r="5897" spans="1:47" x14ac:dyDescent="0.2">
      <c r="A5897" s="13">
        <v>6813</v>
      </c>
      <c r="B5897" s="57" t="s">
        <v>45</v>
      </c>
      <c r="C5897" s="57" t="s">
        <v>142</v>
      </c>
      <c r="D5897" s="29"/>
      <c r="E5897" s="57" t="s">
        <v>6784</v>
      </c>
      <c r="F5897" s="31" t="s">
        <v>6463</v>
      </c>
      <c r="G5897" s="31" t="s">
        <v>49</v>
      </c>
      <c r="I5897" s="47" t="b">
        <v>1</v>
      </c>
      <c r="J5897" s="47" t="b">
        <v>1</v>
      </c>
      <c r="K5897" s="31">
        <f>2585*2.2</f>
        <v>5687.0000000000009</v>
      </c>
      <c r="L5897" s="33">
        <v>9</v>
      </c>
      <c r="S5897" s="33">
        <v>9</v>
      </c>
      <c r="T5897" s="31">
        <v>0</v>
      </c>
      <c r="U5897" s="31">
        <v>0</v>
      </c>
      <c r="V5897" s="31">
        <v>3</v>
      </c>
      <c r="Y5897" s="31" t="s">
        <v>51</v>
      </c>
      <c r="Z5897" s="31" t="s">
        <v>5406</v>
      </c>
      <c r="AE5897" s="31" t="s">
        <v>2470</v>
      </c>
      <c r="AK5897" s="32">
        <f>37+17+1+3+7+5</f>
        <v>70</v>
      </c>
      <c r="AQ5897" t="s">
        <v>6771</v>
      </c>
      <c r="AR5897" s="32" t="s">
        <v>6785</v>
      </c>
      <c r="AU5897">
        <v>5896</v>
      </c>
    </row>
    <row r="5898" spans="1:47" x14ac:dyDescent="0.2">
      <c r="A5898" s="13">
        <v>6813</v>
      </c>
      <c r="B5898" s="57" t="s">
        <v>45</v>
      </c>
      <c r="C5898" s="57" t="s">
        <v>142</v>
      </c>
      <c r="D5898" s="29"/>
      <c r="E5898" s="57" t="s">
        <v>5772</v>
      </c>
      <c r="F5898" s="31" t="s">
        <v>76</v>
      </c>
      <c r="G5898" s="31" t="s">
        <v>49</v>
      </c>
      <c r="I5898" s="47" t="b">
        <v>0</v>
      </c>
      <c r="J5898" s="47" t="b">
        <v>0</v>
      </c>
      <c r="K5898" s="31">
        <v>1628</v>
      </c>
      <c r="S5898" s="33">
        <v>2</v>
      </c>
      <c r="AE5898" s="31" t="s">
        <v>2470</v>
      </c>
      <c r="AF5898" s="31">
        <v>55</v>
      </c>
      <c r="AK5898" s="32">
        <v>18</v>
      </c>
      <c r="AQ5898" s="32" t="s">
        <v>6522</v>
      </c>
      <c r="AU5898">
        <v>5897</v>
      </c>
    </row>
    <row r="5899" spans="1:47" x14ac:dyDescent="0.2">
      <c r="A5899" s="13">
        <v>6813</v>
      </c>
      <c r="B5899" s="57" t="s">
        <v>45</v>
      </c>
      <c r="C5899" s="57" t="s">
        <v>142</v>
      </c>
      <c r="D5899" s="29"/>
      <c r="E5899" s="57" t="s">
        <v>1078</v>
      </c>
      <c r="F5899" s="31" t="s">
        <v>76</v>
      </c>
      <c r="G5899" s="31" t="s">
        <v>49</v>
      </c>
      <c r="I5899" s="47" t="b">
        <v>0</v>
      </c>
      <c r="J5899" s="47" t="b">
        <v>0</v>
      </c>
      <c r="K5899" s="31">
        <v>1716</v>
      </c>
      <c r="S5899" s="33">
        <v>3</v>
      </c>
      <c r="AE5899" s="31" t="s">
        <v>2470</v>
      </c>
      <c r="AF5899" s="31">
        <v>60</v>
      </c>
      <c r="AK5899" s="32">
        <v>25</v>
      </c>
      <c r="AQ5899" s="32" t="s">
        <v>6522</v>
      </c>
      <c r="AU5899">
        <v>5898</v>
      </c>
    </row>
    <row r="5900" spans="1:47" x14ac:dyDescent="0.2">
      <c r="A5900" s="13">
        <v>6813</v>
      </c>
      <c r="B5900" s="57" t="s">
        <v>45</v>
      </c>
      <c r="C5900" s="57" t="s">
        <v>142</v>
      </c>
      <c r="D5900" s="29"/>
      <c r="E5900" s="57" t="s">
        <v>6756</v>
      </c>
      <c r="F5900" s="31" t="s">
        <v>6354</v>
      </c>
      <c r="G5900" s="31" t="s">
        <v>69</v>
      </c>
      <c r="I5900" s="47" t="b">
        <v>0</v>
      </c>
      <c r="J5900" s="47" t="b">
        <v>0</v>
      </c>
      <c r="K5900" s="31">
        <v>858</v>
      </c>
      <c r="S5900" s="33">
        <v>2</v>
      </c>
      <c r="AE5900" s="31" t="s">
        <v>2470</v>
      </c>
      <c r="AF5900" s="31">
        <v>40</v>
      </c>
      <c r="AK5900" s="32">
        <v>9</v>
      </c>
      <c r="AQ5900" s="32" t="s">
        <v>6522</v>
      </c>
      <c r="AU5900">
        <v>5899</v>
      </c>
    </row>
    <row r="5901" spans="1:47" x14ac:dyDescent="0.2">
      <c r="A5901" s="13">
        <v>6813</v>
      </c>
      <c r="B5901" s="57" t="s">
        <v>45</v>
      </c>
      <c r="C5901" s="57" t="s">
        <v>142</v>
      </c>
      <c r="D5901" s="29"/>
      <c r="E5901" s="57" t="s">
        <v>1064</v>
      </c>
      <c r="F5901" s="31" t="s">
        <v>6354</v>
      </c>
      <c r="G5901" s="31" t="s">
        <v>69</v>
      </c>
      <c r="I5901" s="47" t="b">
        <v>0</v>
      </c>
      <c r="J5901" s="47" t="b">
        <v>0</v>
      </c>
      <c r="K5901" s="31">
        <v>924</v>
      </c>
      <c r="S5901" s="33">
        <v>1</v>
      </c>
      <c r="AE5901" s="31" t="s">
        <v>2470</v>
      </c>
      <c r="AF5901" s="31">
        <v>50</v>
      </c>
      <c r="AK5901" s="32">
        <v>10</v>
      </c>
      <c r="AQ5901" s="32" t="s">
        <v>6522</v>
      </c>
      <c r="AU5901">
        <v>5900</v>
      </c>
    </row>
    <row r="5902" spans="1:47" x14ac:dyDescent="0.2">
      <c r="A5902" s="13">
        <v>6813</v>
      </c>
      <c r="B5902" s="57" t="s">
        <v>45</v>
      </c>
      <c r="C5902" s="57" t="s">
        <v>142</v>
      </c>
      <c r="D5902" s="29"/>
      <c r="E5902" s="57" t="s">
        <v>5882</v>
      </c>
      <c r="F5902" s="31" t="s">
        <v>76</v>
      </c>
      <c r="G5902" s="31" t="s">
        <v>49</v>
      </c>
      <c r="I5902" s="47" t="b">
        <v>0</v>
      </c>
      <c r="J5902" s="47" t="b">
        <v>0</v>
      </c>
      <c r="K5902" s="31">
        <v>561</v>
      </c>
      <c r="S5902" s="33">
        <v>1</v>
      </c>
      <c r="AE5902" s="31" t="s">
        <v>2470</v>
      </c>
      <c r="AF5902" s="31">
        <v>75</v>
      </c>
      <c r="AK5902" s="32">
        <v>8</v>
      </c>
      <c r="AQ5902" s="32" t="s">
        <v>6522</v>
      </c>
      <c r="AU5902">
        <v>5901</v>
      </c>
    </row>
    <row r="5903" spans="1:47" x14ac:dyDescent="0.2">
      <c r="A5903" s="13">
        <v>6813</v>
      </c>
      <c r="B5903" s="57" t="s">
        <v>45</v>
      </c>
      <c r="C5903" s="57" t="s">
        <v>4843</v>
      </c>
      <c r="D5903" s="29"/>
      <c r="E5903" s="57" t="s">
        <v>5772</v>
      </c>
      <c r="F5903" s="31" t="s">
        <v>76</v>
      </c>
      <c r="G5903" s="31" t="s">
        <v>49</v>
      </c>
      <c r="K5903" s="31">
        <v>3278</v>
      </c>
      <c r="S5903" s="33">
        <v>6</v>
      </c>
      <c r="Z5903" s="31" t="s">
        <v>3814</v>
      </c>
      <c r="AE5903" s="31" t="s">
        <v>4411</v>
      </c>
      <c r="AF5903" s="31">
        <v>70</v>
      </c>
      <c r="AK5903" s="32">
        <v>34</v>
      </c>
      <c r="AQ5903" s="32" t="s">
        <v>6522</v>
      </c>
      <c r="AU5903">
        <v>5902</v>
      </c>
    </row>
    <row r="5904" spans="1:47" x14ac:dyDescent="0.2">
      <c r="A5904" s="13">
        <v>6813</v>
      </c>
      <c r="B5904" s="57" t="s">
        <v>45</v>
      </c>
      <c r="C5904" s="57" t="s">
        <v>4843</v>
      </c>
      <c r="D5904" s="29"/>
      <c r="E5904" s="57" t="s">
        <v>6786</v>
      </c>
      <c r="F5904" s="31" t="s">
        <v>76</v>
      </c>
      <c r="G5904" s="31" t="s">
        <v>49</v>
      </c>
      <c r="K5904" s="31">
        <v>4598</v>
      </c>
      <c r="S5904" s="33">
        <v>8</v>
      </c>
      <c r="Z5904" s="31" t="s">
        <v>3814</v>
      </c>
      <c r="AE5904" s="31" t="s">
        <v>4411</v>
      </c>
      <c r="AF5904" s="31">
        <v>55</v>
      </c>
      <c r="AK5904" s="32">
        <v>45</v>
      </c>
      <c r="AQ5904" s="32" t="s">
        <v>6522</v>
      </c>
      <c r="AU5904">
        <v>5903</v>
      </c>
    </row>
    <row r="5905" spans="1:47" x14ac:dyDescent="0.2">
      <c r="A5905" s="13">
        <v>6813</v>
      </c>
      <c r="B5905" s="57" t="s">
        <v>45</v>
      </c>
      <c r="C5905" s="57" t="s">
        <v>4843</v>
      </c>
      <c r="D5905" s="29"/>
      <c r="E5905" s="57" t="s">
        <v>5882</v>
      </c>
      <c r="F5905" s="31" t="s">
        <v>76</v>
      </c>
      <c r="G5905" s="31" t="s">
        <v>49</v>
      </c>
      <c r="K5905" s="31">
        <v>1232</v>
      </c>
      <c r="S5905" s="33">
        <v>2</v>
      </c>
      <c r="Z5905" s="31" t="s">
        <v>3814</v>
      </c>
      <c r="AE5905" s="31" t="s">
        <v>4411</v>
      </c>
      <c r="AF5905" s="31">
        <v>65</v>
      </c>
      <c r="AK5905" s="32">
        <v>14</v>
      </c>
      <c r="AQ5905" s="32" t="s">
        <v>6522</v>
      </c>
      <c r="AU5905">
        <v>5904</v>
      </c>
    </row>
    <row r="5906" spans="1:47" x14ac:dyDescent="0.2">
      <c r="A5906" s="13">
        <v>6813</v>
      </c>
      <c r="B5906" s="57" t="s">
        <v>45</v>
      </c>
      <c r="C5906" s="57" t="s">
        <v>4843</v>
      </c>
      <c r="D5906" s="29"/>
      <c r="E5906" s="57" t="s">
        <v>6527</v>
      </c>
      <c r="F5906" s="31" t="s">
        <v>76</v>
      </c>
      <c r="G5906" s="31" t="s">
        <v>49</v>
      </c>
      <c r="K5906" s="31">
        <v>616</v>
      </c>
      <c r="S5906" s="33">
        <v>1</v>
      </c>
      <c r="Z5906" s="31" t="s">
        <v>3814</v>
      </c>
      <c r="AE5906" s="31" t="s">
        <v>4411</v>
      </c>
      <c r="AF5906" s="31">
        <v>100</v>
      </c>
      <c r="AK5906" s="32">
        <v>7</v>
      </c>
      <c r="AQ5906" s="32" t="s">
        <v>6522</v>
      </c>
      <c r="AU5906">
        <v>5905</v>
      </c>
    </row>
    <row r="5907" spans="1:47" x14ac:dyDescent="0.2">
      <c r="A5907" s="13">
        <v>6813</v>
      </c>
      <c r="B5907" s="57" t="s">
        <v>45</v>
      </c>
      <c r="C5907" s="57" t="s">
        <v>4843</v>
      </c>
      <c r="D5907" s="29"/>
      <c r="E5907" s="57" t="s">
        <v>1064</v>
      </c>
      <c r="F5907" s="31" t="s">
        <v>6354</v>
      </c>
      <c r="G5907" s="31" t="s">
        <v>69</v>
      </c>
      <c r="K5907" s="31">
        <v>528</v>
      </c>
      <c r="S5907" s="33">
        <v>1</v>
      </c>
      <c r="Z5907" s="31" t="s">
        <v>3814</v>
      </c>
      <c r="AE5907" s="31" t="s">
        <v>4411</v>
      </c>
      <c r="AF5907" s="31">
        <v>55</v>
      </c>
      <c r="AK5907" s="32">
        <v>6</v>
      </c>
      <c r="AQ5907" s="32" t="s">
        <v>6522</v>
      </c>
      <c r="AU5907">
        <v>5906</v>
      </c>
    </row>
    <row r="5908" spans="1:47" x14ac:dyDescent="0.2">
      <c r="A5908" s="13">
        <v>6813</v>
      </c>
      <c r="B5908" s="57" t="s">
        <v>45</v>
      </c>
      <c r="C5908" s="57" t="s">
        <v>6550</v>
      </c>
      <c r="D5908" s="29"/>
      <c r="E5908" s="57" t="s">
        <v>6709</v>
      </c>
      <c r="F5908" s="31" t="s">
        <v>76</v>
      </c>
      <c r="G5908" s="31" t="s">
        <v>49</v>
      </c>
      <c r="I5908" s="31" t="s">
        <v>6710</v>
      </c>
      <c r="K5908" s="63"/>
      <c r="AQ5908" s="32" t="s">
        <v>6552</v>
      </c>
      <c r="AU5908">
        <v>5907</v>
      </c>
    </row>
    <row r="5909" spans="1:47" x14ac:dyDescent="0.2">
      <c r="A5909" s="13">
        <v>6813</v>
      </c>
      <c r="B5909" s="57" t="s">
        <v>45</v>
      </c>
      <c r="C5909" s="57" t="s">
        <v>6550</v>
      </c>
      <c r="D5909" s="29"/>
      <c r="E5909" s="57" t="s">
        <v>6655</v>
      </c>
      <c r="I5909" s="31" t="s">
        <v>6656</v>
      </c>
      <c r="K5909" s="63"/>
      <c r="AQ5909" s="32" t="s">
        <v>6552</v>
      </c>
      <c r="AU5909">
        <v>5908</v>
      </c>
    </row>
    <row r="5910" spans="1:47" x14ac:dyDescent="0.2">
      <c r="A5910" s="26">
        <v>6813</v>
      </c>
      <c r="B5910" s="27">
        <v>1.3194444444444444E-2</v>
      </c>
      <c r="C5910" s="28"/>
      <c r="D5910" s="29"/>
      <c r="E5910" s="30" t="s">
        <v>869</v>
      </c>
      <c r="H5910" s="32">
        <v>0</v>
      </c>
      <c r="I5910" s="32" t="s">
        <v>2344</v>
      </c>
      <c r="AG5910" s="32">
        <v>0</v>
      </c>
      <c r="AH5910" s="32">
        <v>0</v>
      </c>
      <c r="AI5910" s="32">
        <v>0</v>
      </c>
      <c r="AK5910" s="32">
        <v>0</v>
      </c>
      <c r="AL5910" s="32">
        <v>0.33300000000000002</v>
      </c>
      <c r="AP5910" s="32">
        <v>0.33300000000000002</v>
      </c>
      <c r="AQ5910" s="32" t="s">
        <v>589</v>
      </c>
      <c r="AU5910">
        <v>5909</v>
      </c>
    </row>
    <row r="5911" spans="1:47" x14ac:dyDescent="0.2">
      <c r="A5911" s="26">
        <v>6813</v>
      </c>
      <c r="B5911" s="27">
        <v>0.42152777777777778</v>
      </c>
      <c r="C5911" s="28"/>
      <c r="D5911" s="29"/>
      <c r="E5911" s="102" t="s">
        <v>1102</v>
      </c>
      <c r="H5911" s="32">
        <v>0</v>
      </c>
      <c r="I5911" s="32" t="s">
        <v>1103</v>
      </c>
      <c r="AG5911" s="32">
        <v>0</v>
      </c>
      <c r="AH5911" s="32">
        <v>0</v>
      </c>
      <c r="AI5911" s="32">
        <v>0</v>
      </c>
      <c r="AK5911" s="32">
        <v>0</v>
      </c>
      <c r="AL5911" s="32">
        <f>3/60</f>
        <v>0.05</v>
      </c>
      <c r="AO5911" s="73" t="s">
        <v>1006</v>
      </c>
      <c r="AP5911" s="32">
        <f>3/60</f>
        <v>0.05</v>
      </c>
      <c r="AQ5911" s="32" t="s">
        <v>589</v>
      </c>
      <c r="AU5911">
        <v>5910</v>
      </c>
    </row>
    <row r="5912" spans="1:47" x14ac:dyDescent="0.2">
      <c r="A5912" s="26">
        <v>6813</v>
      </c>
      <c r="B5912" s="27">
        <v>0.95138888888888884</v>
      </c>
      <c r="C5912" s="28"/>
      <c r="D5912" s="29"/>
      <c r="E5912" s="30" t="s">
        <v>631</v>
      </c>
      <c r="H5912" s="32">
        <v>1</v>
      </c>
      <c r="I5912" s="32" t="s">
        <v>6787</v>
      </c>
      <c r="AG5912" s="32">
        <v>0</v>
      </c>
      <c r="AH5912" s="32">
        <v>0</v>
      </c>
      <c r="AK5912" s="32">
        <v>18</v>
      </c>
      <c r="AL5912" s="32">
        <v>1</v>
      </c>
      <c r="AO5912" s="32" t="s">
        <v>633</v>
      </c>
      <c r="AP5912" s="32">
        <v>1</v>
      </c>
      <c r="AQ5912" s="32">
        <v>464</v>
      </c>
      <c r="AU5912">
        <v>5911</v>
      </c>
    </row>
    <row r="5913" spans="1:47" x14ac:dyDescent="0.2">
      <c r="A5913" s="133">
        <v>6814</v>
      </c>
      <c r="B5913" s="39" t="s">
        <v>85</v>
      </c>
      <c r="C5913" s="39">
        <v>55</v>
      </c>
      <c r="D5913" s="29" t="b">
        <v>0</v>
      </c>
      <c r="E5913" s="39" t="s">
        <v>788</v>
      </c>
      <c r="F5913" s="47" t="s">
        <v>5877</v>
      </c>
      <c r="G5913" s="47" t="s">
        <v>49</v>
      </c>
      <c r="H5913"/>
      <c r="I5913" s="47" t="b">
        <v>0</v>
      </c>
      <c r="J5913" s="47" t="b">
        <v>1</v>
      </c>
      <c r="K5913" s="47">
        <v>2240</v>
      </c>
      <c r="L5913" s="48">
        <v>12</v>
      </c>
      <c r="M5913" s="47">
        <v>0</v>
      </c>
      <c r="N5913" s="47">
        <v>2</v>
      </c>
      <c r="O5913" s="47">
        <v>0</v>
      </c>
      <c r="P5913" s="47">
        <v>10</v>
      </c>
      <c r="Q5913" s="47">
        <v>0</v>
      </c>
      <c r="R5913" s="47">
        <v>0</v>
      </c>
      <c r="S5913" s="48">
        <v>10</v>
      </c>
      <c r="T5913" s="47">
        <v>0</v>
      </c>
      <c r="U5913" s="47">
        <v>0</v>
      </c>
      <c r="V5913" s="47">
        <v>0</v>
      </c>
      <c r="W5913" s="47">
        <v>11000</v>
      </c>
      <c r="X5913" s="47">
        <v>922</v>
      </c>
      <c r="Y5913" s="47" t="s">
        <v>51</v>
      </c>
      <c r="Z5913" s="47" t="s">
        <v>3618</v>
      </c>
      <c r="AA5913" s="49">
        <v>0.69444444444444453</v>
      </c>
      <c r="AB5913" s="49">
        <v>0.79166666666666663</v>
      </c>
      <c r="AC5913" s="49">
        <v>0.75694444444444453</v>
      </c>
      <c r="AD5913" s="50">
        <f>(AB5913-AA5913)*24</f>
        <v>2.3333333333333304</v>
      </c>
      <c r="AE5913" s="47" t="s">
        <v>5433</v>
      </c>
      <c r="AF5913" s="47">
        <v>70</v>
      </c>
      <c r="AG5913"/>
      <c r="AH5913"/>
      <c r="AI5913"/>
      <c r="AJ5913"/>
      <c r="AK5913">
        <v>20</v>
      </c>
      <c r="AL5913"/>
      <c r="AM5913"/>
      <c r="AN5913"/>
      <c r="AO5913"/>
      <c r="AP5913"/>
      <c r="AQ5913" t="s">
        <v>5434</v>
      </c>
      <c r="AU5913">
        <v>5912</v>
      </c>
    </row>
    <row r="5914" spans="1:47" x14ac:dyDescent="0.2">
      <c r="A5914" s="133">
        <v>6814</v>
      </c>
      <c r="B5914" s="39" t="s">
        <v>85</v>
      </c>
      <c r="C5914" s="39">
        <v>99</v>
      </c>
      <c r="D5914" s="29" t="b">
        <v>0</v>
      </c>
      <c r="E5914" s="39" t="s">
        <v>3575</v>
      </c>
      <c r="F5914" s="47" t="s">
        <v>529</v>
      </c>
      <c r="G5914" s="47" t="s">
        <v>205</v>
      </c>
      <c r="H5914"/>
      <c r="I5914" s="47" t="b">
        <v>0</v>
      </c>
      <c r="J5914" s="47" t="b">
        <v>1</v>
      </c>
      <c r="K5914" s="47">
        <v>914</v>
      </c>
      <c r="L5914" s="48">
        <v>11</v>
      </c>
      <c r="M5914" s="47">
        <v>0</v>
      </c>
      <c r="N5914" s="47">
        <v>5</v>
      </c>
      <c r="O5914" s="47">
        <v>0</v>
      </c>
      <c r="P5914" s="47">
        <v>0</v>
      </c>
      <c r="Q5914" s="47">
        <v>0</v>
      </c>
      <c r="R5914" s="47">
        <v>0</v>
      </c>
      <c r="S5914" s="48">
        <v>6</v>
      </c>
      <c r="T5914" s="47">
        <v>0</v>
      </c>
      <c r="U5914" s="47">
        <v>0</v>
      </c>
      <c r="V5914" s="47">
        <v>0</v>
      </c>
      <c r="W5914" s="47">
        <v>13000</v>
      </c>
      <c r="X5914" s="47">
        <v>923</v>
      </c>
      <c r="Y5914" s="47" t="s">
        <v>120</v>
      </c>
      <c r="Z5914" s="47" t="s">
        <v>5139</v>
      </c>
      <c r="AA5914" s="49">
        <v>0.66666666666666663</v>
      </c>
      <c r="AB5914" s="49">
        <v>0.75694444444444453</v>
      </c>
      <c r="AC5914" s="49">
        <f>AVERAGE(AA5914:AB5914)</f>
        <v>0.71180555555555558</v>
      </c>
      <c r="AD5914" s="50">
        <f>(AB5914-AA5914)*24</f>
        <v>2.1666666666666696</v>
      </c>
      <c r="AE5914" s="47" t="s">
        <v>5433</v>
      </c>
      <c r="AF5914" s="47">
        <v>140</v>
      </c>
      <c r="AG5914"/>
      <c r="AH5914"/>
      <c r="AI5914"/>
      <c r="AJ5914"/>
      <c r="AK5914">
        <v>5</v>
      </c>
      <c r="AL5914"/>
      <c r="AM5914"/>
      <c r="AN5914"/>
      <c r="AO5914"/>
      <c r="AP5914"/>
      <c r="AQ5914" t="s">
        <v>2526</v>
      </c>
      <c r="AU5914">
        <v>5913</v>
      </c>
    </row>
    <row r="5915" spans="1:47" ht="12.75" customHeight="1" x14ac:dyDescent="0.2">
      <c r="A5915" s="13">
        <v>6815</v>
      </c>
      <c r="B5915" s="57" t="s">
        <v>45</v>
      </c>
      <c r="C5915" s="57" t="s">
        <v>6550</v>
      </c>
      <c r="D5915" s="29"/>
      <c r="E5915" s="57" t="s">
        <v>819</v>
      </c>
      <c r="F5915" s="31" t="s">
        <v>76</v>
      </c>
      <c r="G5915" s="31" t="s">
        <v>49</v>
      </c>
      <c r="I5915" s="31" t="s">
        <v>6657</v>
      </c>
      <c r="K5915" s="63"/>
      <c r="AQ5915" s="32" t="s">
        <v>6552</v>
      </c>
      <c r="AU5915">
        <v>5914</v>
      </c>
    </row>
    <row r="5916" spans="1:47" x14ac:dyDescent="0.2">
      <c r="A5916" s="37">
        <v>6816</v>
      </c>
      <c r="B5916" s="38" t="s">
        <v>85</v>
      </c>
      <c r="C5916" s="39" t="s">
        <v>5626</v>
      </c>
      <c r="D5916" s="45"/>
      <c r="E5916" s="198" t="s">
        <v>6788</v>
      </c>
      <c r="F5916" s="19" t="s">
        <v>170</v>
      </c>
      <c r="G5916" s="19" t="s">
        <v>69</v>
      </c>
      <c r="I5916" s="31" t="s">
        <v>6789</v>
      </c>
      <c r="K5916" s="19">
        <f>21340*2.2</f>
        <v>46948.000000000007</v>
      </c>
      <c r="S5916" s="33">
        <v>86</v>
      </c>
      <c r="T5916" s="31">
        <v>1</v>
      </c>
      <c r="W5916" s="47">
        <f>((1200+1200+1500)/3)*39.37/12</f>
        <v>4265.083333333333</v>
      </c>
      <c r="Y5916" s="31" t="s">
        <v>120</v>
      </c>
      <c r="Z5916" s="31" t="s">
        <v>3724</v>
      </c>
      <c r="AC5916" s="34">
        <v>0.375</v>
      </c>
      <c r="AD5916" s="31"/>
      <c r="AE5916" s="31" t="s">
        <v>6385</v>
      </c>
      <c r="AF5916" s="31">
        <v>100</v>
      </c>
      <c r="AQ5916" s="18" t="s">
        <v>6790</v>
      </c>
      <c r="AU5916">
        <v>5915</v>
      </c>
    </row>
    <row r="5917" spans="1:47" x14ac:dyDescent="0.2">
      <c r="A5917" s="37">
        <v>6816</v>
      </c>
      <c r="B5917" s="38" t="s">
        <v>85</v>
      </c>
      <c r="C5917" s="39" t="s">
        <v>5626</v>
      </c>
      <c r="D5917" s="45"/>
      <c r="E5917" s="199" t="s">
        <v>6709</v>
      </c>
      <c r="F5917" s="19" t="s">
        <v>6791</v>
      </c>
      <c r="G5917" s="19" t="s">
        <v>69</v>
      </c>
      <c r="I5917" s="31" t="s">
        <v>6792</v>
      </c>
      <c r="K5917" s="19">
        <f>15700*2.2</f>
        <v>34540</v>
      </c>
      <c r="S5917" s="33">
        <v>62</v>
      </c>
      <c r="T5917" s="31">
        <v>0</v>
      </c>
      <c r="W5917" s="47">
        <f>2000*39.37/12</f>
        <v>6561.666666666667</v>
      </c>
      <c r="Y5917" s="31" t="s">
        <v>120</v>
      </c>
      <c r="Z5917" s="31" t="s">
        <v>3724</v>
      </c>
      <c r="AC5917" s="34">
        <v>0.75</v>
      </c>
      <c r="AD5917" s="31"/>
      <c r="AE5917" s="31" t="s">
        <v>6385</v>
      </c>
      <c r="AF5917" s="31">
        <v>100</v>
      </c>
      <c r="AQ5917" s="18" t="s">
        <v>6790</v>
      </c>
      <c r="AU5917">
        <v>5916</v>
      </c>
    </row>
    <row r="5918" spans="1:47" x14ac:dyDescent="0.2">
      <c r="A5918" s="133">
        <v>6817</v>
      </c>
      <c r="B5918" s="39" t="s">
        <v>85</v>
      </c>
      <c r="C5918" s="39">
        <v>55</v>
      </c>
      <c r="D5918" s="29" t="b">
        <v>0</v>
      </c>
      <c r="E5918" s="39" t="s">
        <v>6793</v>
      </c>
      <c r="F5918" s="47" t="s">
        <v>2398</v>
      </c>
      <c r="G5918" s="47" t="s">
        <v>49</v>
      </c>
      <c r="H5918"/>
      <c r="I5918" s="47" t="b">
        <v>1</v>
      </c>
      <c r="J5918" s="47" t="b">
        <v>1</v>
      </c>
      <c r="K5918" s="47">
        <v>2464</v>
      </c>
      <c r="L5918" s="48">
        <v>12</v>
      </c>
      <c r="M5918" s="47">
        <v>0</v>
      </c>
      <c r="N5918" s="47">
        <v>0</v>
      </c>
      <c r="O5918" s="47">
        <v>1</v>
      </c>
      <c r="P5918" s="47">
        <v>11</v>
      </c>
      <c r="Q5918" s="47">
        <v>0</v>
      </c>
      <c r="R5918" s="47">
        <v>0</v>
      </c>
      <c r="S5918" s="48">
        <v>11</v>
      </c>
      <c r="T5918" s="47">
        <v>4</v>
      </c>
      <c r="U5918" s="47">
        <v>0</v>
      </c>
      <c r="V5918" s="47">
        <v>3</v>
      </c>
      <c r="W5918" s="47">
        <v>14500</v>
      </c>
      <c r="X5918" s="47">
        <v>924</v>
      </c>
      <c r="Y5918" s="47" t="s">
        <v>120</v>
      </c>
      <c r="Z5918" s="47" t="s">
        <v>3618</v>
      </c>
      <c r="AA5918" s="49">
        <v>0.3576388888888889</v>
      </c>
      <c r="AB5918" s="49">
        <v>0.50347222222222221</v>
      </c>
      <c r="AC5918" s="49">
        <f>AVERAGE(AA5918:AB5918)</f>
        <v>0.43055555555555558</v>
      </c>
      <c r="AD5918" s="50">
        <f>(AB5918-AA5918)*24</f>
        <v>3.4999999999999996</v>
      </c>
      <c r="AE5918" s="47" t="s">
        <v>5433</v>
      </c>
      <c r="AF5918" s="47">
        <v>85</v>
      </c>
      <c r="AG5918"/>
      <c r="AH5918"/>
      <c r="AI5918"/>
      <c r="AJ5918"/>
      <c r="AK5918">
        <v>22</v>
      </c>
      <c r="AL5918"/>
      <c r="AM5918"/>
      <c r="AN5918"/>
      <c r="AO5918"/>
      <c r="AP5918"/>
      <c r="AQ5918" t="s">
        <v>5434</v>
      </c>
      <c r="AU5918">
        <v>5917</v>
      </c>
    </row>
    <row r="5919" spans="1:47" x14ac:dyDescent="0.2">
      <c r="A5919" s="133">
        <v>6817</v>
      </c>
      <c r="B5919" s="39" t="s">
        <v>85</v>
      </c>
      <c r="C5919" s="39">
        <v>55</v>
      </c>
      <c r="D5919" s="29" t="b">
        <v>0</v>
      </c>
      <c r="E5919" s="39" t="s">
        <v>788</v>
      </c>
      <c r="F5919" s="47" t="s">
        <v>2398</v>
      </c>
      <c r="G5919" s="47" t="s">
        <v>49</v>
      </c>
      <c r="H5919"/>
      <c r="I5919" s="47" t="b">
        <v>0</v>
      </c>
      <c r="J5919" s="47" t="b">
        <v>0</v>
      </c>
      <c r="K5919" s="47">
        <v>1344</v>
      </c>
      <c r="L5919" s="48">
        <v>12</v>
      </c>
      <c r="M5919" s="47">
        <v>0</v>
      </c>
      <c r="N5919" s="47">
        <v>0</v>
      </c>
      <c r="O5919" s="47">
        <v>1</v>
      </c>
      <c r="P5919" s="47">
        <v>11</v>
      </c>
      <c r="Q5919" s="47">
        <v>0</v>
      </c>
      <c r="R5919" s="47">
        <v>0</v>
      </c>
      <c r="S5919" s="48">
        <v>6</v>
      </c>
      <c r="T5919" s="47">
        <v>4</v>
      </c>
      <c r="U5919" s="47">
        <v>0</v>
      </c>
      <c r="V5919" s="47">
        <v>3</v>
      </c>
      <c r="W5919" s="47">
        <v>14500</v>
      </c>
      <c r="X5919" s="47">
        <v>925</v>
      </c>
      <c r="Y5919" s="47" t="s">
        <v>120</v>
      </c>
      <c r="Z5919" s="47" t="s">
        <v>3618</v>
      </c>
      <c r="AA5919" s="49">
        <v>0.3576388888888889</v>
      </c>
      <c r="AB5919" s="49">
        <v>0.50347222222222221</v>
      </c>
      <c r="AC5919" s="49">
        <f>AVERAGE(AA5919:AB5919)</f>
        <v>0.43055555555555558</v>
      </c>
      <c r="AD5919" s="50">
        <f>(AB5919-AA5919)*24</f>
        <v>3.4999999999999996</v>
      </c>
      <c r="AE5919" s="47" t="s">
        <v>5433</v>
      </c>
      <c r="AF5919" s="47">
        <v>70</v>
      </c>
      <c r="AG5919"/>
      <c r="AH5919"/>
      <c r="AI5919"/>
      <c r="AJ5919"/>
      <c r="AK5919">
        <v>12</v>
      </c>
      <c r="AL5919"/>
      <c r="AM5919"/>
      <c r="AN5919"/>
      <c r="AO5919"/>
      <c r="AP5919"/>
      <c r="AQ5919" t="s">
        <v>5434</v>
      </c>
      <c r="AU5919">
        <v>5918</v>
      </c>
    </row>
    <row r="5920" spans="1:47" x14ac:dyDescent="0.2">
      <c r="A5920" s="133">
        <v>6817</v>
      </c>
      <c r="B5920" s="39" t="s">
        <v>85</v>
      </c>
      <c r="C5920" s="39">
        <v>55</v>
      </c>
      <c r="D5920" s="29" t="b">
        <v>0</v>
      </c>
      <c r="E5920" s="39" t="s">
        <v>1764</v>
      </c>
      <c r="F5920" s="47" t="s">
        <v>2398</v>
      </c>
      <c r="G5920" s="47" t="s">
        <v>49</v>
      </c>
      <c r="H5920"/>
      <c r="I5920" s="47" t="b">
        <v>0</v>
      </c>
      <c r="J5920" s="47" t="b">
        <v>0</v>
      </c>
      <c r="K5920" s="47">
        <v>1120</v>
      </c>
      <c r="L5920" s="48">
        <v>12</v>
      </c>
      <c r="M5920" s="47">
        <v>0</v>
      </c>
      <c r="N5920" s="47">
        <v>0</v>
      </c>
      <c r="O5920" s="47">
        <v>1</v>
      </c>
      <c r="P5920" s="47">
        <v>11</v>
      </c>
      <c r="Q5920" s="47">
        <v>0</v>
      </c>
      <c r="R5920" s="47">
        <v>0</v>
      </c>
      <c r="S5920" s="48">
        <v>5</v>
      </c>
      <c r="T5920" s="47">
        <v>4</v>
      </c>
      <c r="U5920" s="47">
        <v>0</v>
      </c>
      <c r="V5920" s="47">
        <v>3</v>
      </c>
      <c r="W5920" s="47">
        <v>14500</v>
      </c>
      <c r="X5920" s="47">
        <v>926</v>
      </c>
      <c r="Y5920" s="47" t="s">
        <v>120</v>
      </c>
      <c r="Z5920" s="47" t="s">
        <v>3618</v>
      </c>
      <c r="AA5920" s="49">
        <v>0.3576388888888889</v>
      </c>
      <c r="AB5920" s="49">
        <v>0.46180555555555558</v>
      </c>
      <c r="AC5920" s="49">
        <f>AVERAGE(AA5920:AB5920)</f>
        <v>0.40972222222222221</v>
      </c>
      <c r="AD5920" s="50">
        <f>(AB5920-AA5920)*24</f>
        <v>2.5000000000000004</v>
      </c>
      <c r="AE5920" s="47" t="s">
        <v>5433</v>
      </c>
      <c r="AF5920" s="47">
        <v>85</v>
      </c>
      <c r="AG5920"/>
      <c r="AH5920"/>
      <c r="AI5920"/>
      <c r="AJ5920"/>
      <c r="AK5920">
        <v>10</v>
      </c>
      <c r="AL5920"/>
      <c r="AM5920"/>
      <c r="AN5920"/>
      <c r="AO5920"/>
      <c r="AP5920"/>
      <c r="AQ5920" t="s">
        <v>5434</v>
      </c>
      <c r="AU5920">
        <v>5919</v>
      </c>
    </row>
    <row r="5921" spans="1:47" x14ac:dyDescent="0.2">
      <c r="A5921" s="133">
        <v>6817</v>
      </c>
      <c r="B5921" s="39" t="s">
        <v>85</v>
      </c>
      <c r="C5921" s="39">
        <v>99</v>
      </c>
      <c r="D5921" s="29" t="b">
        <v>0</v>
      </c>
      <c r="E5921" s="39" t="s">
        <v>6794</v>
      </c>
      <c r="F5921" s="47" t="s">
        <v>6795</v>
      </c>
      <c r="G5921" s="47" t="s">
        <v>73</v>
      </c>
      <c r="H5921"/>
      <c r="I5921" s="47" t="b">
        <v>1</v>
      </c>
      <c r="J5921" s="47" t="b">
        <v>1</v>
      </c>
      <c r="K5921" s="47">
        <v>2440</v>
      </c>
      <c r="L5921" s="48">
        <v>12</v>
      </c>
      <c r="M5921" s="47">
        <v>0</v>
      </c>
      <c r="N5921" s="47">
        <v>1</v>
      </c>
      <c r="O5921" s="47">
        <v>0</v>
      </c>
      <c r="P5921" s="47">
        <v>11</v>
      </c>
      <c r="Q5921" s="47">
        <v>0</v>
      </c>
      <c r="R5921" s="47">
        <v>0</v>
      </c>
      <c r="S5921" s="48">
        <v>11</v>
      </c>
      <c r="T5921" s="47">
        <v>0</v>
      </c>
      <c r="U5921" s="47">
        <v>0</v>
      </c>
      <c r="V5921" s="47">
        <v>0</v>
      </c>
      <c r="W5921" s="47">
        <v>12500</v>
      </c>
      <c r="X5921" s="47">
        <v>927</v>
      </c>
      <c r="Y5921" s="47" t="s">
        <v>120</v>
      </c>
      <c r="Z5921" s="47" t="s">
        <v>5139</v>
      </c>
      <c r="AA5921" s="49">
        <v>0.35069444444444442</v>
      </c>
      <c r="AB5921" s="49">
        <v>0.50694444444444442</v>
      </c>
      <c r="AC5921" s="49">
        <f>AVERAGE(AA5921:AB5921)</f>
        <v>0.42881944444444442</v>
      </c>
      <c r="AD5921" s="50">
        <f>(AB5921-AA5921)*24</f>
        <v>3.75</v>
      </c>
      <c r="AE5921" s="47" t="s">
        <v>5433</v>
      </c>
      <c r="AF5921" s="47">
        <v>70</v>
      </c>
      <c r="AG5921"/>
      <c r="AH5921"/>
      <c r="AI5921"/>
      <c r="AJ5921"/>
      <c r="AK5921">
        <f>15+7</f>
        <v>22</v>
      </c>
      <c r="AL5921"/>
      <c r="AM5921"/>
      <c r="AN5921"/>
      <c r="AO5921"/>
      <c r="AP5921"/>
      <c r="AQ5921" t="s">
        <v>2526</v>
      </c>
      <c r="AU5921">
        <v>5920</v>
      </c>
    </row>
    <row r="5922" spans="1:47" x14ac:dyDescent="0.2">
      <c r="A5922" s="133">
        <v>6817</v>
      </c>
      <c r="B5922" s="39" t="s">
        <v>85</v>
      </c>
      <c r="C5922" s="39">
        <v>99</v>
      </c>
      <c r="D5922" s="29" t="b">
        <v>0</v>
      </c>
      <c r="E5922" s="39" t="s">
        <v>788</v>
      </c>
      <c r="F5922" s="47" t="s">
        <v>2398</v>
      </c>
      <c r="G5922" s="47" t="s">
        <v>49</v>
      </c>
      <c r="H5922"/>
      <c r="I5922" s="47" t="b">
        <v>0</v>
      </c>
      <c r="J5922" s="47" t="b">
        <v>0</v>
      </c>
      <c r="K5922" s="47">
        <v>1338</v>
      </c>
      <c r="L5922" s="48">
        <v>12</v>
      </c>
      <c r="M5922" s="47">
        <v>0</v>
      </c>
      <c r="N5922" s="47">
        <v>1</v>
      </c>
      <c r="O5922" s="47">
        <v>0</v>
      </c>
      <c r="P5922" s="47">
        <v>11</v>
      </c>
      <c r="Q5922" s="47">
        <v>0</v>
      </c>
      <c r="R5922" s="47">
        <v>0</v>
      </c>
      <c r="S5922" s="48">
        <v>5</v>
      </c>
      <c r="T5922" s="47">
        <v>0</v>
      </c>
      <c r="U5922" s="47">
        <v>0</v>
      </c>
      <c r="V5922" s="47">
        <v>0</v>
      </c>
      <c r="W5922" s="47">
        <v>12500</v>
      </c>
      <c r="X5922" s="47">
        <v>928</v>
      </c>
      <c r="Y5922" s="47" t="s">
        <v>120</v>
      </c>
      <c r="Z5922" s="47" t="s">
        <v>5139</v>
      </c>
      <c r="AA5922" s="49">
        <v>0.35069444444444442</v>
      </c>
      <c r="AB5922" s="49">
        <v>0.50694444444444442</v>
      </c>
      <c r="AC5922" s="49">
        <v>0.45833333333333331</v>
      </c>
      <c r="AD5922" s="50"/>
      <c r="AE5922" s="47" t="s">
        <v>5433</v>
      </c>
      <c r="AF5922" s="47">
        <v>70</v>
      </c>
      <c r="AG5922"/>
      <c r="AH5922"/>
      <c r="AI5922"/>
      <c r="AJ5922"/>
      <c r="AK5922">
        <v>15</v>
      </c>
      <c r="AL5922"/>
      <c r="AM5922"/>
      <c r="AN5922"/>
      <c r="AO5922"/>
      <c r="AP5922"/>
      <c r="AQ5922" t="s">
        <v>2526</v>
      </c>
      <c r="AU5922">
        <v>5921</v>
      </c>
    </row>
    <row r="5923" spans="1:47" x14ac:dyDescent="0.2">
      <c r="A5923" s="133">
        <v>6817</v>
      </c>
      <c r="B5923" s="39" t="s">
        <v>85</v>
      </c>
      <c r="C5923" s="39">
        <v>99</v>
      </c>
      <c r="D5923" s="29" t="b">
        <v>0</v>
      </c>
      <c r="E5923" s="39" t="s">
        <v>6796</v>
      </c>
      <c r="F5923" s="47" t="s">
        <v>529</v>
      </c>
      <c r="G5923" s="47" t="s">
        <v>205</v>
      </c>
      <c r="H5923"/>
      <c r="I5923" s="47" t="b">
        <v>0</v>
      </c>
      <c r="J5923" s="47" t="b">
        <v>0</v>
      </c>
      <c r="K5923" s="47">
        <v>902</v>
      </c>
      <c r="L5923" s="48">
        <v>12</v>
      </c>
      <c r="M5923" s="47">
        <v>0</v>
      </c>
      <c r="N5923" s="47">
        <v>1</v>
      </c>
      <c r="O5923" s="47">
        <v>0</v>
      </c>
      <c r="P5923" s="47">
        <v>11</v>
      </c>
      <c r="Q5923" s="47">
        <v>0</v>
      </c>
      <c r="R5923" s="47">
        <v>0</v>
      </c>
      <c r="S5923" s="48">
        <v>6</v>
      </c>
      <c r="T5923" s="47">
        <v>0</v>
      </c>
      <c r="U5923" s="47">
        <v>0</v>
      </c>
      <c r="V5923" s="47">
        <v>0</v>
      </c>
      <c r="W5923" s="47">
        <v>12500</v>
      </c>
      <c r="X5923" s="47">
        <v>929</v>
      </c>
      <c r="Y5923" s="47" t="s">
        <v>120</v>
      </c>
      <c r="Z5923" s="47" t="s">
        <v>5139</v>
      </c>
      <c r="AA5923" s="49">
        <v>0.35069444444444442</v>
      </c>
      <c r="AB5923" s="49">
        <v>0.50694444444444442</v>
      </c>
      <c r="AC5923" s="49">
        <f>AVERAGE(AA5923:AB5923)</f>
        <v>0.42881944444444442</v>
      </c>
      <c r="AD5923" s="50"/>
      <c r="AE5923" s="47" t="s">
        <v>5433</v>
      </c>
      <c r="AF5923" s="47">
        <v>75</v>
      </c>
      <c r="AG5923"/>
      <c r="AH5923"/>
      <c r="AI5923"/>
      <c r="AJ5923"/>
      <c r="AK5923">
        <v>7</v>
      </c>
      <c r="AL5923"/>
      <c r="AM5923"/>
      <c r="AN5923"/>
      <c r="AO5923"/>
      <c r="AP5923"/>
      <c r="AQ5923" t="s">
        <v>2526</v>
      </c>
      <c r="AU5923">
        <v>5922</v>
      </c>
    </row>
    <row r="5924" spans="1:47" x14ac:dyDescent="0.2">
      <c r="A5924" s="133">
        <v>6817</v>
      </c>
      <c r="B5924" s="38" t="s">
        <v>85</v>
      </c>
      <c r="C5924" s="39" t="s">
        <v>5533</v>
      </c>
      <c r="D5924" s="29"/>
      <c r="E5924" s="38" t="s">
        <v>788</v>
      </c>
      <c r="F5924" s="32" t="s">
        <v>714</v>
      </c>
      <c r="G5924" s="47" t="s">
        <v>49</v>
      </c>
      <c r="H5924"/>
      <c r="I5924" s="47" t="s">
        <v>6797</v>
      </c>
      <c r="J5924" s="47"/>
      <c r="K5924" s="47"/>
      <c r="L5924" s="48">
        <v>9</v>
      </c>
      <c r="M5924" s="47"/>
      <c r="N5924" s="47"/>
      <c r="O5924" s="47"/>
      <c r="P5924" s="47"/>
      <c r="Q5924" s="47"/>
      <c r="R5924" s="47"/>
      <c r="S5924" s="48">
        <v>9</v>
      </c>
      <c r="T5924" s="47"/>
      <c r="U5924" s="47">
        <v>1</v>
      </c>
      <c r="V5924" s="47"/>
      <c r="W5924" s="47"/>
      <c r="X5924" s="47"/>
      <c r="Y5924" s="47"/>
      <c r="Z5924" s="31" t="s">
        <v>3724</v>
      </c>
      <c r="AA5924" s="49">
        <v>0.21875</v>
      </c>
      <c r="AB5924" s="49">
        <v>0.33333333333333331</v>
      </c>
      <c r="AC5924" s="49">
        <f>AVERAGE(AA5924:AB5924)</f>
        <v>0.27604166666666663</v>
      </c>
      <c r="AD5924" s="50">
        <f>(AB5924-AA5924)*24</f>
        <v>2.7499999999999996</v>
      </c>
      <c r="AE5924" s="47" t="s">
        <v>5536</v>
      </c>
      <c r="AF5924" s="47">
        <v>70</v>
      </c>
      <c r="AG5924"/>
      <c r="AH5924"/>
      <c r="AI5924"/>
      <c r="AJ5924"/>
      <c r="AK5924"/>
      <c r="AL5924"/>
      <c r="AM5924"/>
      <c r="AN5924"/>
      <c r="AO5924"/>
      <c r="AP5924"/>
      <c r="AQ5924"/>
      <c r="AU5924">
        <v>5923</v>
      </c>
    </row>
    <row r="5925" spans="1:47" x14ac:dyDescent="0.2">
      <c r="A5925" s="133">
        <v>6817</v>
      </c>
      <c r="B5925" s="38" t="s">
        <v>85</v>
      </c>
      <c r="C5925" s="39" t="s">
        <v>5533</v>
      </c>
      <c r="D5925" s="29"/>
      <c r="E5925" s="39" t="s">
        <v>2191</v>
      </c>
      <c r="F5925" s="32" t="s">
        <v>714</v>
      </c>
      <c r="G5925" s="47" t="s">
        <v>49</v>
      </c>
      <c r="H5925"/>
      <c r="I5925" s="47" t="s">
        <v>6798</v>
      </c>
      <c r="J5925" s="47"/>
      <c r="K5925" s="47"/>
      <c r="L5925" s="48">
        <v>9</v>
      </c>
      <c r="M5925" s="47"/>
      <c r="N5925" s="47"/>
      <c r="O5925" s="47">
        <v>2</v>
      </c>
      <c r="P5925" s="47">
        <v>7</v>
      </c>
      <c r="Q5925" s="47"/>
      <c r="R5925" s="47"/>
      <c r="S5925" s="48">
        <v>7</v>
      </c>
      <c r="T5925" s="47"/>
      <c r="U5925" s="47"/>
      <c r="V5925" s="47"/>
      <c r="W5925" s="47"/>
      <c r="X5925" s="47"/>
      <c r="Y5925" s="47"/>
      <c r="Z5925" s="31" t="s">
        <v>3724</v>
      </c>
      <c r="AA5925" s="49">
        <v>0.4826388888888889</v>
      </c>
      <c r="AB5925" s="49">
        <v>0.57291666666666663</v>
      </c>
      <c r="AC5925" s="49">
        <f>AVERAGE(AA5925:AB5925)</f>
        <v>0.52777777777777779</v>
      </c>
      <c r="AD5925" s="50">
        <f>(AB5925-AA5925)*24</f>
        <v>2.1666666666666656</v>
      </c>
      <c r="AE5925" s="47" t="s">
        <v>5536</v>
      </c>
      <c r="AF5925" s="47">
        <v>85</v>
      </c>
      <c r="AG5925"/>
      <c r="AH5925"/>
      <c r="AI5925"/>
      <c r="AJ5925"/>
      <c r="AK5925"/>
      <c r="AL5925"/>
      <c r="AM5925"/>
      <c r="AN5925"/>
      <c r="AO5925"/>
      <c r="AP5925"/>
      <c r="AQ5925"/>
      <c r="AU5925">
        <v>5924</v>
      </c>
    </row>
    <row r="5926" spans="1:47" x14ac:dyDescent="0.2">
      <c r="A5926" s="133">
        <v>6817</v>
      </c>
      <c r="B5926" s="38" t="s">
        <v>85</v>
      </c>
      <c r="C5926" s="39" t="s">
        <v>5533</v>
      </c>
      <c r="D5926" s="29"/>
      <c r="E5926" s="38" t="s">
        <v>788</v>
      </c>
      <c r="F5926" s="32" t="s">
        <v>714</v>
      </c>
      <c r="G5926" s="47" t="s">
        <v>49</v>
      </c>
      <c r="H5926"/>
      <c r="I5926" s="47" t="s">
        <v>6799</v>
      </c>
      <c r="J5926" s="47"/>
      <c r="K5926" s="47"/>
      <c r="L5926" s="48">
        <v>10</v>
      </c>
      <c r="M5926" s="47"/>
      <c r="N5926" s="47">
        <v>4</v>
      </c>
      <c r="O5926" s="47"/>
      <c r="P5926" s="47"/>
      <c r="Q5926" s="47"/>
      <c r="R5926" s="47"/>
      <c r="S5926" s="48">
        <v>6</v>
      </c>
      <c r="T5926" s="47"/>
      <c r="U5926" s="47"/>
      <c r="V5926" s="47"/>
      <c r="W5926" s="47"/>
      <c r="X5926" s="47"/>
      <c r="Y5926" s="47"/>
      <c r="Z5926" s="31" t="s">
        <v>3724</v>
      </c>
      <c r="AA5926" s="49"/>
      <c r="AB5926" s="49">
        <v>0.80555555555555547</v>
      </c>
      <c r="AC5926" s="49"/>
      <c r="AD5926" s="50"/>
      <c r="AE5926" s="47" t="s">
        <v>5536</v>
      </c>
      <c r="AF5926" s="47">
        <v>70</v>
      </c>
      <c r="AG5926"/>
      <c r="AH5926"/>
      <c r="AI5926"/>
      <c r="AJ5926"/>
      <c r="AK5926"/>
      <c r="AL5926"/>
      <c r="AM5926"/>
      <c r="AN5926"/>
      <c r="AO5926"/>
      <c r="AP5926"/>
      <c r="AQ5926"/>
      <c r="AU5926">
        <v>5925</v>
      </c>
    </row>
    <row r="5927" spans="1:47" x14ac:dyDescent="0.2">
      <c r="A5927" s="133">
        <v>6817</v>
      </c>
      <c r="B5927" s="39" t="s">
        <v>45</v>
      </c>
      <c r="C5927" s="39">
        <v>97</v>
      </c>
      <c r="D5927" s="29" t="b">
        <v>0</v>
      </c>
      <c r="E5927" s="39" t="s">
        <v>6607</v>
      </c>
      <c r="F5927" s="47" t="s">
        <v>1969</v>
      </c>
      <c r="G5927" s="47" t="s">
        <v>205</v>
      </c>
      <c r="H5927"/>
      <c r="I5927" s="47" t="b">
        <v>1</v>
      </c>
      <c r="J5927" s="47" t="b">
        <v>1</v>
      </c>
      <c r="K5927" s="47">
        <v>4220</v>
      </c>
      <c r="L5927" s="48">
        <v>7</v>
      </c>
      <c r="M5927" s="47">
        <v>1</v>
      </c>
      <c r="N5927" s="47">
        <v>2</v>
      </c>
      <c r="O5927" s="47">
        <v>0</v>
      </c>
      <c r="P5927" s="47">
        <v>0</v>
      </c>
      <c r="Q5927" s="47">
        <v>1</v>
      </c>
      <c r="R5927" s="47">
        <v>0</v>
      </c>
      <c r="S5927" s="48">
        <v>3</v>
      </c>
      <c r="T5927" s="47">
        <v>1</v>
      </c>
      <c r="U5927" s="47">
        <v>0</v>
      </c>
      <c r="V5927" s="47">
        <v>0</v>
      </c>
      <c r="W5927" s="47">
        <v>3850</v>
      </c>
      <c r="X5927" s="47">
        <v>930</v>
      </c>
      <c r="Y5927" s="47"/>
      <c r="Z5927" s="47" t="s">
        <v>2466</v>
      </c>
      <c r="AA5927" s="49"/>
      <c r="AB5927" s="49"/>
      <c r="AC5927" s="49"/>
      <c r="AD5927" s="50"/>
      <c r="AE5927" s="47"/>
      <c r="AF5927" s="47"/>
      <c r="AG5927"/>
      <c r="AH5927"/>
      <c r="AI5927"/>
      <c r="AJ5927"/>
      <c r="AK5927"/>
      <c r="AL5927"/>
      <c r="AM5927"/>
      <c r="AN5927"/>
      <c r="AO5927"/>
      <c r="AP5927"/>
      <c r="AQ5927" t="s">
        <v>2526</v>
      </c>
      <c r="AU5927">
        <v>5926</v>
      </c>
    </row>
    <row r="5928" spans="1:47" x14ac:dyDescent="0.2">
      <c r="A5928" s="133">
        <v>6817</v>
      </c>
      <c r="B5928" s="39" t="s">
        <v>45</v>
      </c>
      <c r="C5928" s="39">
        <v>97</v>
      </c>
      <c r="D5928" s="29" t="b">
        <v>0</v>
      </c>
      <c r="E5928" s="39" t="s">
        <v>5707</v>
      </c>
      <c r="F5928" s="47" t="s">
        <v>529</v>
      </c>
      <c r="G5928" s="47" t="s">
        <v>205</v>
      </c>
      <c r="H5928"/>
      <c r="I5928" s="47" t="b">
        <v>0</v>
      </c>
      <c r="J5928" s="47" t="b">
        <v>0</v>
      </c>
      <c r="K5928" s="47">
        <v>4024</v>
      </c>
      <c r="L5928" s="48">
        <v>7</v>
      </c>
      <c r="M5928" s="47">
        <v>1</v>
      </c>
      <c r="N5928" s="47">
        <v>2</v>
      </c>
      <c r="O5928" s="47">
        <v>0</v>
      </c>
      <c r="P5928" s="47">
        <v>0</v>
      </c>
      <c r="Q5928" s="47">
        <v>1</v>
      </c>
      <c r="R5928" s="47">
        <v>0</v>
      </c>
      <c r="S5928" s="48">
        <v>3</v>
      </c>
      <c r="T5928" s="47">
        <v>1</v>
      </c>
      <c r="U5928" s="47">
        <v>0</v>
      </c>
      <c r="V5928" s="47">
        <v>0</v>
      </c>
      <c r="W5928" s="47">
        <v>3850</v>
      </c>
      <c r="X5928" s="47">
        <v>931</v>
      </c>
      <c r="Y5928" s="47"/>
      <c r="Z5928" s="47" t="s">
        <v>2466</v>
      </c>
      <c r="AA5928" s="49"/>
      <c r="AB5928" s="49"/>
      <c r="AC5928" s="49"/>
      <c r="AD5928" s="50"/>
      <c r="AE5928" s="47"/>
      <c r="AF5928" s="47"/>
      <c r="AG5928"/>
      <c r="AH5928"/>
      <c r="AI5928"/>
      <c r="AJ5928"/>
      <c r="AK5928"/>
      <c r="AL5928"/>
      <c r="AM5928"/>
      <c r="AN5928"/>
      <c r="AO5928"/>
      <c r="AP5928"/>
      <c r="AQ5928" t="s">
        <v>2526</v>
      </c>
      <c r="AU5928">
        <v>5927</v>
      </c>
    </row>
    <row r="5929" spans="1:47" x14ac:dyDescent="0.2">
      <c r="A5929" s="133">
        <v>6817</v>
      </c>
      <c r="B5929" s="39" t="s">
        <v>45</v>
      </c>
      <c r="C5929" s="39">
        <v>97</v>
      </c>
      <c r="D5929" s="29" t="b">
        <v>0</v>
      </c>
      <c r="E5929" s="39" t="s">
        <v>1551</v>
      </c>
      <c r="F5929" s="47" t="s">
        <v>529</v>
      </c>
      <c r="G5929" s="47" t="s">
        <v>205</v>
      </c>
      <c r="H5929"/>
      <c r="I5929" s="47" t="b">
        <v>0</v>
      </c>
      <c r="J5929" s="47" t="b">
        <v>0</v>
      </c>
      <c r="K5929" s="47">
        <v>196</v>
      </c>
      <c r="L5929" s="48">
        <v>7</v>
      </c>
      <c r="M5929" s="47">
        <v>1</v>
      </c>
      <c r="N5929" s="47">
        <v>2</v>
      </c>
      <c r="O5929" s="47">
        <v>0</v>
      </c>
      <c r="P5929" s="47">
        <v>0</v>
      </c>
      <c r="Q5929" s="47">
        <v>1</v>
      </c>
      <c r="R5929" s="47">
        <v>0</v>
      </c>
      <c r="S5929" s="48">
        <v>1</v>
      </c>
      <c r="T5929" s="47">
        <v>1</v>
      </c>
      <c r="U5929" s="47">
        <v>0</v>
      </c>
      <c r="V5929" s="47">
        <v>0</v>
      </c>
      <c r="W5929" s="47"/>
      <c r="X5929" s="47">
        <v>932</v>
      </c>
      <c r="Y5929" s="47"/>
      <c r="Z5929" s="47" t="s">
        <v>2466</v>
      </c>
      <c r="AA5929" s="49"/>
      <c r="AB5929" s="49"/>
      <c r="AC5929" s="49"/>
      <c r="AD5929" s="50"/>
      <c r="AE5929" s="47"/>
      <c r="AF5929" s="47"/>
      <c r="AG5929"/>
      <c r="AH5929"/>
      <c r="AI5929"/>
      <c r="AJ5929"/>
      <c r="AK5929"/>
      <c r="AL5929"/>
      <c r="AM5929"/>
      <c r="AN5929"/>
      <c r="AO5929"/>
      <c r="AP5929"/>
      <c r="AQ5929" t="s">
        <v>2526</v>
      </c>
      <c r="AU5929">
        <v>5928</v>
      </c>
    </row>
    <row r="5930" spans="1:47" x14ac:dyDescent="0.2">
      <c r="A5930" s="133">
        <v>6817</v>
      </c>
      <c r="B5930" s="39" t="s">
        <v>45</v>
      </c>
      <c r="C5930" s="39">
        <v>100</v>
      </c>
      <c r="D5930" s="29" t="b">
        <v>0</v>
      </c>
      <c r="E5930" s="39" t="s">
        <v>5707</v>
      </c>
      <c r="F5930" s="47" t="s">
        <v>529</v>
      </c>
      <c r="G5930" s="47" t="s">
        <v>205</v>
      </c>
      <c r="H5930"/>
      <c r="I5930" s="47" t="b">
        <v>0</v>
      </c>
      <c r="J5930" s="47" t="b">
        <v>1</v>
      </c>
      <c r="K5930" s="47">
        <v>4072</v>
      </c>
      <c r="L5930" s="48">
        <v>5</v>
      </c>
      <c r="M5930" s="47">
        <v>0</v>
      </c>
      <c r="N5930" s="47">
        <v>0</v>
      </c>
      <c r="O5930" s="47">
        <v>0</v>
      </c>
      <c r="P5930" s="47">
        <v>0</v>
      </c>
      <c r="Q5930" s="47">
        <v>0</v>
      </c>
      <c r="R5930" s="47">
        <v>0</v>
      </c>
      <c r="S5930" s="48">
        <v>5</v>
      </c>
      <c r="T5930" s="47">
        <v>0</v>
      </c>
      <c r="U5930" s="47">
        <v>0</v>
      </c>
      <c r="V5930" s="47">
        <v>0</v>
      </c>
      <c r="W5930" s="47">
        <v>3000</v>
      </c>
      <c r="X5930" s="47">
        <v>933</v>
      </c>
      <c r="Y5930" s="47"/>
      <c r="Z5930" s="47" t="s">
        <v>6737</v>
      </c>
      <c r="AA5930" s="49"/>
      <c r="AB5930" s="49"/>
      <c r="AC5930" s="49"/>
      <c r="AD5930" s="50"/>
      <c r="AE5930" s="47" t="s">
        <v>6445</v>
      </c>
      <c r="AF5930" s="47">
        <v>85</v>
      </c>
      <c r="AG5930"/>
      <c r="AH5930"/>
      <c r="AI5930"/>
      <c r="AJ5930"/>
      <c r="AK5930"/>
      <c r="AL5930"/>
      <c r="AM5930"/>
      <c r="AN5930"/>
      <c r="AO5930"/>
      <c r="AP5930"/>
      <c r="AQ5930" t="s">
        <v>2526</v>
      </c>
      <c r="AU5930">
        <v>5929</v>
      </c>
    </row>
    <row r="5931" spans="1:47" x14ac:dyDescent="0.2">
      <c r="A5931" s="133">
        <v>6817</v>
      </c>
      <c r="B5931" s="39" t="s">
        <v>45</v>
      </c>
      <c r="C5931" s="39">
        <v>215</v>
      </c>
      <c r="D5931" s="29" t="b">
        <v>0</v>
      </c>
      <c r="E5931" s="39" t="s">
        <v>5707</v>
      </c>
      <c r="F5931" s="47" t="s">
        <v>529</v>
      </c>
      <c r="G5931" s="47" t="s">
        <v>205</v>
      </c>
      <c r="H5931"/>
      <c r="I5931" s="47" t="b">
        <v>0</v>
      </c>
      <c r="J5931" s="47" t="b">
        <v>1</v>
      </c>
      <c r="K5931" s="47">
        <v>12352</v>
      </c>
      <c r="L5931" s="48">
        <v>8</v>
      </c>
      <c r="M5931" s="47">
        <v>1</v>
      </c>
      <c r="N5931" s="47">
        <v>1</v>
      </c>
      <c r="O5931" s="47">
        <v>0</v>
      </c>
      <c r="P5931" s="47">
        <v>0</v>
      </c>
      <c r="Q5931" s="47">
        <v>0</v>
      </c>
      <c r="R5931" s="47">
        <v>0</v>
      </c>
      <c r="S5931" s="48">
        <v>6</v>
      </c>
      <c r="T5931" s="47">
        <v>0</v>
      </c>
      <c r="U5931" s="47">
        <v>0</v>
      </c>
      <c r="V5931" s="47">
        <v>2</v>
      </c>
      <c r="W5931" s="47">
        <v>2170</v>
      </c>
      <c r="X5931" s="47">
        <v>934</v>
      </c>
      <c r="Y5931" s="47"/>
      <c r="Z5931" s="47" t="s">
        <v>2466</v>
      </c>
      <c r="AA5931" s="49"/>
      <c r="AB5931" s="49"/>
      <c r="AC5931" s="49"/>
      <c r="AD5931" s="50"/>
      <c r="AE5931" s="47"/>
      <c r="AF5931" s="47"/>
      <c r="AG5931"/>
      <c r="AH5931"/>
      <c r="AI5931"/>
      <c r="AJ5931"/>
      <c r="AK5931"/>
      <c r="AL5931"/>
      <c r="AM5931"/>
      <c r="AN5931"/>
      <c r="AO5931"/>
      <c r="AP5931"/>
      <c r="AQ5931" t="s">
        <v>2526</v>
      </c>
      <c r="AU5931">
        <v>5930</v>
      </c>
    </row>
    <row r="5932" spans="1:47" x14ac:dyDescent="0.2">
      <c r="A5932" s="133">
        <v>6817</v>
      </c>
      <c r="B5932" s="39" t="s">
        <v>45</v>
      </c>
      <c r="C5932" s="39">
        <v>216</v>
      </c>
      <c r="D5932" s="29" t="b">
        <v>0</v>
      </c>
      <c r="E5932" s="39" t="s">
        <v>5707</v>
      </c>
      <c r="F5932" s="47" t="s">
        <v>529</v>
      </c>
      <c r="G5932" s="47" t="s">
        <v>205</v>
      </c>
      <c r="H5932"/>
      <c r="I5932" s="47" t="b">
        <v>0</v>
      </c>
      <c r="J5932" s="47" t="b">
        <v>1</v>
      </c>
      <c r="K5932" s="47">
        <v>1568</v>
      </c>
      <c r="L5932" s="48">
        <v>8</v>
      </c>
      <c r="M5932" s="47">
        <v>7</v>
      </c>
      <c r="N5932" s="47">
        <v>0</v>
      </c>
      <c r="O5932" s="47">
        <v>0</v>
      </c>
      <c r="P5932" s="47">
        <v>0</v>
      </c>
      <c r="Q5932" s="47">
        <v>0</v>
      </c>
      <c r="R5932" s="47">
        <v>0</v>
      </c>
      <c r="S5932" s="48">
        <v>1</v>
      </c>
      <c r="T5932" s="47">
        <v>0</v>
      </c>
      <c r="U5932" s="47">
        <v>0</v>
      </c>
      <c r="V5932" s="47">
        <v>0</v>
      </c>
      <c r="W5932" s="47">
        <v>5000</v>
      </c>
      <c r="X5932" s="47">
        <v>935</v>
      </c>
      <c r="Y5932" s="47"/>
      <c r="Z5932" s="47" t="s">
        <v>2466</v>
      </c>
      <c r="AA5932" s="49"/>
      <c r="AB5932" s="49"/>
      <c r="AC5932" s="49"/>
      <c r="AD5932" s="50"/>
      <c r="AE5932" s="47" t="s">
        <v>1312</v>
      </c>
      <c r="AF5932" s="47">
        <v>75</v>
      </c>
      <c r="AG5932"/>
      <c r="AH5932"/>
      <c r="AI5932"/>
      <c r="AJ5932"/>
      <c r="AK5932"/>
      <c r="AL5932"/>
      <c r="AM5932"/>
      <c r="AN5932"/>
      <c r="AO5932"/>
      <c r="AP5932"/>
      <c r="AQ5932" t="s">
        <v>2526</v>
      </c>
      <c r="AU5932">
        <v>5931</v>
      </c>
    </row>
    <row r="5933" spans="1:47" x14ac:dyDescent="0.2">
      <c r="A5933" s="133">
        <v>6817</v>
      </c>
      <c r="B5933" s="39" t="s">
        <v>45</v>
      </c>
      <c r="C5933" s="57" t="s">
        <v>5765</v>
      </c>
      <c r="D5933" s="29"/>
      <c r="E5933" s="57" t="s">
        <v>179</v>
      </c>
      <c r="F5933" s="31" t="s">
        <v>76</v>
      </c>
      <c r="G5933" s="31" t="s">
        <v>49</v>
      </c>
      <c r="I5933" s="31" t="s">
        <v>6800</v>
      </c>
      <c r="K5933" s="31">
        <v>880</v>
      </c>
      <c r="Z5933" s="31" t="s">
        <v>1846</v>
      </c>
      <c r="AE5933" s="31" t="s">
        <v>4176</v>
      </c>
      <c r="AF5933" s="31">
        <v>45</v>
      </c>
      <c r="AK5933" s="32">
        <v>8</v>
      </c>
      <c r="AQ5933" s="32" t="s">
        <v>6611</v>
      </c>
      <c r="AU5933">
        <v>5932</v>
      </c>
    </row>
    <row r="5934" spans="1:47" x14ac:dyDescent="0.2">
      <c r="A5934" s="133">
        <v>6817</v>
      </c>
      <c r="B5934" s="39" t="s">
        <v>45</v>
      </c>
      <c r="C5934" s="57" t="s">
        <v>5765</v>
      </c>
      <c r="D5934" s="29"/>
      <c r="E5934" s="57" t="s">
        <v>1764</v>
      </c>
      <c r="F5934" s="31" t="s">
        <v>76</v>
      </c>
      <c r="G5934" s="31" t="s">
        <v>49</v>
      </c>
      <c r="I5934" s="31" t="s">
        <v>6800</v>
      </c>
      <c r="K5934" s="31">
        <v>990</v>
      </c>
      <c r="Z5934" s="31" t="s">
        <v>1846</v>
      </c>
      <c r="AE5934" s="31" t="s">
        <v>4176</v>
      </c>
      <c r="AF5934" s="31">
        <v>95</v>
      </c>
      <c r="AK5934" s="32">
        <v>9</v>
      </c>
      <c r="AQ5934" s="32" t="s">
        <v>6611</v>
      </c>
      <c r="AU5934">
        <v>5933</v>
      </c>
    </row>
    <row r="5935" spans="1:47" x14ac:dyDescent="0.2">
      <c r="A5935" s="133">
        <v>6817</v>
      </c>
      <c r="B5935" s="39" t="s">
        <v>45</v>
      </c>
      <c r="C5935" s="57" t="s">
        <v>5765</v>
      </c>
      <c r="D5935" s="29"/>
      <c r="E5935" s="57" t="s">
        <v>2210</v>
      </c>
      <c r="F5935" s="31" t="s">
        <v>3764</v>
      </c>
      <c r="G5935" s="31" t="s">
        <v>481</v>
      </c>
      <c r="I5935" s="31" t="s">
        <v>6800</v>
      </c>
      <c r="K5935" s="31">
        <v>1100</v>
      </c>
      <c r="Z5935" s="31" t="s">
        <v>1846</v>
      </c>
      <c r="AE5935" s="31" t="s">
        <v>4176</v>
      </c>
      <c r="AF5935" s="31">
        <v>85</v>
      </c>
      <c r="AK5935" s="32">
        <v>10</v>
      </c>
      <c r="AQ5935" s="32" t="s">
        <v>6611</v>
      </c>
      <c r="AU5935">
        <v>5934</v>
      </c>
    </row>
    <row r="5936" spans="1:47" x14ac:dyDescent="0.2">
      <c r="A5936" s="133">
        <v>6817</v>
      </c>
      <c r="B5936" s="39" t="s">
        <v>45</v>
      </c>
      <c r="C5936" s="57" t="s">
        <v>5765</v>
      </c>
      <c r="D5936" s="29"/>
      <c r="E5936" s="57" t="s">
        <v>175</v>
      </c>
      <c r="F5936" s="31" t="s">
        <v>76</v>
      </c>
      <c r="G5936" s="31" t="s">
        <v>49</v>
      </c>
      <c r="I5936" s="31" t="s">
        <v>6800</v>
      </c>
      <c r="K5936" s="31">
        <v>1896.4</v>
      </c>
      <c r="Z5936" s="31" t="s">
        <v>1846</v>
      </c>
      <c r="AE5936" s="31" t="s">
        <v>4176</v>
      </c>
      <c r="AF5936" s="31">
        <v>55</v>
      </c>
      <c r="AK5936" s="32">
        <v>8</v>
      </c>
      <c r="AQ5936" s="32" t="s">
        <v>6611</v>
      </c>
      <c r="AR5936" s="200"/>
      <c r="AU5936">
        <v>5935</v>
      </c>
    </row>
    <row r="5937" spans="1:47" x14ac:dyDescent="0.2">
      <c r="A5937" s="133">
        <v>6817</v>
      </c>
      <c r="B5937" s="39" t="s">
        <v>45</v>
      </c>
      <c r="C5937" s="57" t="s">
        <v>5765</v>
      </c>
      <c r="D5937" s="29"/>
      <c r="E5937" s="57" t="s">
        <v>788</v>
      </c>
      <c r="F5937" s="31" t="s">
        <v>76</v>
      </c>
      <c r="G5937" s="31" t="s">
        <v>49</v>
      </c>
      <c r="I5937" s="31" t="s">
        <v>6800</v>
      </c>
      <c r="K5937" s="31">
        <f>2068-880</f>
        <v>1188</v>
      </c>
      <c r="Z5937" s="31" t="s">
        <v>1846</v>
      </c>
      <c r="AE5937" s="31" t="s">
        <v>4176</v>
      </c>
      <c r="AF5937" s="31">
        <v>70</v>
      </c>
      <c r="AK5937" s="32">
        <f>32-8</f>
        <v>24</v>
      </c>
      <c r="AQ5937" s="32" t="s">
        <v>6611</v>
      </c>
      <c r="AU5937">
        <v>5936</v>
      </c>
    </row>
    <row r="5938" spans="1:47" x14ac:dyDescent="0.2">
      <c r="A5938" s="133">
        <v>6817</v>
      </c>
      <c r="B5938" s="39" t="s">
        <v>45</v>
      </c>
      <c r="C5938" s="57" t="s">
        <v>4456</v>
      </c>
      <c r="D5938" s="29"/>
      <c r="E5938" s="39" t="s">
        <v>6801</v>
      </c>
      <c r="F5938" s="47" t="s">
        <v>2882</v>
      </c>
      <c r="G5938" s="47" t="s">
        <v>481</v>
      </c>
      <c r="H5938"/>
      <c r="I5938" s="47" t="s">
        <v>6802</v>
      </c>
      <c r="J5938" s="47"/>
      <c r="K5938" s="135">
        <v>880</v>
      </c>
      <c r="L5938" s="33">
        <v>1</v>
      </c>
      <c r="S5938" s="33">
        <v>1</v>
      </c>
      <c r="T5938" s="31">
        <v>0</v>
      </c>
      <c r="U5938" s="31">
        <v>0</v>
      </c>
      <c r="V5938" s="31">
        <v>0</v>
      </c>
      <c r="W5938" s="47">
        <f>2600*39.37/12</f>
        <v>8530.1666666666661</v>
      </c>
      <c r="Y5938" s="19" t="s">
        <v>51</v>
      </c>
      <c r="Z5938" s="19" t="s">
        <v>1846</v>
      </c>
      <c r="AC5938" s="49"/>
      <c r="AD5938" s="50">
        <v>2.33</v>
      </c>
      <c r="AE5938" s="31" t="s">
        <v>4176</v>
      </c>
      <c r="AF5938" s="31">
        <v>95</v>
      </c>
      <c r="AK5938" s="130">
        <v>8</v>
      </c>
      <c r="AQ5938" s="32" t="s">
        <v>6803</v>
      </c>
      <c r="AU5938">
        <v>5937</v>
      </c>
    </row>
    <row r="5939" spans="1:47" x14ac:dyDescent="0.2">
      <c r="A5939" s="133">
        <v>6817</v>
      </c>
      <c r="B5939" s="39" t="s">
        <v>45</v>
      </c>
      <c r="C5939" s="57" t="s">
        <v>4456</v>
      </c>
      <c r="D5939" s="29"/>
      <c r="E5939" s="57" t="s">
        <v>175</v>
      </c>
      <c r="F5939" s="31" t="s">
        <v>76</v>
      </c>
      <c r="G5939" s="31" t="s">
        <v>49</v>
      </c>
      <c r="H5939"/>
      <c r="I5939" s="47" t="s">
        <v>6804</v>
      </c>
      <c r="J5939" s="47"/>
      <c r="K5939" s="135">
        <v>880</v>
      </c>
      <c r="L5939" s="33">
        <v>1</v>
      </c>
      <c r="S5939" s="33">
        <v>1</v>
      </c>
      <c r="T5939" s="31">
        <v>0</v>
      </c>
      <c r="U5939" s="31">
        <v>0</v>
      </c>
      <c r="V5939" s="31">
        <v>0</v>
      </c>
      <c r="W5939" s="47">
        <f>1700*39.37/12</f>
        <v>5577.416666666667</v>
      </c>
      <c r="Y5939" s="19" t="s">
        <v>51</v>
      </c>
      <c r="Z5939" s="19" t="s">
        <v>1846</v>
      </c>
      <c r="AA5939" s="34">
        <v>0.875</v>
      </c>
      <c r="AB5939" s="34">
        <v>0.94444444444444453</v>
      </c>
      <c r="AC5939" s="49">
        <f>AVERAGE(AA5939:AB5939)</f>
        <v>0.90972222222222232</v>
      </c>
      <c r="AD5939" s="50">
        <f>(AB5939-AA5939)*24</f>
        <v>1.6666666666666687</v>
      </c>
      <c r="AE5939" s="31" t="s">
        <v>4176</v>
      </c>
      <c r="AF5939" s="47">
        <v>55</v>
      </c>
      <c r="AG5939"/>
      <c r="AH5939"/>
      <c r="AI5939"/>
      <c r="AJ5939"/>
      <c r="AK5939" s="130">
        <v>8</v>
      </c>
      <c r="AQ5939" s="32" t="s">
        <v>6803</v>
      </c>
      <c r="AU5939">
        <v>5938</v>
      </c>
    </row>
    <row r="5940" spans="1:47" x14ac:dyDescent="0.2">
      <c r="A5940" s="133">
        <v>6817</v>
      </c>
      <c r="B5940" s="39" t="s">
        <v>45</v>
      </c>
      <c r="C5940" s="57" t="s">
        <v>4456</v>
      </c>
      <c r="D5940" s="29"/>
      <c r="E5940" s="39" t="s">
        <v>6805</v>
      </c>
      <c r="F5940" s="31" t="s">
        <v>76</v>
      </c>
      <c r="G5940" s="31" t="s">
        <v>49</v>
      </c>
      <c r="H5940"/>
      <c r="I5940" s="47" t="s">
        <v>6806</v>
      </c>
      <c r="J5940" s="47"/>
      <c r="K5940" s="135">
        <v>880</v>
      </c>
      <c r="L5940" s="33">
        <v>1</v>
      </c>
      <c r="S5940" s="33">
        <v>1</v>
      </c>
      <c r="T5940" s="31">
        <v>0</v>
      </c>
      <c r="U5940" s="31">
        <v>0</v>
      </c>
      <c r="V5940" s="31">
        <v>0</v>
      </c>
      <c r="W5940" s="47">
        <f>2800*39.37/12</f>
        <v>9186.3333333333339</v>
      </c>
      <c r="Y5940" s="19" t="s">
        <v>51</v>
      </c>
      <c r="Z5940" s="19" t="s">
        <v>1846</v>
      </c>
      <c r="AA5940" s="34">
        <v>0.86111111111111116</v>
      </c>
      <c r="AB5940" s="34">
        <v>0.95138888888888884</v>
      </c>
      <c r="AC5940" s="49">
        <f>AVERAGE(AA5940:AB5940)</f>
        <v>0.90625</v>
      </c>
      <c r="AD5940" s="50">
        <f>(AB5940-AA5940)*24</f>
        <v>2.1666666666666643</v>
      </c>
      <c r="AE5940" s="31" t="s">
        <v>4176</v>
      </c>
      <c r="AF5940" s="47">
        <v>70</v>
      </c>
      <c r="AG5940"/>
      <c r="AH5940"/>
      <c r="AI5940"/>
      <c r="AJ5940"/>
      <c r="AK5940" s="130">
        <v>8</v>
      </c>
      <c r="AQ5940" s="32" t="s">
        <v>6803</v>
      </c>
      <c r="AU5940">
        <v>5939</v>
      </c>
    </row>
    <row r="5941" spans="1:47" x14ac:dyDescent="0.2">
      <c r="A5941" s="26">
        <v>6817</v>
      </c>
      <c r="B5941" s="27">
        <v>0.41875000000000001</v>
      </c>
      <c r="C5941" s="28"/>
      <c r="D5941" s="29"/>
      <c r="E5941" s="30" t="s">
        <v>464</v>
      </c>
      <c r="H5941" s="32">
        <v>0</v>
      </c>
      <c r="I5941" s="32" t="s">
        <v>5766</v>
      </c>
      <c r="AG5941" s="32">
        <v>0</v>
      </c>
      <c r="AH5941" s="32">
        <v>0</v>
      </c>
      <c r="AL5941" s="32">
        <v>0.33300000000000002</v>
      </c>
      <c r="AO5941" s="32" t="s">
        <v>4067</v>
      </c>
      <c r="AP5941" s="32">
        <v>0.33300000000000002</v>
      </c>
      <c r="AQ5941" s="32" t="s">
        <v>1522</v>
      </c>
      <c r="AU5941">
        <v>5940</v>
      </c>
    </row>
    <row r="5942" spans="1:47" x14ac:dyDescent="0.2">
      <c r="A5942" s="26">
        <v>6817</v>
      </c>
      <c r="B5942" s="27">
        <v>0.8208333333333333</v>
      </c>
      <c r="C5942" s="28"/>
      <c r="D5942" s="29"/>
      <c r="E5942" s="30" t="s">
        <v>464</v>
      </c>
      <c r="H5942" s="32">
        <v>0</v>
      </c>
      <c r="I5942" s="32" t="s">
        <v>4561</v>
      </c>
      <c r="AG5942" s="32">
        <v>0</v>
      </c>
      <c r="AH5942" s="32">
        <v>0</v>
      </c>
      <c r="AL5942" s="32">
        <f>11/60</f>
        <v>0.18333333333333332</v>
      </c>
      <c r="AO5942" s="32" t="s">
        <v>4067</v>
      </c>
      <c r="AP5942" s="32">
        <f>11/60</f>
        <v>0.18333333333333332</v>
      </c>
      <c r="AQ5942" s="32" t="s">
        <v>1522</v>
      </c>
      <c r="AU5942">
        <v>5941</v>
      </c>
    </row>
    <row r="5943" spans="1:47" x14ac:dyDescent="0.2">
      <c r="A5943" s="26">
        <v>6817</v>
      </c>
      <c r="B5943" s="27">
        <v>0.91666666666666663</v>
      </c>
      <c r="C5943" s="28"/>
      <c r="D5943" s="29"/>
      <c r="E5943" s="30" t="s">
        <v>464</v>
      </c>
      <c r="H5943" s="32">
        <v>0</v>
      </c>
      <c r="I5943" s="32" t="s">
        <v>6807</v>
      </c>
      <c r="AG5943" s="32">
        <v>0</v>
      </c>
      <c r="AH5943" s="32">
        <v>0</v>
      </c>
      <c r="AL5943" s="32">
        <f>95/60</f>
        <v>1.5833333333333333</v>
      </c>
      <c r="AO5943" s="32" t="s">
        <v>4067</v>
      </c>
      <c r="AP5943" s="32">
        <f>95/60</f>
        <v>1.5833333333333333</v>
      </c>
      <c r="AQ5943" s="32" t="s">
        <v>1522</v>
      </c>
      <c r="AU5943">
        <v>5942</v>
      </c>
    </row>
    <row r="5944" spans="1:47" x14ac:dyDescent="0.2">
      <c r="A5944" s="26">
        <v>6817</v>
      </c>
      <c r="B5944" s="27">
        <v>0.93055555555555547</v>
      </c>
      <c r="C5944" s="28"/>
      <c r="D5944" s="29"/>
      <c r="E5944" s="30" t="s">
        <v>4219</v>
      </c>
      <c r="H5944" s="32">
        <v>1</v>
      </c>
      <c r="I5944" s="32"/>
      <c r="AL5944" s="32">
        <v>0.75</v>
      </c>
      <c r="AO5944" s="32" t="s">
        <v>858</v>
      </c>
      <c r="AP5944" s="32">
        <v>0.75</v>
      </c>
      <c r="AQ5944" s="32" t="s">
        <v>1101</v>
      </c>
      <c r="AU5944">
        <v>5943</v>
      </c>
    </row>
    <row r="5945" spans="1:47" x14ac:dyDescent="0.2">
      <c r="A5945" s="26">
        <v>6817</v>
      </c>
      <c r="B5945" s="27">
        <v>0.9472222222222223</v>
      </c>
      <c r="C5945" s="28"/>
      <c r="D5945" s="29"/>
      <c r="E5945" s="30" t="s">
        <v>3737</v>
      </c>
      <c r="H5945" s="32">
        <v>0</v>
      </c>
      <c r="I5945" s="32" t="s">
        <v>4926</v>
      </c>
      <c r="AG5945" s="32">
        <v>0</v>
      </c>
      <c r="AH5945" s="32">
        <v>0</v>
      </c>
      <c r="AI5945" s="32">
        <v>0</v>
      </c>
      <c r="AK5945" s="32">
        <v>0</v>
      </c>
      <c r="AM5945" s="74"/>
      <c r="AQ5945" s="32" t="s">
        <v>1101</v>
      </c>
      <c r="AU5945">
        <v>5944</v>
      </c>
    </row>
    <row r="5946" spans="1:47" x14ac:dyDescent="0.2">
      <c r="A5946" s="26">
        <v>6817</v>
      </c>
      <c r="B5946" s="27">
        <v>0.95833333333333337</v>
      </c>
      <c r="C5946" s="28"/>
      <c r="D5946" s="29"/>
      <c r="E5946" s="102" t="s">
        <v>1102</v>
      </c>
      <c r="H5946" s="32">
        <v>0</v>
      </c>
      <c r="I5946" s="32" t="s">
        <v>6808</v>
      </c>
      <c r="AG5946" s="32">
        <v>0</v>
      </c>
      <c r="AH5946" s="32">
        <v>0</v>
      </c>
      <c r="AI5946" s="32">
        <v>0</v>
      </c>
      <c r="AK5946" s="32">
        <v>0</v>
      </c>
      <c r="AL5946" s="32">
        <f>32/60</f>
        <v>0.53333333333333333</v>
      </c>
      <c r="AO5946" s="73" t="s">
        <v>1006</v>
      </c>
      <c r="AP5946" s="32">
        <f>32/60</f>
        <v>0.53333333333333333</v>
      </c>
      <c r="AQ5946" s="32" t="s">
        <v>589</v>
      </c>
      <c r="AU5946">
        <v>5945</v>
      </c>
    </row>
    <row r="5947" spans="1:47" x14ac:dyDescent="0.2">
      <c r="A5947" s="26">
        <v>6817</v>
      </c>
      <c r="B5947" s="27">
        <v>0.96527777777777779</v>
      </c>
      <c r="C5947" s="28"/>
      <c r="D5947" s="29"/>
      <c r="E5947" s="30" t="s">
        <v>5718</v>
      </c>
      <c r="H5947" s="32">
        <v>1</v>
      </c>
      <c r="I5947" s="32" t="s">
        <v>6809</v>
      </c>
      <c r="AG5947" s="32">
        <v>0</v>
      </c>
      <c r="AH5947" s="32">
        <v>0</v>
      </c>
      <c r="AK5947" s="32">
        <v>21</v>
      </c>
      <c r="AL5947" s="32">
        <v>0</v>
      </c>
      <c r="AO5947" s="32" t="s">
        <v>5720</v>
      </c>
      <c r="AQ5947" s="32">
        <v>381</v>
      </c>
      <c r="AU5947">
        <v>5946</v>
      </c>
    </row>
    <row r="5948" spans="1:47" x14ac:dyDescent="0.2">
      <c r="A5948" s="26">
        <v>6817</v>
      </c>
      <c r="B5948" s="27">
        <v>0.96805555555555556</v>
      </c>
      <c r="C5948" s="28"/>
      <c r="D5948" s="29"/>
      <c r="E5948" s="30" t="s">
        <v>2964</v>
      </c>
      <c r="H5948" s="32">
        <v>0</v>
      </c>
      <c r="I5948" s="32" t="s">
        <v>4158</v>
      </c>
      <c r="AG5948" s="32">
        <v>0</v>
      </c>
      <c r="AH5948" s="32">
        <v>0</v>
      </c>
      <c r="AI5948" s="32">
        <v>0</v>
      </c>
      <c r="AK5948" s="32">
        <v>0</v>
      </c>
      <c r="AL5948" s="32">
        <f>25/60</f>
        <v>0.41666666666666669</v>
      </c>
      <c r="AP5948" s="32">
        <f>25/60</f>
        <v>0.41666666666666669</v>
      </c>
      <c r="AQ5948" s="32" t="s">
        <v>1101</v>
      </c>
      <c r="AU5948">
        <v>5947</v>
      </c>
    </row>
    <row r="5949" spans="1:47" x14ac:dyDescent="0.2">
      <c r="A5949" s="26">
        <v>6817</v>
      </c>
      <c r="B5949" s="27" t="s">
        <v>45</v>
      </c>
      <c r="C5949" s="28"/>
      <c r="D5949" s="29"/>
      <c r="E5949" s="30" t="s">
        <v>1531</v>
      </c>
      <c r="H5949" s="32">
        <v>0</v>
      </c>
      <c r="I5949" s="32" t="s">
        <v>1532</v>
      </c>
      <c r="AG5949" s="32">
        <v>0</v>
      </c>
      <c r="AH5949" s="32">
        <v>0</v>
      </c>
      <c r="AI5949" s="32">
        <v>0</v>
      </c>
      <c r="AK5949" s="32">
        <v>0</v>
      </c>
      <c r="AM5949" s="32">
        <f>498*17</f>
        <v>8466</v>
      </c>
      <c r="AO5949" s="32" t="s">
        <v>1533</v>
      </c>
      <c r="AQ5949" s="32" t="s">
        <v>1101</v>
      </c>
      <c r="AU5949">
        <v>5948</v>
      </c>
    </row>
    <row r="5950" spans="1:47" x14ac:dyDescent="0.2">
      <c r="A5950" s="26">
        <v>6817</v>
      </c>
      <c r="B5950" s="27" t="s">
        <v>45</v>
      </c>
      <c r="C5950" s="28"/>
      <c r="D5950" s="29"/>
      <c r="E5950" s="150" t="s">
        <v>2286</v>
      </c>
      <c r="H5950" s="32">
        <v>0</v>
      </c>
      <c r="I5950" s="32" t="s">
        <v>1824</v>
      </c>
      <c r="AG5950" s="32">
        <v>0</v>
      </c>
      <c r="AH5950" s="32">
        <v>0</v>
      </c>
      <c r="AI5950" s="32">
        <v>0</v>
      </c>
      <c r="AK5950" s="32">
        <v>0</v>
      </c>
      <c r="AM5950" s="32">
        <v>3000</v>
      </c>
      <c r="AO5950" s="73" t="s">
        <v>75</v>
      </c>
      <c r="AQ5950" s="32" t="s">
        <v>589</v>
      </c>
      <c r="AU5950">
        <v>5949</v>
      </c>
    </row>
    <row r="5951" spans="1:47" x14ac:dyDescent="0.2">
      <c r="A5951" s="26">
        <v>6817</v>
      </c>
      <c r="B5951" s="27"/>
      <c r="C5951" s="28"/>
      <c r="D5951" s="29"/>
      <c r="E5951" s="30" t="s">
        <v>4666</v>
      </c>
      <c r="H5951" s="32">
        <v>0</v>
      </c>
      <c r="I5951" s="32" t="s">
        <v>6810</v>
      </c>
      <c r="AG5951" s="32">
        <v>0</v>
      </c>
      <c r="AH5951" s="32">
        <v>0</v>
      </c>
      <c r="AI5951" s="32">
        <v>0</v>
      </c>
      <c r="AK5951" s="32">
        <v>0</v>
      </c>
      <c r="AO5951" s="32" t="s">
        <v>4668</v>
      </c>
      <c r="AQ5951" s="32">
        <v>410</v>
      </c>
      <c r="AU5951">
        <v>5950</v>
      </c>
    </row>
    <row r="5952" spans="1:47" x14ac:dyDescent="0.2">
      <c r="A5952" s="37">
        <v>6818</v>
      </c>
      <c r="B5952" s="38" t="s">
        <v>85</v>
      </c>
      <c r="C5952" s="39" t="s">
        <v>4769</v>
      </c>
      <c r="D5952" s="29"/>
      <c r="E5952" s="38" t="s">
        <v>6811</v>
      </c>
      <c r="F5952" s="32" t="s">
        <v>170</v>
      </c>
      <c r="G5952" s="47" t="s">
        <v>69</v>
      </c>
      <c r="H5952"/>
      <c r="I5952" s="18" t="s">
        <v>6812</v>
      </c>
      <c r="J5952" s="47"/>
      <c r="K5952" s="47"/>
      <c r="L5952" s="48"/>
      <c r="M5952" s="47"/>
      <c r="N5952" s="47"/>
      <c r="O5952" s="47"/>
      <c r="P5952" s="47"/>
      <c r="Q5952" s="47"/>
      <c r="R5952" s="47"/>
      <c r="S5952" s="48"/>
      <c r="T5952" s="47"/>
      <c r="U5952" s="47"/>
      <c r="V5952" s="47"/>
      <c r="W5952" s="47"/>
      <c r="X5952" s="47"/>
      <c r="Y5952" s="47" t="s">
        <v>120</v>
      </c>
      <c r="Z5952" s="31" t="s">
        <v>3724</v>
      </c>
      <c r="AC5952" s="34">
        <v>0.70833333333333337</v>
      </c>
      <c r="AD5952" s="31"/>
      <c r="AE5952" s="31" t="s">
        <v>6385</v>
      </c>
      <c r="AF5952" s="47"/>
      <c r="AG5952"/>
      <c r="AH5952"/>
      <c r="AI5952"/>
      <c r="AJ5952"/>
      <c r="AK5952"/>
      <c r="AL5952"/>
      <c r="AM5952"/>
      <c r="AN5952"/>
      <c r="AO5952"/>
      <c r="AP5952"/>
      <c r="AQ5952" s="25" t="s">
        <v>6813</v>
      </c>
      <c r="AU5952">
        <v>5951</v>
      </c>
    </row>
    <row r="5953" spans="1:47" x14ac:dyDescent="0.2">
      <c r="A5953" s="26">
        <v>6818</v>
      </c>
      <c r="B5953" s="27">
        <v>6.9444444444444441E-3</v>
      </c>
      <c r="C5953" s="28"/>
      <c r="D5953" s="29"/>
      <c r="E5953" s="30" t="s">
        <v>464</v>
      </c>
      <c r="H5953" s="32">
        <v>0</v>
      </c>
      <c r="I5953" s="32" t="s">
        <v>6814</v>
      </c>
      <c r="AG5953" s="32">
        <v>0</v>
      </c>
      <c r="AH5953" s="32">
        <v>0</v>
      </c>
      <c r="AL5953" s="32">
        <f>5/6</f>
        <v>0.83333333333333337</v>
      </c>
      <c r="AO5953" s="32" t="s">
        <v>4067</v>
      </c>
      <c r="AP5953" s="32">
        <f>5/6</f>
        <v>0.83333333333333337</v>
      </c>
      <c r="AQ5953" s="32" t="s">
        <v>1522</v>
      </c>
      <c r="AU5953">
        <v>5952</v>
      </c>
    </row>
    <row r="5954" spans="1:47" x14ac:dyDescent="0.2">
      <c r="A5954" s="26">
        <v>6818</v>
      </c>
      <c r="B5954" s="27" t="s">
        <v>85</v>
      </c>
      <c r="C5954" s="28"/>
      <c r="D5954" s="29"/>
      <c r="E5954" s="30" t="s">
        <v>586</v>
      </c>
      <c r="H5954" s="32">
        <v>1</v>
      </c>
      <c r="I5954" s="32" t="s">
        <v>6815</v>
      </c>
      <c r="AI5954" s="32">
        <v>730</v>
      </c>
      <c r="AO5954" s="46" t="s">
        <v>588</v>
      </c>
      <c r="AQ5954" s="32" t="s">
        <v>589</v>
      </c>
      <c r="AU5954">
        <v>5953</v>
      </c>
    </row>
    <row r="5955" spans="1:47" x14ac:dyDescent="0.2">
      <c r="A5955" s="37">
        <v>6819</v>
      </c>
      <c r="B5955" s="38" t="s">
        <v>45</v>
      </c>
      <c r="C5955" s="39" t="s">
        <v>253</v>
      </c>
      <c r="D5955" s="29"/>
      <c r="E5955" s="38" t="s">
        <v>5940</v>
      </c>
      <c r="F5955" s="32" t="s">
        <v>150</v>
      </c>
      <c r="G5955" s="47"/>
      <c r="H5955"/>
      <c r="I5955" s="32"/>
      <c r="J5955" s="47"/>
      <c r="K5955" s="47"/>
      <c r="L5955" s="48"/>
      <c r="M5955" s="47"/>
      <c r="N5955" s="47"/>
      <c r="O5955" s="47"/>
      <c r="P5955" s="47"/>
      <c r="Q5955" s="47"/>
      <c r="R5955" s="47"/>
      <c r="S5955" s="48"/>
      <c r="T5955" s="47"/>
      <c r="U5955" s="47"/>
      <c r="V5955" s="47"/>
      <c r="W5955" s="47"/>
      <c r="X5955" s="47"/>
      <c r="Y5955" s="47"/>
      <c r="Z5955" s="47"/>
      <c r="AA5955" s="49"/>
      <c r="AB5955" s="49"/>
      <c r="AC5955" s="49"/>
      <c r="AD5955" s="50"/>
      <c r="AE5955" s="47"/>
      <c r="AF5955" s="47"/>
      <c r="AG5955"/>
      <c r="AH5955"/>
      <c r="AI5955"/>
      <c r="AJ5955"/>
      <c r="AK5955"/>
      <c r="AL5955"/>
      <c r="AM5955"/>
      <c r="AN5955"/>
      <c r="AO5955"/>
      <c r="AP5955"/>
      <c r="AQ5955"/>
      <c r="AU5955">
        <v>5954</v>
      </c>
    </row>
    <row r="5956" spans="1:47" x14ac:dyDescent="0.2">
      <c r="A5956" s="13">
        <v>6819</v>
      </c>
      <c r="B5956" s="57" t="s">
        <v>45</v>
      </c>
      <c r="C5956" s="57" t="s">
        <v>142</v>
      </c>
      <c r="D5956" s="29"/>
      <c r="E5956" s="57" t="s">
        <v>6816</v>
      </c>
      <c r="F5956" s="31" t="s">
        <v>6817</v>
      </c>
      <c r="G5956" s="47" t="s">
        <v>49</v>
      </c>
      <c r="H5956"/>
      <c r="I5956" s="47" t="b">
        <v>1</v>
      </c>
      <c r="J5956" s="47" t="b">
        <v>1</v>
      </c>
      <c r="K5956" s="47">
        <f>3140*2.2</f>
        <v>6908.0000000000009</v>
      </c>
      <c r="L5956" s="48">
        <f>14+1</f>
        <v>15</v>
      </c>
      <c r="M5956" s="47">
        <v>1</v>
      </c>
      <c r="N5956" s="47">
        <v>3</v>
      </c>
      <c r="O5956" s="47"/>
      <c r="P5956" s="47"/>
      <c r="Q5956" s="47"/>
      <c r="R5956" s="47"/>
      <c r="S5956" s="48">
        <v>11</v>
      </c>
      <c r="T5956" s="47">
        <v>0</v>
      </c>
      <c r="U5956" s="47">
        <v>2</v>
      </c>
      <c r="V5956" s="47">
        <v>1</v>
      </c>
      <c r="W5956" s="47"/>
      <c r="X5956" s="47"/>
      <c r="Y5956" s="47" t="s">
        <v>51</v>
      </c>
      <c r="Z5956" s="47" t="s">
        <v>3855</v>
      </c>
      <c r="AA5956" s="49"/>
      <c r="AB5956" s="49"/>
      <c r="AC5956" s="49"/>
      <c r="AD5956" s="50"/>
      <c r="AE5956" s="31" t="s">
        <v>2470</v>
      </c>
      <c r="AF5956" s="47"/>
      <c r="AG5956"/>
      <c r="AH5956"/>
      <c r="AI5956"/>
      <c r="AJ5956"/>
      <c r="AK5956">
        <f>13+47+9+1+1</f>
        <v>71</v>
      </c>
      <c r="AL5956"/>
      <c r="AM5956"/>
      <c r="AN5956"/>
      <c r="AO5956"/>
      <c r="AP5956"/>
      <c r="AQ5956" t="s">
        <v>6818</v>
      </c>
      <c r="AR5956" s="32" t="s">
        <v>6819</v>
      </c>
      <c r="AU5956">
        <v>5955</v>
      </c>
    </row>
    <row r="5957" spans="1:47" x14ac:dyDescent="0.2">
      <c r="A5957" s="13">
        <v>6819</v>
      </c>
      <c r="B5957" s="57" t="s">
        <v>45</v>
      </c>
      <c r="C5957" s="57" t="s">
        <v>142</v>
      </c>
      <c r="D5957" s="29"/>
      <c r="E5957" s="57" t="s">
        <v>1078</v>
      </c>
      <c r="F5957" s="31" t="s">
        <v>76</v>
      </c>
      <c r="G5957" s="31" t="s">
        <v>49</v>
      </c>
      <c r="I5957" s="47" t="b">
        <v>0</v>
      </c>
      <c r="J5957" s="47" t="b">
        <v>0</v>
      </c>
      <c r="K5957" s="31">
        <v>5566</v>
      </c>
      <c r="S5957" s="33">
        <v>9</v>
      </c>
      <c r="AE5957" s="31" t="s">
        <v>2470</v>
      </c>
      <c r="AF5957" s="31">
        <v>60</v>
      </c>
      <c r="AK5957" s="32">
        <v>58</v>
      </c>
      <c r="AQ5957" s="32" t="s">
        <v>6820</v>
      </c>
      <c r="AU5957">
        <v>5956</v>
      </c>
    </row>
    <row r="5958" spans="1:47" x14ac:dyDescent="0.2">
      <c r="A5958" s="13">
        <v>6819</v>
      </c>
      <c r="B5958" s="57" t="s">
        <v>45</v>
      </c>
      <c r="C5958" s="57" t="s">
        <v>142</v>
      </c>
      <c r="D5958" s="29"/>
      <c r="E5958" s="57" t="s">
        <v>6821</v>
      </c>
      <c r="F5958" s="31" t="s">
        <v>6822</v>
      </c>
      <c r="G5958" s="31" t="s">
        <v>69</v>
      </c>
      <c r="I5958" s="47" t="b">
        <v>0</v>
      </c>
      <c r="J5958" s="47" t="b">
        <v>0</v>
      </c>
      <c r="K5958" s="31">
        <v>660</v>
      </c>
      <c r="S5958" s="33">
        <v>1</v>
      </c>
      <c r="AE5958" s="31" t="s">
        <v>2470</v>
      </c>
      <c r="AF5958" s="31">
        <v>45</v>
      </c>
      <c r="AK5958" s="32">
        <v>6</v>
      </c>
      <c r="AQ5958" s="32" t="s">
        <v>6820</v>
      </c>
      <c r="AU5958">
        <v>5957</v>
      </c>
    </row>
    <row r="5959" spans="1:47" x14ac:dyDescent="0.2">
      <c r="A5959" s="13">
        <v>6819</v>
      </c>
      <c r="B5959" s="57" t="s">
        <v>45</v>
      </c>
      <c r="C5959" s="57" t="s">
        <v>142</v>
      </c>
      <c r="D5959" s="29"/>
      <c r="E5959" s="57" t="s">
        <v>6823</v>
      </c>
      <c r="F5959" s="31" t="s">
        <v>76</v>
      </c>
      <c r="G5959" s="31" t="s">
        <v>49</v>
      </c>
      <c r="I5959" s="47" t="b">
        <v>0</v>
      </c>
      <c r="J5959" s="47" t="b">
        <v>0</v>
      </c>
      <c r="K5959" s="31">
        <v>682</v>
      </c>
      <c r="S5959" s="33">
        <v>1</v>
      </c>
      <c r="AE5959" s="31" t="s">
        <v>2470</v>
      </c>
      <c r="AF5959" s="31">
        <v>75</v>
      </c>
      <c r="AK5959" s="32">
        <v>7</v>
      </c>
      <c r="AQ5959" s="32" t="s">
        <v>6820</v>
      </c>
      <c r="AU5959">
        <v>5958</v>
      </c>
    </row>
    <row r="5960" spans="1:47" x14ac:dyDescent="0.2">
      <c r="A5960" s="13">
        <v>6819</v>
      </c>
      <c r="B5960" s="57" t="s">
        <v>45</v>
      </c>
      <c r="C5960" s="57" t="s">
        <v>4843</v>
      </c>
      <c r="D5960" s="29"/>
      <c r="E5960" s="57" t="s">
        <v>1064</v>
      </c>
      <c r="F5960" s="31" t="s">
        <v>76</v>
      </c>
      <c r="G5960" s="31" t="s">
        <v>49</v>
      </c>
      <c r="K5960" s="31">
        <v>1012</v>
      </c>
      <c r="S5960" s="33">
        <v>2</v>
      </c>
      <c r="Z5960" s="31" t="s">
        <v>3814</v>
      </c>
      <c r="AE5960" s="31" t="s">
        <v>4411</v>
      </c>
      <c r="AF5960" s="31">
        <v>55</v>
      </c>
      <c r="AK5960" s="32">
        <v>9</v>
      </c>
      <c r="AQ5960" s="32" t="s">
        <v>6820</v>
      </c>
      <c r="AU5960">
        <v>5959</v>
      </c>
    </row>
    <row r="5961" spans="1:47" x14ac:dyDescent="0.2">
      <c r="A5961" s="13">
        <v>6819</v>
      </c>
      <c r="B5961" s="57" t="s">
        <v>45</v>
      </c>
      <c r="C5961" s="57" t="s">
        <v>4843</v>
      </c>
      <c r="D5961" s="29"/>
      <c r="E5961" s="57" t="s">
        <v>6821</v>
      </c>
      <c r="F5961" s="31" t="s">
        <v>6822</v>
      </c>
      <c r="G5961" s="31" t="s">
        <v>69</v>
      </c>
      <c r="K5961" s="31">
        <v>1606</v>
      </c>
      <c r="S5961" s="33">
        <v>3</v>
      </c>
      <c r="Z5961" s="31" t="s">
        <v>3814</v>
      </c>
      <c r="AE5961" s="31" t="s">
        <v>4411</v>
      </c>
      <c r="AF5961" s="31">
        <v>60</v>
      </c>
      <c r="AK5961" s="32">
        <v>22</v>
      </c>
      <c r="AQ5961" s="32" t="s">
        <v>6820</v>
      </c>
      <c r="AU5961">
        <v>5960</v>
      </c>
    </row>
    <row r="5962" spans="1:47" x14ac:dyDescent="0.2">
      <c r="A5962" s="13">
        <v>6819</v>
      </c>
      <c r="B5962" s="57" t="s">
        <v>45</v>
      </c>
      <c r="C5962" s="57" t="s">
        <v>4843</v>
      </c>
      <c r="D5962" s="29"/>
      <c r="E5962" s="57" t="s">
        <v>5882</v>
      </c>
      <c r="F5962" s="31" t="s">
        <v>76</v>
      </c>
      <c r="G5962" s="31" t="s">
        <v>49</v>
      </c>
      <c r="K5962" s="31">
        <v>3355</v>
      </c>
      <c r="S5962" s="33">
        <v>7</v>
      </c>
      <c r="Z5962" s="31" t="s">
        <v>3814</v>
      </c>
      <c r="AE5962" s="31" t="s">
        <v>4411</v>
      </c>
      <c r="AF5962" s="31">
        <v>65</v>
      </c>
      <c r="AK5962" s="32">
        <v>36</v>
      </c>
      <c r="AQ5962" s="32" t="s">
        <v>6820</v>
      </c>
      <c r="AU5962">
        <v>5961</v>
      </c>
    </row>
    <row r="5963" spans="1:47" x14ac:dyDescent="0.2">
      <c r="A5963" s="13">
        <v>6819</v>
      </c>
      <c r="B5963" s="57" t="s">
        <v>45</v>
      </c>
      <c r="C5963" s="57" t="s">
        <v>4843</v>
      </c>
      <c r="D5963" s="29"/>
      <c r="E5963" s="57" t="s">
        <v>1078</v>
      </c>
      <c r="F5963" s="31" t="s">
        <v>76</v>
      </c>
      <c r="G5963" s="31" t="s">
        <v>49</v>
      </c>
      <c r="K5963" s="31">
        <v>4290</v>
      </c>
      <c r="S5963" s="33">
        <v>8</v>
      </c>
      <c r="Z5963" s="31" t="s">
        <v>3814</v>
      </c>
      <c r="AE5963" s="31" t="s">
        <v>4411</v>
      </c>
      <c r="AF5963" s="31">
        <v>70</v>
      </c>
      <c r="AK5963" s="32">
        <v>51</v>
      </c>
      <c r="AQ5963" s="32" t="s">
        <v>6820</v>
      </c>
      <c r="AU5963">
        <v>5962</v>
      </c>
    </row>
    <row r="5964" spans="1:47" x14ac:dyDescent="0.2">
      <c r="A5964" s="13">
        <v>6819</v>
      </c>
      <c r="B5964" s="57" t="s">
        <v>45</v>
      </c>
      <c r="C5964" s="57" t="s">
        <v>6550</v>
      </c>
      <c r="D5964" s="29"/>
      <c r="E5964" s="57" t="s">
        <v>1830</v>
      </c>
      <c r="F5964" s="31" t="s">
        <v>76</v>
      </c>
      <c r="G5964" s="31" t="s">
        <v>49</v>
      </c>
      <c r="K5964" s="31">
        <v>2860</v>
      </c>
      <c r="AK5964" s="32">
        <v>26</v>
      </c>
      <c r="AQ5964" s="32" t="s">
        <v>6824</v>
      </c>
      <c r="AU5964">
        <v>5963</v>
      </c>
    </row>
    <row r="5965" spans="1:47" x14ac:dyDescent="0.2">
      <c r="A5965" s="13">
        <v>6819</v>
      </c>
      <c r="B5965" s="57" t="s">
        <v>45</v>
      </c>
      <c r="C5965" s="57" t="s">
        <v>6550</v>
      </c>
      <c r="D5965" s="29"/>
      <c r="E5965" s="57" t="s">
        <v>6825</v>
      </c>
      <c r="F5965" s="31" t="s">
        <v>3637</v>
      </c>
      <c r="G5965" s="31" t="s">
        <v>69</v>
      </c>
      <c r="K5965" s="31">
        <v>18845.2</v>
      </c>
      <c r="AK5965" s="32">
        <v>241</v>
      </c>
      <c r="AQ5965" s="32" t="s">
        <v>6824</v>
      </c>
      <c r="AU5965">
        <v>5964</v>
      </c>
    </row>
    <row r="5966" spans="1:47" x14ac:dyDescent="0.2">
      <c r="A5966" s="13">
        <v>6819</v>
      </c>
      <c r="B5966" s="57" t="s">
        <v>45</v>
      </c>
      <c r="C5966" s="57" t="s">
        <v>6550</v>
      </c>
      <c r="D5966" s="29"/>
      <c r="E5966" s="57" t="s">
        <v>4969</v>
      </c>
      <c r="F5966" s="31" t="s">
        <v>76</v>
      </c>
      <c r="G5966" s="31" t="s">
        <v>49</v>
      </c>
      <c r="I5966" s="31" t="s">
        <v>6826</v>
      </c>
      <c r="J5966" s="33"/>
      <c r="K5966" s="193"/>
      <c r="AQ5966" s="32" t="s">
        <v>6824</v>
      </c>
      <c r="AU5966">
        <v>5965</v>
      </c>
    </row>
    <row r="5967" spans="1:47" x14ac:dyDescent="0.2">
      <c r="A5967" s="133">
        <v>6820</v>
      </c>
      <c r="B5967" s="39" t="s">
        <v>85</v>
      </c>
      <c r="C5967" s="39">
        <v>55</v>
      </c>
      <c r="D5967" s="29" t="b">
        <v>0</v>
      </c>
      <c r="E5967" s="39" t="s">
        <v>6827</v>
      </c>
      <c r="F5967" s="47" t="s">
        <v>529</v>
      </c>
      <c r="G5967" s="47" t="s">
        <v>205</v>
      </c>
      <c r="H5967"/>
      <c r="I5967" s="47" t="b">
        <v>1</v>
      </c>
      <c r="J5967" s="47" t="b">
        <v>1</v>
      </c>
      <c r="K5967" s="47">
        <v>4380</v>
      </c>
      <c r="L5967" s="48">
        <v>21</v>
      </c>
      <c r="M5967" s="47">
        <v>1</v>
      </c>
      <c r="N5967" s="47">
        <v>0</v>
      </c>
      <c r="O5967" s="47">
        <v>0</v>
      </c>
      <c r="P5967" s="47">
        <v>0</v>
      </c>
      <c r="Q5967" s="47">
        <v>0</v>
      </c>
      <c r="R5967" s="47">
        <v>0</v>
      </c>
      <c r="S5967" s="48">
        <v>20</v>
      </c>
      <c r="T5967" s="47">
        <v>0</v>
      </c>
      <c r="U5967" s="47">
        <v>0</v>
      </c>
      <c r="V5967" s="47">
        <v>0</v>
      </c>
      <c r="W5967" s="47">
        <v>14550</v>
      </c>
      <c r="X5967" s="47">
        <v>936</v>
      </c>
      <c r="Y5967" s="47"/>
      <c r="Z5967" s="47" t="s">
        <v>3618</v>
      </c>
      <c r="AA5967" s="49"/>
      <c r="AB5967" s="49"/>
      <c r="AC5967" s="49"/>
      <c r="AD5967" s="50"/>
      <c r="AE5967" s="47" t="s">
        <v>5433</v>
      </c>
      <c r="AF5967" s="47">
        <v>140</v>
      </c>
      <c r="AG5967"/>
      <c r="AH5967"/>
      <c r="AI5967"/>
      <c r="AJ5967"/>
      <c r="AK5967">
        <v>37</v>
      </c>
      <c r="AL5967"/>
      <c r="AM5967"/>
      <c r="AN5967"/>
      <c r="AO5967"/>
      <c r="AP5967"/>
      <c r="AQ5967" t="s">
        <v>5434</v>
      </c>
      <c r="AU5967">
        <v>5966</v>
      </c>
    </row>
    <row r="5968" spans="1:47" x14ac:dyDescent="0.2">
      <c r="A5968" s="133">
        <v>6820</v>
      </c>
      <c r="B5968" s="39" t="s">
        <v>85</v>
      </c>
      <c r="C5968" s="39">
        <v>55</v>
      </c>
      <c r="D5968" s="29" t="b">
        <v>0</v>
      </c>
      <c r="E5968" s="39" t="s">
        <v>6828</v>
      </c>
      <c r="F5968" s="47" t="s">
        <v>529</v>
      </c>
      <c r="G5968" s="47" t="s">
        <v>205</v>
      </c>
      <c r="H5968"/>
      <c r="I5968" s="47" t="b">
        <v>0</v>
      </c>
      <c r="J5968" s="47" t="b">
        <v>0</v>
      </c>
      <c r="K5968" s="47">
        <v>2022</v>
      </c>
      <c r="L5968" s="48">
        <v>10</v>
      </c>
      <c r="M5968" s="47">
        <v>1</v>
      </c>
      <c r="N5968" s="47">
        <v>0</v>
      </c>
      <c r="O5968" s="47">
        <v>0</v>
      </c>
      <c r="P5968" s="47">
        <v>0</v>
      </c>
      <c r="Q5968" s="47">
        <v>0</v>
      </c>
      <c r="R5968" s="47">
        <v>0</v>
      </c>
      <c r="S5968" s="48">
        <v>9</v>
      </c>
      <c r="T5968" s="47">
        <v>0</v>
      </c>
      <c r="U5968" s="47">
        <v>0</v>
      </c>
      <c r="V5968" s="47">
        <v>0</v>
      </c>
      <c r="W5968" s="47">
        <v>14000</v>
      </c>
      <c r="X5968" s="47">
        <v>937</v>
      </c>
      <c r="Y5968" s="47" t="s">
        <v>51</v>
      </c>
      <c r="Z5968" s="47" t="s">
        <v>3618</v>
      </c>
      <c r="AA5968" s="49">
        <v>0.39583333333333331</v>
      </c>
      <c r="AB5968" s="49">
        <v>0.47916666666666669</v>
      </c>
      <c r="AC5968" s="49">
        <v>0.44444444444444442</v>
      </c>
      <c r="AD5968" s="50">
        <f>(AB5968-AA5968)*24</f>
        <v>2.0000000000000009</v>
      </c>
      <c r="AE5968" s="47" t="s">
        <v>5433</v>
      </c>
      <c r="AF5968" s="47">
        <v>140</v>
      </c>
      <c r="AG5968"/>
      <c r="AH5968"/>
      <c r="AI5968"/>
      <c r="AJ5968"/>
      <c r="AK5968">
        <v>17</v>
      </c>
      <c r="AL5968"/>
      <c r="AM5968"/>
      <c r="AN5968"/>
      <c r="AO5968"/>
      <c r="AP5968"/>
      <c r="AQ5968" t="s">
        <v>5434</v>
      </c>
      <c r="AU5968">
        <v>5967</v>
      </c>
    </row>
    <row r="5969" spans="1:47" x14ac:dyDescent="0.2">
      <c r="A5969" s="133">
        <v>6820</v>
      </c>
      <c r="B5969" s="39" t="s">
        <v>85</v>
      </c>
      <c r="C5969" s="39">
        <v>55</v>
      </c>
      <c r="D5969" s="29" t="b">
        <v>0</v>
      </c>
      <c r="E5969" s="39" t="s">
        <v>6829</v>
      </c>
      <c r="F5969" s="47" t="s">
        <v>529</v>
      </c>
      <c r="G5969" s="47" t="s">
        <v>205</v>
      </c>
      <c r="H5969"/>
      <c r="I5969" s="47" t="b">
        <v>0</v>
      </c>
      <c r="J5969" s="47" t="b">
        <v>0</v>
      </c>
      <c r="K5969" s="47">
        <v>2358</v>
      </c>
      <c r="L5969" s="48">
        <v>11</v>
      </c>
      <c r="M5969" s="47">
        <v>0</v>
      </c>
      <c r="N5969" s="47">
        <v>0</v>
      </c>
      <c r="O5969" s="47">
        <v>0</v>
      </c>
      <c r="P5969" s="47">
        <v>0</v>
      </c>
      <c r="Q5969" s="47">
        <v>0</v>
      </c>
      <c r="R5969" s="47">
        <v>0</v>
      </c>
      <c r="S5969" s="48">
        <v>11</v>
      </c>
      <c r="T5969" s="47">
        <v>0</v>
      </c>
      <c r="U5969" s="47">
        <v>0</v>
      </c>
      <c r="V5969" s="47">
        <v>0</v>
      </c>
      <c r="W5969" s="47">
        <v>15000</v>
      </c>
      <c r="X5969" s="47">
        <v>953</v>
      </c>
      <c r="Y5969" s="47" t="s">
        <v>51</v>
      </c>
      <c r="Z5969" s="47" t="s">
        <v>3618</v>
      </c>
      <c r="AA5969" s="49">
        <v>0.63888888888888895</v>
      </c>
      <c r="AB5969" s="49">
        <v>0.72916666666666663</v>
      </c>
      <c r="AC5969" s="49">
        <v>0.69444444444444453</v>
      </c>
      <c r="AD5969" s="50">
        <f>(AB5969-AA5969)*24</f>
        <v>2.1666666666666643</v>
      </c>
      <c r="AE5969" s="47" t="s">
        <v>5433</v>
      </c>
      <c r="AF5969" s="47">
        <v>140</v>
      </c>
      <c r="AG5969"/>
      <c r="AH5969"/>
      <c r="AI5969"/>
      <c r="AJ5969"/>
      <c r="AK5969">
        <v>20</v>
      </c>
      <c r="AL5969"/>
      <c r="AM5969"/>
      <c r="AN5969"/>
      <c r="AO5969"/>
      <c r="AP5969"/>
      <c r="AQ5969" t="s">
        <v>5434</v>
      </c>
      <c r="AU5969">
        <v>5968</v>
      </c>
    </row>
    <row r="5970" spans="1:47" x14ac:dyDescent="0.2">
      <c r="A5970" s="133">
        <v>6820</v>
      </c>
      <c r="B5970" s="39" t="s">
        <v>85</v>
      </c>
      <c r="C5970" s="39">
        <v>99</v>
      </c>
      <c r="D5970" s="29" t="b">
        <v>0</v>
      </c>
      <c r="E5970" s="39" t="s">
        <v>6830</v>
      </c>
      <c r="F5970" s="47" t="s">
        <v>529</v>
      </c>
      <c r="G5970" s="47" t="s">
        <v>205</v>
      </c>
      <c r="H5970"/>
      <c r="I5970" s="47" t="b">
        <v>1</v>
      </c>
      <c r="J5970" s="47" t="b">
        <v>1</v>
      </c>
      <c r="K5970" s="47">
        <v>5222</v>
      </c>
      <c r="L5970" s="48">
        <v>24</v>
      </c>
      <c r="M5970" s="47">
        <v>0</v>
      </c>
      <c r="N5970" s="47">
        <v>0</v>
      </c>
      <c r="O5970" s="47">
        <v>1</v>
      </c>
      <c r="P5970" s="47">
        <v>0</v>
      </c>
      <c r="Q5970" s="47">
        <v>0</v>
      </c>
      <c r="R5970" s="47">
        <v>0</v>
      </c>
      <c r="S5970" s="48">
        <v>23</v>
      </c>
      <c r="T5970" s="47">
        <v>0</v>
      </c>
      <c r="U5970" s="47">
        <v>0</v>
      </c>
      <c r="V5970" s="47">
        <v>0</v>
      </c>
      <c r="W5970" s="47">
        <v>13435</v>
      </c>
      <c r="X5970" s="47">
        <v>950</v>
      </c>
      <c r="Y5970" s="47"/>
      <c r="Z5970" s="47" t="s">
        <v>5139</v>
      </c>
      <c r="AA5970" s="49"/>
      <c r="AB5970" s="49"/>
      <c r="AC5970" s="49"/>
      <c r="AD5970" s="50"/>
      <c r="AE5970" s="47" t="s">
        <v>5433</v>
      </c>
      <c r="AF5970" s="47">
        <v>140</v>
      </c>
      <c r="AG5970"/>
      <c r="AH5970"/>
      <c r="AI5970"/>
      <c r="AJ5970"/>
      <c r="AK5970">
        <f>30+33</f>
        <v>63</v>
      </c>
      <c r="AL5970"/>
      <c r="AM5970"/>
      <c r="AN5970"/>
      <c r="AO5970"/>
      <c r="AP5970"/>
      <c r="AQ5970" t="s">
        <v>2526</v>
      </c>
      <c r="AU5970">
        <v>5969</v>
      </c>
    </row>
    <row r="5971" spans="1:47" x14ac:dyDescent="0.2">
      <c r="A5971" s="133">
        <v>6820</v>
      </c>
      <c r="B5971" s="39" t="s">
        <v>85</v>
      </c>
      <c r="C5971" s="39">
        <v>99</v>
      </c>
      <c r="D5971" s="29" t="b">
        <v>0</v>
      </c>
      <c r="E5971" s="39" t="s">
        <v>6831</v>
      </c>
      <c r="F5971" s="47" t="s">
        <v>529</v>
      </c>
      <c r="G5971" s="47" t="s">
        <v>205</v>
      </c>
      <c r="H5971"/>
      <c r="I5971" s="47" t="b">
        <v>0</v>
      </c>
      <c r="J5971" s="47" t="b">
        <v>0</v>
      </c>
      <c r="K5971" s="47">
        <v>2502</v>
      </c>
      <c r="L5971" s="48">
        <v>12</v>
      </c>
      <c r="M5971" s="47">
        <v>0</v>
      </c>
      <c r="N5971" s="47">
        <v>0</v>
      </c>
      <c r="O5971" s="47">
        <v>1</v>
      </c>
      <c r="P5971" s="47">
        <v>0</v>
      </c>
      <c r="Q5971" s="47">
        <v>0</v>
      </c>
      <c r="R5971" s="47">
        <v>0</v>
      </c>
      <c r="S5971" s="48">
        <v>11</v>
      </c>
      <c r="T5971" s="47">
        <v>0</v>
      </c>
      <c r="U5971" s="47">
        <v>0</v>
      </c>
      <c r="V5971" s="47">
        <v>0</v>
      </c>
      <c r="W5971" s="47">
        <v>15000</v>
      </c>
      <c r="X5971" s="47">
        <v>949</v>
      </c>
      <c r="Y5971" s="47" t="s">
        <v>51</v>
      </c>
      <c r="Z5971" s="47" t="s">
        <v>5139</v>
      </c>
      <c r="AA5971" s="49">
        <v>0.375</v>
      </c>
      <c r="AB5971" s="49">
        <v>0.46875</v>
      </c>
      <c r="AC5971" s="49">
        <f>AVERAGE(AA5971:AB5971)</f>
        <v>0.421875</v>
      </c>
      <c r="AD5971" s="50">
        <f>(AB5971-AA5971)*24</f>
        <v>2.25</v>
      </c>
      <c r="AE5971" s="47" t="s">
        <v>5433</v>
      </c>
      <c r="AF5971" s="47">
        <v>140</v>
      </c>
      <c r="AG5971"/>
      <c r="AH5971"/>
      <c r="AI5971"/>
      <c r="AJ5971"/>
      <c r="AK5971">
        <v>30</v>
      </c>
      <c r="AL5971"/>
      <c r="AM5971"/>
      <c r="AN5971"/>
      <c r="AO5971"/>
      <c r="AP5971"/>
      <c r="AQ5971" t="s">
        <v>2526</v>
      </c>
      <c r="AU5971">
        <v>5970</v>
      </c>
    </row>
    <row r="5972" spans="1:47" x14ac:dyDescent="0.2">
      <c r="A5972" s="133">
        <v>6820</v>
      </c>
      <c r="B5972" s="39" t="s">
        <v>85</v>
      </c>
      <c r="C5972" s="39">
        <v>99</v>
      </c>
      <c r="D5972" s="29" t="b">
        <v>0</v>
      </c>
      <c r="E5972" s="39" t="s">
        <v>6832</v>
      </c>
      <c r="F5972" s="47" t="s">
        <v>529</v>
      </c>
      <c r="G5972" s="47" t="s">
        <v>205</v>
      </c>
      <c r="H5972"/>
      <c r="I5972" s="47" t="b">
        <v>0</v>
      </c>
      <c r="J5972" s="47" t="b">
        <v>0</v>
      </c>
      <c r="K5972" s="47">
        <v>2720</v>
      </c>
      <c r="L5972" s="48">
        <v>12</v>
      </c>
      <c r="M5972" s="47">
        <v>0</v>
      </c>
      <c r="N5972" s="47">
        <v>0</v>
      </c>
      <c r="O5972" s="47">
        <v>0</v>
      </c>
      <c r="P5972" s="47">
        <v>0</v>
      </c>
      <c r="Q5972" s="47">
        <v>0</v>
      </c>
      <c r="R5972" s="47">
        <v>0</v>
      </c>
      <c r="S5972" s="48">
        <v>12</v>
      </c>
      <c r="T5972" s="47">
        <v>0</v>
      </c>
      <c r="U5972" s="47">
        <v>0</v>
      </c>
      <c r="V5972" s="47">
        <v>0</v>
      </c>
      <c r="W5972" s="47">
        <v>12000</v>
      </c>
      <c r="X5972" s="47">
        <v>951</v>
      </c>
      <c r="Y5972" s="47" t="s">
        <v>51</v>
      </c>
      <c r="Z5972" s="47" t="s">
        <v>5139</v>
      </c>
      <c r="AA5972" s="49">
        <v>0.64583333333333337</v>
      </c>
      <c r="AB5972" s="49">
        <v>0.72916666666666663</v>
      </c>
      <c r="AC5972" s="49">
        <f>AVERAGE(AA5972:AB5972)</f>
        <v>0.6875</v>
      </c>
      <c r="AD5972" s="50">
        <f>(AB5972-AA5972)*24</f>
        <v>1.9999999999999982</v>
      </c>
      <c r="AE5972" s="47" t="s">
        <v>5433</v>
      </c>
      <c r="AF5972" s="47">
        <v>140</v>
      </c>
      <c r="AG5972"/>
      <c r="AH5972"/>
      <c r="AI5972"/>
      <c r="AJ5972"/>
      <c r="AK5972">
        <v>33</v>
      </c>
      <c r="AL5972"/>
      <c r="AM5972"/>
      <c r="AN5972"/>
      <c r="AO5972"/>
      <c r="AP5972"/>
      <c r="AQ5972" t="s">
        <v>2526</v>
      </c>
      <c r="AU5972">
        <v>5971</v>
      </c>
    </row>
    <row r="5973" spans="1:47" x14ac:dyDescent="0.2">
      <c r="A5973" s="133">
        <v>6820</v>
      </c>
      <c r="B5973" s="39" t="s">
        <v>85</v>
      </c>
      <c r="C5973" s="39">
        <v>104</v>
      </c>
      <c r="D5973" s="29" t="b">
        <v>0</v>
      </c>
      <c r="E5973" s="39" t="s">
        <v>6833</v>
      </c>
      <c r="F5973" s="47" t="s">
        <v>529</v>
      </c>
      <c r="G5973" s="47" t="s">
        <v>205</v>
      </c>
      <c r="H5973"/>
      <c r="I5973" s="47" t="b">
        <v>1</v>
      </c>
      <c r="J5973" s="47" t="b">
        <v>1</v>
      </c>
      <c r="K5973" s="47">
        <v>4328</v>
      </c>
      <c r="L5973" s="48">
        <v>24</v>
      </c>
      <c r="M5973" s="47">
        <v>0</v>
      </c>
      <c r="N5973" s="47">
        <v>2</v>
      </c>
      <c r="O5973" s="47">
        <v>1</v>
      </c>
      <c r="P5973" s="47">
        <v>0</v>
      </c>
      <c r="Q5973" s="47">
        <v>0</v>
      </c>
      <c r="R5973" s="47">
        <v>0</v>
      </c>
      <c r="S5973" s="48">
        <v>21</v>
      </c>
      <c r="T5973" s="47">
        <v>0</v>
      </c>
      <c r="U5973" s="47">
        <v>0</v>
      </c>
      <c r="V5973" s="47">
        <v>0</v>
      </c>
      <c r="W5973" s="47">
        <v>12738</v>
      </c>
      <c r="X5973" s="47">
        <v>939</v>
      </c>
      <c r="Y5973" s="47"/>
      <c r="Z5973" s="47" t="s">
        <v>5139</v>
      </c>
      <c r="AA5973" s="49"/>
      <c r="AB5973" s="49"/>
      <c r="AC5973" s="49"/>
      <c r="AD5973" s="50"/>
      <c r="AE5973" s="47" t="s">
        <v>5433</v>
      </c>
      <c r="AF5973" s="47">
        <v>140</v>
      </c>
      <c r="AG5973"/>
      <c r="AH5973"/>
      <c r="AI5973"/>
      <c r="AJ5973"/>
      <c r="AK5973">
        <v>26</v>
      </c>
      <c r="AL5973"/>
      <c r="AM5973"/>
      <c r="AN5973"/>
      <c r="AO5973"/>
      <c r="AP5973"/>
      <c r="AQ5973" t="s">
        <v>5485</v>
      </c>
      <c r="AU5973">
        <v>5972</v>
      </c>
    </row>
    <row r="5974" spans="1:47" x14ac:dyDescent="0.2">
      <c r="A5974" s="133">
        <v>6820</v>
      </c>
      <c r="B5974" s="39" t="s">
        <v>85</v>
      </c>
      <c r="C5974" s="39">
        <v>104</v>
      </c>
      <c r="D5974" s="29" t="b">
        <v>0</v>
      </c>
      <c r="E5974" s="39" t="s">
        <v>6834</v>
      </c>
      <c r="F5974" s="47" t="s">
        <v>529</v>
      </c>
      <c r="G5974" s="47" t="s">
        <v>205</v>
      </c>
      <c r="H5974"/>
      <c r="I5974" s="47" t="b">
        <v>0</v>
      </c>
      <c r="J5974" s="47" t="b">
        <v>0</v>
      </c>
      <c r="K5974" s="47">
        <v>2052</v>
      </c>
      <c r="L5974" s="48">
        <v>12</v>
      </c>
      <c r="M5974" s="47">
        <v>0</v>
      </c>
      <c r="N5974" s="47">
        <v>2</v>
      </c>
      <c r="O5974" s="47">
        <v>0</v>
      </c>
      <c r="P5974" s="47">
        <v>0</v>
      </c>
      <c r="Q5974" s="47">
        <v>0</v>
      </c>
      <c r="R5974" s="47">
        <v>0</v>
      </c>
      <c r="S5974" s="48">
        <v>10</v>
      </c>
      <c r="T5974" s="47">
        <v>0</v>
      </c>
      <c r="U5974" s="47">
        <v>0</v>
      </c>
      <c r="V5974" s="47">
        <v>0</v>
      </c>
      <c r="W5974" s="47">
        <v>13500</v>
      </c>
      <c r="X5974" s="47">
        <v>938</v>
      </c>
      <c r="Y5974" s="47" t="s">
        <v>51</v>
      </c>
      <c r="Z5974" s="47" t="s">
        <v>5139</v>
      </c>
      <c r="AA5974" s="49">
        <v>0.3923611111111111</v>
      </c>
      <c r="AB5974" s="49">
        <v>0.48958333333333331</v>
      </c>
      <c r="AC5974" s="49">
        <v>0.44097222222222227</v>
      </c>
      <c r="AD5974" s="50">
        <f>(AB5974-AA5974)*24</f>
        <v>2.333333333333333</v>
      </c>
      <c r="AE5974" s="47" t="s">
        <v>5433</v>
      </c>
      <c r="AF5974" s="47">
        <v>140</v>
      </c>
      <c r="AG5974"/>
      <c r="AH5974"/>
      <c r="AI5974"/>
      <c r="AJ5974"/>
      <c r="AK5974">
        <v>12</v>
      </c>
      <c r="AL5974"/>
      <c r="AM5974"/>
      <c r="AN5974"/>
      <c r="AO5974"/>
      <c r="AP5974"/>
      <c r="AQ5974" t="s">
        <v>5485</v>
      </c>
      <c r="AR5974" s="32" t="s">
        <v>6835</v>
      </c>
      <c r="AU5974">
        <v>5973</v>
      </c>
    </row>
    <row r="5975" spans="1:47" x14ac:dyDescent="0.2">
      <c r="A5975" s="133">
        <v>6820</v>
      </c>
      <c r="B5975" s="39" t="s">
        <v>85</v>
      </c>
      <c r="C5975" s="39">
        <v>104</v>
      </c>
      <c r="D5975" s="29" t="b">
        <v>0</v>
      </c>
      <c r="E5975" s="39" t="s">
        <v>6836</v>
      </c>
      <c r="F5975" s="47" t="s">
        <v>529</v>
      </c>
      <c r="G5975" s="47" t="s">
        <v>205</v>
      </c>
      <c r="H5975"/>
      <c r="I5975" s="47" t="b">
        <v>0</v>
      </c>
      <c r="J5975" s="47" t="b">
        <v>0</v>
      </c>
      <c r="K5975" s="47">
        <v>2276</v>
      </c>
      <c r="L5975" s="48">
        <v>12</v>
      </c>
      <c r="M5975" s="47">
        <v>0</v>
      </c>
      <c r="N5975" s="47">
        <v>0</v>
      </c>
      <c r="O5975" s="47">
        <v>1</v>
      </c>
      <c r="P5975" s="47">
        <v>0</v>
      </c>
      <c r="Q5975" s="47">
        <v>0</v>
      </c>
      <c r="R5975" s="47">
        <v>0</v>
      </c>
      <c r="S5975" s="48">
        <v>11</v>
      </c>
      <c r="T5975" s="47">
        <v>0</v>
      </c>
      <c r="U5975" s="47">
        <v>0</v>
      </c>
      <c r="V5975" s="47">
        <v>0</v>
      </c>
      <c r="W5975" s="47">
        <v>12500</v>
      </c>
      <c r="X5975" s="47">
        <v>944</v>
      </c>
      <c r="Y5975" s="47" t="s">
        <v>51</v>
      </c>
      <c r="Z5975" s="47" t="s">
        <v>5139</v>
      </c>
      <c r="AA5975" s="49">
        <v>0.65277777777777779</v>
      </c>
      <c r="AB5975" s="49">
        <v>0.73958333333333337</v>
      </c>
      <c r="AC5975" s="49">
        <v>0.70486111111111116</v>
      </c>
      <c r="AD5975" s="50">
        <f>(AB5975-AA5975)*24</f>
        <v>2.0833333333333339</v>
      </c>
      <c r="AE5975" s="47" t="s">
        <v>5433</v>
      </c>
      <c r="AF5975" s="47">
        <v>140</v>
      </c>
      <c r="AG5975"/>
      <c r="AH5975"/>
      <c r="AI5975"/>
      <c r="AJ5975"/>
      <c r="AK5975">
        <v>14</v>
      </c>
      <c r="AL5975"/>
      <c r="AM5975"/>
      <c r="AN5975"/>
      <c r="AO5975"/>
      <c r="AP5975"/>
      <c r="AQ5975" t="s">
        <v>5485</v>
      </c>
      <c r="AR5975" s="32" t="s">
        <v>6837</v>
      </c>
      <c r="AU5975">
        <v>5974</v>
      </c>
    </row>
    <row r="5976" spans="1:47" x14ac:dyDescent="0.2">
      <c r="A5976" s="133">
        <v>6820</v>
      </c>
      <c r="B5976" s="39" t="s">
        <v>85</v>
      </c>
      <c r="C5976" s="39" t="s">
        <v>5533</v>
      </c>
      <c r="D5976" s="29"/>
      <c r="E5976" s="38" t="s">
        <v>1400</v>
      </c>
      <c r="F5976" s="31" t="s">
        <v>220</v>
      </c>
      <c r="G5976" s="47" t="s">
        <v>49</v>
      </c>
      <c r="H5976"/>
      <c r="I5976" s="32" t="s">
        <v>6838</v>
      </c>
      <c r="J5976" s="47"/>
      <c r="K5976" s="118">
        <f>0.5*(20*50+50*20)*2.2</f>
        <v>2200</v>
      </c>
      <c r="L5976" s="48"/>
      <c r="M5976" s="47"/>
      <c r="N5976" s="47"/>
      <c r="O5976" s="47"/>
      <c r="P5976" s="47"/>
      <c r="Q5976" s="47"/>
      <c r="R5976" s="47"/>
      <c r="S5976" s="48"/>
      <c r="T5976" s="47"/>
      <c r="U5976" s="47"/>
      <c r="V5976" s="47"/>
      <c r="W5976" s="47"/>
      <c r="X5976" s="47"/>
      <c r="Y5976" s="47" t="s">
        <v>120</v>
      </c>
      <c r="Z5976" s="31" t="s">
        <v>3724</v>
      </c>
      <c r="AA5976" s="49"/>
      <c r="AB5976" s="49"/>
      <c r="AC5976" s="49"/>
      <c r="AD5976" s="50"/>
      <c r="AE5976" s="47" t="s">
        <v>5536</v>
      </c>
      <c r="AF5976" s="47">
        <v>95</v>
      </c>
      <c r="AG5976"/>
      <c r="AH5976"/>
      <c r="AI5976"/>
      <c r="AJ5976"/>
      <c r="AK5976" s="136">
        <f>(20+50)/2</f>
        <v>35</v>
      </c>
      <c r="AL5976"/>
      <c r="AM5976"/>
      <c r="AN5976"/>
      <c r="AO5976"/>
      <c r="AP5976"/>
      <c r="AQ5976" t="s">
        <v>6839</v>
      </c>
      <c r="AU5976">
        <v>5975</v>
      </c>
    </row>
    <row r="5977" spans="1:47" x14ac:dyDescent="0.2">
      <c r="A5977" s="133">
        <v>6820</v>
      </c>
      <c r="B5977" s="39" t="s">
        <v>85</v>
      </c>
      <c r="C5977" s="39" t="s">
        <v>5533</v>
      </c>
      <c r="D5977" s="29"/>
      <c r="E5977" s="38" t="s">
        <v>3063</v>
      </c>
      <c r="F5977" s="31" t="s">
        <v>220</v>
      </c>
      <c r="G5977" s="47" t="s">
        <v>49</v>
      </c>
      <c r="H5977"/>
      <c r="I5977" s="32" t="s">
        <v>6838</v>
      </c>
      <c r="J5977" s="47"/>
      <c r="K5977" s="118">
        <f>0.5*(20*50+50*20)*2.2</f>
        <v>2200</v>
      </c>
      <c r="L5977" s="48"/>
      <c r="M5977" s="47"/>
      <c r="N5977" s="47"/>
      <c r="O5977" s="47"/>
      <c r="P5977" s="47"/>
      <c r="Q5977" s="47"/>
      <c r="R5977" s="47"/>
      <c r="S5977" s="48"/>
      <c r="T5977" s="47"/>
      <c r="U5977" s="47"/>
      <c r="V5977" s="47"/>
      <c r="W5977" s="47"/>
      <c r="X5977" s="47"/>
      <c r="Y5977" s="47" t="s">
        <v>120</v>
      </c>
      <c r="Z5977" s="31" t="s">
        <v>3724</v>
      </c>
      <c r="AA5977" s="49"/>
      <c r="AB5977" s="49"/>
      <c r="AC5977" s="49"/>
      <c r="AD5977" s="50"/>
      <c r="AE5977" s="47" t="s">
        <v>5536</v>
      </c>
      <c r="AF5977" s="47">
        <v>100</v>
      </c>
      <c r="AG5977"/>
      <c r="AH5977"/>
      <c r="AI5977"/>
      <c r="AJ5977"/>
      <c r="AK5977" s="136">
        <f>(20+50)/2</f>
        <v>35</v>
      </c>
      <c r="AL5977"/>
      <c r="AM5977"/>
      <c r="AN5977"/>
      <c r="AO5977"/>
      <c r="AP5977"/>
      <c r="AQ5977" t="s">
        <v>6839</v>
      </c>
      <c r="AU5977">
        <v>5976</v>
      </c>
    </row>
    <row r="5978" spans="1:47" x14ac:dyDescent="0.2">
      <c r="A5978" s="133">
        <v>6820</v>
      </c>
      <c r="B5978" s="39" t="s">
        <v>85</v>
      </c>
      <c r="C5978" s="39" t="s">
        <v>5626</v>
      </c>
      <c r="D5978" s="45"/>
      <c r="E5978" s="195" t="s">
        <v>6840</v>
      </c>
      <c r="F5978" s="32" t="s">
        <v>170</v>
      </c>
      <c r="G5978" s="47" t="s">
        <v>69</v>
      </c>
      <c r="I5978" s="19" t="s">
        <v>6841</v>
      </c>
      <c r="K5978" s="19">
        <f>8120*2.2</f>
        <v>17864</v>
      </c>
      <c r="L5978" s="33">
        <v>77</v>
      </c>
      <c r="S5978" s="33">
        <v>67</v>
      </c>
      <c r="T5978" s="31">
        <v>0</v>
      </c>
      <c r="W5978" s="47">
        <f>4500*39.37/12</f>
        <v>14763.75</v>
      </c>
      <c r="Y5978" s="47" t="s">
        <v>120</v>
      </c>
      <c r="Z5978" s="31" t="s">
        <v>3724</v>
      </c>
      <c r="AC5978" s="34">
        <v>0.72916666666666663</v>
      </c>
      <c r="AD5978" s="31"/>
      <c r="AE5978" s="31" t="s">
        <v>6385</v>
      </c>
      <c r="AF5978" s="31">
        <v>105</v>
      </c>
      <c r="AQ5978" s="18" t="s">
        <v>6842</v>
      </c>
      <c r="AU5978">
        <v>5977</v>
      </c>
    </row>
    <row r="5979" spans="1:47" x14ac:dyDescent="0.2">
      <c r="A5979" s="133">
        <v>6820</v>
      </c>
      <c r="B5979" s="39" t="s">
        <v>45</v>
      </c>
      <c r="C5979" s="39">
        <v>97</v>
      </c>
      <c r="D5979" s="29" t="b">
        <v>0</v>
      </c>
      <c r="E5979" s="39" t="s">
        <v>6606</v>
      </c>
      <c r="F5979" s="47" t="s">
        <v>529</v>
      </c>
      <c r="G5979" s="47" t="s">
        <v>205</v>
      </c>
      <c r="H5979"/>
      <c r="I5979" s="47" t="b">
        <v>0</v>
      </c>
      <c r="J5979" s="47" t="b">
        <v>1</v>
      </c>
      <c r="K5979" s="47">
        <v>5654</v>
      </c>
      <c r="L5979" s="48">
        <v>5</v>
      </c>
      <c r="M5979" s="47">
        <v>0</v>
      </c>
      <c r="N5979" s="47">
        <v>0</v>
      </c>
      <c r="O5979" s="47">
        <v>0</v>
      </c>
      <c r="P5979" s="47">
        <v>0</v>
      </c>
      <c r="Q5979" s="47">
        <v>0</v>
      </c>
      <c r="R5979" s="47">
        <v>0</v>
      </c>
      <c r="S5979" s="48">
        <v>5</v>
      </c>
      <c r="T5979" s="47">
        <v>0</v>
      </c>
      <c r="U5979" s="47">
        <v>0</v>
      </c>
      <c r="V5979" s="47">
        <v>0</v>
      </c>
      <c r="W5979" s="47">
        <v>1850</v>
      </c>
      <c r="X5979" s="47">
        <v>952</v>
      </c>
      <c r="Y5979" s="47"/>
      <c r="Z5979" s="47" t="s">
        <v>2466</v>
      </c>
      <c r="AA5979" s="49"/>
      <c r="AB5979" s="49"/>
      <c r="AC5979" s="49"/>
      <c r="AD5979" s="50"/>
      <c r="AE5979" s="47"/>
      <c r="AF5979" s="47"/>
      <c r="AG5979"/>
      <c r="AH5979"/>
      <c r="AI5979"/>
      <c r="AJ5979"/>
      <c r="AK5979"/>
      <c r="AL5979"/>
      <c r="AM5979"/>
      <c r="AN5979"/>
      <c r="AO5979"/>
      <c r="AP5979"/>
      <c r="AQ5979" t="s">
        <v>2526</v>
      </c>
      <c r="AU5979">
        <v>5978</v>
      </c>
    </row>
    <row r="5980" spans="1:47" x14ac:dyDescent="0.2">
      <c r="A5980" s="133">
        <v>6820</v>
      </c>
      <c r="B5980" s="39" t="s">
        <v>45</v>
      </c>
      <c r="C5980" s="39">
        <v>100</v>
      </c>
      <c r="D5980" s="29" t="b">
        <v>0</v>
      </c>
      <c r="E5980" s="39" t="s">
        <v>5707</v>
      </c>
      <c r="F5980" s="47" t="s">
        <v>529</v>
      </c>
      <c r="G5980" s="47" t="s">
        <v>205</v>
      </c>
      <c r="H5980"/>
      <c r="I5980" s="47" t="b">
        <v>0</v>
      </c>
      <c r="J5980" s="47" t="b">
        <v>1</v>
      </c>
      <c r="K5980" s="47">
        <v>3024</v>
      </c>
      <c r="L5980" s="48">
        <v>2</v>
      </c>
      <c r="M5980" s="47">
        <v>0</v>
      </c>
      <c r="N5980" s="47">
        <v>0</v>
      </c>
      <c r="O5980" s="47">
        <v>0</v>
      </c>
      <c r="P5980" s="47">
        <v>0</v>
      </c>
      <c r="Q5980" s="47">
        <v>0</v>
      </c>
      <c r="R5980" s="47">
        <v>0</v>
      </c>
      <c r="S5980" s="48">
        <v>2</v>
      </c>
      <c r="T5980" s="47">
        <v>0</v>
      </c>
      <c r="U5980" s="47">
        <v>0</v>
      </c>
      <c r="V5980" s="47">
        <v>0</v>
      </c>
      <c r="W5980" s="47">
        <v>3000</v>
      </c>
      <c r="X5980" s="47">
        <v>945</v>
      </c>
      <c r="Y5980" s="47"/>
      <c r="Z5980" s="47" t="s">
        <v>2466</v>
      </c>
      <c r="AA5980" s="49"/>
      <c r="AB5980" s="49"/>
      <c r="AC5980" s="49"/>
      <c r="AD5980" s="50"/>
      <c r="AE5980" s="47" t="s">
        <v>6445</v>
      </c>
      <c r="AF5980" s="47">
        <v>85</v>
      </c>
      <c r="AG5980"/>
      <c r="AH5980"/>
      <c r="AI5980"/>
      <c r="AJ5980"/>
      <c r="AK5980"/>
      <c r="AL5980"/>
      <c r="AM5980"/>
      <c r="AN5980"/>
      <c r="AO5980"/>
      <c r="AP5980"/>
      <c r="AQ5980" t="s">
        <v>2526</v>
      </c>
      <c r="AU5980">
        <v>5979</v>
      </c>
    </row>
    <row r="5981" spans="1:47" x14ac:dyDescent="0.2">
      <c r="A5981" s="133">
        <v>6820</v>
      </c>
      <c r="B5981" s="39" t="s">
        <v>45</v>
      </c>
      <c r="C5981" s="39">
        <v>215</v>
      </c>
      <c r="D5981" s="29" t="b">
        <v>0</v>
      </c>
      <c r="E5981" s="39" t="s">
        <v>6843</v>
      </c>
      <c r="F5981" s="47" t="s">
        <v>6844</v>
      </c>
      <c r="G5981" s="47" t="s">
        <v>205</v>
      </c>
      <c r="H5981"/>
      <c r="I5981" s="47" t="b">
        <v>1</v>
      </c>
      <c r="J5981" s="47" t="b">
        <v>1</v>
      </c>
      <c r="K5981" s="47">
        <v>19528</v>
      </c>
      <c r="L5981" s="48">
        <v>11</v>
      </c>
      <c r="M5981" s="47">
        <v>0</v>
      </c>
      <c r="N5981" s="47">
        <v>2</v>
      </c>
      <c r="O5981" s="47">
        <v>0</v>
      </c>
      <c r="P5981" s="47">
        <v>0</v>
      </c>
      <c r="Q5981" s="47">
        <v>0</v>
      </c>
      <c r="R5981" s="47">
        <v>0</v>
      </c>
      <c r="S5981" s="48">
        <v>9</v>
      </c>
      <c r="T5981" s="47">
        <v>0</v>
      </c>
      <c r="U5981" s="47">
        <v>0</v>
      </c>
      <c r="V5981" s="47">
        <v>1</v>
      </c>
      <c r="W5981" s="47">
        <v>1000</v>
      </c>
      <c r="X5981" s="47">
        <v>948</v>
      </c>
      <c r="Y5981" s="47"/>
      <c r="Z5981" s="47" t="s">
        <v>2466</v>
      </c>
      <c r="AA5981" s="49"/>
      <c r="AB5981" s="49"/>
      <c r="AC5981" s="49"/>
      <c r="AD5981" s="50"/>
      <c r="AE5981" s="47"/>
      <c r="AF5981" s="47"/>
      <c r="AG5981"/>
      <c r="AH5981"/>
      <c r="AI5981"/>
      <c r="AJ5981"/>
      <c r="AK5981"/>
      <c r="AL5981"/>
      <c r="AM5981"/>
      <c r="AN5981"/>
      <c r="AO5981"/>
      <c r="AP5981"/>
      <c r="AQ5981" t="s">
        <v>2526</v>
      </c>
      <c r="AU5981">
        <v>5980</v>
      </c>
    </row>
    <row r="5982" spans="1:47" x14ac:dyDescent="0.2">
      <c r="A5982" s="133">
        <v>6820</v>
      </c>
      <c r="B5982" s="39" t="s">
        <v>45</v>
      </c>
      <c r="C5982" s="39">
        <v>215</v>
      </c>
      <c r="D5982" s="29" t="b">
        <v>0</v>
      </c>
      <c r="E5982" s="39" t="s">
        <v>6845</v>
      </c>
      <c r="F5982" s="47" t="s">
        <v>1743</v>
      </c>
      <c r="G5982" s="47" t="s">
        <v>49</v>
      </c>
      <c r="H5982"/>
      <c r="I5982" s="47" t="b">
        <v>0</v>
      </c>
      <c r="J5982" s="47" t="b">
        <v>0</v>
      </c>
      <c r="K5982" s="47">
        <v>4584</v>
      </c>
      <c r="L5982" s="48">
        <v>2</v>
      </c>
      <c r="M5982" s="47">
        <v>0</v>
      </c>
      <c r="N5982" s="47">
        <v>0</v>
      </c>
      <c r="O5982" s="47">
        <v>0</v>
      </c>
      <c r="P5982" s="47">
        <v>0</v>
      </c>
      <c r="Q5982" s="47">
        <v>0</v>
      </c>
      <c r="R5982" s="47">
        <v>0</v>
      </c>
      <c r="S5982" s="48">
        <v>2</v>
      </c>
      <c r="T5982" s="47">
        <v>0</v>
      </c>
      <c r="U5982" s="47">
        <v>0</v>
      </c>
      <c r="V5982" s="47">
        <v>0</v>
      </c>
      <c r="W5982" s="47">
        <v>1000</v>
      </c>
      <c r="X5982" s="47">
        <v>946</v>
      </c>
      <c r="Y5982" s="47"/>
      <c r="Z5982" s="47" t="s">
        <v>2466</v>
      </c>
      <c r="AA5982" s="49"/>
      <c r="AB5982" s="49"/>
      <c r="AC5982" s="49"/>
      <c r="AD5982" s="50"/>
      <c r="AE5982" s="47"/>
      <c r="AF5982" s="47"/>
      <c r="AG5982"/>
      <c r="AH5982"/>
      <c r="AI5982"/>
      <c r="AJ5982"/>
      <c r="AK5982"/>
      <c r="AL5982"/>
      <c r="AM5982"/>
      <c r="AN5982"/>
      <c r="AO5982"/>
      <c r="AP5982"/>
      <c r="AQ5982" t="s">
        <v>2526</v>
      </c>
      <c r="AU5982">
        <v>5981</v>
      </c>
    </row>
    <row r="5983" spans="1:47" x14ac:dyDescent="0.2">
      <c r="A5983" s="133">
        <v>6820</v>
      </c>
      <c r="B5983" s="39" t="s">
        <v>45</v>
      </c>
      <c r="C5983" s="39">
        <v>215</v>
      </c>
      <c r="D5983" s="29" t="b">
        <v>0</v>
      </c>
      <c r="E5983" s="39" t="s">
        <v>6606</v>
      </c>
      <c r="F5983" s="47" t="s">
        <v>529</v>
      </c>
      <c r="G5983" s="47" t="s">
        <v>205</v>
      </c>
      <c r="H5983"/>
      <c r="I5983" s="47" t="b">
        <v>0</v>
      </c>
      <c r="J5983" s="47" t="b">
        <v>0</v>
      </c>
      <c r="K5983" s="47">
        <v>14944</v>
      </c>
      <c r="L5983" s="48">
        <v>9</v>
      </c>
      <c r="M5983" s="47">
        <v>0</v>
      </c>
      <c r="N5983" s="47">
        <v>2</v>
      </c>
      <c r="O5983" s="47">
        <v>0</v>
      </c>
      <c r="P5983" s="47">
        <v>0</v>
      </c>
      <c r="Q5983" s="47">
        <v>0</v>
      </c>
      <c r="R5983" s="47">
        <v>0</v>
      </c>
      <c r="S5983" s="48">
        <v>7</v>
      </c>
      <c r="T5983" s="47">
        <v>0</v>
      </c>
      <c r="U5983" s="47">
        <v>0</v>
      </c>
      <c r="V5983" s="47">
        <v>1</v>
      </c>
      <c r="W5983" s="47">
        <v>1000</v>
      </c>
      <c r="X5983" s="47">
        <v>947</v>
      </c>
      <c r="Y5983" s="47"/>
      <c r="Z5983" s="47" t="s">
        <v>2466</v>
      </c>
      <c r="AA5983" s="49"/>
      <c r="AB5983" s="49"/>
      <c r="AC5983" s="49"/>
      <c r="AD5983" s="50"/>
      <c r="AE5983" s="47"/>
      <c r="AF5983" s="47"/>
      <c r="AG5983"/>
      <c r="AH5983"/>
      <c r="AI5983"/>
      <c r="AJ5983"/>
      <c r="AK5983"/>
      <c r="AL5983"/>
      <c r="AM5983"/>
      <c r="AN5983"/>
      <c r="AO5983"/>
      <c r="AP5983"/>
      <c r="AQ5983" t="s">
        <v>2526</v>
      </c>
      <c r="AU5983">
        <v>5982</v>
      </c>
    </row>
    <row r="5984" spans="1:47" x14ac:dyDescent="0.2">
      <c r="A5984" s="133">
        <v>6820</v>
      </c>
      <c r="B5984" s="39" t="s">
        <v>45</v>
      </c>
      <c r="C5984" s="39">
        <v>216</v>
      </c>
      <c r="D5984" s="29" t="b">
        <v>0</v>
      </c>
      <c r="E5984" s="39" t="s">
        <v>6846</v>
      </c>
      <c r="F5984" s="47" t="s">
        <v>6847</v>
      </c>
      <c r="G5984" s="47" t="s">
        <v>481</v>
      </c>
      <c r="H5984"/>
      <c r="I5984" s="47" t="b">
        <v>1</v>
      </c>
      <c r="J5984" s="47" t="b">
        <v>1</v>
      </c>
      <c r="K5984" s="47">
        <v>12137</v>
      </c>
      <c r="L5984" s="48">
        <v>8</v>
      </c>
      <c r="M5984" s="47">
        <v>0</v>
      </c>
      <c r="N5984" s="47">
        <v>0</v>
      </c>
      <c r="O5984" s="47">
        <v>0</v>
      </c>
      <c r="P5984" s="47">
        <v>0</v>
      </c>
      <c r="Q5984" s="47">
        <v>0</v>
      </c>
      <c r="R5984" s="47">
        <v>0</v>
      </c>
      <c r="S5984" s="48">
        <v>8</v>
      </c>
      <c r="T5984" s="47">
        <v>0</v>
      </c>
      <c r="U5984" s="47">
        <v>0</v>
      </c>
      <c r="V5984" s="47">
        <v>0</v>
      </c>
      <c r="W5984" s="47">
        <v>5472</v>
      </c>
      <c r="X5984" s="47">
        <v>943</v>
      </c>
      <c r="Y5984" s="47"/>
      <c r="Z5984" s="47" t="s">
        <v>2466</v>
      </c>
      <c r="AA5984" s="49"/>
      <c r="AB5984" s="49"/>
      <c r="AC5984" s="49"/>
      <c r="AD5984" s="50"/>
      <c r="AE5984" s="47" t="s">
        <v>1312</v>
      </c>
      <c r="AF5984" s="47">
        <v>105</v>
      </c>
      <c r="AG5984"/>
      <c r="AH5984"/>
      <c r="AI5984"/>
      <c r="AJ5984"/>
      <c r="AK5984"/>
      <c r="AL5984"/>
      <c r="AM5984"/>
      <c r="AN5984"/>
      <c r="AO5984"/>
      <c r="AP5984"/>
      <c r="AQ5984" t="s">
        <v>2526</v>
      </c>
      <c r="AU5984">
        <v>5983</v>
      </c>
    </row>
    <row r="5985" spans="1:47" x14ac:dyDescent="0.2">
      <c r="A5985" s="133">
        <v>6820</v>
      </c>
      <c r="B5985" s="39" t="s">
        <v>45</v>
      </c>
      <c r="C5985" s="39">
        <v>216</v>
      </c>
      <c r="D5985" s="29" t="b">
        <v>0</v>
      </c>
      <c r="E5985" s="39" t="s">
        <v>858</v>
      </c>
      <c r="F5985" s="47" t="s">
        <v>3665</v>
      </c>
      <c r="G5985" s="47" t="s">
        <v>481</v>
      </c>
      <c r="H5985"/>
      <c r="I5985" s="47" t="b">
        <v>0</v>
      </c>
      <c r="J5985" s="47" t="b">
        <v>0</v>
      </c>
      <c r="K5985" s="47">
        <v>7596</v>
      </c>
      <c r="L5985" s="48">
        <v>8</v>
      </c>
      <c r="M5985" s="47">
        <v>0</v>
      </c>
      <c r="N5985" s="47">
        <v>0</v>
      </c>
      <c r="O5985" s="47">
        <v>0</v>
      </c>
      <c r="P5985" s="47">
        <v>0</v>
      </c>
      <c r="Q5985" s="47">
        <v>0</v>
      </c>
      <c r="R5985" s="47">
        <v>0</v>
      </c>
      <c r="S5985" s="48">
        <v>5</v>
      </c>
      <c r="T5985" s="47">
        <v>0</v>
      </c>
      <c r="U5985" s="47">
        <v>0</v>
      </c>
      <c r="V5985" s="47">
        <v>0</v>
      </c>
      <c r="W5985" s="47">
        <v>5600</v>
      </c>
      <c r="X5985" s="47">
        <v>940</v>
      </c>
      <c r="Y5985" s="47"/>
      <c r="Z5985" s="47" t="s">
        <v>2466</v>
      </c>
      <c r="AA5985" s="49"/>
      <c r="AB5985" s="49"/>
      <c r="AC5985" s="49"/>
      <c r="AD5985" s="50"/>
      <c r="AE5985" s="47" t="s">
        <v>1312</v>
      </c>
      <c r="AF5985" s="47">
        <v>105</v>
      </c>
      <c r="AG5985"/>
      <c r="AH5985"/>
      <c r="AI5985"/>
      <c r="AJ5985"/>
      <c r="AK5985"/>
      <c r="AL5985"/>
      <c r="AM5985"/>
      <c r="AN5985"/>
      <c r="AO5985"/>
      <c r="AP5985"/>
      <c r="AQ5985" t="s">
        <v>2526</v>
      </c>
      <c r="AU5985">
        <v>5984</v>
      </c>
    </row>
    <row r="5986" spans="1:47" x14ac:dyDescent="0.2">
      <c r="A5986" s="133">
        <v>6820</v>
      </c>
      <c r="B5986" s="39" t="s">
        <v>45</v>
      </c>
      <c r="C5986" s="39">
        <v>216</v>
      </c>
      <c r="D5986" s="29" t="b">
        <v>0</v>
      </c>
      <c r="E5986" s="39" t="s">
        <v>858</v>
      </c>
      <c r="F5986" s="47" t="s">
        <v>5345</v>
      </c>
      <c r="G5986" s="47" t="s">
        <v>49</v>
      </c>
      <c r="H5986"/>
      <c r="I5986" s="47" t="b">
        <v>0</v>
      </c>
      <c r="J5986" s="47" t="b">
        <v>0</v>
      </c>
      <c r="K5986" s="47">
        <v>448</v>
      </c>
      <c r="L5986" s="48">
        <v>8</v>
      </c>
      <c r="M5986" s="47">
        <v>0</v>
      </c>
      <c r="N5986" s="47">
        <v>0</v>
      </c>
      <c r="O5986" s="47">
        <v>0</v>
      </c>
      <c r="P5986" s="47">
        <v>0</v>
      </c>
      <c r="Q5986" s="47">
        <v>0</v>
      </c>
      <c r="R5986" s="47">
        <v>0</v>
      </c>
      <c r="S5986" s="48">
        <v>1</v>
      </c>
      <c r="T5986" s="47">
        <v>0</v>
      </c>
      <c r="U5986" s="47">
        <v>0</v>
      </c>
      <c r="V5986" s="47">
        <v>0</v>
      </c>
      <c r="W5986" s="47">
        <v>7000</v>
      </c>
      <c r="X5986" s="47">
        <v>941</v>
      </c>
      <c r="Y5986" s="47"/>
      <c r="Z5986" s="47" t="s">
        <v>2466</v>
      </c>
      <c r="AA5986" s="49"/>
      <c r="AB5986" s="49"/>
      <c r="AC5986" s="49"/>
      <c r="AD5986" s="50"/>
      <c r="AE5986" s="47" t="s">
        <v>1312</v>
      </c>
      <c r="AF5986" s="47">
        <v>105</v>
      </c>
      <c r="AG5986"/>
      <c r="AH5986"/>
      <c r="AI5986"/>
      <c r="AJ5986"/>
      <c r="AK5986"/>
      <c r="AL5986"/>
      <c r="AM5986"/>
      <c r="AN5986"/>
      <c r="AO5986"/>
      <c r="AP5986"/>
      <c r="AQ5986" t="s">
        <v>2526</v>
      </c>
      <c r="AU5986">
        <v>5985</v>
      </c>
    </row>
    <row r="5987" spans="1:47" x14ac:dyDescent="0.2">
      <c r="A5987" s="133">
        <v>6820</v>
      </c>
      <c r="B5987" s="39" t="s">
        <v>45</v>
      </c>
      <c r="C5987" s="39">
        <v>216</v>
      </c>
      <c r="D5987" s="29" t="b">
        <v>0</v>
      </c>
      <c r="E5987" s="39" t="s">
        <v>5707</v>
      </c>
      <c r="F5987" s="47" t="s">
        <v>529</v>
      </c>
      <c r="G5987" s="47" t="s">
        <v>205</v>
      </c>
      <c r="H5987"/>
      <c r="I5987" s="47" t="b">
        <v>0</v>
      </c>
      <c r="J5987" s="47" t="b">
        <v>0</v>
      </c>
      <c r="K5987" s="47">
        <v>4093</v>
      </c>
      <c r="L5987" s="48">
        <v>8</v>
      </c>
      <c r="M5987" s="47">
        <v>0</v>
      </c>
      <c r="N5987" s="47">
        <v>0</v>
      </c>
      <c r="O5987" s="47">
        <v>0</v>
      </c>
      <c r="P5987" s="47">
        <v>0</v>
      </c>
      <c r="Q5987" s="47">
        <v>0</v>
      </c>
      <c r="R5987" s="47">
        <v>0</v>
      </c>
      <c r="S5987" s="48">
        <v>3</v>
      </c>
      <c r="T5987" s="47">
        <v>0</v>
      </c>
      <c r="U5987" s="47">
        <v>0</v>
      </c>
      <c r="V5987" s="47">
        <v>0</v>
      </c>
      <c r="W5987" s="47">
        <v>4750</v>
      </c>
      <c r="X5987" s="47">
        <v>942</v>
      </c>
      <c r="Y5987" s="47"/>
      <c r="Z5987" s="47" t="s">
        <v>2466</v>
      </c>
      <c r="AA5987" s="49"/>
      <c r="AB5987" s="49"/>
      <c r="AC5987" s="49"/>
      <c r="AD5987" s="50"/>
      <c r="AE5987" s="47" t="s">
        <v>1312</v>
      </c>
      <c r="AF5987" s="47">
        <v>75</v>
      </c>
      <c r="AG5987"/>
      <c r="AH5987"/>
      <c r="AI5987"/>
      <c r="AJ5987"/>
      <c r="AK5987"/>
      <c r="AL5987"/>
      <c r="AM5987"/>
      <c r="AN5987"/>
      <c r="AO5987"/>
      <c r="AP5987"/>
      <c r="AQ5987" t="s">
        <v>2526</v>
      </c>
      <c r="AU5987">
        <v>5986</v>
      </c>
    </row>
    <row r="5988" spans="1:47" x14ac:dyDescent="0.2">
      <c r="A5988" s="37">
        <v>6820</v>
      </c>
      <c r="B5988" s="38" t="s">
        <v>45</v>
      </c>
      <c r="C5988" s="39" t="s">
        <v>253</v>
      </c>
      <c r="D5988" s="29"/>
      <c r="E5988" s="38" t="s">
        <v>6848</v>
      </c>
      <c r="F5988" s="32" t="s">
        <v>246</v>
      </c>
      <c r="G5988" s="47"/>
      <c r="H5988"/>
      <c r="I5988" s="32"/>
      <c r="J5988" s="47"/>
      <c r="K5988" s="47"/>
      <c r="L5988" s="48"/>
      <c r="M5988" s="47"/>
      <c r="N5988" s="47"/>
      <c r="O5988" s="47"/>
      <c r="P5988" s="47"/>
      <c r="Q5988" s="47"/>
      <c r="R5988" s="47"/>
      <c r="S5988" s="48"/>
      <c r="T5988" s="47"/>
      <c r="U5988" s="47"/>
      <c r="V5988" s="47"/>
      <c r="W5988" s="47"/>
      <c r="X5988" s="47"/>
      <c r="Y5988" s="47"/>
      <c r="Z5988" s="47"/>
      <c r="AA5988" s="49"/>
      <c r="AB5988" s="49"/>
      <c r="AC5988" s="49"/>
      <c r="AD5988" s="50"/>
      <c r="AE5988" s="47"/>
      <c r="AF5988" s="47"/>
      <c r="AG5988"/>
      <c r="AH5988"/>
      <c r="AI5988"/>
      <c r="AJ5988"/>
      <c r="AK5988"/>
      <c r="AL5988"/>
      <c r="AM5988"/>
      <c r="AN5988"/>
      <c r="AO5988"/>
      <c r="AP5988"/>
      <c r="AQ5988"/>
      <c r="AU5988">
        <v>5987</v>
      </c>
    </row>
    <row r="5989" spans="1:47" x14ac:dyDescent="0.2">
      <c r="A5989" s="13">
        <v>6820</v>
      </c>
      <c r="B5989" s="57" t="s">
        <v>45</v>
      </c>
      <c r="C5989" s="57" t="s">
        <v>6550</v>
      </c>
      <c r="D5989" s="29"/>
      <c r="E5989" s="57" t="s">
        <v>6849</v>
      </c>
      <c r="F5989" s="31" t="s">
        <v>3183</v>
      </c>
      <c r="K5989" s="31">
        <v>550</v>
      </c>
      <c r="AK5989" s="32">
        <v>5</v>
      </c>
      <c r="AQ5989" s="32" t="s">
        <v>6824</v>
      </c>
      <c r="AU5989">
        <v>5988</v>
      </c>
    </row>
    <row r="5990" spans="1:47" x14ac:dyDescent="0.2">
      <c r="A5990" s="13">
        <v>6820</v>
      </c>
      <c r="B5990" s="57" t="s">
        <v>45</v>
      </c>
      <c r="C5990" s="57" t="s">
        <v>142</v>
      </c>
      <c r="D5990" s="29"/>
      <c r="E5990" s="57" t="s">
        <v>6850</v>
      </c>
      <c r="F5990" s="31" t="s">
        <v>6851</v>
      </c>
      <c r="G5990" s="31" t="s">
        <v>49</v>
      </c>
      <c r="I5990" s="47" t="b">
        <v>1</v>
      </c>
      <c r="J5990" s="47" t="b">
        <v>1</v>
      </c>
      <c r="K5990" s="31">
        <f>1570*2.2</f>
        <v>3454.0000000000005</v>
      </c>
      <c r="L5990" s="33">
        <v>6</v>
      </c>
      <c r="M5990" s="31">
        <v>1</v>
      </c>
      <c r="S5990" s="33">
        <v>5</v>
      </c>
      <c r="Y5990" s="31" t="s">
        <v>51</v>
      </c>
      <c r="Z5990" s="31" t="s">
        <v>5406</v>
      </c>
      <c r="AE5990" s="31" t="s">
        <v>2470</v>
      </c>
      <c r="AK5990" s="32">
        <f>18+2+14+3+4+2+2</f>
        <v>45</v>
      </c>
      <c r="AQ5990" s="32" t="s">
        <v>6852</v>
      </c>
      <c r="AR5990" s="32" t="s">
        <v>6853</v>
      </c>
      <c r="AU5990">
        <v>5989</v>
      </c>
    </row>
    <row r="5991" spans="1:47" x14ac:dyDescent="0.2">
      <c r="A5991" s="13">
        <v>6820</v>
      </c>
      <c r="B5991" s="57" t="s">
        <v>45</v>
      </c>
      <c r="C5991" s="57" t="s">
        <v>142</v>
      </c>
      <c r="D5991" s="29"/>
      <c r="E5991" s="57" t="s">
        <v>1078</v>
      </c>
      <c r="F5991" s="31" t="s">
        <v>76</v>
      </c>
      <c r="G5991" s="31" t="s">
        <v>49</v>
      </c>
      <c r="I5991" s="47" t="b">
        <v>0</v>
      </c>
      <c r="J5991" s="47" t="b">
        <v>0</v>
      </c>
      <c r="K5991" s="31">
        <v>2750</v>
      </c>
      <c r="S5991" s="33">
        <v>4</v>
      </c>
      <c r="AE5991" s="31" t="s">
        <v>2470</v>
      </c>
      <c r="AF5991" s="31">
        <v>60</v>
      </c>
      <c r="AK5991" s="32">
        <v>37</v>
      </c>
      <c r="AQ5991" s="32" t="s">
        <v>6820</v>
      </c>
      <c r="AU5991">
        <v>5990</v>
      </c>
    </row>
    <row r="5992" spans="1:47" x14ac:dyDescent="0.2">
      <c r="A5992" s="13">
        <v>6820</v>
      </c>
      <c r="B5992" s="57" t="s">
        <v>45</v>
      </c>
      <c r="C5992" s="57" t="s">
        <v>142</v>
      </c>
      <c r="D5992" s="29"/>
      <c r="E5992" s="57" t="s">
        <v>6112</v>
      </c>
      <c r="F5992" s="31" t="s">
        <v>6822</v>
      </c>
      <c r="G5992" s="31" t="s">
        <v>69</v>
      </c>
      <c r="I5992" s="47" t="b">
        <v>0</v>
      </c>
      <c r="J5992" s="47" t="b">
        <v>0</v>
      </c>
      <c r="K5992" s="31">
        <v>704</v>
      </c>
      <c r="S5992" s="33">
        <v>1</v>
      </c>
      <c r="AE5992" s="31" t="s">
        <v>2470</v>
      </c>
      <c r="AF5992" s="31">
        <v>55</v>
      </c>
      <c r="AK5992" s="32">
        <v>8</v>
      </c>
      <c r="AQ5992" s="32" t="s">
        <v>6820</v>
      </c>
      <c r="AU5992">
        <v>5991</v>
      </c>
    </row>
    <row r="5993" spans="1:47" x14ac:dyDescent="0.2">
      <c r="A5993" s="13">
        <v>6820</v>
      </c>
      <c r="B5993" s="57" t="s">
        <v>45</v>
      </c>
      <c r="C5993" s="57" t="s">
        <v>4843</v>
      </c>
      <c r="D5993" s="29"/>
      <c r="E5993" s="57" t="s">
        <v>5882</v>
      </c>
      <c r="F5993" s="31" t="s">
        <v>76</v>
      </c>
      <c r="K5993" s="31">
        <v>770</v>
      </c>
      <c r="S5993" s="33">
        <v>1</v>
      </c>
      <c r="Z5993" s="31" t="s">
        <v>3814</v>
      </c>
      <c r="AE5993" s="31" t="s">
        <v>4411</v>
      </c>
      <c r="AF5993" s="31">
        <v>65</v>
      </c>
      <c r="AK5993" s="32">
        <v>7</v>
      </c>
      <c r="AQ5993" s="32" t="s">
        <v>6820</v>
      </c>
      <c r="AU5993">
        <v>5992</v>
      </c>
    </row>
    <row r="5994" spans="1:47" x14ac:dyDescent="0.2">
      <c r="A5994" s="13">
        <v>6820</v>
      </c>
      <c r="B5994" s="57" t="s">
        <v>45</v>
      </c>
      <c r="C5994" s="57" t="s">
        <v>4843</v>
      </c>
      <c r="D5994" s="29"/>
      <c r="E5994" s="57" t="s">
        <v>6112</v>
      </c>
      <c r="F5994" s="31" t="s">
        <v>6822</v>
      </c>
      <c r="K5994" s="31">
        <v>1760</v>
      </c>
      <c r="S5994" s="33">
        <v>3</v>
      </c>
      <c r="Z5994" s="31" t="s">
        <v>3814</v>
      </c>
      <c r="AE5994" s="31" t="s">
        <v>4411</v>
      </c>
      <c r="AF5994" s="31">
        <v>70</v>
      </c>
      <c r="AK5994" s="32">
        <v>24</v>
      </c>
      <c r="AQ5994" s="32" t="s">
        <v>6820</v>
      </c>
      <c r="AU5994">
        <v>5993</v>
      </c>
    </row>
    <row r="5995" spans="1:47" x14ac:dyDescent="0.2">
      <c r="A5995" s="13">
        <v>6820</v>
      </c>
      <c r="B5995" s="57" t="s">
        <v>45</v>
      </c>
      <c r="C5995" s="57" t="s">
        <v>4843</v>
      </c>
      <c r="D5995" s="29"/>
      <c r="E5995" s="57" t="s">
        <v>1064</v>
      </c>
      <c r="F5995" s="31" t="s">
        <v>76</v>
      </c>
      <c r="K5995" s="31">
        <v>1782</v>
      </c>
      <c r="S5995" s="33">
        <v>3</v>
      </c>
      <c r="Z5995" s="31" t="s">
        <v>3814</v>
      </c>
      <c r="AE5995" s="31" t="s">
        <v>4411</v>
      </c>
      <c r="AF5995" s="31">
        <v>55</v>
      </c>
      <c r="AK5995" s="32">
        <v>20</v>
      </c>
      <c r="AQ5995" s="32" t="s">
        <v>6820</v>
      </c>
      <c r="AU5995">
        <v>5994</v>
      </c>
    </row>
    <row r="5996" spans="1:47" x14ac:dyDescent="0.2">
      <c r="A5996" s="13">
        <v>6820</v>
      </c>
      <c r="B5996" s="57" t="s">
        <v>45</v>
      </c>
      <c r="C5996" s="57" t="s">
        <v>4843</v>
      </c>
      <c r="D5996" s="29"/>
      <c r="E5996" s="57" t="s">
        <v>1078</v>
      </c>
      <c r="F5996" s="31" t="s">
        <v>76</v>
      </c>
      <c r="K5996" s="31">
        <v>6886</v>
      </c>
      <c r="S5996" s="33">
        <v>13</v>
      </c>
      <c r="Z5996" s="31" t="s">
        <v>3814</v>
      </c>
      <c r="AE5996" s="31" t="s">
        <v>4411</v>
      </c>
      <c r="AF5996" s="31">
        <v>70</v>
      </c>
      <c r="AK5996" s="32">
        <v>91</v>
      </c>
      <c r="AQ5996" s="32" t="s">
        <v>6820</v>
      </c>
      <c r="AU5996">
        <v>5995</v>
      </c>
    </row>
    <row r="5997" spans="1:47" x14ac:dyDescent="0.2">
      <c r="A5997" s="13">
        <v>6820</v>
      </c>
      <c r="B5997" s="57" t="s">
        <v>45</v>
      </c>
      <c r="C5997" s="57" t="s">
        <v>6550</v>
      </c>
      <c r="D5997" s="29"/>
      <c r="E5997" s="57" t="s">
        <v>6854</v>
      </c>
      <c r="F5997" s="31" t="s">
        <v>3637</v>
      </c>
      <c r="K5997" s="31">
        <v>13750</v>
      </c>
      <c r="AK5997" s="32">
        <v>84</v>
      </c>
      <c r="AQ5997" s="32" t="s">
        <v>6824</v>
      </c>
      <c r="AU5997">
        <v>5996</v>
      </c>
    </row>
    <row r="5998" spans="1:47" x14ac:dyDescent="0.2">
      <c r="A5998" s="13">
        <v>6820</v>
      </c>
      <c r="B5998" s="57" t="s">
        <v>45</v>
      </c>
      <c r="C5998" s="57" t="s">
        <v>6550</v>
      </c>
      <c r="D5998" s="29"/>
      <c r="E5998" s="57" t="s">
        <v>6855</v>
      </c>
      <c r="F5998" s="31" t="s">
        <v>76</v>
      </c>
      <c r="K5998" s="31">
        <v>1210</v>
      </c>
      <c r="AK5998" s="32">
        <v>11</v>
      </c>
      <c r="AQ5998" s="32" t="s">
        <v>6824</v>
      </c>
      <c r="AU5998">
        <v>5997</v>
      </c>
    </row>
    <row r="5999" spans="1:47" x14ac:dyDescent="0.2">
      <c r="A5999" s="13">
        <v>6820</v>
      </c>
      <c r="B5999" s="57" t="s">
        <v>45</v>
      </c>
      <c r="C5999" s="57" t="s">
        <v>6550</v>
      </c>
      <c r="D5999" s="29"/>
      <c r="E5999" s="57" t="s">
        <v>4839</v>
      </c>
      <c r="F5999" s="31" t="s">
        <v>76</v>
      </c>
      <c r="K5999" s="31">
        <v>1320</v>
      </c>
      <c r="AK5999" s="32">
        <v>16</v>
      </c>
      <c r="AQ5999" s="32" t="s">
        <v>6824</v>
      </c>
      <c r="AU5999">
        <v>5998</v>
      </c>
    </row>
    <row r="6000" spans="1:47" x14ac:dyDescent="0.2">
      <c r="A6000" s="13">
        <v>6820</v>
      </c>
      <c r="B6000" s="57" t="s">
        <v>45</v>
      </c>
      <c r="C6000" s="57" t="s">
        <v>6550</v>
      </c>
      <c r="D6000" s="29"/>
      <c r="E6000" s="57" t="s">
        <v>6856</v>
      </c>
      <c r="F6000" s="31" t="s">
        <v>6528</v>
      </c>
      <c r="K6000" s="31">
        <v>1331</v>
      </c>
      <c r="AK6000" s="32">
        <v>13</v>
      </c>
      <c r="AQ6000" s="32" t="s">
        <v>6824</v>
      </c>
      <c r="AU6000">
        <v>5999</v>
      </c>
    </row>
    <row r="6001" spans="1:47" x14ac:dyDescent="0.2">
      <c r="A6001" s="13">
        <v>6820</v>
      </c>
      <c r="B6001" s="57" t="s">
        <v>45</v>
      </c>
      <c r="C6001" s="57" t="s">
        <v>6550</v>
      </c>
      <c r="D6001" s="29"/>
      <c r="E6001" s="57" t="s">
        <v>4969</v>
      </c>
      <c r="F6001" s="31" t="s">
        <v>76</v>
      </c>
      <c r="I6001" s="31" t="s">
        <v>6826</v>
      </c>
      <c r="J6001" s="33"/>
      <c r="K6001" s="193"/>
      <c r="AQ6001" s="32" t="s">
        <v>6824</v>
      </c>
      <c r="AU6001">
        <v>6000</v>
      </c>
    </row>
    <row r="6002" spans="1:47" x14ac:dyDescent="0.2">
      <c r="A6002" s="26">
        <v>6820</v>
      </c>
      <c r="B6002" s="27">
        <v>0.41666666666666669</v>
      </c>
      <c r="C6002" s="28"/>
      <c r="D6002" s="29"/>
      <c r="E6002" s="30" t="s">
        <v>5987</v>
      </c>
      <c r="H6002" s="32">
        <v>1</v>
      </c>
      <c r="I6002" s="32" t="s">
        <v>6857</v>
      </c>
      <c r="AG6002" s="32">
        <v>0</v>
      </c>
      <c r="AH6002" s="32">
        <v>0</v>
      </c>
      <c r="AI6002" s="32">
        <v>0</v>
      </c>
      <c r="AP6002" s="32">
        <v>2</v>
      </c>
      <c r="AQ6002" s="32">
        <v>490</v>
      </c>
      <c r="AU6002">
        <v>6001</v>
      </c>
    </row>
    <row r="6003" spans="1:47" x14ac:dyDescent="0.2">
      <c r="A6003" s="26">
        <v>6820</v>
      </c>
      <c r="B6003" s="27">
        <v>0.49722222222222223</v>
      </c>
      <c r="C6003" s="28"/>
      <c r="D6003" s="29"/>
      <c r="E6003" s="30" t="s">
        <v>464</v>
      </c>
      <c r="H6003" s="32">
        <v>0</v>
      </c>
      <c r="I6003" s="32" t="s">
        <v>6814</v>
      </c>
      <c r="AG6003" s="32">
        <v>0</v>
      </c>
      <c r="AH6003" s="32">
        <v>0</v>
      </c>
      <c r="AL6003" s="32">
        <f>19/60</f>
        <v>0.31666666666666665</v>
      </c>
      <c r="AO6003" s="32" t="s">
        <v>4067</v>
      </c>
      <c r="AP6003" s="32">
        <f>19/60</f>
        <v>0.31666666666666665</v>
      </c>
      <c r="AQ6003" s="32" t="s">
        <v>1522</v>
      </c>
      <c r="AU6003">
        <v>6002</v>
      </c>
    </row>
    <row r="6004" spans="1:47" x14ac:dyDescent="0.2">
      <c r="A6004" s="26">
        <v>6820</v>
      </c>
      <c r="B6004" s="27">
        <v>0.57291666666666663</v>
      </c>
      <c r="C6004" s="28"/>
      <c r="D6004" s="29"/>
      <c r="E6004" s="30" t="s">
        <v>4219</v>
      </c>
      <c r="H6004" s="32">
        <v>1</v>
      </c>
      <c r="I6004" s="32"/>
      <c r="AL6004" s="32">
        <v>0.33300000000000002</v>
      </c>
      <c r="AO6004" s="32" t="s">
        <v>858</v>
      </c>
      <c r="AP6004" s="32">
        <v>0.33300000000000002</v>
      </c>
      <c r="AQ6004" s="32" t="s">
        <v>1101</v>
      </c>
      <c r="AU6004">
        <v>6003</v>
      </c>
    </row>
    <row r="6005" spans="1:47" x14ac:dyDescent="0.2">
      <c r="A6005" s="26">
        <v>6820</v>
      </c>
      <c r="B6005" s="27">
        <v>0.69791666666666663</v>
      </c>
      <c r="C6005" s="28"/>
      <c r="D6005" s="29"/>
      <c r="E6005" s="30" t="s">
        <v>464</v>
      </c>
      <c r="H6005" s="32">
        <v>0</v>
      </c>
      <c r="I6005" s="32" t="s">
        <v>6814</v>
      </c>
      <c r="AG6005" s="32">
        <v>0</v>
      </c>
      <c r="AH6005" s="32">
        <v>0</v>
      </c>
      <c r="AL6005" s="32">
        <v>1</v>
      </c>
      <c r="AO6005" s="32" t="s">
        <v>4067</v>
      </c>
      <c r="AP6005" s="32">
        <v>1</v>
      </c>
      <c r="AQ6005" s="32" t="s">
        <v>1522</v>
      </c>
      <c r="AU6005">
        <v>6004</v>
      </c>
    </row>
    <row r="6006" spans="1:47" x14ac:dyDescent="0.2">
      <c r="A6006" s="26">
        <v>6820</v>
      </c>
      <c r="B6006" s="27">
        <v>0.70833333333333337</v>
      </c>
      <c r="C6006" s="28"/>
      <c r="D6006" s="29"/>
      <c r="E6006" s="30" t="s">
        <v>5987</v>
      </c>
      <c r="H6006" s="32">
        <v>1</v>
      </c>
      <c r="I6006" s="32" t="s">
        <v>6858</v>
      </c>
      <c r="AG6006" s="32">
        <v>1</v>
      </c>
      <c r="AH6006" s="32">
        <v>1</v>
      </c>
      <c r="AP6006" s="32">
        <v>0.5</v>
      </c>
      <c r="AQ6006" s="32">
        <v>490</v>
      </c>
      <c r="AU6006">
        <v>6005</v>
      </c>
    </row>
    <row r="6007" spans="1:47" x14ac:dyDescent="0.2">
      <c r="A6007" s="26">
        <v>6820</v>
      </c>
      <c r="B6007" s="27">
        <v>0.78263888888888899</v>
      </c>
      <c r="C6007" s="28"/>
      <c r="D6007" s="29"/>
      <c r="E6007" s="30" t="s">
        <v>3155</v>
      </c>
      <c r="H6007" s="32">
        <v>0</v>
      </c>
      <c r="I6007" s="32" t="s">
        <v>3156</v>
      </c>
      <c r="AG6007" s="32">
        <v>0</v>
      </c>
      <c r="AH6007" s="32">
        <v>0</v>
      </c>
      <c r="AI6007" s="32">
        <v>0</v>
      </c>
      <c r="AK6007" s="32">
        <v>0</v>
      </c>
      <c r="AP6007" s="32">
        <f>28/60</f>
        <v>0.46666666666666667</v>
      </c>
      <c r="AQ6007" s="32" t="s">
        <v>1101</v>
      </c>
      <c r="AU6007">
        <v>6006</v>
      </c>
    </row>
    <row r="6008" spans="1:47" x14ac:dyDescent="0.2">
      <c r="A6008" s="26">
        <v>6820</v>
      </c>
      <c r="B6008" s="27">
        <v>0.92013888888888884</v>
      </c>
      <c r="C6008" s="28"/>
      <c r="D6008" s="29"/>
      <c r="E6008" s="30" t="s">
        <v>464</v>
      </c>
      <c r="H6008" s="32">
        <v>0</v>
      </c>
      <c r="I6008" s="32" t="s">
        <v>6814</v>
      </c>
      <c r="AG6008" s="32">
        <v>0</v>
      </c>
      <c r="AH6008" s="32">
        <v>0</v>
      </c>
      <c r="AL6008" s="32">
        <f>69/60</f>
        <v>1.1499999999999999</v>
      </c>
      <c r="AO6008" s="32" t="s">
        <v>4067</v>
      </c>
      <c r="AP6008" s="32">
        <f>69/60</f>
        <v>1.1499999999999999</v>
      </c>
      <c r="AQ6008" s="32" t="s">
        <v>1522</v>
      </c>
      <c r="AU6008">
        <v>6007</v>
      </c>
    </row>
    <row r="6009" spans="1:47" x14ac:dyDescent="0.2">
      <c r="A6009" s="26">
        <v>6820</v>
      </c>
      <c r="B6009" s="27">
        <v>0.92361111111111116</v>
      </c>
      <c r="C6009" s="28"/>
      <c r="D6009" s="29"/>
      <c r="E6009" s="30" t="s">
        <v>4219</v>
      </c>
      <c r="H6009" s="32">
        <v>1</v>
      </c>
      <c r="I6009" s="32" t="s">
        <v>6859</v>
      </c>
      <c r="AL6009" s="32">
        <f>65/60</f>
        <v>1.0833333333333333</v>
      </c>
      <c r="AO6009" s="32" t="s">
        <v>858</v>
      </c>
      <c r="AP6009" s="32">
        <f>65/60</f>
        <v>1.0833333333333333</v>
      </c>
      <c r="AQ6009" s="32" t="s">
        <v>1101</v>
      </c>
      <c r="AU6009">
        <v>6008</v>
      </c>
    </row>
    <row r="6010" spans="1:47" x14ac:dyDescent="0.2">
      <c r="A6010" s="26">
        <v>6820</v>
      </c>
      <c r="B6010" s="27">
        <v>0.9375</v>
      </c>
      <c r="C6010" s="28"/>
      <c r="D6010" s="29"/>
      <c r="E6010" s="102" t="s">
        <v>1102</v>
      </c>
      <c r="H6010" s="32">
        <v>0</v>
      </c>
      <c r="I6010" s="32" t="s">
        <v>1103</v>
      </c>
      <c r="AG6010" s="32">
        <v>0</v>
      </c>
      <c r="AH6010" s="32">
        <v>0</v>
      </c>
      <c r="AI6010" s="32">
        <v>0</v>
      </c>
      <c r="AK6010" s="32">
        <v>0</v>
      </c>
      <c r="AL6010" s="32">
        <f>78/60</f>
        <v>1.3</v>
      </c>
      <c r="AO6010" s="73" t="s">
        <v>1006</v>
      </c>
      <c r="AP6010" s="32">
        <f>78/60</f>
        <v>1.3</v>
      </c>
      <c r="AQ6010" s="32" t="s">
        <v>589</v>
      </c>
      <c r="AU6010">
        <v>6009</v>
      </c>
    </row>
    <row r="6011" spans="1:47" x14ac:dyDescent="0.2">
      <c r="A6011" s="26">
        <v>6820</v>
      </c>
      <c r="B6011" s="27">
        <v>0.95138888888888884</v>
      </c>
      <c r="C6011" s="28"/>
      <c r="D6011" s="29"/>
      <c r="E6011" s="30" t="s">
        <v>6003</v>
      </c>
      <c r="H6011" s="32">
        <v>1</v>
      </c>
      <c r="I6011" s="32" t="s">
        <v>6860</v>
      </c>
      <c r="AG6011" s="32">
        <v>0</v>
      </c>
      <c r="AH6011" s="32">
        <v>1</v>
      </c>
      <c r="AI6011" s="32">
        <v>8000</v>
      </c>
      <c r="AO6011" s="32" t="s">
        <v>6005</v>
      </c>
      <c r="AP6011" s="32">
        <f>4+25/60</f>
        <v>4.416666666666667</v>
      </c>
      <c r="AQ6011" s="32">
        <v>449</v>
      </c>
      <c r="AU6011">
        <v>6010</v>
      </c>
    </row>
    <row r="6012" spans="1:47" x14ac:dyDescent="0.2">
      <c r="A6012" s="26">
        <v>6820</v>
      </c>
      <c r="B6012" s="27">
        <v>0.95138888888888884</v>
      </c>
      <c r="C6012" s="28"/>
      <c r="D6012" s="29"/>
      <c r="E6012" s="30" t="s">
        <v>1282</v>
      </c>
      <c r="H6012" s="32">
        <v>0</v>
      </c>
      <c r="I6012" s="32" t="s">
        <v>6861</v>
      </c>
      <c r="AG6012" s="32">
        <v>0</v>
      </c>
      <c r="AH6012" s="32">
        <v>0</v>
      </c>
      <c r="AI6012" s="32">
        <v>0</v>
      </c>
      <c r="AK6012" s="32">
        <v>0</v>
      </c>
      <c r="AL6012" s="32">
        <v>0.5</v>
      </c>
      <c r="AP6012" s="32">
        <v>0.5</v>
      </c>
      <c r="AQ6012" s="32" t="s">
        <v>1101</v>
      </c>
      <c r="AU6012">
        <v>6011</v>
      </c>
    </row>
    <row r="6013" spans="1:47" x14ac:dyDescent="0.2">
      <c r="A6013" s="26">
        <v>6820</v>
      </c>
      <c r="B6013" s="27">
        <v>0.9555555555555556</v>
      </c>
      <c r="C6013" s="28"/>
      <c r="D6013" s="29"/>
      <c r="E6013" s="30" t="s">
        <v>2964</v>
      </c>
      <c r="H6013" s="32">
        <v>0</v>
      </c>
      <c r="I6013" s="32" t="s">
        <v>4158</v>
      </c>
      <c r="AG6013" s="32">
        <v>0</v>
      </c>
      <c r="AH6013" s="32">
        <v>0</v>
      </c>
      <c r="AI6013" s="32">
        <v>0</v>
      </c>
      <c r="AK6013" s="32">
        <v>0</v>
      </c>
      <c r="AL6013" s="32">
        <f>5/6</f>
        <v>0.83333333333333337</v>
      </c>
      <c r="AP6013" s="32">
        <f>5/6</f>
        <v>0.83333333333333337</v>
      </c>
      <c r="AQ6013" s="32" t="s">
        <v>1101</v>
      </c>
      <c r="AU6013">
        <v>6012</v>
      </c>
    </row>
    <row r="6014" spans="1:47" x14ac:dyDescent="0.2">
      <c r="A6014" s="26">
        <v>6820</v>
      </c>
      <c r="B6014" s="27">
        <v>0.97916666666666663</v>
      </c>
      <c r="C6014" s="28"/>
      <c r="D6014" s="29"/>
      <c r="E6014" s="30" t="s">
        <v>1028</v>
      </c>
      <c r="H6014" s="32">
        <v>1</v>
      </c>
      <c r="I6014" s="32" t="s">
        <v>6862</v>
      </c>
      <c r="AG6014" s="32">
        <v>0</v>
      </c>
      <c r="AH6014" s="32">
        <v>0</v>
      </c>
      <c r="AI6014" s="32">
        <v>60000</v>
      </c>
      <c r="AK6014" s="32">
        <f>9+12</f>
        <v>21</v>
      </c>
      <c r="AL6014" s="32">
        <v>24</v>
      </c>
      <c r="AO6014" s="32" t="s">
        <v>1030</v>
      </c>
      <c r="AQ6014" s="32">
        <v>433</v>
      </c>
      <c r="AU6014">
        <v>6013</v>
      </c>
    </row>
    <row r="6015" spans="1:47" x14ac:dyDescent="0.2">
      <c r="A6015" s="26">
        <v>6820</v>
      </c>
      <c r="B6015" s="27" t="s">
        <v>45</v>
      </c>
      <c r="C6015" s="28"/>
      <c r="D6015" s="29"/>
      <c r="E6015" s="72" t="s">
        <v>858</v>
      </c>
      <c r="H6015" s="32">
        <v>1</v>
      </c>
      <c r="I6015" s="32" t="s">
        <v>6863</v>
      </c>
      <c r="AK6015" s="32">
        <v>8</v>
      </c>
      <c r="AO6015" s="73"/>
      <c r="AQ6015" s="32" t="s">
        <v>6864</v>
      </c>
      <c r="AU6015">
        <v>6014</v>
      </c>
    </row>
    <row r="6016" spans="1:47" x14ac:dyDescent="0.2">
      <c r="A6016" s="26">
        <v>6820</v>
      </c>
      <c r="B6016" s="27" t="s">
        <v>45</v>
      </c>
      <c r="C6016" s="28"/>
      <c r="D6016" s="29"/>
      <c r="E6016" s="30" t="s">
        <v>1144</v>
      </c>
      <c r="H6016" s="32">
        <v>0</v>
      </c>
      <c r="I6016" s="32" t="s">
        <v>6865</v>
      </c>
      <c r="AG6016" s="32">
        <v>0</v>
      </c>
      <c r="AH6016" s="32">
        <v>0</v>
      </c>
      <c r="AI6016" s="32">
        <v>0</v>
      </c>
      <c r="AK6016" s="32">
        <v>0</v>
      </c>
      <c r="AO6016" s="32" t="s">
        <v>1006</v>
      </c>
      <c r="AQ6016" s="32">
        <v>424</v>
      </c>
      <c r="AU6016">
        <v>6015</v>
      </c>
    </row>
    <row r="6017" spans="1:47" x14ac:dyDescent="0.2">
      <c r="A6017" s="26">
        <v>6820</v>
      </c>
      <c r="B6017" s="27"/>
      <c r="C6017" s="28"/>
      <c r="D6017" s="29"/>
      <c r="E6017" s="30" t="s">
        <v>3063</v>
      </c>
      <c r="H6017" s="32">
        <v>1</v>
      </c>
      <c r="I6017" s="32" t="s">
        <v>6866</v>
      </c>
      <c r="AK6017" s="32">
        <v>20</v>
      </c>
      <c r="AQ6017" s="32">
        <v>375</v>
      </c>
      <c r="AU6017">
        <v>6016</v>
      </c>
    </row>
    <row r="6018" spans="1:47" x14ac:dyDescent="0.2">
      <c r="A6018" s="26">
        <v>6820</v>
      </c>
      <c r="B6018" s="27"/>
      <c r="C6018" s="28"/>
      <c r="D6018" s="29"/>
      <c r="E6018" s="72" t="s">
        <v>872</v>
      </c>
      <c r="H6018" s="32">
        <v>1</v>
      </c>
      <c r="I6018" s="32" t="s">
        <v>6867</v>
      </c>
      <c r="AG6018">
        <v>6</v>
      </c>
      <c r="AH6018">
        <v>1</v>
      </c>
      <c r="AI6018" s="32">
        <v>400000</v>
      </c>
      <c r="AK6018" s="32">
        <v>8</v>
      </c>
      <c r="AL6018" s="32">
        <f>14*24</f>
        <v>336</v>
      </c>
      <c r="AO6018" s="73" t="s">
        <v>858</v>
      </c>
      <c r="AQ6018" s="32">
        <v>439</v>
      </c>
      <c r="AU6018">
        <v>6017</v>
      </c>
    </row>
    <row r="6019" spans="1:47" x14ac:dyDescent="0.2">
      <c r="A6019" s="26">
        <v>6820</v>
      </c>
      <c r="B6019" s="27"/>
      <c r="C6019" s="28"/>
      <c r="D6019" s="29"/>
      <c r="E6019" s="30" t="s">
        <v>3737</v>
      </c>
      <c r="H6019" s="32">
        <v>0</v>
      </c>
      <c r="I6019" s="32" t="s">
        <v>6868</v>
      </c>
      <c r="AG6019" s="32">
        <v>0</v>
      </c>
      <c r="AH6019" s="32">
        <v>0</v>
      </c>
      <c r="AI6019" s="32">
        <v>0</v>
      </c>
      <c r="AK6019" s="32">
        <v>0</v>
      </c>
      <c r="AM6019" s="74"/>
      <c r="AQ6019" s="32" t="s">
        <v>1101</v>
      </c>
      <c r="AU6019">
        <v>6018</v>
      </c>
    </row>
    <row r="6020" spans="1:47" x14ac:dyDescent="0.2">
      <c r="A6020" s="133">
        <v>6821</v>
      </c>
      <c r="B6020" s="39" t="s">
        <v>85</v>
      </c>
      <c r="C6020" s="39">
        <v>99</v>
      </c>
      <c r="D6020" s="29" t="b">
        <v>0</v>
      </c>
      <c r="E6020" s="39" t="s">
        <v>1551</v>
      </c>
      <c r="F6020" s="47" t="s">
        <v>529</v>
      </c>
      <c r="G6020" s="47" t="s">
        <v>205</v>
      </c>
      <c r="H6020"/>
      <c r="I6020" s="47" t="b">
        <v>0</v>
      </c>
      <c r="J6020" s="47" t="b">
        <v>1</v>
      </c>
      <c r="K6020" s="47">
        <v>2496</v>
      </c>
      <c r="L6020" s="48">
        <v>14</v>
      </c>
      <c r="M6020" s="47">
        <v>0</v>
      </c>
      <c r="N6020" s="47">
        <v>3</v>
      </c>
      <c r="O6020" s="47">
        <v>0</v>
      </c>
      <c r="P6020" s="47">
        <v>0</v>
      </c>
      <c r="Q6020" s="47">
        <v>0</v>
      </c>
      <c r="R6020" s="47">
        <v>0</v>
      </c>
      <c r="S6020" s="48">
        <v>11</v>
      </c>
      <c r="T6020" s="47">
        <v>0</v>
      </c>
      <c r="U6020" s="47">
        <v>0</v>
      </c>
      <c r="V6020" s="47">
        <v>0</v>
      </c>
      <c r="W6020" s="47">
        <v>12500</v>
      </c>
      <c r="X6020" s="47">
        <v>956</v>
      </c>
      <c r="Y6020" s="47" t="s">
        <v>51</v>
      </c>
      <c r="Z6020" s="47" t="s">
        <v>5139</v>
      </c>
      <c r="AA6020" s="49">
        <v>0.66319444444444442</v>
      </c>
      <c r="AB6020" s="49">
        <v>0.74305555555555547</v>
      </c>
      <c r="AC6020" s="49">
        <f>AVERAGE(AA6020:AB6020)</f>
        <v>0.703125</v>
      </c>
      <c r="AD6020" s="50">
        <f>(AB6020-AA6020)*24</f>
        <v>1.9166666666666652</v>
      </c>
      <c r="AE6020" s="47" t="s">
        <v>5433</v>
      </c>
      <c r="AF6020" s="47">
        <v>45</v>
      </c>
      <c r="AG6020"/>
      <c r="AH6020"/>
      <c r="AI6020"/>
      <c r="AJ6020"/>
      <c r="AK6020">
        <v>31</v>
      </c>
      <c r="AL6020"/>
      <c r="AM6020"/>
      <c r="AN6020"/>
      <c r="AO6020"/>
      <c r="AP6020"/>
      <c r="AQ6020" t="s">
        <v>2526</v>
      </c>
      <c r="AU6020">
        <v>6019</v>
      </c>
    </row>
    <row r="6021" spans="1:47" x14ac:dyDescent="0.2">
      <c r="A6021" s="133">
        <v>6821</v>
      </c>
      <c r="B6021" s="39" t="s">
        <v>85</v>
      </c>
      <c r="C6021" s="39">
        <v>104</v>
      </c>
      <c r="D6021" s="29" t="b">
        <v>0</v>
      </c>
      <c r="E6021" s="39" t="s">
        <v>1551</v>
      </c>
      <c r="F6021" s="47" t="s">
        <v>529</v>
      </c>
      <c r="G6021" s="47" t="s">
        <v>205</v>
      </c>
      <c r="H6021"/>
      <c r="I6021" s="47" t="b">
        <v>0</v>
      </c>
      <c r="J6021" s="47" t="b">
        <v>1</v>
      </c>
      <c r="K6021" s="47">
        <v>2736</v>
      </c>
      <c r="L6021" s="48">
        <v>12</v>
      </c>
      <c r="M6021" s="47">
        <v>0</v>
      </c>
      <c r="N6021" s="47">
        <v>0</v>
      </c>
      <c r="O6021" s="47">
        <v>0</v>
      </c>
      <c r="P6021" s="47">
        <v>0</v>
      </c>
      <c r="Q6021" s="47">
        <v>0</v>
      </c>
      <c r="R6021" s="47">
        <v>0</v>
      </c>
      <c r="S6021" s="48">
        <v>12</v>
      </c>
      <c r="T6021" s="47">
        <v>0</v>
      </c>
      <c r="U6021" s="47">
        <v>0</v>
      </c>
      <c r="V6021" s="47">
        <v>0</v>
      </c>
      <c r="W6021" s="47">
        <v>13500</v>
      </c>
      <c r="X6021" s="47">
        <v>957</v>
      </c>
      <c r="Y6021" s="47" t="s">
        <v>51</v>
      </c>
      <c r="Z6021" s="47" t="s">
        <v>5139</v>
      </c>
      <c r="AA6021" s="49">
        <v>0.67013888888888884</v>
      </c>
      <c r="AB6021" s="49">
        <v>0.75</v>
      </c>
      <c r="AC6021" s="49">
        <v>0.72569444444444453</v>
      </c>
      <c r="AD6021" s="50">
        <f>(AB6021-AA6021)*24</f>
        <v>1.9166666666666679</v>
      </c>
      <c r="AE6021" s="47" t="s">
        <v>5433</v>
      </c>
      <c r="AF6021" s="47">
        <v>45</v>
      </c>
      <c r="AG6021"/>
      <c r="AH6021"/>
      <c r="AI6021"/>
      <c r="AJ6021"/>
      <c r="AK6021">
        <v>16</v>
      </c>
      <c r="AL6021"/>
      <c r="AM6021"/>
      <c r="AN6021"/>
      <c r="AO6021"/>
      <c r="AP6021"/>
      <c r="AQ6021" t="s">
        <v>5485</v>
      </c>
      <c r="AR6021" s="32" t="s">
        <v>6869</v>
      </c>
      <c r="AU6021">
        <v>6020</v>
      </c>
    </row>
    <row r="6022" spans="1:47" x14ac:dyDescent="0.2">
      <c r="A6022" s="133">
        <v>6821</v>
      </c>
      <c r="B6022" s="39" t="s">
        <v>85</v>
      </c>
      <c r="C6022" s="39" t="s">
        <v>5533</v>
      </c>
      <c r="D6022" s="29"/>
      <c r="E6022" s="39" t="s">
        <v>6870</v>
      </c>
      <c r="F6022" s="47" t="s">
        <v>340</v>
      </c>
      <c r="G6022" s="47" t="s">
        <v>49</v>
      </c>
      <c r="H6022"/>
      <c r="I6022" s="47" t="s">
        <v>6871</v>
      </c>
      <c r="J6022" s="47"/>
      <c r="K6022" s="118">
        <f>(8/14)*(26*50+52*20)*2.2</f>
        <v>2941.7142857142858</v>
      </c>
      <c r="L6022" s="48"/>
      <c r="M6022" s="47"/>
      <c r="N6022" s="47"/>
      <c r="O6022" s="47"/>
      <c r="P6022" s="47"/>
      <c r="Q6022" s="47">
        <v>1</v>
      </c>
      <c r="R6022" s="47"/>
      <c r="S6022" s="48">
        <v>8</v>
      </c>
      <c r="T6022" s="47">
        <v>0</v>
      </c>
      <c r="U6022" s="47">
        <v>0</v>
      </c>
      <c r="V6022" s="47">
        <v>0</v>
      </c>
      <c r="W6022" s="47"/>
      <c r="X6022" s="47"/>
      <c r="Y6022" s="47" t="s">
        <v>51</v>
      </c>
      <c r="Z6022" s="31" t="s">
        <v>3724</v>
      </c>
      <c r="AA6022" s="49"/>
      <c r="AB6022" s="49"/>
      <c r="AC6022" s="49"/>
      <c r="AD6022" s="50"/>
      <c r="AE6022" s="47" t="s">
        <v>5536</v>
      </c>
      <c r="AF6022" s="47">
        <v>100</v>
      </c>
      <c r="AG6022"/>
      <c r="AH6022"/>
      <c r="AI6022"/>
      <c r="AJ6022"/>
      <c r="AK6022" s="118">
        <f>(8/14)*(26+52)</f>
        <v>44.571428571428569</v>
      </c>
      <c r="AL6022"/>
      <c r="AM6022"/>
      <c r="AN6022"/>
      <c r="AO6022"/>
      <c r="AP6022"/>
      <c r="AQ6022" t="s">
        <v>6872</v>
      </c>
      <c r="AU6022">
        <v>6021</v>
      </c>
    </row>
    <row r="6023" spans="1:47" x14ac:dyDescent="0.2">
      <c r="A6023" s="133">
        <v>6821</v>
      </c>
      <c r="B6023" s="39" t="s">
        <v>85</v>
      </c>
      <c r="C6023" s="39" t="s">
        <v>5533</v>
      </c>
      <c r="D6023" s="29"/>
      <c r="E6023" s="39" t="s">
        <v>788</v>
      </c>
      <c r="F6023" s="47" t="s">
        <v>220</v>
      </c>
      <c r="G6023" s="47" t="s">
        <v>49</v>
      </c>
      <c r="H6023"/>
      <c r="I6023" s="47" t="s">
        <v>6873</v>
      </c>
      <c r="J6023" s="47"/>
      <c r="K6023" s="118">
        <f>(6/14)*(26*50+52*20)*2.2</f>
        <v>2206.2857142857142</v>
      </c>
      <c r="L6023" s="48"/>
      <c r="M6023" s="47"/>
      <c r="N6023" s="47"/>
      <c r="O6023" s="47"/>
      <c r="P6023" s="47"/>
      <c r="Q6023" s="47"/>
      <c r="R6023" s="47"/>
      <c r="S6023" s="48">
        <v>6</v>
      </c>
      <c r="T6023" s="47">
        <v>0</v>
      </c>
      <c r="U6023" s="47">
        <v>0</v>
      </c>
      <c r="V6023" s="47">
        <v>0</v>
      </c>
      <c r="W6023" s="47"/>
      <c r="X6023" s="47"/>
      <c r="Y6023" s="47" t="s">
        <v>120</v>
      </c>
      <c r="Z6023" s="31" t="s">
        <v>3724</v>
      </c>
      <c r="AA6023" s="49"/>
      <c r="AB6023" s="49"/>
      <c r="AC6023" s="49"/>
      <c r="AD6023" s="50"/>
      <c r="AE6023" s="47" t="s">
        <v>5536</v>
      </c>
      <c r="AF6023" s="47">
        <v>70</v>
      </c>
      <c r="AG6023"/>
      <c r="AH6023"/>
      <c r="AI6023"/>
      <c r="AJ6023"/>
      <c r="AK6023" s="118">
        <f>(6/14)*(26+52)</f>
        <v>33.428571428571423</v>
      </c>
      <c r="AL6023"/>
      <c r="AM6023"/>
      <c r="AN6023"/>
      <c r="AO6023"/>
      <c r="AP6023"/>
      <c r="AQ6023" t="s">
        <v>6872</v>
      </c>
      <c r="AU6023">
        <v>6022</v>
      </c>
    </row>
    <row r="6024" spans="1:47" x14ac:dyDescent="0.2">
      <c r="A6024" s="133">
        <v>6821</v>
      </c>
      <c r="B6024" s="39" t="s">
        <v>45</v>
      </c>
      <c r="C6024" s="39">
        <v>97</v>
      </c>
      <c r="D6024" s="29" t="b">
        <v>0</v>
      </c>
      <c r="E6024" s="39" t="s">
        <v>5707</v>
      </c>
      <c r="F6024" s="47" t="s">
        <v>529</v>
      </c>
      <c r="G6024" s="47" t="s">
        <v>205</v>
      </c>
      <c r="H6024"/>
      <c r="I6024" s="47" t="b">
        <v>0</v>
      </c>
      <c r="J6024" s="47" t="b">
        <v>1</v>
      </c>
      <c r="K6024" s="47">
        <v>5573</v>
      </c>
      <c r="L6024" s="48">
        <v>4</v>
      </c>
      <c r="M6024" s="47">
        <v>0</v>
      </c>
      <c r="N6024" s="47">
        <v>0</v>
      </c>
      <c r="O6024" s="47">
        <v>0</v>
      </c>
      <c r="P6024" s="47">
        <v>0</v>
      </c>
      <c r="Q6024" s="47">
        <v>0</v>
      </c>
      <c r="R6024" s="47">
        <v>0</v>
      </c>
      <c r="S6024" s="48">
        <v>4</v>
      </c>
      <c r="T6024" s="47">
        <v>0</v>
      </c>
      <c r="U6024" s="47">
        <v>0</v>
      </c>
      <c r="V6024" s="47">
        <v>0</v>
      </c>
      <c r="W6024" s="47">
        <v>4500</v>
      </c>
      <c r="X6024" s="47">
        <v>954</v>
      </c>
      <c r="Y6024" s="47"/>
      <c r="Z6024" s="47" t="s">
        <v>2466</v>
      </c>
      <c r="AA6024" s="49"/>
      <c r="AB6024" s="49"/>
      <c r="AC6024" s="49"/>
      <c r="AD6024" s="50"/>
      <c r="AE6024" s="47"/>
      <c r="AF6024" s="47"/>
      <c r="AG6024"/>
      <c r="AH6024"/>
      <c r="AI6024"/>
      <c r="AJ6024"/>
      <c r="AK6024"/>
      <c r="AL6024"/>
      <c r="AM6024"/>
      <c r="AN6024"/>
      <c r="AO6024"/>
      <c r="AP6024"/>
      <c r="AQ6024" t="s">
        <v>2526</v>
      </c>
      <c r="AU6024">
        <v>6023</v>
      </c>
    </row>
    <row r="6025" spans="1:47" x14ac:dyDescent="0.2">
      <c r="A6025" s="133">
        <v>6821</v>
      </c>
      <c r="B6025" s="39" t="s">
        <v>45</v>
      </c>
      <c r="C6025" s="39">
        <v>100</v>
      </c>
      <c r="D6025" s="29" t="b">
        <v>0</v>
      </c>
      <c r="E6025" s="39" t="s">
        <v>1551</v>
      </c>
      <c r="F6025" s="47" t="s">
        <v>529</v>
      </c>
      <c r="G6025" s="47" t="s">
        <v>205</v>
      </c>
      <c r="H6025"/>
      <c r="I6025" s="47" t="b">
        <v>0</v>
      </c>
      <c r="J6025" s="47" t="b">
        <v>1</v>
      </c>
      <c r="K6025" s="47">
        <v>4704</v>
      </c>
      <c r="L6025" s="48">
        <v>3</v>
      </c>
      <c r="M6025" s="47">
        <v>0</v>
      </c>
      <c r="N6025" s="47">
        <v>0</v>
      </c>
      <c r="O6025" s="47">
        <v>0</v>
      </c>
      <c r="P6025" s="47">
        <v>0</v>
      </c>
      <c r="Q6025" s="47">
        <v>0</v>
      </c>
      <c r="R6025" s="47">
        <v>0</v>
      </c>
      <c r="S6025" s="48">
        <v>3</v>
      </c>
      <c r="T6025" s="47">
        <v>0</v>
      </c>
      <c r="U6025" s="47">
        <v>0</v>
      </c>
      <c r="V6025" s="47">
        <v>0</v>
      </c>
      <c r="W6025" s="47">
        <v>3000</v>
      </c>
      <c r="X6025" s="47">
        <v>955</v>
      </c>
      <c r="Y6025" s="47"/>
      <c r="Z6025" s="47" t="s">
        <v>2466</v>
      </c>
      <c r="AA6025" s="49"/>
      <c r="AB6025" s="49"/>
      <c r="AC6025" s="49"/>
      <c r="AD6025" s="50"/>
      <c r="AE6025" s="47" t="s">
        <v>6445</v>
      </c>
      <c r="AF6025" s="47">
        <v>55</v>
      </c>
      <c r="AG6025"/>
      <c r="AH6025"/>
      <c r="AI6025"/>
      <c r="AJ6025"/>
      <c r="AK6025"/>
      <c r="AL6025"/>
      <c r="AM6025"/>
      <c r="AN6025"/>
      <c r="AO6025"/>
      <c r="AP6025"/>
      <c r="AQ6025" t="s">
        <v>2526</v>
      </c>
      <c r="AU6025">
        <v>6024</v>
      </c>
    </row>
    <row r="6026" spans="1:47" x14ac:dyDescent="0.2">
      <c r="A6026" s="133">
        <v>6821</v>
      </c>
      <c r="B6026" s="39" t="s">
        <v>45</v>
      </c>
      <c r="C6026" s="39">
        <v>215</v>
      </c>
      <c r="D6026" s="29" t="b">
        <v>0</v>
      </c>
      <c r="E6026" s="39" t="s">
        <v>1551</v>
      </c>
      <c r="F6026" s="47" t="s">
        <v>529</v>
      </c>
      <c r="G6026" s="47" t="s">
        <v>205</v>
      </c>
      <c r="H6026"/>
      <c r="I6026" s="47" t="b">
        <v>0</v>
      </c>
      <c r="J6026" s="47" t="b">
        <v>1</v>
      </c>
      <c r="K6026" s="47">
        <v>4084</v>
      </c>
      <c r="L6026" s="48">
        <v>2</v>
      </c>
      <c r="M6026" s="47">
        <v>0</v>
      </c>
      <c r="N6026" s="47">
        <v>0</v>
      </c>
      <c r="O6026" s="47">
        <v>0</v>
      </c>
      <c r="P6026" s="47">
        <v>0</v>
      </c>
      <c r="Q6026" s="47">
        <v>0</v>
      </c>
      <c r="R6026" s="47">
        <v>0</v>
      </c>
      <c r="S6026" s="48">
        <v>2</v>
      </c>
      <c r="T6026" s="47">
        <v>0</v>
      </c>
      <c r="U6026" s="47">
        <v>0</v>
      </c>
      <c r="V6026" s="47">
        <v>0</v>
      </c>
      <c r="W6026" s="47">
        <v>1350</v>
      </c>
      <c r="X6026" s="47">
        <v>958</v>
      </c>
      <c r="Y6026" s="47"/>
      <c r="Z6026" s="47" t="s">
        <v>2466</v>
      </c>
      <c r="AA6026" s="49"/>
      <c r="AB6026" s="49"/>
      <c r="AC6026" s="49"/>
      <c r="AD6026" s="50"/>
      <c r="AE6026" s="47"/>
      <c r="AF6026" s="47"/>
      <c r="AG6026"/>
      <c r="AH6026"/>
      <c r="AI6026"/>
      <c r="AJ6026"/>
      <c r="AK6026"/>
      <c r="AL6026"/>
      <c r="AM6026"/>
      <c r="AN6026"/>
      <c r="AO6026"/>
      <c r="AP6026"/>
      <c r="AQ6026" t="s">
        <v>2526</v>
      </c>
      <c r="AU6026">
        <v>6025</v>
      </c>
    </row>
    <row r="6027" spans="1:47" x14ac:dyDescent="0.2">
      <c r="A6027" s="133">
        <v>6821</v>
      </c>
      <c r="B6027" s="39" t="s">
        <v>45</v>
      </c>
      <c r="C6027" s="39">
        <v>216</v>
      </c>
      <c r="D6027" s="29" t="b">
        <v>0</v>
      </c>
      <c r="E6027" s="39" t="s">
        <v>6874</v>
      </c>
      <c r="F6027" s="47" t="s">
        <v>6875</v>
      </c>
      <c r="G6027" s="47" t="s">
        <v>205</v>
      </c>
      <c r="H6027"/>
      <c r="I6027" s="47" t="b">
        <v>1</v>
      </c>
      <c r="J6027" s="47" t="b">
        <v>1</v>
      </c>
      <c r="K6027" s="47">
        <v>10956</v>
      </c>
      <c r="L6027" s="48">
        <v>7</v>
      </c>
      <c r="M6027" s="47">
        <v>0</v>
      </c>
      <c r="N6027" s="47">
        <v>0</v>
      </c>
      <c r="O6027" s="47">
        <v>0</v>
      </c>
      <c r="P6027" s="47">
        <v>0</v>
      </c>
      <c r="Q6027" s="47">
        <v>0</v>
      </c>
      <c r="R6027" s="47">
        <v>0</v>
      </c>
      <c r="S6027" s="48">
        <v>7</v>
      </c>
      <c r="T6027" s="47">
        <v>0</v>
      </c>
      <c r="U6027" s="47">
        <v>0</v>
      </c>
      <c r="V6027" s="47">
        <v>0</v>
      </c>
      <c r="W6027" s="47">
        <v>4712</v>
      </c>
      <c r="X6027" s="47">
        <v>959</v>
      </c>
      <c r="Y6027" s="47"/>
      <c r="Z6027" s="47" t="s">
        <v>2466</v>
      </c>
      <c r="AA6027" s="49"/>
      <c r="AB6027" s="49"/>
      <c r="AC6027" s="49"/>
      <c r="AD6027" s="50"/>
      <c r="AE6027" s="47" t="s">
        <v>1312</v>
      </c>
      <c r="AF6027" s="47">
        <v>100</v>
      </c>
      <c r="AG6027"/>
      <c r="AH6027"/>
      <c r="AI6027"/>
      <c r="AJ6027"/>
      <c r="AK6027"/>
      <c r="AL6027"/>
      <c r="AM6027"/>
      <c r="AN6027"/>
      <c r="AO6027"/>
      <c r="AP6027"/>
      <c r="AQ6027" t="s">
        <v>2526</v>
      </c>
      <c r="AU6027">
        <v>6026</v>
      </c>
    </row>
    <row r="6028" spans="1:47" x14ac:dyDescent="0.2">
      <c r="A6028" s="133">
        <v>6821</v>
      </c>
      <c r="B6028" s="39" t="s">
        <v>45</v>
      </c>
      <c r="C6028" s="39">
        <v>216</v>
      </c>
      <c r="D6028" s="29" t="b">
        <v>0</v>
      </c>
      <c r="E6028" s="39" t="s">
        <v>1551</v>
      </c>
      <c r="F6028" s="47" t="s">
        <v>529</v>
      </c>
      <c r="G6028" s="47" t="s">
        <v>205</v>
      </c>
      <c r="H6028"/>
      <c r="I6028" s="47" t="b">
        <v>0</v>
      </c>
      <c r="J6028" s="47" t="b">
        <v>0</v>
      </c>
      <c r="K6028" s="47">
        <v>5030</v>
      </c>
      <c r="L6028" s="48">
        <v>3</v>
      </c>
      <c r="M6028" s="47">
        <v>0</v>
      </c>
      <c r="N6028" s="47">
        <v>0</v>
      </c>
      <c r="O6028" s="47">
        <v>0</v>
      </c>
      <c r="P6028" s="47">
        <v>0</v>
      </c>
      <c r="Q6028" s="47">
        <v>0</v>
      </c>
      <c r="R6028" s="47">
        <v>0</v>
      </c>
      <c r="S6028" s="48">
        <v>3</v>
      </c>
      <c r="T6028" s="47">
        <v>0</v>
      </c>
      <c r="U6028" s="47">
        <v>0</v>
      </c>
      <c r="V6028" s="47">
        <v>0</v>
      </c>
      <c r="W6028" s="47">
        <v>4500</v>
      </c>
      <c r="X6028" s="47">
        <v>960</v>
      </c>
      <c r="Y6028" s="47"/>
      <c r="Z6028" s="47" t="s">
        <v>2466</v>
      </c>
      <c r="AA6028" s="49"/>
      <c r="AB6028" s="49"/>
      <c r="AC6028" s="49"/>
      <c r="AD6028" s="50"/>
      <c r="AE6028" s="47" t="s">
        <v>1312</v>
      </c>
      <c r="AF6028" s="47">
        <v>60</v>
      </c>
      <c r="AG6028"/>
      <c r="AH6028"/>
      <c r="AI6028"/>
      <c r="AJ6028"/>
      <c r="AK6028"/>
      <c r="AL6028"/>
      <c r="AM6028"/>
      <c r="AN6028"/>
      <c r="AO6028"/>
      <c r="AP6028"/>
      <c r="AQ6028" t="s">
        <v>2526</v>
      </c>
      <c r="AU6028">
        <v>6027</v>
      </c>
    </row>
    <row r="6029" spans="1:47" x14ac:dyDescent="0.2">
      <c r="A6029" s="133">
        <v>6821</v>
      </c>
      <c r="B6029" s="39" t="s">
        <v>45</v>
      </c>
      <c r="C6029" s="39">
        <v>216</v>
      </c>
      <c r="D6029" s="29" t="b">
        <v>0</v>
      </c>
      <c r="E6029" s="39" t="s">
        <v>5707</v>
      </c>
      <c r="F6029" s="47" t="s">
        <v>529</v>
      </c>
      <c r="G6029" s="47" t="s">
        <v>205</v>
      </c>
      <c r="H6029"/>
      <c r="I6029" s="47" t="b">
        <v>0</v>
      </c>
      <c r="J6029" s="47" t="b">
        <v>0</v>
      </c>
      <c r="K6029" s="47">
        <v>4480</v>
      </c>
      <c r="L6029" s="48">
        <v>3</v>
      </c>
      <c r="M6029" s="47">
        <v>0</v>
      </c>
      <c r="N6029" s="47">
        <v>0</v>
      </c>
      <c r="O6029" s="47">
        <v>0</v>
      </c>
      <c r="P6029" s="47">
        <v>0</v>
      </c>
      <c r="Q6029" s="47">
        <v>0</v>
      </c>
      <c r="R6029" s="47">
        <v>0</v>
      </c>
      <c r="S6029" s="48">
        <v>3</v>
      </c>
      <c r="T6029" s="47">
        <v>0</v>
      </c>
      <c r="U6029" s="47">
        <v>0</v>
      </c>
      <c r="V6029" s="47">
        <v>0</v>
      </c>
      <c r="W6029" s="47">
        <v>4500</v>
      </c>
      <c r="X6029" s="47">
        <v>961</v>
      </c>
      <c r="Y6029" s="47"/>
      <c r="Z6029" s="47" t="s">
        <v>2466</v>
      </c>
      <c r="AA6029" s="49"/>
      <c r="AB6029" s="49"/>
      <c r="AC6029" s="49"/>
      <c r="AD6029" s="50"/>
      <c r="AE6029" s="47" t="s">
        <v>1312</v>
      </c>
      <c r="AF6029" s="47">
        <v>75</v>
      </c>
      <c r="AG6029"/>
      <c r="AH6029"/>
      <c r="AI6029"/>
      <c r="AJ6029"/>
      <c r="AK6029"/>
      <c r="AL6029"/>
      <c r="AM6029"/>
      <c r="AN6029"/>
      <c r="AO6029"/>
      <c r="AP6029"/>
      <c r="AQ6029" t="s">
        <v>2526</v>
      </c>
      <c r="AU6029">
        <v>6028</v>
      </c>
    </row>
    <row r="6030" spans="1:47" x14ac:dyDescent="0.2">
      <c r="A6030" s="133">
        <v>6821</v>
      </c>
      <c r="B6030" s="39" t="s">
        <v>45</v>
      </c>
      <c r="C6030" s="39">
        <v>216</v>
      </c>
      <c r="D6030" s="29" t="b">
        <v>0</v>
      </c>
      <c r="E6030" s="39" t="s">
        <v>6876</v>
      </c>
      <c r="F6030" s="47" t="s">
        <v>1972</v>
      </c>
      <c r="G6030" s="47" t="s">
        <v>481</v>
      </c>
      <c r="H6030"/>
      <c r="I6030" s="47" t="b">
        <v>0</v>
      </c>
      <c r="J6030" s="47" t="b">
        <v>0</v>
      </c>
      <c r="K6030" s="47">
        <v>1446</v>
      </c>
      <c r="L6030" s="48">
        <v>1</v>
      </c>
      <c r="M6030" s="47">
        <v>0</v>
      </c>
      <c r="N6030" s="47">
        <v>0</v>
      </c>
      <c r="O6030" s="47">
        <v>0</v>
      </c>
      <c r="P6030" s="47">
        <v>0</v>
      </c>
      <c r="Q6030" s="47">
        <v>0</v>
      </c>
      <c r="R6030" s="47">
        <v>0</v>
      </c>
      <c r="S6030" s="48">
        <v>1</v>
      </c>
      <c r="T6030" s="47">
        <v>0</v>
      </c>
      <c r="U6030" s="47">
        <v>0</v>
      </c>
      <c r="V6030" s="47">
        <v>0</v>
      </c>
      <c r="W6030" s="47">
        <v>6000</v>
      </c>
      <c r="X6030" s="47">
        <v>962</v>
      </c>
      <c r="Y6030" s="47"/>
      <c r="Z6030" s="47" t="s">
        <v>2466</v>
      </c>
      <c r="AA6030" s="49"/>
      <c r="AB6030" s="49"/>
      <c r="AC6030" s="49"/>
      <c r="AD6030" s="50"/>
      <c r="AE6030" s="47" t="s">
        <v>1312</v>
      </c>
      <c r="AF6030" s="47">
        <v>100</v>
      </c>
      <c r="AG6030"/>
      <c r="AH6030"/>
      <c r="AI6030"/>
      <c r="AJ6030"/>
      <c r="AK6030"/>
      <c r="AL6030"/>
      <c r="AM6030"/>
      <c r="AN6030"/>
      <c r="AO6030"/>
      <c r="AP6030"/>
      <c r="AQ6030" t="s">
        <v>2526</v>
      </c>
      <c r="AU6030">
        <v>6029</v>
      </c>
    </row>
    <row r="6031" spans="1:47" x14ac:dyDescent="0.2">
      <c r="A6031" s="13">
        <v>6821</v>
      </c>
      <c r="B6031" s="57" t="s">
        <v>45</v>
      </c>
      <c r="C6031" s="57" t="s">
        <v>142</v>
      </c>
      <c r="D6031" s="29"/>
      <c r="E6031" s="57" t="s">
        <v>6877</v>
      </c>
      <c r="F6031" s="31" t="s">
        <v>6878</v>
      </c>
      <c r="G6031" s="47" t="s">
        <v>49</v>
      </c>
      <c r="H6031"/>
      <c r="I6031" s="47" t="b">
        <v>1</v>
      </c>
      <c r="J6031" s="47" t="b">
        <v>1</v>
      </c>
      <c r="K6031" s="47">
        <f>2530*2.2</f>
        <v>5566</v>
      </c>
      <c r="L6031" s="48">
        <f>11+1</f>
        <v>12</v>
      </c>
      <c r="M6031" s="47"/>
      <c r="N6031" s="47">
        <v>3</v>
      </c>
      <c r="O6031" s="47"/>
      <c r="P6031" s="47"/>
      <c r="Q6031" s="47"/>
      <c r="R6031" s="47"/>
      <c r="S6031" s="48">
        <f>8+1</f>
        <v>9</v>
      </c>
      <c r="T6031" s="47">
        <v>0</v>
      </c>
      <c r="U6031" s="47">
        <v>0</v>
      </c>
      <c r="V6031" s="47">
        <v>0</v>
      </c>
      <c r="W6031" s="47"/>
      <c r="X6031" s="47"/>
      <c r="Y6031" s="47" t="s">
        <v>51</v>
      </c>
      <c r="Z6031" s="47"/>
      <c r="AA6031" s="49"/>
      <c r="AB6031" s="49"/>
      <c r="AC6031" s="49"/>
      <c r="AD6031" s="50"/>
      <c r="AE6031" s="31" t="s">
        <v>2470</v>
      </c>
      <c r="AF6031" s="47"/>
      <c r="AG6031"/>
      <c r="AH6031"/>
      <c r="AI6031"/>
      <c r="AJ6031"/>
      <c r="AK6031">
        <f>6+37+12+4</f>
        <v>59</v>
      </c>
      <c r="AL6031"/>
      <c r="AM6031"/>
      <c r="AN6031"/>
      <c r="AO6031"/>
      <c r="AP6031"/>
      <c r="AQ6031" s="32" t="s">
        <v>6852</v>
      </c>
      <c r="AR6031" s="32" t="s">
        <v>6879</v>
      </c>
      <c r="AU6031">
        <v>6030</v>
      </c>
    </row>
    <row r="6032" spans="1:47" x14ac:dyDescent="0.2">
      <c r="A6032" s="13">
        <v>6821</v>
      </c>
      <c r="B6032" s="57" t="s">
        <v>45</v>
      </c>
      <c r="C6032" s="57" t="s">
        <v>142</v>
      </c>
      <c r="D6032" s="29"/>
      <c r="E6032" s="57" t="s">
        <v>5882</v>
      </c>
      <c r="F6032" s="31" t="s">
        <v>76</v>
      </c>
      <c r="G6032" s="31" t="s">
        <v>49</v>
      </c>
      <c r="I6032" s="47" t="b">
        <v>0</v>
      </c>
      <c r="J6032" s="47" t="b">
        <v>0</v>
      </c>
      <c r="K6032" s="31">
        <v>792</v>
      </c>
      <c r="S6032" s="33">
        <v>1</v>
      </c>
      <c r="AE6032" s="31" t="s">
        <v>2470</v>
      </c>
      <c r="AF6032" s="31">
        <v>75</v>
      </c>
      <c r="AK6032" s="32">
        <v>9</v>
      </c>
      <c r="AQ6032" s="32" t="s">
        <v>6820</v>
      </c>
      <c r="AU6032">
        <v>6031</v>
      </c>
    </row>
    <row r="6033" spans="1:47" x14ac:dyDescent="0.2">
      <c r="A6033" s="13">
        <v>6821</v>
      </c>
      <c r="B6033" s="57" t="s">
        <v>45</v>
      </c>
      <c r="C6033" s="57" t="s">
        <v>142</v>
      </c>
      <c r="D6033" s="29"/>
      <c r="E6033" s="57" t="s">
        <v>6112</v>
      </c>
      <c r="F6033" s="31" t="s">
        <v>6822</v>
      </c>
      <c r="G6033" s="31" t="s">
        <v>69</v>
      </c>
      <c r="I6033" s="47" t="b">
        <v>0</v>
      </c>
      <c r="J6033" s="47" t="b">
        <v>0</v>
      </c>
      <c r="K6033" s="31">
        <v>1562</v>
      </c>
      <c r="S6033" s="33">
        <v>2</v>
      </c>
      <c r="AE6033" s="31" t="s">
        <v>2470</v>
      </c>
      <c r="AF6033" s="31">
        <v>55</v>
      </c>
      <c r="AK6033" s="32">
        <v>16</v>
      </c>
      <c r="AQ6033" s="32" t="s">
        <v>6820</v>
      </c>
      <c r="AU6033">
        <v>6032</v>
      </c>
    </row>
    <row r="6034" spans="1:47" x14ac:dyDescent="0.2">
      <c r="A6034" s="13">
        <v>6821</v>
      </c>
      <c r="B6034" s="57" t="s">
        <v>45</v>
      </c>
      <c r="C6034" s="57" t="s">
        <v>142</v>
      </c>
      <c r="D6034" s="29"/>
      <c r="E6034" s="57" t="s">
        <v>1078</v>
      </c>
      <c r="F6034" s="31" t="s">
        <v>76</v>
      </c>
      <c r="G6034" s="31" t="s">
        <v>49</v>
      </c>
      <c r="I6034" s="47" t="b">
        <v>0</v>
      </c>
      <c r="J6034" s="47" t="b">
        <v>0</v>
      </c>
      <c r="K6034" s="31">
        <v>3212</v>
      </c>
      <c r="S6034" s="33">
        <v>6</v>
      </c>
      <c r="AE6034" s="31" t="s">
        <v>2470</v>
      </c>
      <c r="AF6034" s="31">
        <v>60</v>
      </c>
      <c r="AK6034" s="32">
        <v>34</v>
      </c>
      <c r="AQ6034" s="32" t="s">
        <v>6820</v>
      </c>
      <c r="AU6034">
        <v>6033</v>
      </c>
    </row>
    <row r="6035" spans="1:47" x14ac:dyDescent="0.2">
      <c r="A6035" s="26">
        <v>6821</v>
      </c>
      <c r="B6035" s="27">
        <v>0.36805555555555558</v>
      </c>
      <c r="C6035" s="28"/>
      <c r="D6035" s="29"/>
      <c r="E6035" s="30" t="s">
        <v>4219</v>
      </c>
      <c r="H6035" s="32">
        <v>0</v>
      </c>
      <c r="I6035" s="32" t="s">
        <v>4249</v>
      </c>
      <c r="AG6035" s="32">
        <v>0</v>
      </c>
      <c r="AH6035" s="32">
        <v>0</v>
      </c>
      <c r="AI6035" s="32">
        <v>0</v>
      </c>
      <c r="AK6035" s="32">
        <v>0</v>
      </c>
      <c r="AL6035" s="32">
        <f>5/60</f>
        <v>8.3333333333333329E-2</v>
      </c>
      <c r="AO6035" s="32" t="s">
        <v>858</v>
      </c>
      <c r="AP6035" s="32">
        <f>5/60</f>
        <v>8.3333333333333329E-2</v>
      </c>
      <c r="AQ6035" s="32" t="s">
        <v>1101</v>
      </c>
      <c r="AU6035">
        <v>6034</v>
      </c>
    </row>
    <row r="6036" spans="1:47" x14ac:dyDescent="0.2">
      <c r="A6036" s="26">
        <v>6821</v>
      </c>
      <c r="B6036" s="27">
        <v>0.4375</v>
      </c>
      <c r="C6036" s="28"/>
      <c r="D6036" s="29"/>
      <c r="E6036" s="30" t="s">
        <v>6880</v>
      </c>
      <c r="H6036" s="32">
        <v>1</v>
      </c>
      <c r="I6036" s="32" t="s">
        <v>6881</v>
      </c>
      <c r="AJ6036" s="32">
        <v>2500</v>
      </c>
      <c r="AQ6036" s="32">
        <v>489</v>
      </c>
      <c r="AU6036">
        <v>6035</v>
      </c>
    </row>
    <row r="6037" spans="1:47" x14ac:dyDescent="0.2">
      <c r="A6037" s="26">
        <v>6821</v>
      </c>
      <c r="B6037" s="27">
        <v>0.8041666666666667</v>
      </c>
      <c r="C6037" s="28"/>
      <c r="D6037" s="29"/>
      <c r="E6037" s="30" t="s">
        <v>464</v>
      </c>
      <c r="H6037" s="32">
        <v>0</v>
      </c>
      <c r="I6037" s="32" t="s">
        <v>6882</v>
      </c>
      <c r="AG6037" s="32">
        <v>0</v>
      </c>
      <c r="AH6037" s="32">
        <v>0</v>
      </c>
      <c r="AL6037" s="32">
        <f>22/60</f>
        <v>0.36666666666666664</v>
      </c>
      <c r="AO6037" s="32" t="s">
        <v>4067</v>
      </c>
      <c r="AP6037" s="32">
        <f>22/60</f>
        <v>0.36666666666666664</v>
      </c>
      <c r="AQ6037" s="32" t="s">
        <v>1522</v>
      </c>
      <c r="AU6037">
        <v>6036</v>
      </c>
    </row>
    <row r="6038" spans="1:47" x14ac:dyDescent="0.2">
      <c r="A6038" s="26">
        <v>6821</v>
      </c>
      <c r="B6038" s="27">
        <v>0.89166666666666661</v>
      </c>
      <c r="C6038" s="28"/>
      <c r="D6038" s="29"/>
      <c r="E6038" s="30" t="s">
        <v>464</v>
      </c>
      <c r="H6038" s="32">
        <v>0</v>
      </c>
      <c r="I6038" s="32" t="s">
        <v>6883</v>
      </c>
      <c r="AG6038" s="32">
        <v>0</v>
      </c>
      <c r="AH6038" s="32">
        <v>0</v>
      </c>
      <c r="AL6038" s="32">
        <f>101/60</f>
        <v>1.6833333333333333</v>
      </c>
      <c r="AO6038" s="32" t="s">
        <v>4067</v>
      </c>
      <c r="AP6038" s="32">
        <f>101/60</f>
        <v>1.6833333333333333</v>
      </c>
      <c r="AQ6038" s="32" t="s">
        <v>1522</v>
      </c>
      <c r="AU6038">
        <v>6037</v>
      </c>
    </row>
    <row r="6039" spans="1:47" x14ac:dyDescent="0.2">
      <c r="A6039" s="26">
        <v>6821</v>
      </c>
      <c r="B6039" s="27">
        <v>0.90972222222222221</v>
      </c>
      <c r="C6039" s="28"/>
      <c r="D6039" s="29"/>
      <c r="E6039" s="30" t="s">
        <v>4219</v>
      </c>
      <c r="H6039" s="32">
        <v>0</v>
      </c>
      <c r="I6039" s="32" t="s">
        <v>4249</v>
      </c>
      <c r="AG6039" s="32">
        <v>0</v>
      </c>
      <c r="AH6039" s="32">
        <v>0</v>
      </c>
      <c r="AI6039" s="32">
        <v>0</v>
      </c>
      <c r="AK6039" s="32">
        <v>0</v>
      </c>
      <c r="AL6039" s="32">
        <v>0.5</v>
      </c>
      <c r="AO6039" s="32" t="s">
        <v>858</v>
      </c>
      <c r="AP6039" s="32">
        <v>0.5</v>
      </c>
      <c r="AQ6039" s="32" t="s">
        <v>1101</v>
      </c>
      <c r="AU6039">
        <v>6038</v>
      </c>
    </row>
    <row r="6040" spans="1:47" x14ac:dyDescent="0.2">
      <c r="A6040" s="26">
        <v>6821</v>
      </c>
      <c r="B6040" s="27">
        <v>0.97916666666666663</v>
      </c>
      <c r="C6040" s="28"/>
      <c r="D6040" s="29"/>
      <c r="E6040" s="30" t="s">
        <v>6884</v>
      </c>
      <c r="H6040" s="32">
        <v>1</v>
      </c>
      <c r="I6040" s="32" t="s">
        <v>6885</v>
      </c>
      <c r="AG6040" s="32">
        <v>0</v>
      </c>
      <c r="AH6040" s="32">
        <v>0</v>
      </c>
      <c r="AJ6040" s="32">
        <v>15000</v>
      </c>
      <c r="AK6040" s="32">
        <v>4</v>
      </c>
      <c r="AP6040" s="32">
        <f>1/6</f>
        <v>0.16666666666666666</v>
      </c>
      <c r="AQ6040" s="32">
        <v>487</v>
      </c>
      <c r="AU6040">
        <v>6039</v>
      </c>
    </row>
    <row r="6041" spans="1:47" x14ac:dyDescent="0.2">
      <c r="A6041" s="26">
        <v>6821</v>
      </c>
      <c r="B6041" s="27" t="s">
        <v>85</v>
      </c>
      <c r="C6041" s="28"/>
      <c r="D6041" s="29"/>
      <c r="E6041" s="30" t="s">
        <v>6886</v>
      </c>
      <c r="H6041" s="32">
        <v>1</v>
      </c>
      <c r="I6041" s="32" t="s">
        <v>6887</v>
      </c>
      <c r="AK6041" s="32">
        <v>11</v>
      </c>
      <c r="AQ6041" s="32" t="s">
        <v>6537</v>
      </c>
      <c r="AU6041">
        <v>6040</v>
      </c>
    </row>
    <row r="6042" spans="1:47" x14ac:dyDescent="0.2">
      <c r="A6042" s="26">
        <v>6821</v>
      </c>
      <c r="B6042" s="27" t="s">
        <v>45</v>
      </c>
      <c r="C6042" s="28"/>
      <c r="D6042" s="29"/>
      <c r="E6042" s="30" t="s">
        <v>1531</v>
      </c>
      <c r="H6042" s="32">
        <v>1</v>
      </c>
      <c r="I6042" s="32" t="s">
        <v>6888</v>
      </c>
      <c r="AM6042" s="32">
        <f>498*48</f>
        <v>23904</v>
      </c>
      <c r="AO6042" s="32" t="s">
        <v>1533</v>
      </c>
      <c r="AQ6042" s="32" t="s">
        <v>1101</v>
      </c>
      <c r="AU6042">
        <v>6041</v>
      </c>
    </row>
    <row r="6043" spans="1:47" x14ac:dyDescent="0.2">
      <c r="A6043" s="26">
        <v>6821</v>
      </c>
      <c r="B6043" s="27" t="s">
        <v>45</v>
      </c>
      <c r="C6043" s="28"/>
      <c r="D6043" s="29"/>
      <c r="E6043" s="150" t="s">
        <v>2286</v>
      </c>
      <c r="H6043" s="32">
        <v>0</v>
      </c>
      <c r="I6043" s="32" t="s">
        <v>1824</v>
      </c>
      <c r="AG6043" s="32">
        <v>0</v>
      </c>
      <c r="AH6043" s="32">
        <v>0</v>
      </c>
      <c r="AI6043" s="32">
        <v>0</v>
      </c>
      <c r="AK6043" s="32">
        <v>0</v>
      </c>
      <c r="AM6043" s="32">
        <v>5500</v>
      </c>
      <c r="AO6043" s="73" t="s">
        <v>75</v>
      </c>
      <c r="AQ6043" s="32" t="s">
        <v>589</v>
      </c>
      <c r="AU6043">
        <v>6042</v>
      </c>
    </row>
    <row r="6044" spans="1:47" x14ac:dyDescent="0.2">
      <c r="A6044" s="26">
        <v>6821</v>
      </c>
      <c r="B6044" s="27"/>
      <c r="C6044" s="28"/>
      <c r="D6044" s="29"/>
      <c r="E6044" s="30" t="s">
        <v>3063</v>
      </c>
      <c r="H6044" s="32">
        <v>1</v>
      </c>
      <c r="I6044" s="32" t="s">
        <v>6889</v>
      </c>
      <c r="AK6044" s="32">
        <v>17.5</v>
      </c>
      <c r="AL6044" s="32">
        <v>3.5</v>
      </c>
      <c r="AQ6044" s="32">
        <v>375</v>
      </c>
      <c r="AU6044">
        <v>6043</v>
      </c>
    </row>
    <row r="6045" spans="1:47" x14ac:dyDescent="0.2">
      <c r="A6045" s="26">
        <v>6821</v>
      </c>
      <c r="B6045" s="27"/>
      <c r="C6045" s="28"/>
      <c r="D6045" s="29"/>
      <c r="E6045" s="30" t="s">
        <v>4666</v>
      </c>
      <c r="H6045" s="32">
        <v>0</v>
      </c>
      <c r="I6045" s="32" t="s">
        <v>6890</v>
      </c>
      <c r="AG6045" s="32">
        <v>0</v>
      </c>
      <c r="AH6045" s="32">
        <v>0</v>
      </c>
      <c r="AI6045" s="32">
        <v>0</v>
      </c>
      <c r="AK6045" s="32">
        <v>0</v>
      </c>
      <c r="AO6045" s="32" t="s">
        <v>4668</v>
      </c>
      <c r="AQ6045" s="32">
        <v>410</v>
      </c>
      <c r="AU6045">
        <v>6044</v>
      </c>
    </row>
    <row r="6046" spans="1:47" x14ac:dyDescent="0.2">
      <c r="A6046" s="133">
        <v>6822</v>
      </c>
      <c r="B6046" s="39" t="s">
        <v>85</v>
      </c>
      <c r="C6046" s="39">
        <v>55</v>
      </c>
      <c r="D6046" s="29" t="b">
        <v>0</v>
      </c>
      <c r="E6046" s="39" t="s">
        <v>3575</v>
      </c>
      <c r="F6046" s="47" t="s">
        <v>529</v>
      </c>
      <c r="G6046" s="47" t="s">
        <v>205</v>
      </c>
      <c r="H6046"/>
      <c r="I6046" s="47" t="b">
        <v>0</v>
      </c>
      <c r="J6046" s="47" t="b">
        <v>1</v>
      </c>
      <c r="K6046" s="47">
        <v>2022</v>
      </c>
      <c r="L6046" s="48">
        <v>9</v>
      </c>
      <c r="M6046" s="47">
        <v>0</v>
      </c>
      <c r="N6046" s="47">
        <v>0</v>
      </c>
      <c r="O6046" s="47">
        <v>0</v>
      </c>
      <c r="P6046" s="47">
        <v>0</v>
      </c>
      <c r="Q6046" s="47">
        <v>0</v>
      </c>
      <c r="R6046" s="47">
        <v>0</v>
      </c>
      <c r="S6046" s="48">
        <v>9</v>
      </c>
      <c r="T6046" s="47">
        <v>0</v>
      </c>
      <c r="U6046" s="47">
        <v>0</v>
      </c>
      <c r="V6046" s="47">
        <v>0</v>
      </c>
      <c r="W6046" s="47">
        <v>14500</v>
      </c>
      <c r="X6046" s="47">
        <v>963</v>
      </c>
      <c r="Y6046" s="47" t="s">
        <v>51</v>
      </c>
      <c r="Z6046" s="47" t="s">
        <v>3618</v>
      </c>
      <c r="AA6046" s="49">
        <v>0.27083333333333331</v>
      </c>
      <c r="AB6046" s="49">
        <v>0.38194444444444442</v>
      </c>
      <c r="AC6046" s="49">
        <v>0.3298611111111111</v>
      </c>
      <c r="AD6046" s="50">
        <f>(AB6046-AA6046)*24</f>
        <v>2.6666666666666665</v>
      </c>
      <c r="AE6046" s="47" t="s">
        <v>5433</v>
      </c>
      <c r="AF6046" s="47">
        <v>140</v>
      </c>
      <c r="AG6046"/>
      <c r="AH6046"/>
      <c r="AI6046"/>
      <c r="AJ6046"/>
      <c r="AK6046">
        <v>17</v>
      </c>
      <c r="AL6046"/>
      <c r="AM6046"/>
      <c r="AN6046"/>
      <c r="AO6046"/>
      <c r="AP6046"/>
      <c r="AQ6046" t="s">
        <v>5434</v>
      </c>
      <c r="AU6046">
        <v>6045</v>
      </c>
    </row>
    <row r="6047" spans="1:47" x14ac:dyDescent="0.2">
      <c r="A6047" s="133">
        <v>6822</v>
      </c>
      <c r="B6047" s="39" t="s">
        <v>85</v>
      </c>
      <c r="C6047" s="39">
        <v>99</v>
      </c>
      <c r="D6047" s="29" t="b">
        <v>0</v>
      </c>
      <c r="E6047" s="39" t="s">
        <v>1551</v>
      </c>
      <c r="F6047" s="47" t="s">
        <v>529</v>
      </c>
      <c r="G6047" s="47" t="s">
        <v>205</v>
      </c>
      <c r="H6047"/>
      <c r="I6047" s="47" t="b">
        <v>0</v>
      </c>
      <c r="J6047" s="47" t="b">
        <v>1</v>
      </c>
      <c r="K6047" s="47">
        <v>3396</v>
      </c>
      <c r="L6047" s="48">
        <v>10</v>
      </c>
      <c r="M6047" s="47">
        <v>0</v>
      </c>
      <c r="N6047" s="47">
        <v>0</v>
      </c>
      <c r="O6047" s="47">
        <v>0</v>
      </c>
      <c r="P6047" s="47">
        <v>0</v>
      </c>
      <c r="Q6047" s="47">
        <v>0</v>
      </c>
      <c r="R6047" s="47">
        <v>0</v>
      </c>
      <c r="S6047" s="48">
        <v>10</v>
      </c>
      <c r="T6047" s="47">
        <v>0</v>
      </c>
      <c r="U6047" s="47">
        <v>0</v>
      </c>
      <c r="V6047" s="47">
        <v>0</v>
      </c>
      <c r="W6047" s="47">
        <v>13000</v>
      </c>
      <c r="X6047" s="47">
        <v>965</v>
      </c>
      <c r="Y6047" s="47" t="s">
        <v>120</v>
      </c>
      <c r="Z6047" s="47" t="s">
        <v>5139</v>
      </c>
      <c r="AA6047" s="49">
        <v>0.78819444444444453</v>
      </c>
      <c r="AB6047" s="49">
        <v>0.87152777777777779</v>
      </c>
      <c r="AC6047" s="49">
        <f>AVERAGE(AA6047:AB6047)</f>
        <v>0.82986111111111116</v>
      </c>
      <c r="AD6047" s="50">
        <f>(AB6047-AA6047)*24</f>
        <v>1.9999999999999982</v>
      </c>
      <c r="AE6047" s="47" t="s">
        <v>5433</v>
      </c>
      <c r="AF6047" s="47">
        <v>45</v>
      </c>
      <c r="AG6047"/>
      <c r="AH6047"/>
      <c r="AI6047"/>
      <c r="AJ6047"/>
      <c r="AK6047">
        <v>26</v>
      </c>
      <c r="AL6047"/>
      <c r="AM6047"/>
      <c r="AN6047"/>
      <c r="AO6047"/>
      <c r="AP6047"/>
      <c r="AQ6047" t="s">
        <v>2526</v>
      </c>
      <c r="AU6047">
        <v>6046</v>
      </c>
    </row>
    <row r="6048" spans="1:47" x14ac:dyDescent="0.2">
      <c r="A6048" s="133">
        <v>6822</v>
      </c>
      <c r="B6048" s="39" t="s">
        <v>85</v>
      </c>
      <c r="C6048" s="39">
        <v>104</v>
      </c>
      <c r="D6048" s="29" t="b">
        <v>0</v>
      </c>
      <c r="E6048" s="39" t="s">
        <v>1551</v>
      </c>
      <c r="F6048" s="47" t="s">
        <v>529</v>
      </c>
      <c r="G6048" s="47" t="s">
        <v>205</v>
      </c>
      <c r="H6048"/>
      <c r="I6048" s="47" t="b">
        <v>0</v>
      </c>
      <c r="J6048" s="47" t="b">
        <v>1</v>
      </c>
      <c r="K6048" s="47">
        <v>2960</v>
      </c>
      <c r="L6048" s="48">
        <v>13</v>
      </c>
      <c r="M6048" s="47">
        <v>0</v>
      </c>
      <c r="N6048" s="47">
        <v>0</v>
      </c>
      <c r="O6048" s="47">
        <v>0</v>
      </c>
      <c r="P6048" s="47">
        <v>0</v>
      </c>
      <c r="Q6048" s="47">
        <v>0</v>
      </c>
      <c r="R6048" s="47">
        <v>0</v>
      </c>
      <c r="S6048" s="48">
        <v>13</v>
      </c>
      <c r="T6048" s="47">
        <v>0</v>
      </c>
      <c r="U6048" s="47">
        <v>0</v>
      </c>
      <c r="V6048" s="47">
        <v>0</v>
      </c>
      <c r="W6048" s="47">
        <v>13000</v>
      </c>
      <c r="X6048" s="47">
        <v>964</v>
      </c>
      <c r="Y6048" s="47" t="s">
        <v>120</v>
      </c>
      <c r="Z6048" s="47" t="s">
        <v>5139</v>
      </c>
      <c r="AA6048" s="49">
        <v>0.28125</v>
      </c>
      <c r="AB6048" s="49">
        <v>0.36805555555555558</v>
      </c>
      <c r="AC6048" s="49">
        <v>0.34375</v>
      </c>
      <c r="AD6048" s="50">
        <f>(AB6048-AA6048)*24</f>
        <v>2.0833333333333339</v>
      </c>
      <c r="AE6048" s="47" t="s">
        <v>5433</v>
      </c>
      <c r="AF6048" s="47">
        <v>45</v>
      </c>
      <c r="AG6048"/>
      <c r="AH6048"/>
      <c r="AI6048"/>
      <c r="AJ6048"/>
      <c r="AK6048">
        <v>18</v>
      </c>
      <c r="AL6048"/>
      <c r="AM6048"/>
      <c r="AN6048"/>
      <c r="AO6048"/>
      <c r="AP6048"/>
      <c r="AQ6048" t="s">
        <v>5485</v>
      </c>
      <c r="AU6048">
        <v>6047</v>
      </c>
    </row>
    <row r="6049" spans="1:47" x14ac:dyDescent="0.2">
      <c r="A6049" s="133">
        <v>6822</v>
      </c>
      <c r="B6049" s="39" t="s">
        <v>85</v>
      </c>
      <c r="C6049" s="39" t="s">
        <v>5533</v>
      </c>
      <c r="D6049" s="29"/>
      <c r="E6049" s="39" t="s">
        <v>6891</v>
      </c>
      <c r="F6049" s="47"/>
      <c r="G6049" s="47"/>
      <c r="H6049"/>
      <c r="I6049" s="47"/>
      <c r="J6049" s="47"/>
      <c r="K6049" s="47"/>
      <c r="L6049" s="48"/>
      <c r="M6049" s="47"/>
      <c r="N6049" s="47"/>
      <c r="O6049" s="47"/>
      <c r="P6049" s="47"/>
      <c r="Q6049" s="47"/>
      <c r="R6049" s="47"/>
      <c r="S6049" s="48"/>
      <c r="T6049" s="47"/>
      <c r="U6049" s="47"/>
      <c r="V6049" s="47"/>
      <c r="W6049" s="47"/>
      <c r="X6049" s="47"/>
      <c r="Y6049" s="47"/>
      <c r="Z6049" s="31" t="s">
        <v>3724</v>
      </c>
      <c r="AA6049" s="49"/>
      <c r="AB6049" s="49"/>
      <c r="AC6049" s="49"/>
      <c r="AD6049" s="50"/>
      <c r="AE6049" s="47" t="s">
        <v>5536</v>
      </c>
      <c r="AF6049" s="47"/>
      <c r="AG6049"/>
      <c r="AH6049"/>
      <c r="AI6049"/>
      <c r="AJ6049"/>
      <c r="AK6049"/>
      <c r="AL6049"/>
      <c r="AM6049"/>
      <c r="AN6049"/>
      <c r="AO6049"/>
      <c r="AP6049"/>
      <c r="AQ6049"/>
      <c r="AU6049">
        <v>6048</v>
      </c>
    </row>
    <row r="6050" spans="1:47" x14ac:dyDescent="0.2">
      <c r="A6050" s="26">
        <v>6822</v>
      </c>
      <c r="B6050" s="27">
        <v>2.0833333333333332E-2</v>
      </c>
      <c r="C6050" s="28"/>
      <c r="D6050" s="29"/>
      <c r="E6050" s="30" t="s">
        <v>464</v>
      </c>
      <c r="H6050" s="32">
        <v>0</v>
      </c>
      <c r="I6050" s="32" t="s">
        <v>5766</v>
      </c>
      <c r="AG6050" s="32">
        <v>0</v>
      </c>
      <c r="AH6050" s="32">
        <v>0</v>
      </c>
      <c r="AL6050" s="32">
        <v>0.33300000000000002</v>
      </c>
      <c r="AO6050" s="32" t="s">
        <v>4067</v>
      </c>
      <c r="AP6050" s="32">
        <v>0.33300000000000002</v>
      </c>
      <c r="AQ6050" s="32" t="s">
        <v>1522</v>
      </c>
      <c r="AU6050">
        <v>6049</v>
      </c>
    </row>
    <row r="6051" spans="1:47" x14ac:dyDescent="0.2">
      <c r="A6051" s="26">
        <v>6822</v>
      </c>
      <c r="B6051" s="27">
        <v>0.24583333333333335</v>
      </c>
      <c r="C6051" s="28"/>
      <c r="D6051" s="29"/>
      <c r="E6051" s="30" t="s">
        <v>869</v>
      </c>
      <c r="H6051" s="32">
        <v>0</v>
      </c>
      <c r="I6051" s="32" t="s">
        <v>2344</v>
      </c>
      <c r="AG6051" s="32">
        <v>0</v>
      </c>
      <c r="AH6051" s="32">
        <v>0</v>
      </c>
      <c r="AI6051" s="32">
        <v>0</v>
      </c>
      <c r="AK6051" s="32">
        <v>0</v>
      </c>
      <c r="AL6051" s="32">
        <f>16/60</f>
        <v>0.26666666666666666</v>
      </c>
      <c r="AP6051" s="32">
        <f>16/60</f>
        <v>0.26666666666666666</v>
      </c>
      <c r="AQ6051" s="32" t="s">
        <v>589</v>
      </c>
      <c r="AU6051">
        <v>6050</v>
      </c>
    </row>
    <row r="6052" spans="1:47" x14ac:dyDescent="0.2">
      <c r="A6052" s="26">
        <v>6822</v>
      </c>
      <c r="B6052" s="27">
        <v>0.25138888888888888</v>
      </c>
      <c r="C6052" s="28"/>
      <c r="D6052" s="29"/>
      <c r="E6052" s="30" t="s">
        <v>3737</v>
      </c>
      <c r="H6052" s="32">
        <v>0</v>
      </c>
      <c r="I6052" s="32" t="s">
        <v>4926</v>
      </c>
      <c r="AG6052" s="32">
        <v>0</v>
      </c>
      <c r="AH6052" s="32">
        <v>0</v>
      </c>
      <c r="AI6052" s="32">
        <v>0</v>
      </c>
      <c r="AK6052" s="32">
        <v>0</v>
      </c>
      <c r="AM6052" s="74"/>
      <c r="AQ6052" s="32" t="s">
        <v>1101</v>
      </c>
      <c r="AU6052">
        <v>6051</v>
      </c>
    </row>
    <row r="6053" spans="1:47" x14ac:dyDescent="0.2">
      <c r="A6053" s="26">
        <v>6822</v>
      </c>
      <c r="B6053" s="27">
        <v>0.29166666666666669</v>
      </c>
      <c r="C6053" s="28"/>
      <c r="D6053" s="29"/>
      <c r="E6053" s="30" t="s">
        <v>464</v>
      </c>
      <c r="H6053" s="32">
        <v>0</v>
      </c>
      <c r="I6053" s="32" t="s">
        <v>4220</v>
      </c>
      <c r="AG6053" s="32">
        <v>0</v>
      </c>
      <c r="AH6053" s="32">
        <v>0</v>
      </c>
      <c r="AL6053" s="32">
        <v>2.5</v>
      </c>
      <c r="AO6053" s="32" t="s">
        <v>4067</v>
      </c>
      <c r="AP6053" s="32">
        <v>2.5</v>
      </c>
      <c r="AQ6053" s="32" t="s">
        <v>1522</v>
      </c>
      <c r="AU6053">
        <v>6052</v>
      </c>
    </row>
    <row r="6054" spans="1:47" x14ac:dyDescent="0.2">
      <c r="A6054" s="26">
        <v>6822</v>
      </c>
      <c r="B6054" s="27">
        <v>0.54513888888888895</v>
      </c>
      <c r="C6054" s="28"/>
      <c r="D6054" s="29"/>
      <c r="E6054" s="30" t="s">
        <v>464</v>
      </c>
      <c r="H6054" s="32">
        <v>0</v>
      </c>
      <c r="I6054" s="32" t="s">
        <v>4220</v>
      </c>
      <c r="AG6054" s="32">
        <v>0</v>
      </c>
      <c r="AH6054" s="32">
        <v>0</v>
      </c>
      <c r="AL6054" s="32">
        <v>0.75</v>
      </c>
      <c r="AO6054" s="32" t="s">
        <v>4067</v>
      </c>
      <c r="AP6054" s="32">
        <v>0.75</v>
      </c>
      <c r="AQ6054" s="32" t="s">
        <v>1522</v>
      </c>
      <c r="AU6054">
        <v>6053</v>
      </c>
    </row>
    <row r="6055" spans="1:47" x14ac:dyDescent="0.2">
      <c r="A6055" s="26">
        <v>6822</v>
      </c>
      <c r="B6055" s="27">
        <v>0.82361111111111107</v>
      </c>
      <c r="C6055" s="28"/>
      <c r="D6055" s="29"/>
      <c r="E6055" s="30" t="s">
        <v>5224</v>
      </c>
      <c r="H6055" s="32">
        <v>0</v>
      </c>
      <c r="I6055" s="32" t="s">
        <v>5225</v>
      </c>
      <c r="AG6055" s="32">
        <v>0</v>
      </c>
      <c r="AH6055" s="32">
        <v>0</v>
      </c>
      <c r="AI6055" s="32">
        <v>0</v>
      </c>
      <c r="AK6055" s="32">
        <v>0</v>
      </c>
      <c r="AL6055" s="32">
        <f>19/60</f>
        <v>0.31666666666666665</v>
      </c>
      <c r="AP6055" s="32">
        <f>19/60</f>
        <v>0.31666666666666665</v>
      </c>
      <c r="AQ6055" s="32" t="s">
        <v>1101</v>
      </c>
      <c r="AU6055">
        <v>6054</v>
      </c>
    </row>
    <row r="6056" spans="1:47" x14ac:dyDescent="0.2">
      <c r="A6056" s="26">
        <v>6822</v>
      </c>
      <c r="B6056" s="27">
        <v>0.82986111111111116</v>
      </c>
      <c r="C6056" s="28"/>
      <c r="D6056" s="29"/>
      <c r="E6056" s="102" t="s">
        <v>5200</v>
      </c>
      <c r="H6056" s="32">
        <v>0</v>
      </c>
      <c r="I6056" s="32" t="s">
        <v>5893</v>
      </c>
      <c r="AG6056" s="32">
        <v>0</v>
      </c>
      <c r="AH6056" s="32">
        <v>0</v>
      </c>
      <c r="AI6056" s="32">
        <v>0</v>
      </c>
      <c r="AK6056" s="32">
        <v>0</v>
      </c>
      <c r="AL6056" s="32">
        <f>9/60</f>
        <v>0.15</v>
      </c>
      <c r="AO6056" s="73"/>
      <c r="AP6056" s="32">
        <f>9/60</f>
        <v>0.15</v>
      </c>
      <c r="AQ6056" s="32" t="s">
        <v>589</v>
      </c>
      <c r="AU6056">
        <v>6055</v>
      </c>
    </row>
    <row r="6057" spans="1:47" x14ac:dyDescent="0.2">
      <c r="A6057" s="13">
        <v>6823</v>
      </c>
      <c r="B6057" s="57" t="s">
        <v>45</v>
      </c>
      <c r="C6057" s="57" t="s">
        <v>6550</v>
      </c>
      <c r="D6057" s="29"/>
      <c r="E6057" s="57" t="s">
        <v>4934</v>
      </c>
      <c r="J6057" s="33"/>
      <c r="K6057" s="31">
        <v>550</v>
      </c>
      <c r="AK6057" s="32">
        <v>10</v>
      </c>
      <c r="AQ6057" s="32" t="s">
        <v>6824</v>
      </c>
      <c r="AU6057">
        <v>6056</v>
      </c>
    </row>
    <row r="6058" spans="1:47" x14ac:dyDescent="0.2">
      <c r="A6058" s="26">
        <v>6823</v>
      </c>
      <c r="B6058" s="27">
        <v>0.39583333333333331</v>
      </c>
      <c r="C6058" s="28"/>
      <c r="D6058" s="29"/>
      <c r="E6058" s="30" t="s">
        <v>5987</v>
      </c>
      <c r="H6058" s="32">
        <v>1</v>
      </c>
      <c r="I6058" s="32" t="s">
        <v>6892</v>
      </c>
      <c r="AG6058" s="32">
        <v>0</v>
      </c>
      <c r="AH6058" s="32">
        <v>0</v>
      </c>
      <c r="AI6058" s="32">
        <v>0</v>
      </c>
      <c r="AP6058" s="32">
        <v>0.25</v>
      </c>
      <c r="AQ6058" s="32">
        <v>490</v>
      </c>
      <c r="AU6058">
        <v>6057</v>
      </c>
    </row>
    <row r="6059" spans="1:47" x14ac:dyDescent="0.2">
      <c r="A6059" s="26">
        <v>6823</v>
      </c>
      <c r="B6059" s="27">
        <v>0.83680555555555547</v>
      </c>
      <c r="C6059" s="28"/>
      <c r="D6059" s="29"/>
      <c r="E6059" s="30" t="s">
        <v>464</v>
      </c>
      <c r="H6059" s="32">
        <v>0</v>
      </c>
      <c r="I6059" s="32" t="s">
        <v>5766</v>
      </c>
      <c r="AG6059" s="32">
        <v>0</v>
      </c>
      <c r="AH6059" s="32">
        <v>0</v>
      </c>
      <c r="AL6059" s="32">
        <v>0.33300000000000002</v>
      </c>
      <c r="AO6059" s="32" t="s">
        <v>4067</v>
      </c>
      <c r="AP6059" s="32">
        <v>0.33300000000000002</v>
      </c>
      <c r="AQ6059" s="32" t="s">
        <v>1522</v>
      </c>
      <c r="AU6059">
        <v>6058</v>
      </c>
    </row>
    <row r="6060" spans="1:47" x14ac:dyDescent="0.2">
      <c r="A6060" s="133">
        <v>6824</v>
      </c>
      <c r="B6060" s="39" t="s">
        <v>45</v>
      </c>
      <c r="C6060" s="39">
        <v>97</v>
      </c>
      <c r="D6060" s="29" t="b">
        <v>0</v>
      </c>
      <c r="E6060" s="39" t="s">
        <v>6637</v>
      </c>
      <c r="F6060" s="47" t="s">
        <v>529</v>
      </c>
      <c r="G6060" s="47" t="s">
        <v>205</v>
      </c>
      <c r="H6060"/>
      <c r="I6060" s="47" t="b">
        <v>0</v>
      </c>
      <c r="J6060" s="47" t="b">
        <v>1</v>
      </c>
      <c r="K6060" s="47">
        <v>3136</v>
      </c>
      <c r="L6060" s="48">
        <v>2</v>
      </c>
      <c r="M6060" s="47">
        <v>0</v>
      </c>
      <c r="N6060" s="47">
        <v>0</v>
      </c>
      <c r="O6060" s="47">
        <v>0</v>
      </c>
      <c r="P6060" s="47">
        <v>0</v>
      </c>
      <c r="Q6060" s="47">
        <v>0</v>
      </c>
      <c r="R6060" s="47">
        <v>0</v>
      </c>
      <c r="S6060" s="48">
        <v>2</v>
      </c>
      <c r="T6060" s="47">
        <v>0</v>
      </c>
      <c r="U6060" s="47">
        <v>0</v>
      </c>
      <c r="V6060" s="47">
        <v>0</v>
      </c>
      <c r="W6060" s="47">
        <v>3000</v>
      </c>
      <c r="X6060" s="47">
        <v>967</v>
      </c>
      <c r="Y6060" s="47"/>
      <c r="Z6060" s="47" t="s">
        <v>2466</v>
      </c>
      <c r="AA6060" s="49"/>
      <c r="AB6060" s="49"/>
      <c r="AC6060" s="49"/>
      <c r="AD6060" s="50"/>
      <c r="AE6060" s="47"/>
      <c r="AF6060" s="47"/>
      <c r="AG6060"/>
      <c r="AH6060"/>
      <c r="AI6060"/>
      <c r="AJ6060"/>
      <c r="AK6060"/>
      <c r="AL6060"/>
      <c r="AM6060"/>
      <c r="AN6060"/>
      <c r="AO6060"/>
      <c r="AP6060"/>
      <c r="AQ6060" t="s">
        <v>2526</v>
      </c>
      <c r="AU6060">
        <v>6059</v>
      </c>
    </row>
    <row r="6061" spans="1:47" x14ac:dyDescent="0.2">
      <c r="A6061" s="133">
        <v>6824</v>
      </c>
      <c r="B6061" s="39" t="s">
        <v>45</v>
      </c>
      <c r="C6061" s="39">
        <v>100</v>
      </c>
      <c r="D6061" s="29" t="b">
        <v>0</v>
      </c>
      <c r="E6061" s="39" t="s">
        <v>6637</v>
      </c>
      <c r="F6061" s="47" t="s">
        <v>529</v>
      </c>
      <c r="G6061" s="47" t="s">
        <v>205</v>
      </c>
      <c r="H6061"/>
      <c r="I6061" s="47" t="b">
        <v>0</v>
      </c>
      <c r="J6061" s="47" t="b">
        <v>1</v>
      </c>
      <c r="K6061" s="47">
        <v>1456</v>
      </c>
      <c r="L6061" s="48">
        <v>1</v>
      </c>
      <c r="M6061" s="47">
        <v>0</v>
      </c>
      <c r="N6061" s="47">
        <v>0</v>
      </c>
      <c r="O6061" s="47">
        <v>0</v>
      </c>
      <c r="P6061" s="47">
        <v>0</v>
      </c>
      <c r="Q6061" s="47">
        <v>0</v>
      </c>
      <c r="R6061" s="47">
        <v>0</v>
      </c>
      <c r="S6061" s="48">
        <v>1</v>
      </c>
      <c r="T6061" s="47">
        <v>0</v>
      </c>
      <c r="U6061" s="47">
        <v>0</v>
      </c>
      <c r="V6061" s="47">
        <v>0</v>
      </c>
      <c r="W6061" s="47">
        <v>1100</v>
      </c>
      <c r="X6061" s="47">
        <v>966</v>
      </c>
      <c r="Y6061" s="47"/>
      <c r="Z6061" s="47" t="s">
        <v>2466</v>
      </c>
      <c r="AA6061" s="49"/>
      <c r="AB6061" s="49"/>
      <c r="AC6061" s="49"/>
      <c r="AD6061" s="50"/>
      <c r="AE6061" s="47" t="s">
        <v>6445</v>
      </c>
      <c r="AF6061" s="47">
        <v>40</v>
      </c>
      <c r="AG6061"/>
      <c r="AH6061"/>
      <c r="AI6061"/>
      <c r="AJ6061"/>
      <c r="AK6061"/>
      <c r="AL6061"/>
      <c r="AM6061"/>
      <c r="AN6061"/>
      <c r="AO6061"/>
      <c r="AP6061"/>
      <c r="AQ6061" t="s">
        <v>2526</v>
      </c>
      <c r="AU6061">
        <v>6060</v>
      </c>
    </row>
    <row r="6062" spans="1:47" x14ac:dyDescent="0.2">
      <c r="A6062" s="133">
        <v>6824</v>
      </c>
      <c r="B6062" s="39" t="s">
        <v>45</v>
      </c>
      <c r="C6062" s="39">
        <v>215</v>
      </c>
      <c r="D6062" s="29" t="b">
        <v>0</v>
      </c>
      <c r="E6062" s="39" t="s">
        <v>6893</v>
      </c>
      <c r="F6062" s="47" t="s">
        <v>529</v>
      </c>
      <c r="G6062" s="47" t="s">
        <v>205</v>
      </c>
      <c r="H6062"/>
      <c r="I6062" s="47" t="b">
        <v>0</v>
      </c>
      <c r="J6062" s="47" t="b">
        <v>1</v>
      </c>
      <c r="K6062" s="47">
        <v>2042</v>
      </c>
      <c r="L6062" s="48">
        <v>1</v>
      </c>
      <c r="M6062" s="47">
        <v>0</v>
      </c>
      <c r="N6062" s="47">
        <v>0</v>
      </c>
      <c r="O6062" s="47">
        <v>0</v>
      </c>
      <c r="P6062" s="47">
        <v>0</v>
      </c>
      <c r="Q6062" s="47">
        <v>0</v>
      </c>
      <c r="R6062" s="47">
        <v>0</v>
      </c>
      <c r="S6062" s="48">
        <v>1</v>
      </c>
      <c r="T6062" s="47">
        <v>0</v>
      </c>
      <c r="U6062" s="47">
        <v>0</v>
      </c>
      <c r="V6062" s="47">
        <v>0</v>
      </c>
      <c r="W6062" s="47">
        <v>300</v>
      </c>
      <c r="X6062" s="47">
        <v>968</v>
      </c>
      <c r="Y6062" s="47"/>
      <c r="Z6062" s="47" t="s">
        <v>2466</v>
      </c>
      <c r="AA6062" s="49"/>
      <c r="AB6062" s="49"/>
      <c r="AC6062" s="49"/>
      <c r="AD6062" s="50"/>
      <c r="AE6062" s="47"/>
      <c r="AF6062" s="47"/>
      <c r="AG6062"/>
      <c r="AH6062"/>
      <c r="AI6062"/>
      <c r="AJ6062"/>
      <c r="AK6062"/>
      <c r="AL6062"/>
      <c r="AM6062"/>
      <c r="AN6062"/>
      <c r="AO6062"/>
      <c r="AP6062"/>
      <c r="AQ6062" t="s">
        <v>2526</v>
      </c>
      <c r="AU6062">
        <v>6061</v>
      </c>
    </row>
    <row r="6063" spans="1:47" x14ac:dyDescent="0.2">
      <c r="A6063" s="13">
        <v>6824</v>
      </c>
      <c r="B6063" s="57" t="s">
        <v>45</v>
      </c>
      <c r="C6063" s="57" t="s">
        <v>6550</v>
      </c>
      <c r="D6063" s="29"/>
      <c r="E6063" s="57" t="s">
        <v>6894</v>
      </c>
      <c r="K6063" s="31">
        <v>440</v>
      </c>
      <c r="AK6063" s="32">
        <v>4</v>
      </c>
      <c r="AQ6063" s="32" t="s">
        <v>6824</v>
      </c>
      <c r="AU6063">
        <v>6062</v>
      </c>
    </row>
    <row r="6064" spans="1:47" x14ac:dyDescent="0.2">
      <c r="A6064" s="13">
        <v>6824</v>
      </c>
      <c r="B6064" s="57" t="s">
        <v>45</v>
      </c>
      <c r="C6064" s="57" t="s">
        <v>6550</v>
      </c>
      <c r="D6064" s="29"/>
      <c r="E6064" s="57" t="s">
        <v>6895</v>
      </c>
      <c r="K6064" s="31">
        <v>440</v>
      </c>
      <c r="AK6064" s="32">
        <v>4</v>
      </c>
      <c r="AQ6064" s="32" t="s">
        <v>6824</v>
      </c>
      <c r="AU6064">
        <v>6063</v>
      </c>
    </row>
    <row r="6065" spans="1:47" x14ac:dyDescent="0.2">
      <c r="A6065" s="26">
        <v>6824</v>
      </c>
      <c r="B6065" s="27">
        <v>2.0833333333333332E-2</v>
      </c>
      <c r="C6065" s="28"/>
      <c r="D6065" s="29"/>
      <c r="E6065" s="30" t="s">
        <v>6896</v>
      </c>
      <c r="H6065" s="32">
        <v>1</v>
      </c>
      <c r="I6065" s="32" t="s">
        <v>6897</v>
      </c>
      <c r="AL6065" s="32">
        <v>48</v>
      </c>
      <c r="AN6065" s="32">
        <v>19200</v>
      </c>
      <c r="AO6065" s="32" t="s">
        <v>6898</v>
      </c>
      <c r="AP6065" s="32">
        <v>2</v>
      </c>
      <c r="AQ6065" s="32" t="s">
        <v>6484</v>
      </c>
      <c r="AU6065">
        <v>6064</v>
      </c>
    </row>
    <row r="6066" spans="1:47" x14ac:dyDescent="0.2">
      <c r="A6066" s="133">
        <v>6825</v>
      </c>
      <c r="B6066" s="39" t="s">
        <v>85</v>
      </c>
      <c r="C6066" s="39">
        <v>55</v>
      </c>
      <c r="D6066" s="29" t="b">
        <v>0</v>
      </c>
      <c r="E6066" s="39" t="s">
        <v>6899</v>
      </c>
      <c r="F6066" s="47" t="s">
        <v>1743</v>
      </c>
      <c r="G6066" s="47" t="s">
        <v>49</v>
      </c>
      <c r="H6066"/>
      <c r="I6066" s="47" t="b">
        <v>0</v>
      </c>
      <c r="J6066" s="47" t="b">
        <v>1</v>
      </c>
      <c r="K6066" s="47">
        <v>1362</v>
      </c>
      <c r="L6066" s="48">
        <v>6</v>
      </c>
      <c r="M6066" s="47">
        <v>0</v>
      </c>
      <c r="N6066" s="47">
        <v>0</v>
      </c>
      <c r="O6066" s="47">
        <v>0</v>
      </c>
      <c r="P6066" s="47">
        <v>6</v>
      </c>
      <c r="Q6066" s="47">
        <v>0</v>
      </c>
      <c r="R6066" s="47">
        <v>0</v>
      </c>
      <c r="S6066" s="48">
        <v>6</v>
      </c>
      <c r="T6066" s="47">
        <v>0</v>
      </c>
      <c r="U6066" s="47">
        <v>0</v>
      </c>
      <c r="V6066" s="47">
        <v>0</v>
      </c>
      <c r="W6066" s="47">
        <v>16500</v>
      </c>
      <c r="X6066" s="47">
        <v>969</v>
      </c>
      <c r="Y6066" s="47" t="s">
        <v>120</v>
      </c>
      <c r="Z6066" s="47" t="s">
        <v>3618</v>
      </c>
      <c r="AA6066" s="49">
        <v>0.4826388888888889</v>
      </c>
      <c r="AB6066" s="49">
        <v>0.62847222222222221</v>
      </c>
      <c r="AC6066" s="49">
        <v>0.56944444444444442</v>
      </c>
      <c r="AD6066" s="50">
        <f>(AB6066-AA6066)*24</f>
        <v>3.4999999999999996</v>
      </c>
      <c r="AE6066" s="47" t="s">
        <v>5433</v>
      </c>
      <c r="AF6066" s="47">
        <v>140</v>
      </c>
      <c r="AG6066"/>
      <c r="AH6066"/>
      <c r="AI6066"/>
      <c r="AJ6066"/>
      <c r="AK6066">
        <v>9</v>
      </c>
      <c r="AL6066"/>
      <c r="AM6066"/>
      <c r="AN6066"/>
      <c r="AO6066"/>
      <c r="AP6066"/>
      <c r="AQ6066" t="s">
        <v>5434</v>
      </c>
      <c r="AU6066">
        <v>6065</v>
      </c>
    </row>
    <row r="6067" spans="1:47" x14ac:dyDescent="0.2">
      <c r="A6067" s="151">
        <v>6825</v>
      </c>
      <c r="B6067" s="61" t="s">
        <v>85</v>
      </c>
      <c r="C6067" s="61">
        <v>55</v>
      </c>
      <c r="D6067" s="62"/>
      <c r="E6067" s="61" t="s">
        <v>6900</v>
      </c>
      <c r="F6067" s="66" t="s">
        <v>6901</v>
      </c>
      <c r="G6067" s="66"/>
      <c r="H6067" s="67"/>
      <c r="I6067" s="66" t="s">
        <v>6902</v>
      </c>
      <c r="J6067" s="47"/>
      <c r="K6067" s="47">
        <v>0</v>
      </c>
      <c r="L6067" s="48">
        <v>1</v>
      </c>
      <c r="M6067" s="47"/>
      <c r="N6067" s="47"/>
      <c r="O6067" s="47"/>
      <c r="P6067" s="47"/>
      <c r="Q6067" s="47"/>
      <c r="R6067" s="47"/>
      <c r="S6067" s="48">
        <v>0</v>
      </c>
      <c r="T6067" s="47"/>
      <c r="U6067" s="47"/>
      <c r="V6067" s="47"/>
      <c r="W6067" s="47"/>
      <c r="X6067" s="47"/>
      <c r="Y6067" s="47" t="s">
        <v>120</v>
      </c>
      <c r="Z6067" s="47" t="s">
        <v>3618</v>
      </c>
      <c r="AA6067" s="49">
        <v>0.51388888888888895</v>
      </c>
      <c r="AB6067" s="49">
        <v>0.625</v>
      </c>
      <c r="AC6067" s="49"/>
      <c r="AD6067" s="50">
        <f>(AB6067-AA6067)*24</f>
        <v>2.6666666666666652</v>
      </c>
      <c r="AE6067" s="47" t="s">
        <v>5433</v>
      </c>
      <c r="AF6067" s="47">
        <v>90</v>
      </c>
      <c r="AG6067"/>
      <c r="AH6067"/>
      <c r="AI6067"/>
      <c r="AJ6067"/>
      <c r="AK6067">
        <v>0</v>
      </c>
      <c r="AL6067"/>
      <c r="AM6067"/>
      <c r="AN6067"/>
      <c r="AO6067"/>
      <c r="AP6067"/>
      <c r="AQ6067" t="s">
        <v>5434</v>
      </c>
      <c r="AU6067">
        <v>6066</v>
      </c>
    </row>
    <row r="6068" spans="1:47" x14ac:dyDescent="0.2">
      <c r="A6068" s="133">
        <v>6825</v>
      </c>
      <c r="B6068" s="39" t="s">
        <v>85</v>
      </c>
      <c r="C6068" s="39">
        <v>99</v>
      </c>
      <c r="D6068" s="29" t="b">
        <v>0</v>
      </c>
      <c r="E6068" s="39" t="s">
        <v>631</v>
      </c>
      <c r="F6068" s="47" t="s">
        <v>4092</v>
      </c>
      <c r="G6068" s="47" t="s">
        <v>274</v>
      </c>
      <c r="H6068"/>
      <c r="I6068" s="47" t="b">
        <v>0</v>
      </c>
      <c r="J6068" s="47" t="b">
        <v>1</v>
      </c>
      <c r="K6068" s="47">
        <v>2422</v>
      </c>
      <c r="L6068" s="48">
        <v>12</v>
      </c>
      <c r="M6068" s="47">
        <v>0</v>
      </c>
      <c r="N6068" s="47">
        <v>0</v>
      </c>
      <c r="O6068" s="47">
        <v>0</v>
      </c>
      <c r="P6068" s="47">
        <v>0</v>
      </c>
      <c r="Q6068" s="47">
        <v>0</v>
      </c>
      <c r="R6068" s="47">
        <v>0</v>
      </c>
      <c r="S6068" s="48">
        <v>11</v>
      </c>
      <c r="T6068" s="47">
        <v>1</v>
      </c>
      <c r="U6068" s="47">
        <v>0</v>
      </c>
      <c r="V6068" s="47">
        <v>0</v>
      </c>
      <c r="W6068" s="47">
        <v>10000</v>
      </c>
      <c r="X6068" s="47">
        <v>970</v>
      </c>
      <c r="Y6068" s="47" t="s">
        <v>120</v>
      </c>
      <c r="Z6068" s="47" t="s">
        <v>5139</v>
      </c>
      <c r="AA6068" s="49">
        <v>0.45833333333333331</v>
      </c>
      <c r="AB6068" s="49">
        <v>0.625</v>
      </c>
      <c r="AC6068" s="49">
        <f>AVERAGE(AA6068:AB6068)</f>
        <v>0.54166666666666663</v>
      </c>
      <c r="AD6068" s="50">
        <f>(AB6068-AA6068)*24</f>
        <v>4</v>
      </c>
      <c r="AE6068" s="47" t="s">
        <v>5433</v>
      </c>
      <c r="AF6068" s="47">
        <v>190</v>
      </c>
      <c r="AG6068"/>
      <c r="AH6068"/>
      <c r="AI6068"/>
      <c r="AJ6068"/>
      <c r="AK6068">
        <v>35</v>
      </c>
      <c r="AL6068"/>
      <c r="AM6068"/>
      <c r="AN6068"/>
      <c r="AO6068"/>
      <c r="AP6068"/>
      <c r="AQ6068" t="s">
        <v>2526</v>
      </c>
      <c r="AU6068">
        <v>6067</v>
      </c>
    </row>
    <row r="6069" spans="1:47" x14ac:dyDescent="0.2">
      <c r="A6069" s="133">
        <v>6825</v>
      </c>
      <c r="B6069" s="39" t="s">
        <v>85</v>
      </c>
      <c r="C6069" s="39">
        <v>104</v>
      </c>
      <c r="D6069" s="29" t="b">
        <v>0</v>
      </c>
      <c r="E6069" s="39" t="s">
        <v>3909</v>
      </c>
      <c r="F6069" s="47" t="s">
        <v>4092</v>
      </c>
      <c r="G6069" s="47" t="s">
        <v>274</v>
      </c>
      <c r="H6069"/>
      <c r="I6069" s="47" t="b">
        <v>0</v>
      </c>
      <c r="J6069" s="47" t="b">
        <v>1</v>
      </c>
      <c r="K6069" s="47">
        <v>2270</v>
      </c>
      <c r="L6069" s="48">
        <v>12</v>
      </c>
      <c r="M6069" s="47">
        <v>0</v>
      </c>
      <c r="N6069" s="47">
        <v>2</v>
      </c>
      <c r="O6069" s="47">
        <v>0</v>
      </c>
      <c r="P6069" s="47">
        <v>0</v>
      </c>
      <c r="Q6069" s="47">
        <v>0</v>
      </c>
      <c r="R6069" s="47">
        <v>0</v>
      </c>
      <c r="S6069" s="48">
        <v>10</v>
      </c>
      <c r="T6069" s="47">
        <v>3</v>
      </c>
      <c r="U6069" s="47">
        <v>0</v>
      </c>
      <c r="V6069" s="47">
        <v>0</v>
      </c>
      <c r="W6069" s="47">
        <v>11000</v>
      </c>
      <c r="X6069" s="47">
        <v>971</v>
      </c>
      <c r="Y6069" s="47" t="s">
        <v>120</v>
      </c>
      <c r="Z6069" s="47" t="s">
        <v>5139</v>
      </c>
      <c r="AA6069" s="49">
        <v>0.45833333333333331</v>
      </c>
      <c r="AB6069" s="49">
        <v>0.625</v>
      </c>
      <c r="AC6069" s="49">
        <f>AVERAGE(AA6069:AB6069)</f>
        <v>0.54166666666666663</v>
      </c>
      <c r="AD6069" s="50">
        <f>(AB6069-AA6069)*24</f>
        <v>4</v>
      </c>
      <c r="AE6069" s="47" t="s">
        <v>5433</v>
      </c>
      <c r="AF6069" s="47">
        <v>190</v>
      </c>
      <c r="AG6069"/>
      <c r="AH6069"/>
      <c r="AI6069"/>
      <c r="AJ6069"/>
      <c r="AK6069">
        <v>15</v>
      </c>
      <c r="AL6069"/>
      <c r="AM6069"/>
      <c r="AN6069"/>
      <c r="AO6069"/>
      <c r="AP6069"/>
      <c r="AQ6069" t="s">
        <v>5485</v>
      </c>
      <c r="AU6069">
        <v>6068</v>
      </c>
    </row>
    <row r="6070" spans="1:47" x14ac:dyDescent="0.2">
      <c r="A6070" s="26">
        <v>6825</v>
      </c>
      <c r="B6070" s="27">
        <v>7.6388888888888895E-2</v>
      </c>
      <c r="C6070" s="28"/>
      <c r="D6070" s="29"/>
      <c r="E6070" s="30" t="s">
        <v>631</v>
      </c>
      <c r="H6070" s="32">
        <v>1</v>
      </c>
      <c r="I6070" s="32" t="s">
        <v>6903</v>
      </c>
      <c r="AG6070" s="32">
        <v>0</v>
      </c>
      <c r="AH6070" s="32">
        <v>1</v>
      </c>
      <c r="AK6070" s="32">
        <v>21</v>
      </c>
      <c r="AL6070" s="32">
        <v>0.75</v>
      </c>
      <c r="AO6070" s="32" t="s">
        <v>633</v>
      </c>
      <c r="AP6070" s="32">
        <v>0.75</v>
      </c>
      <c r="AQ6070" s="32">
        <v>464</v>
      </c>
      <c r="AU6070">
        <v>6069</v>
      </c>
    </row>
    <row r="6071" spans="1:47" x14ac:dyDescent="0.2">
      <c r="A6071" s="26">
        <v>6825</v>
      </c>
      <c r="B6071" s="27">
        <v>0.39583333333333331</v>
      </c>
      <c r="C6071" s="28"/>
      <c r="D6071" s="29"/>
      <c r="E6071" s="30" t="s">
        <v>464</v>
      </c>
      <c r="H6071" s="32">
        <v>0</v>
      </c>
      <c r="I6071" s="32" t="s">
        <v>5766</v>
      </c>
      <c r="AG6071" s="32">
        <v>0</v>
      </c>
      <c r="AH6071" s="32">
        <v>0</v>
      </c>
      <c r="AL6071" s="32">
        <v>0.33300000000000002</v>
      </c>
      <c r="AO6071" s="32" t="s">
        <v>4067</v>
      </c>
      <c r="AP6071" s="32">
        <v>0.33300000000000002</v>
      </c>
      <c r="AQ6071" s="32" t="s">
        <v>1522</v>
      </c>
      <c r="AU6071">
        <v>6070</v>
      </c>
    </row>
    <row r="6072" spans="1:47" x14ac:dyDescent="0.2">
      <c r="A6072" s="26">
        <v>6825</v>
      </c>
      <c r="B6072" s="27">
        <v>0.58333333333333337</v>
      </c>
      <c r="C6072" s="28"/>
      <c r="D6072" s="29"/>
      <c r="E6072" s="30" t="s">
        <v>3155</v>
      </c>
      <c r="H6072" s="32">
        <v>0</v>
      </c>
      <c r="I6072" s="32" t="s">
        <v>3156</v>
      </c>
      <c r="AG6072" s="32">
        <v>0</v>
      </c>
      <c r="AH6072" s="32">
        <v>0</v>
      </c>
      <c r="AI6072" s="32">
        <v>0</v>
      </c>
      <c r="AK6072" s="32">
        <v>0</v>
      </c>
      <c r="AP6072" s="32">
        <f>55/60</f>
        <v>0.91666666666666663</v>
      </c>
      <c r="AQ6072" s="32" t="s">
        <v>1101</v>
      </c>
      <c r="AU6072">
        <v>6071</v>
      </c>
    </row>
    <row r="6073" spans="1:47" x14ac:dyDescent="0.2">
      <c r="A6073" s="26">
        <v>6825</v>
      </c>
      <c r="B6073" s="27">
        <v>0.59722222222222221</v>
      </c>
      <c r="C6073" s="28"/>
      <c r="D6073" s="29"/>
      <c r="E6073" s="102" t="s">
        <v>1102</v>
      </c>
      <c r="H6073" s="32">
        <v>0</v>
      </c>
      <c r="I6073" s="32" t="s">
        <v>1103</v>
      </c>
      <c r="AG6073" s="32">
        <v>0</v>
      </c>
      <c r="AH6073" s="32">
        <v>0</v>
      </c>
      <c r="AI6073" s="32">
        <v>0</v>
      </c>
      <c r="AK6073" s="32">
        <v>0</v>
      </c>
      <c r="AL6073" s="32">
        <f>33/60</f>
        <v>0.55000000000000004</v>
      </c>
      <c r="AO6073" s="73" t="s">
        <v>1006</v>
      </c>
      <c r="AP6073" s="32">
        <f>33/60</f>
        <v>0.55000000000000004</v>
      </c>
      <c r="AQ6073" s="32" t="s">
        <v>589</v>
      </c>
      <c r="AU6073">
        <v>6072</v>
      </c>
    </row>
    <row r="6074" spans="1:47" x14ac:dyDescent="0.2">
      <c r="A6074" s="26">
        <v>6825</v>
      </c>
      <c r="B6074" s="27">
        <v>0.60416666666666663</v>
      </c>
      <c r="C6074" s="28"/>
      <c r="D6074" s="29"/>
      <c r="E6074" s="30" t="s">
        <v>1028</v>
      </c>
      <c r="H6074" s="32">
        <v>1</v>
      </c>
      <c r="I6074" s="32" t="s">
        <v>6904</v>
      </c>
      <c r="AG6074" s="32">
        <v>0</v>
      </c>
      <c r="AH6074" s="32">
        <v>0</v>
      </c>
      <c r="AI6074" s="32">
        <v>1269</v>
      </c>
      <c r="AK6074" s="32">
        <v>6</v>
      </c>
      <c r="AO6074" s="32" t="s">
        <v>1030</v>
      </c>
      <c r="AQ6074" s="32">
        <v>433</v>
      </c>
      <c r="AU6074">
        <v>6073</v>
      </c>
    </row>
    <row r="6075" spans="1:47" x14ac:dyDescent="0.2">
      <c r="A6075" s="26">
        <v>6825</v>
      </c>
      <c r="B6075" s="27">
        <v>0.60833333333333328</v>
      </c>
      <c r="C6075" s="28"/>
      <c r="D6075" s="29"/>
      <c r="E6075" s="30" t="s">
        <v>3737</v>
      </c>
      <c r="H6075" s="32">
        <v>0</v>
      </c>
      <c r="I6075" s="32" t="s">
        <v>4926</v>
      </c>
      <c r="AG6075" s="32">
        <v>0</v>
      </c>
      <c r="AH6075" s="32">
        <v>0</v>
      </c>
      <c r="AI6075" s="32">
        <v>0</v>
      </c>
      <c r="AK6075" s="32">
        <v>0</v>
      </c>
      <c r="AL6075" s="32">
        <f>14/60</f>
        <v>0.23333333333333334</v>
      </c>
      <c r="AM6075" s="33">
        <f>(3125+3691)*AL6075</f>
        <v>1590.4</v>
      </c>
      <c r="AP6075" s="32">
        <f>14/60</f>
        <v>0.23333333333333334</v>
      </c>
      <c r="AQ6075" s="32" t="s">
        <v>1101</v>
      </c>
      <c r="AU6075">
        <v>6074</v>
      </c>
    </row>
    <row r="6076" spans="1:47" x14ac:dyDescent="0.2">
      <c r="A6076" s="26">
        <v>6825</v>
      </c>
      <c r="B6076" s="27">
        <v>0.62847222222222221</v>
      </c>
      <c r="C6076" s="28"/>
      <c r="D6076" s="29"/>
      <c r="E6076" s="30" t="s">
        <v>4219</v>
      </c>
      <c r="H6076" s="32">
        <v>0</v>
      </c>
      <c r="I6076" s="32" t="s">
        <v>6905</v>
      </c>
      <c r="AG6076" s="32">
        <v>0</v>
      </c>
      <c r="AH6076" s="32">
        <v>0</v>
      </c>
      <c r="AI6076" s="32">
        <v>0</v>
      </c>
      <c r="AK6076" s="32">
        <v>0</v>
      </c>
      <c r="AL6076" s="32">
        <v>0.25</v>
      </c>
      <c r="AO6076" s="32" t="s">
        <v>858</v>
      </c>
      <c r="AP6076" s="32">
        <v>0.25</v>
      </c>
      <c r="AQ6076" s="32" t="s">
        <v>1101</v>
      </c>
      <c r="AU6076">
        <v>6075</v>
      </c>
    </row>
    <row r="6077" spans="1:47" x14ac:dyDescent="0.2">
      <c r="A6077" s="26">
        <v>6825</v>
      </c>
      <c r="B6077" s="27" t="s">
        <v>85</v>
      </c>
      <c r="C6077" s="28"/>
      <c r="D6077" s="29"/>
      <c r="E6077" s="30" t="s">
        <v>631</v>
      </c>
      <c r="H6077" s="32">
        <v>1</v>
      </c>
      <c r="I6077" s="32" t="s">
        <v>6906</v>
      </c>
      <c r="AK6077" s="32">
        <v>1</v>
      </c>
      <c r="AQ6077" s="32" t="s">
        <v>6907</v>
      </c>
      <c r="AU6077">
        <v>6076</v>
      </c>
    </row>
    <row r="6078" spans="1:47" x14ac:dyDescent="0.2">
      <c r="A6078" s="26">
        <v>6826</v>
      </c>
      <c r="B6078" s="27">
        <v>0.55208333333333337</v>
      </c>
      <c r="C6078" s="28"/>
      <c r="D6078" s="29"/>
      <c r="E6078" s="30" t="s">
        <v>464</v>
      </c>
      <c r="H6078" s="32">
        <v>0</v>
      </c>
      <c r="I6078" s="32" t="s">
        <v>6908</v>
      </c>
      <c r="AG6078" s="32">
        <v>0</v>
      </c>
      <c r="AH6078" s="32">
        <v>0</v>
      </c>
      <c r="AL6078" s="32">
        <f>7/60</f>
        <v>0.11666666666666667</v>
      </c>
      <c r="AO6078" s="32" t="s">
        <v>4067</v>
      </c>
      <c r="AP6078" s="32">
        <f>7/60</f>
        <v>0.11666666666666667</v>
      </c>
      <c r="AQ6078" s="32" t="s">
        <v>1522</v>
      </c>
      <c r="AU6078">
        <v>6077</v>
      </c>
    </row>
    <row r="6079" spans="1:47" x14ac:dyDescent="0.2">
      <c r="A6079" s="26">
        <v>6826</v>
      </c>
      <c r="B6079" s="27">
        <v>0.82638888888888884</v>
      </c>
      <c r="C6079" s="28"/>
      <c r="D6079" s="29"/>
      <c r="E6079" s="30" t="s">
        <v>464</v>
      </c>
      <c r="H6079" s="32">
        <v>0</v>
      </c>
      <c r="I6079" s="32" t="s">
        <v>5766</v>
      </c>
      <c r="AG6079" s="32">
        <v>0</v>
      </c>
      <c r="AH6079" s="32">
        <v>0</v>
      </c>
      <c r="AL6079" s="32">
        <v>0.33300000000000002</v>
      </c>
      <c r="AO6079" s="32" t="s">
        <v>4067</v>
      </c>
      <c r="AP6079" s="32">
        <v>0.33300000000000002</v>
      </c>
      <c r="AQ6079" s="32" t="s">
        <v>1522</v>
      </c>
      <c r="AU6079">
        <v>6078</v>
      </c>
    </row>
    <row r="6080" spans="1:47" x14ac:dyDescent="0.2">
      <c r="A6080" s="26">
        <v>6827</v>
      </c>
      <c r="B6080" s="27"/>
      <c r="C6080" s="28"/>
      <c r="D6080" s="29"/>
      <c r="E6080" s="30" t="s">
        <v>5482</v>
      </c>
      <c r="H6080" s="32">
        <v>1</v>
      </c>
      <c r="I6080" s="32" t="s">
        <v>6909</v>
      </c>
      <c r="AG6080" s="32">
        <v>0</v>
      </c>
      <c r="AH6080" s="32">
        <v>0</v>
      </c>
      <c r="AI6080" s="32">
        <v>2143</v>
      </c>
      <c r="AK6080" s="32">
        <v>2</v>
      </c>
      <c r="AO6080" s="32" t="s">
        <v>1006</v>
      </c>
      <c r="AQ6080" s="32">
        <v>426</v>
      </c>
      <c r="AU6080">
        <v>6079</v>
      </c>
    </row>
    <row r="6081" spans="1:47" x14ac:dyDescent="0.2">
      <c r="A6081" s="26">
        <v>6828</v>
      </c>
      <c r="B6081" s="27">
        <v>0.89236111111111116</v>
      </c>
      <c r="C6081" s="28"/>
      <c r="D6081" s="29"/>
      <c r="E6081" s="102" t="s">
        <v>5200</v>
      </c>
      <c r="H6081" s="32">
        <v>0</v>
      </c>
      <c r="I6081" s="32" t="s">
        <v>5893</v>
      </c>
      <c r="AG6081" s="32">
        <v>0</v>
      </c>
      <c r="AH6081" s="32">
        <v>0</v>
      </c>
      <c r="AI6081" s="32">
        <v>0</v>
      </c>
      <c r="AK6081" s="32">
        <v>0</v>
      </c>
      <c r="AL6081" s="32">
        <f>96/60</f>
        <v>1.6</v>
      </c>
      <c r="AO6081" s="73"/>
      <c r="AP6081" s="32">
        <f>96/60</f>
        <v>1.6</v>
      </c>
      <c r="AQ6081" s="32" t="s">
        <v>589</v>
      </c>
      <c r="AU6081">
        <v>6080</v>
      </c>
    </row>
    <row r="6082" spans="1:47" x14ac:dyDescent="0.2">
      <c r="A6082" s="133">
        <v>6830</v>
      </c>
      <c r="B6082" s="39" t="s">
        <v>85</v>
      </c>
      <c r="C6082" s="39">
        <v>99</v>
      </c>
      <c r="D6082" s="29" t="b">
        <v>0</v>
      </c>
      <c r="E6082" s="39" t="s">
        <v>6910</v>
      </c>
      <c r="F6082" s="47" t="s">
        <v>6911</v>
      </c>
      <c r="G6082" s="47" t="s">
        <v>49</v>
      </c>
      <c r="H6082"/>
      <c r="I6082" s="47" t="b">
        <v>1</v>
      </c>
      <c r="J6082" s="47" t="b">
        <v>1</v>
      </c>
      <c r="K6082" s="47">
        <v>1350</v>
      </c>
      <c r="L6082" s="48">
        <v>6</v>
      </c>
      <c r="M6082" s="47">
        <v>0</v>
      </c>
      <c r="N6082" s="47">
        <v>0</v>
      </c>
      <c r="O6082" s="47">
        <v>0</v>
      </c>
      <c r="P6082" s="47">
        <v>4</v>
      </c>
      <c r="Q6082" s="47">
        <v>0</v>
      </c>
      <c r="R6082" s="47">
        <v>0</v>
      </c>
      <c r="S6082" s="48">
        <v>6</v>
      </c>
      <c r="T6082" s="47">
        <v>0</v>
      </c>
      <c r="U6082" s="47">
        <v>0</v>
      </c>
      <c r="V6082" s="47">
        <v>0</v>
      </c>
      <c r="W6082" s="47">
        <v>3333</v>
      </c>
      <c r="X6082" s="47">
        <v>973</v>
      </c>
      <c r="Y6082" s="47"/>
      <c r="Z6082" s="47" t="s">
        <v>5139</v>
      </c>
      <c r="AA6082" s="49"/>
      <c r="AB6082" s="49"/>
      <c r="AC6082" s="49"/>
      <c r="AD6082" s="50"/>
      <c r="AE6082" s="47" t="s">
        <v>5433</v>
      </c>
      <c r="AF6082" s="47">
        <v>60</v>
      </c>
      <c r="AG6082"/>
      <c r="AH6082"/>
      <c r="AI6082"/>
      <c r="AJ6082"/>
      <c r="AK6082">
        <f>2+4+5</f>
        <v>11</v>
      </c>
      <c r="AL6082"/>
      <c r="AM6082"/>
      <c r="AN6082"/>
      <c r="AO6082"/>
      <c r="AP6082"/>
      <c r="AQ6082" t="s">
        <v>2526</v>
      </c>
      <c r="AU6082">
        <v>6081</v>
      </c>
    </row>
    <row r="6083" spans="1:47" x14ac:dyDescent="0.2">
      <c r="A6083" s="133">
        <v>6830</v>
      </c>
      <c r="B6083" s="39" t="s">
        <v>85</v>
      </c>
      <c r="C6083" s="39">
        <v>99</v>
      </c>
      <c r="D6083" s="29" t="b">
        <v>0</v>
      </c>
      <c r="E6083" s="39" t="s">
        <v>6912</v>
      </c>
      <c r="F6083" s="47" t="s">
        <v>1743</v>
      </c>
      <c r="G6083" s="47" t="s">
        <v>49</v>
      </c>
      <c r="H6083"/>
      <c r="I6083" s="47" t="b">
        <v>0</v>
      </c>
      <c r="J6083" s="47" t="b">
        <v>0</v>
      </c>
      <c r="K6083" s="47">
        <v>448</v>
      </c>
      <c r="L6083" s="48">
        <v>2</v>
      </c>
      <c r="M6083" s="47">
        <v>0</v>
      </c>
      <c r="N6083" s="47">
        <v>0</v>
      </c>
      <c r="O6083" s="47">
        <v>0</v>
      </c>
      <c r="P6083" s="47">
        <v>0</v>
      </c>
      <c r="Q6083" s="47">
        <v>0</v>
      </c>
      <c r="R6083" s="47">
        <v>0</v>
      </c>
      <c r="S6083" s="48">
        <v>2</v>
      </c>
      <c r="T6083" s="47">
        <v>0</v>
      </c>
      <c r="U6083" s="47">
        <v>0</v>
      </c>
      <c r="V6083" s="47">
        <v>0</v>
      </c>
      <c r="W6083" s="47">
        <v>5000</v>
      </c>
      <c r="X6083" s="47">
        <v>980</v>
      </c>
      <c r="Y6083" s="47" t="s">
        <v>51</v>
      </c>
      <c r="Z6083" s="47" t="s">
        <v>5139</v>
      </c>
      <c r="AA6083" s="49">
        <v>0.5</v>
      </c>
      <c r="AB6083" s="49">
        <v>0.55208333333333337</v>
      </c>
      <c r="AC6083" s="49">
        <f>AVERAGE(AA6083:AB6083)</f>
        <v>0.52604166666666674</v>
      </c>
      <c r="AD6083" s="50">
        <f>(AB6083-AA6083)*24</f>
        <v>1.2500000000000009</v>
      </c>
      <c r="AE6083" s="47" t="s">
        <v>5433</v>
      </c>
      <c r="AF6083" s="47">
        <v>60</v>
      </c>
      <c r="AG6083"/>
      <c r="AH6083"/>
      <c r="AI6083"/>
      <c r="AJ6083"/>
      <c r="AK6083">
        <v>4</v>
      </c>
      <c r="AL6083"/>
      <c r="AM6083"/>
      <c r="AN6083"/>
      <c r="AO6083"/>
      <c r="AP6083"/>
      <c r="AQ6083" t="s">
        <v>2526</v>
      </c>
      <c r="AU6083">
        <v>6082</v>
      </c>
    </row>
    <row r="6084" spans="1:47" x14ac:dyDescent="0.2">
      <c r="A6084" s="133">
        <v>6830</v>
      </c>
      <c r="B6084" s="39" t="s">
        <v>85</v>
      </c>
      <c r="C6084" s="39">
        <v>99</v>
      </c>
      <c r="D6084" s="29" t="b">
        <v>0</v>
      </c>
      <c r="E6084" s="39" t="s">
        <v>6913</v>
      </c>
      <c r="F6084" s="85" t="s">
        <v>1743</v>
      </c>
      <c r="G6084" s="47" t="s">
        <v>49</v>
      </c>
      <c r="H6084"/>
      <c r="I6084" s="47" t="b">
        <v>0</v>
      </c>
      <c r="J6084" s="47" t="b">
        <v>0</v>
      </c>
      <c r="K6084" s="47">
        <v>224</v>
      </c>
      <c r="L6084" s="48">
        <v>2</v>
      </c>
      <c r="M6084" s="47">
        <v>0</v>
      </c>
      <c r="N6084" s="47">
        <v>0</v>
      </c>
      <c r="O6084" s="47">
        <v>0</v>
      </c>
      <c r="P6084" s="47">
        <v>2</v>
      </c>
      <c r="Q6084" s="47">
        <v>0</v>
      </c>
      <c r="R6084" s="47">
        <v>0</v>
      </c>
      <c r="S6084" s="48">
        <v>2</v>
      </c>
      <c r="T6084" s="47">
        <v>0</v>
      </c>
      <c r="U6084" s="47">
        <v>0</v>
      </c>
      <c r="V6084" s="47">
        <v>0</v>
      </c>
      <c r="W6084" s="47">
        <v>2500</v>
      </c>
      <c r="X6084" s="47">
        <v>974</v>
      </c>
      <c r="Y6084" s="47" t="s">
        <v>51</v>
      </c>
      <c r="Z6084" s="47" t="s">
        <v>5139</v>
      </c>
      <c r="AA6084" s="49">
        <v>0.62152777777777779</v>
      </c>
      <c r="AB6084" s="49">
        <v>0.66666666666666663</v>
      </c>
      <c r="AC6084" s="49">
        <f>AVERAGE(AA6084:AB6084)</f>
        <v>0.64409722222222221</v>
      </c>
      <c r="AD6084" s="50">
        <f>(AB6084-AA6084)*24</f>
        <v>1.0833333333333321</v>
      </c>
      <c r="AE6084" s="47" t="s">
        <v>5433</v>
      </c>
      <c r="AF6084" s="47">
        <v>45</v>
      </c>
      <c r="AG6084"/>
      <c r="AH6084"/>
      <c r="AI6084"/>
      <c r="AJ6084"/>
      <c r="AK6084">
        <v>2</v>
      </c>
      <c r="AL6084"/>
      <c r="AM6084"/>
      <c r="AN6084"/>
      <c r="AO6084"/>
      <c r="AP6084"/>
      <c r="AQ6084" t="s">
        <v>2526</v>
      </c>
      <c r="AR6084" s="32" t="s">
        <v>6914</v>
      </c>
      <c r="AU6084">
        <v>6083</v>
      </c>
    </row>
    <row r="6085" spans="1:47" x14ac:dyDescent="0.2">
      <c r="A6085" s="133">
        <v>6830</v>
      </c>
      <c r="B6085" s="39" t="s">
        <v>85</v>
      </c>
      <c r="C6085" s="39">
        <v>99</v>
      </c>
      <c r="D6085" s="29" t="b">
        <v>0</v>
      </c>
      <c r="E6085" s="39" t="s">
        <v>6915</v>
      </c>
      <c r="F6085" s="47" t="s">
        <v>748</v>
      </c>
      <c r="G6085" s="47" t="s">
        <v>73</v>
      </c>
      <c r="H6085"/>
      <c r="I6085" s="47" t="b">
        <v>0</v>
      </c>
      <c r="J6085" s="47" t="b">
        <v>0</v>
      </c>
      <c r="K6085" s="47">
        <v>678</v>
      </c>
      <c r="L6085" s="48">
        <v>2</v>
      </c>
      <c r="M6085" s="47">
        <v>0</v>
      </c>
      <c r="N6085" s="47">
        <v>0</v>
      </c>
      <c r="O6085" s="47">
        <v>0</v>
      </c>
      <c r="P6085" s="47">
        <v>2</v>
      </c>
      <c r="Q6085" s="47">
        <v>0</v>
      </c>
      <c r="R6085" s="47">
        <v>0</v>
      </c>
      <c r="S6085" s="48">
        <v>2</v>
      </c>
      <c r="T6085" s="47">
        <v>0</v>
      </c>
      <c r="U6085" s="47">
        <v>0</v>
      </c>
      <c r="V6085" s="47">
        <v>0</v>
      </c>
      <c r="W6085" s="47">
        <v>2500</v>
      </c>
      <c r="X6085" s="47">
        <v>982</v>
      </c>
      <c r="Y6085" s="47" t="s">
        <v>51</v>
      </c>
      <c r="Z6085" s="47" t="s">
        <v>5139</v>
      </c>
      <c r="AA6085" s="49">
        <v>0.62152777777777779</v>
      </c>
      <c r="AB6085" s="49">
        <v>0.66666666666666663</v>
      </c>
      <c r="AC6085" s="49">
        <f>AVERAGE(AA6085:AB6085)</f>
        <v>0.64409722222222221</v>
      </c>
      <c r="AD6085" s="50">
        <f>(AB6085-AA6085)*24</f>
        <v>1.0833333333333321</v>
      </c>
      <c r="AE6085" s="47" t="s">
        <v>5433</v>
      </c>
      <c r="AF6085" s="47">
        <v>45</v>
      </c>
      <c r="AG6085"/>
      <c r="AH6085"/>
      <c r="AI6085"/>
      <c r="AJ6085"/>
      <c r="AK6085">
        <v>5</v>
      </c>
      <c r="AL6085"/>
      <c r="AM6085"/>
      <c r="AN6085"/>
      <c r="AO6085"/>
      <c r="AP6085"/>
      <c r="AQ6085" t="s">
        <v>2526</v>
      </c>
      <c r="AR6085" s="32" t="s">
        <v>6914</v>
      </c>
      <c r="AU6085">
        <v>6084</v>
      </c>
    </row>
    <row r="6086" spans="1:47" x14ac:dyDescent="0.2">
      <c r="A6086" s="133">
        <v>6830</v>
      </c>
      <c r="B6086" s="39" t="s">
        <v>85</v>
      </c>
      <c r="C6086" s="39">
        <v>104</v>
      </c>
      <c r="D6086" s="29" t="b">
        <v>0</v>
      </c>
      <c r="E6086" s="39" t="s">
        <v>6916</v>
      </c>
      <c r="F6086" s="47" t="s">
        <v>6917</v>
      </c>
      <c r="G6086" s="47" t="s">
        <v>49</v>
      </c>
      <c r="H6086"/>
      <c r="I6086" s="47" t="b">
        <v>0</v>
      </c>
      <c r="J6086" s="47" t="b">
        <v>1</v>
      </c>
      <c r="K6086" s="47">
        <v>430</v>
      </c>
      <c r="L6086" s="48">
        <v>12</v>
      </c>
      <c r="M6086" s="47">
        <v>6</v>
      </c>
      <c r="N6086" s="47">
        <v>3</v>
      </c>
      <c r="O6086" s="47">
        <v>1</v>
      </c>
      <c r="P6086" s="47">
        <v>2</v>
      </c>
      <c r="Q6086" s="47">
        <v>0</v>
      </c>
      <c r="R6086" s="47">
        <v>0</v>
      </c>
      <c r="S6086" s="48">
        <v>2</v>
      </c>
      <c r="T6086" s="47">
        <v>0</v>
      </c>
      <c r="U6086" s="47">
        <v>0</v>
      </c>
      <c r="V6086" s="47">
        <v>3</v>
      </c>
      <c r="W6086" s="47">
        <v>3000</v>
      </c>
      <c r="X6086" s="47">
        <v>972</v>
      </c>
      <c r="Y6086" s="47" t="s">
        <v>51</v>
      </c>
      <c r="Z6086" s="47" t="s">
        <v>5139</v>
      </c>
      <c r="AA6086" s="49">
        <v>0.35069444444444442</v>
      </c>
      <c r="AB6086" s="49">
        <v>0.48958333333333331</v>
      </c>
      <c r="AC6086" s="49">
        <f>AVERAGE(AA6086:AB6086)</f>
        <v>0.42013888888888884</v>
      </c>
      <c r="AD6086" s="50">
        <f>(AB6086-AA6086)*24</f>
        <v>3.3333333333333335</v>
      </c>
      <c r="AE6086" s="47" t="s">
        <v>5433</v>
      </c>
      <c r="AF6086" s="47">
        <v>40</v>
      </c>
      <c r="AG6086"/>
      <c r="AH6086"/>
      <c r="AI6086"/>
      <c r="AJ6086"/>
      <c r="AK6086">
        <v>9</v>
      </c>
      <c r="AL6086"/>
      <c r="AM6086"/>
      <c r="AN6086"/>
      <c r="AO6086"/>
      <c r="AP6086"/>
      <c r="AQ6086" t="s">
        <v>5485</v>
      </c>
      <c r="AU6086">
        <v>6085</v>
      </c>
    </row>
    <row r="6087" spans="1:47" x14ac:dyDescent="0.2">
      <c r="A6087" s="37">
        <v>6830</v>
      </c>
      <c r="B6087" s="38" t="s">
        <v>85</v>
      </c>
      <c r="C6087" s="39" t="s">
        <v>5626</v>
      </c>
      <c r="D6087" s="29"/>
      <c r="E6087" s="103" t="s">
        <v>6918</v>
      </c>
      <c r="F6087" s="18" t="s">
        <v>6919</v>
      </c>
      <c r="G6087" s="47" t="s">
        <v>69</v>
      </c>
      <c r="H6087"/>
      <c r="I6087" s="18" t="s">
        <v>6920</v>
      </c>
      <c r="J6087" s="47"/>
      <c r="K6087" s="47">
        <f>9000*2.2</f>
        <v>19800</v>
      </c>
      <c r="L6087" s="48">
        <v>95</v>
      </c>
      <c r="M6087" s="47"/>
      <c r="N6087" s="47"/>
      <c r="O6087" s="47"/>
      <c r="P6087" s="47"/>
      <c r="Q6087" s="47"/>
      <c r="R6087" s="47"/>
      <c r="S6087" s="48">
        <v>45</v>
      </c>
      <c r="T6087" s="47">
        <v>0</v>
      </c>
      <c r="U6087" s="47">
        <v>0</v>
      </c>
      <c r="V6087" s="47">
        <v>8</v>
      </c>
      <c r="W6087" s="47"/>
      <c r="X6087" s="47"/>
      <c r="Y6087" s="17" t="s">
        <v>51</v>
      </c>
      <c r="Z6087" s="31" t="s">
        <v>3724</v>
      </c>
      <c r="AA6087" s="49"/>
      <c r="AB6087" s="49"/>
      <c r="AC6087" s="49">
        <v>0.4375</v>
      </c>
      <c r="AD6087" s="50"/>
      <c r="AE6087" s="17" t="s">
        <v>6921</v>
      </c>
      <c r="AF6087" s="47">
        <v>65</v>
      </c>
      <c r="AG6087"/>
      <c r="AH6087"/>
      <c r="AI6087"/>
      <c r="AJ6087"/>
      <c r="AK6087"/>
      <c r="AL6087"/>
      <c r="AM6087"/>
      <c r="AN6087"/>
      <c r="AO6087"/>
      <c r="AP6087"/>
      <c r="AQ6087" s="18" t="s">
        <v>6922</v>
      </c>
      <c r="AU6087">
        <v>6086</v>
      </c>
    </row>
    <row r="6088" spans="1:47" x14ac:dyDescent="0.2">
      <c r="A6088" s="37">
        <v>6830</v>
      </c>
      <c r="B6088" s="38" t="s">
        <v>85</v>
      </c>
      <c r="C6088" s="39" t="s">
        <v>5533</v>
      </c>
      <c r="D6088" s="29"/>
      <c r="E6088" s="38" t="s">
        <v>4277</v>
      </c>
      <c r="F6088" s="32" t="s">
        <v>170</v>
      </c>
      <c r="G6088" s="47" t="s">
        <v>69</v>
      </c>
      <c r="H6088"/>
      <c r="I6088" s="32" t="s">
        <v>6923</v>
      </c>
      <c r="J6088" s="47"/>
      <c r="K6088" s="47"/>
      <c r="L6088" s="48">
        <v>1</v>
      </c>
      <c r="M6088" s="47"/>
      <c r="N6088" s="47"/>
      <c r="O6088" s="47"/>
      <c r="P6088" s="47"/>
      <c r="Q6088" s="47"/>
      <c r="R6088" s="47"/>
      <c r="S6088" s="48">
        <v>1</v>
      </c>
      <c r="T6088" s="47">
        <v>1</v>
      </c>
      <c r="U6088" s="47"/>
      <c r="V6088" s="47"/>
      <c r="W6088" s="47"/>
      <c r="X6088" s="47"/>
      <c r="Y6088" s="47"/>
      <c r="Z6088" s="31" t="s">
        <v>3724</v>
      </c>
      <c r="AA6088" s="49">
        <v>0.44791666666666669</v>
      </c>
      <c r="AB6088" s="49"/>
      <c r="AC6088" s="49"/>
      <c r="AD6088" s="50"/>
      <c r="AE6088" s="47" t="s">
        <v>5536</v>
      </c>
      <c r="AF6088" s="47">
        <v>45</v>
      </c>
      <c r="AG6088"/>
      <c r="AH6088"/>
      <c r="AI6088"/>
      <c r="AJ6088"/>
      <c r="AK6088">
        <v>36</v>
      </c>
      <c r="AL6088"/>
      <c r="AM6088"/>
      <c r="AN6088"/>
      <c r="AO6088"/>
      <c r="AP6088"/>
      <c r="AQ6088" t="s">
        <v>6924</v>
      </c>
      <c r="AU6088">
        <v>6087</v>
      </c>
    </row>
    <row r="6089" spans="1:47" x14ac:dyDescent="0.2">
      <c r="A6089" s="37">
        <v>6830</v>
      </c>
      <c r="B6089" s="38" t="s">
        <v>85</v>
      </c>
      <c r="C6089" s="39" t="s">
        <v>5533</v>
      </c>
      <c r="D6089" s="29"/>
      <c r="E6089" s="38" t="s">
        <v>6925</v>
      </c>
      <c r="F6089" s="32" t="s">
        <v>170</v>
      </c>
      <c r="G6089" s="47" t="s">
        <v>69</v>
      </c>
      <c r="H6089"/>
      <c r="I6089" s="32" t="s">
        <v>6926</v>
      </c>
      <c r="J6089" s="47"/>
      <c r="K6089" s="47">
        <f>2588*2.2</f>
        <v>5693.6</v>
      </c>
      <c r="L6089" s="48">
        <v>9</v>
      </c>
      <c r="M6089" s="47"/>
      <c r="N6089" s="47"/>
      <c r="O6089" s="47">
        <v>1</v>
      </c>
      <c r="P6089" s="47"/>
      <c r="Q6089" s="47"/>
      <c r="R6089" s="47"/>
      <c r="S6089" s="48">
        <v>8</v>
      </c>
      <c r="T6089" s="47"/>
      <c r="U6089" s="47"/>
      <c r="V6089" s="47"/>
      <c r="W6089" s="47">
        <f>(800/1000)*0.62*5280</f>
        <v>2618.88</v>
      </c>
      <c r="X6089" s="47"/>
      <c r="Y6089" s="47" t="s">
        <v>51</v>
      </c>
      <c r="Z6089" s="31" t="s">
        <v>3724</v>
      </c>
      <c r="AA6089" s="49">
        <v>0.5625</v>
      </c>
      <c r="AB6089" s="49">
        <v>0.64583333333333337</v>
      </c>
      <c r="AC6089" s="49">
        <f>AVERAGE(AA6089:AB6089)</f>
        <v>0.60416666666666674</v>
      </c>
      <c r="AD6089" s="50">
        <f>(AB6089-AA6089)*24</f>
        <v>2.0000000000000009</v>
      </c>
      <c r="AE6089" s="47" t="s">
        <v>5536</v>
      </c>
      <c r="AF6089" s="47">
        <v>40</v>
      </c>
      <c r="AG6089"/>
      <c r="AH6089"/>
      <c r="AI6089"/>
      <c r="AJ6089"/>
      <c r="AK6089">
        <f>248+16</f>
        <v>264</v>
      </c>
      <c r="AL6089"/>
      <c r="AM6089"/>
      <c r="AN6089"/>
      <c r="AO6089"/>
      <c r="AP6089"/>
      <c r="AQ6089" t="s">
        <v>6927</v>
      </c>
      <c r="AU6089">
        <v>6088</v>
      </c>
    </row>
    <row r="6090" spans="1:47" x14ac:dyDescent="0.2">
      <c r="A6090" s="37">
        <v>6830</v>
      </c>
      <c r="B6090" s="38" t="s">
        <v>85</v>
      </c>
      <c r="C6090" s="39" t="s">
        <v>5533</v>
      </c>
      <c r="D6090" s="29"/>
      <c r="E6090" s="38" t="s">
        <v>432</v>
      </c>
      <c r="F6090" s="32" t="s">
        <v>170</v>
      </c>
      <c r="G6090" s="47" t="s">
        <v>69</v>
      </c>
      <c r="H6090"/>
      <c r="I6090" s="32" t="s">
        <v>6928</v>
      </c>
      <c r="J6090" s="47"/>
      <c r="K6090" s="47">
        <f>1150*2.2</f>
        <v>2530</v>
      </c>
      <c r="L6090" s="48">
        <v>7</v>
      </c>
      <c r="M6090" s="47"/>
      <c r="N6090" s="47">
        <v>2</v>
      </c>
      <c r="O6090" s="47"/>
      <c r="P6090" s="47"/>
      <c r="Q6090" s="47"/>
      <c r="R6090" s="47"/>
      <c r="S6090" s="48">
        <v>5</v>
      </c>
      <c r="T6090" s="47"/>
      <c r="U6090" s="47"/>
      <c r="V6090" s="47">
        <v>1</v>
      </c>
      <c r="W6090" s="47">
        <f>(800/1000)*0.62*5280</f>
        <v>2618.88</v>
      </c>
      <c r="X6090" s="47"/>
      <c r="Y6090" s="47" t="s">
        <v>51</v>
      </c>
      <c r="Z6090" s="31" t="s">
        <v>3724</v>
      </c>
      <c r="AA6090" s="49">
        <v>0.77083333333333337</v>
      </c>
      <c r="AB6090" s="49">
        <v>0.85416666666666663</v>
      </c>
      <c r="AC6090" s="49">
        <f>AVERAGE(AA6090:AB6090)</f>
        <v>0.8125</v>
      </c>
      <c r="AD6090" s="50">
        <f>(AB6090-AA6090)*24</f>
        <v>1.9999999999999982</v>
      </c>
      <c r="AE6090" s="47" t="s">
        <v>5536</v>
      </c>
      <c r="AF6090" s="47">
        <v>50</v>
      </c>
      <c r="AG6090"/>
      <c r="AH6090"/>
      <c r="AI6090"/>
      <c r="AJ6090"/>
      <c r="AK6090">
        <f>110+20</f>
        <v>130</v>
      </c>
      <c r="AL6090"/>
      <c r="AM6090"/>
      <c r="AN6090"/>
      <c r="AO6090"/>
      <c r="AP6090"/>
      <c r="AQ6090" t="s">
        <v>6927</v>
      </c>
      <c r="AU6090">
        <v>6089</v>
      </c>
    </row>
    <row r="6091" spans="1:47" x14ac:dyDescent="0.2">
      <c r="A6091" s="133">
        <v>6830</v>
      </c>
      <c r="B6091" s="39" t="s">
        <v>45</v>
      </c>
      <c r="C6091" s="39">
        <v>97</v>
      </c>
      <c r="D6091" s="29" t="b">
        <v>0</v>
      </c>
      <c r="E6091" s="39" t="s">
        <v>6929</v>
      </c>
      <c r="F6091" s="47" t="s">
        <v>2398</v>
      </c>
      <c r="G6091" s="47" t="s">
        <v>49</v>
      </c>
      <c r="H6091"/>
      <c r="I6091" s="47" t="b">
        <v>1</v>
      </c>
      <c r="J6091" s="47" t="b">
        <v>1</v>
      </c>
      <c r="K6091" s="47">
        <v>2900</v>
      </c>
      <c r="L6091" s="48">
        <v>2</v>
      </c>
      <c r="M6091" s="47">
        <v>0</v>
      </c>
      <c r="N6091" s="47">
        <v>0</v>
      </c>
      <c r="O6091" s="47">
        <v>0</v>
      </c>
      <c r="P6091" s="47">
        <v>0</v>
      </c>
      <c r="Q6091" s="47">
        <v>0</v>
      </c>
      <c r="R6091" s="47">
        <v>0</v>
      </c>
      <c r="S6091" s="48">
        <v>2</v>
      </c>
      <c r="T6091" s="47">
        <v>0</v>
      </c>
      <c r="U6091" s="47">
        <v>0</v>
      </c>
      <c r="V6091" s="47">
        <v>0</v>
      </c>
      <c r="W6091" s="47">
        <v>3000</v>
      </c>
      <c r="X6091" s="47">
        <v>981</v>
      </c>
      <c r="Y6091" s="47"/>
      <c r="Z6091" s="47" t="s">
        <v>2466</v>
      </c>
      <c r="AA6091" s="49"/>
      <c r="AB6091" s="49"/>
      <c r="AC6091" s="49"/>
      <c r="AD6091" s="50"/>
      <c r="AE6091" s="47"/>
      <c r="AF6091" s="47"/>
      <c r="AG6091"/>
      <c r="AH6091"/>
      <c r="AI6091"/>
      <c r="AJ6091"/>
      <c r="AK6091"/>
      <c r="AL6091"/>
      <c r="AM6091"/>
      <c r="AN6091"/>
      <c r="AO6091"/>
      <c r="AP6091"/>
      <c r="AQ6091" t="s">
        <v>2526</v>
      </c>
      <c r="AU6091">
        <v>6090</v>
      </c>
    </row>
    <row r="6092" spans="1:47" x14ac:dyDescent="0.2">
      <c r="A6092" s="133">
        <v>6830</v>
      </c>
      <c r="B6092" s="39" t="s">
        <v>45</v>
      </c>
      <c r="C6092" s="39">
        <v>97</v>
      </c>
      <c r="D6092" s="29" t="b">
        <v>0</v>
      </c>
      <c r="E6092" s="39" t="s">
        <v>1168</v>
      </c>
      <c r="F6092" s="47" t="s">
        <v>2398</v>
      </c>
      <c r="G6092" s="47" t="s">
        <v>49</v>
      </c>
      <c r="H6092"/>
      <c r="I6092" s="47" t="b">
        <v>0</v>
      </c>
      <c r="J6092" s="47" t="b">
        <v>0</v>
      </c>
      <c r="K6092" s="47">
        <v>1450</v>
      </c>
      <c r="L6092" s="48">
        <v>1</v>
      </c>
      <c r="M6092" s="47">
        <v>0</v>
      </c>
      <c r="N6092" s="47">
        <v>0</v>
      </c>
      <c r="O6092" s="47">
        <v>0</v>
      </c>
      <c r="P6092" s="47">
        <v>0</v>
      </c>
      <c r="Q6092" s="47">
        <v>0</v>
      </c>
      <c r="R6092" s="47">
        <v>0</v>
      </c>
      <c r="S6092" s="48">
        <v>1</v>
      </c>
      <c r="T6092" s="47">
        <v>0</v>
      </c>
      <c r="U6092" s="47">
        <v>0</v>
      </c>
      <c r="V6092" s="47">
        <v>0</v>
      </c>
      <c r="W6092" s="47">
        <v>3000</v>
      </c>
      <c r="X6092" s="47">
        <v>975</v>
      </c>
      <c r="Y6092" s="47"/>
      <c r="Z6092" s="47" t="s">
        <v>2466</v>
      </c>
      <c r="AA6092" s="49"/>
      <c r="AB6092" s="49"/>
      <c r="AC6092" s="49"/>
      <c r="AD6092" s="50"/>
      <c r="AE6092" s="47"/>
      <c r="AF6092" s="47"/>
      <c r="AG6092"/>
      <c r="AH6092"/>
      <c r="AI6092"/>
      <c r="AJ6092"/>
      <c r="AK6092"/>
      <c r="AL6092"/>
      <c r="AM6092"/>
      <c r="AN6092"/>
      <c r="AO6092"/>
      <c r="AP6092"/>
      <c r="AQ6092" t="s">
        <v>2526</v>
      </c>
      <c r="AU6092">
        <v>6091</v>
      </c>
    </row>
    <row r="6093" spans="1:47" x14ac:dyDescent="0.2">
      <c r="A6093" s="133">
        <v>6830</v>
      </c>
      <c r="B6093" s="39" t="s">
        <v>45</v>
      </c>
      <c r="C6093" s="39">
        <v>97</v>
      </c>
      <c r="D6093" s="29" t="b">
        <v>0</v>
      </c>
      <c r="E6093" s="39" t="s">
        <v>405</v>
      </c>
      <c r="F6093" s="47" t="s">
        <v>2398</v>
      </c>
      <c r="G6093" s="47" t="s">
        <v>49</v>
      </c>
      <c r="H6093"/>
      <c r="I6093" s="47" t="b">
        <v>0</v>
      </c>
      <c r="J6093" s="47" t="b">
        <v>0</v>
      </c>
      <c r="K6093" s="47">
        <v>1450</v>
      </c>
      <c r="L6093" s="48">
        <v>1</v>
      </c>
      <c r="M6093" s="47">
        <v>0</v>
      </c>
      <c r="N6093" s="47">
        <v>0</v>
      </c>
      <c r="O6093" s="47">
        <v>0</v>
      </c>
      <c r="P6093" s="47">
        <v>0</v>
      </c>
      <c r="Q6093" s="47">
        <v>0</v>
      </c>
      <c r="R6093" s="47">
        <v>0</v>
      </c>
      <c r="S6093" s="48">
        <v>1</v>
      </c>
      <c r="T6093" s="47">
        <v>0</v>
      </c>
      <c r="U6093" s="47">
        <v>0</v>
      </c>
      <c r="V6093" s="47">
        <v>0</v>
      </c>
      <c r="W6093" s="47">
        <v>3000</v>
      </c>
      <c r="X6093" s="47">
        <v>976</v>
      </c>
      <c r="Y6093" s="47"/>
      <c r="Z6093" s="47" t="s">
        <v>2466</v>
      </c>
      <c r="AA6093" s="49"/>
      <c r="AB6093" s="49"/>
      <c r="AC6093" s="49"/>
      <c r="AD6093" s="50"/>
      <c r="AE6093" s="47"/>
      <c r="AF6093" s="47"/>
      <c r="AG6093"/>
      <c r="AH6093"/>
      <c r="AI6093"/>
      <c r="AJ6093"/>
      <c r="AK6093"/>
      <c r="AL6093"/>
      <c r="AM6093"/>
      <c r="AN6093"/>
      <c r="AO6093"/>
      <c r="AP6093"/>
      <c r="AQ6093" t="s">
        <v>2526</v>
      </c>
      <c r="AU6093">
        <v>6092</v>
      </c>
    </row>
    <row r="6094" spans="1:47" x14ac:dyDescent="0.2">
      <c r="A6094" s="133">
        <v>6830</v>
      </c>
      <c r="B6094" s="39" t="s">
        <v>45</v>
      </c>
      <c r="C6094" s="39">
        <v>100</v>
      </c>
      <c r="D6094" s="29" t="b">
        <v>0</v>
      </c>
      <c r="E6094" s="39" t="s">
        <v>1168</v>
      </c>
      <c r="F6094" s="47" t="s">
        <v>2398</v>
      </c>
      <c r="G6094" s="47" t="s">
        <v>49</v>
      </c>
      <c r="H6094"/>
      <c r="I6094" s="47" t="b">
        <v>0</v>
      </c>
      <c r="J6094" s="47" t="b">
        <v>1</v>
      </c>
      <c r="K6094" s="47">
        <v>1792</v>
      </c>
      <c r="L6094" s="48">
        <v>2</v>
      </c>
      <c r="M6094" s="47">
        <v>1</v>
      </c>
      <c r="N6094" s="47">
        <v>0</v>
      </c>
      <c r="O6094" s="47">
        <v>0</v>
      </c>
      <c r="P6094" s="47">
        <v>0</v>
      </c>
      <c r="Q6094" s="47">
        <v>0</v>
      </c>
      <c r="R6094" s="47">
        <v>0</v>
      </c>
      <c r="S6094" s="48">
        <v>1</v>
      </c>
      <c r="T6094" s="47">
        <v>0</v>
      </c>
      <c r="U6094" s="47">
        <v>0</v>
      </c>
      <c r="V6094" s="47">
        <v>0</v>
      </c>
      <c r="W6094" s="47">
        <v>1400</v>
      </c>
      <c r="X6094" s="47">
        <v>977</v>
      </c>
      <c r="Y6094" s="47"/>
      <c r="Z6094" s="47" t="s">
        <v>2466</v>
      </c>
      <c r="AA6094" s="49"/>
      <c r="AB6094" s="49"/>
      <c r="AC6094" s="49"/>
      <c r="AD6094" s="50"/>
      <c r="AE6094" s="47" t="s">
        <v>6445</v>
      </c>
      <c r="AF6094" s="47">
        <v>80</v>
      </c>
      <c r="AG6094"/>
      <c r="AH6094"/>
      <c r="AI6094"/>
      <c r="AJ6094"/>
      <c r="AK6094"/>
      <c r="AL6094"/>
      <c r="AM6094"/>
      <c r="AN6094"/>
      <c r="AO6094"/>
      <c r="AP6094"/>
      <c r="AQ6094" t="s">
        <v>2526</v>
      </c>
      <c r="AU6094">
        <v>6093</v>
      </c>
    </row>
    <row r="6095" spans="1:47" x14ac:dyDescent="0.2">
      <c r="A6095" s="133">
        <v>6830</v>
      </c>
      <c r="B6095" s="39" t="s">
        <v>45</v>
      </c>
      <c r="C6095" s="39">
        <v>215</v>
      </c>
      <c r="D6095" s="29" t="b">
        <v>0</v>
      </c>
      <c r="E6095" s="39" t="s">
        <v>1168</v>
      </c>
      <c r="F6095" s="47" t="s">
        <v>2398</v>
      </c>
      <c r="G6095" s="47" t="s">
        <v>49</v>
      </c>
      <c r="H6095"/>
      <c r="I6095" s="47" t="b">
        <v>0</v>
      </c>
      <c r="J6095" s="47" t="b">
        <v>1</v>
      </c>
      <c r="K6095" s="47">
        <v>1668</v>
      </c>
      <c r="L6095" s="48">
        <v>2</v>
      </c>
      <c r="M6095" s="47">
        <v>1</v>
      </c>
      <c r="N6095" s="47">
        <v>0</v>
      </c>
      <c r="O6095" s="47">
        <v>0</v>
      </c>
      <c r="P6095" s="47">
        <v>0</v>
      </c>
      <c r="Q6095" s="47">
        <v>0</v>
      </c>
      <c r="R6095" s="47">
        <v>0</v>
      </c>
      <c r="S6095" s="48">
        <v>1</v>
      </c>
      <c r="T6095" s="47">
        <v>0</v>
      </c>
      <c r="U6095" s="47">
        <v>0</v>
      </c>
      <c r="V6095" s="47">
        <v>0</v>
      </c>
      <c r="W6095" s="47">
        <v>1200</v>
      </c>
      <c r="X6095" s="47">
        <v>978</v>
      </c>
      <c r="Y6095" s="47"/>
      <c r="Z6095" s="47" t="s">
        <v>2466</v>
      </c>
      <c r="AA6095" s="49"/>
      <c r="AB6095" s="49"/>
      <c r="AC6095" s="49"/>
      <c r="AD6095" s="50"/>
      <c r="AE6095" s="47"/>
      <c r="AF6095" s="47"/>
      <c r="AG6095"/>
      <c r="AH6095"/>
      <c r="AI6095"/>
      <c r="AJ6095"/>
      <c r="AK6095"/>
      <c r="AL6095"/>
      <c r="AM6095"/>
      <c r="AN6095"/>
      <c r="AO6095"/>
      <c r="AP6095"/>
      <c r="AQ6095" t="s">
        <v>2526</v>
      </c>
      <c r="AU6095">
        <v>6094</v>
      </c>
    </row>
    <row r="6096" spans="1:47" x14ac:dyDescent="0.2">
      <c r="A6096" s="133">
        <v>6830</v>
      </c>
      <c r="B6096" s="39" t="s">
        <v>45</v>
      </c>
      <c r="C6096" s="39">
        <v>216</v>
      </c>
      <c r="D6096" s="29" t="b">
        <v>0</v>
      </c>
      <c r="E6096" s="39" t="s">
        <v>1168</v>
      </c>
      <c r="F6096" s="47" t="s">
        <v>2398</v>
      </c>
      <c r="G6096" s="47" t="s">
        <v>49</v>
      </c>
      <c r="H6096"/>
      <c r="I6096" s="47" t="b">
        <v>0</v>
      </c>
      <c r="J6096" s="47" t="b">
        <v>1</v>
      </c>
      <c r="K6096" s="47">
        <v>6130</v>
      </c>
      <c r="L6096" s="48">
        <v>8</v>
      </c>
      <c r="M6096" s="47">
        <v>2</v>
      </c>
      <c r="N6096" s="47">
        <v>1</v>
      </c>
      <c r="O6096" s="47">
        <v>1</v>
      </c>
      <c r="P6096" s="47">
        <v>0</v>
      </c>
      <c r="Q6096" s="47">
        <v>0</v>
      </c>
      <c r="R6096" s="47">
        <v>0</v>
      </c>
      <c r="S6096" s="48">
        <v>4</v>
      </c>
      <c r="T6096" s="47">
        <v>0</v>
      </c>
      <c r="U6096" s="47">
        <v>0</v>
      </c>
      <c r="V6096" s="47">
        <v>0</v>
      </c>
      <c r="W6096" s="47">
        <v>5100</v>
      </c>
      <c r="X6096" s="47">
        <v>979</v>
      </c>
      <c r="Y6096" s="47"/>
      <c r="Z6096" s="47" t="s">
        <v>2466</v>
      </c>
      <c r="AA6096" s="49"/>
      <c r="AB6096" s="49"/>
      <c r="AC6096" s="49"/>
      <c r="AD6096" s="50"/>
      <c r="AE6096" s="47" t="s">
        <v>1312</v>
      </c>
      <c r="AF6096" s="47">
        <v>60</v>
      </c>
      <c r="AG6096"/>
      <c r="AH6096"/>
      <c r="AI6096"/>
      <c r="AJ6096"/>
      <c r="AK6096"/>
      <c r="AL6096"/>
      <c r="AM6096"/>
      <c r="AN6096"/>
      <c r="AO6096"/>
      <c r="AP6096"/>
      <c r="AQ6096" t="s">
        <v>2526</v>
      </c>
      <c r="AU6096">
        <v>6095</v>
      </c>
    </row>
    <row r="6097" spans="1:47" x14ac:dyDescent="0.2">
      <c r="A6097" s="13">
        <v>6830</v>
      </c>
      <c r="B6097" s="57" t="s">
        <v>45</v>
      </c>
      <c r="C6097" s="57" t="s">
        <v>4843</v>
      </c>
      <c r="D6097" s="29"/>
      <c r="E6097" s="57" t="s">
        <v>6930</v>
      </c>
      <c r="F6097" s="31" t="s">
        <v>76</v>
      </c>
      <c r="G6097" s="47" t="s">
        <v>49</v>
      </c>
      <c r="K6097" s="31">
        <v>440</v>
      </c>
      <c r="S6097" s="33">
        <v>1</v>
      </c>
      <c r="Z6097" s="31" t="s">
        <v>3814</v>
      </c>
      <c r="AE6097" s="31" t="s">
        <v>4411</v>
      </c>
      <c r="AK6097" s="32">
        <v>4</v>
      </c>
      <c r="AQ6097" s="32" t="s">
        <v>6820</v>
      </c>
      <c r="AU6097">
        <v>6096</v>
      </c>
    </row>
    <row r="6098" spans="1:47" x14ac:dyDescent="0.2">
      <c r="A6098" s="13">
        <v>6830</v>
      </c>
      <c r="B6098" s="57" t="s">
        <v>45</v>
      </c>
      <c r="C6098" s="57" t="s">
        <v>4843</v>
      </c>
      <c r="D6098" s="29"/>
      <c r="E6098" s="57" t="s">
        <v>1064</v>
      </c>
      <c r="F6098" s="31" t="s">
        <v>76</v>
      </c>
      <c r="G6098" s="47" t="s">
        <v>49</v>
      </c>
      <c r="K6098" s="31">
        <v>660</v>
      </c>
      <c r="S6098" s="33">
        <v>1</v>
      </c>
      <c r="Z6098" s="31" t="s">
        <v>3814</v>
      </c>
      <c r="AE6098" s="31" t="s">
        <v>4411</v>
      </c>
      <c r="AF6098" s="31">
        <v>55</v>
      </c>
      <c r="AK6098" s="32">
        <v>6</v>
      </c>
      <c r="AQ6098" s="32" t="s">
        <v>6820</v>
      </c>
      <c r="AU6098">
        <v>6097</v>
      </c>
    </row>
    <row r="6099" spans="1:47" x14ac:dyDescent="0.2">
      <c r="A6099" s="13">
        <v>6830</v>
      </c>
      <c r="B6099" s="57" t="s">
        <v>45</v>
      </c>
      <c r="C6099" s="57" t="s">
        <v>4843</v>
      </c>
      <c r="D6099" s="29"/>
      <c r="E6099" s="57" t="s">
        <v>3875</v>
      </c>
      <c r="F6099" s="31" t="s">
        <v>76</v>
      </c>
      <c r="G6099" s="47" t="s">
        <v>49</v>
      </c>
      <c r="K6099" s="31">
        <v>1452</v>
      </c>
      <c r="S6099" s="33">
        <v>3</v>
      </c>
      <c r="Z6099" s="31" t="s">
        <v>3814</v>
      </c>
      <c r="AE6099" s="31" t="s">
        <v>4411</v>
      </c>
      <c r="AF6099" s="31">
        <v>55</v>
      </c>
      <c r="AK6099" s="32">
        <v>14</v>
      </c>
      <c r="AQ6099" s="32" t="s">
        <v>6820</v>
      </c>
      <c r="AU6099">
        <v>6098</v>
      </c>
    </row>
    <row r="6100" spans="1:47" x14ac:dyDescent="0.2">
      <c r="A6100" s="26">
        <v>6830</v>
      </c>
      <c r="B6100" s="27">
        <v>2.0833333333333332E-2</v>
      </c>
      <c r="C6100" s="28"/>
      <c r="D6100" s="29"/>
      <c r="E6100" s="30" t="s">
        <v>4219</v>
      </c>
      <c r="H6100" s="32">
        <v>0</v>
      </c>
      <c r="I6100" s="32" t="s">
        <v>4249</v>
      </c>
      <c r="AG6100" s="32">
        <v>0</v>
      </c>
      <c r="AH6100" s="32">
        <v>0</v>
      </c>
      <c r="AI6100" s="32">
        <v>0</v>
      </c>
      <c r="AK6100" s="32">
        <v>0</v>
      </c>
      <c r="AL6100" s="32">
        <f>1/6</f>
        <v>0.16666666666666666</v>
      </c>
      <c r="AO6100" s="32" t="s">
        <v>858</v>
      </c>
      <c r="AP6100" s="32">
        <f>1/6</f>
        <v>0.16666666666666666</v>
      </c>
      <c r="AQ6100" s="32" t="s">
        <v>1101</v>
      </c>
      <c r="AU6100">
        <v>6099</v>
      </c>
    </row>
    <row r="6101" spans="1:47" x14ac:dyDescent="0.2">
      <c r="A6101" s="26">
        <v>6830</v>
      </c>
      <c r="B6101" s="27">
        <v>0.63888888888888895</v>
      </c>
      <c r="C6101" s="28"/>
      <c r="D6101" s="29"/>
      <c r="E6101" s="30" t="s">
        <v>4219</v>
      </c>
      <c r="H6101" s="32">
        <v>0</v>
      </c>
      <c r="I6101" s="32" t="s">
        <v>4249</v>
      </c>
      <c r="AG6101" s="32">
        <v>0</v>
      </c>
      <c r="AH6101" s="32">
        <v>0</v>
      </c>
      <c r="AI6101" s="32">
        <v>0</v>
      </c>
      <c r="AK6101" s="32">
        <v>0</v>
      </c>
      <c r="AL6101" s="32">
        <v>0.25</v>
      </c>
      <c r="AO6101" s="32" t="s">
        <v>858</v>
      </c>
      <c r="AP6101" s="32">
        <v>0.25</v>
      </c>
      <c r="AQ6101" s="32" t="s">
        <v>1101</v>
      </c>
      <c r="AU6101">
        <v>6100</v>
      </c>
    </row>
    <row r="6102" spans="1:47" x14ac:dyDescent="0.2">
      <c r="A6102" s="133">
        <v>6831</v>
      </c>
      <c r="B6102" s="39" t="s">
        <v>85</v>
      </c>
      <c r="C6102" s="39">
        <v>99</v>
      </c>
      <c r="D6102" s="29"/>
      <c r="E6102" s="39" t="s">
        <v>6931</v>
      </c>
      <c r="F6102" s="47" t="s">
        <v>6932</v>
      </c>
      <c r="G6102" s="47" t="s">
        <v>73</v>
      </c>
      <c r="H6102"/>
      <c r="I6102" s="47" t="b">
        <v>1</v>
      </c>
      <c r="J6102" s="47" t="b">
        <v>1</v>
      </c>
      <c r="K6102" s="47">
        <f>4*112</f>
        <v>448</v>
      </c>
      <c r="L6102" s="48">
        <v>14</v>
      </c>
      <c r="M6102" s="47">
        <v>10</v>
      </c>
      <c r="N6102" s="47">
        <v>2</v>
      </c>
      <c r="O6102" s="47">
        <v>0</v>
      </c>
      <c r="P6102" s="47">
        <v>2</v>
      </c>
      <c r="Q6102" s="47">
        <v>0</v>
      </c>
      <c r="R6102" s="47">
        <v>0</v>
      </c>
      <c r="S6102" s="48">
        <v>2</v>
      </c>
      <c r="T6102" s="47">
        <v>0</v>
      </c>
      <c r="U6102" s="47">
        <v>1</v>
      </c>
      <c r="V6102" s="47">
        <v>0</v>
      </c>
      <c r="W6102" s="47">
        <v>200</v>
      </c>
      <c r="X6102" s="47"/>
      <c r="Y6102" s="47" t="s">
        <v>51</v>
      </c>
      <c r="Z6102" s="47" t="s">
        <v>5139</v>
      </c>
      <c r="AA6102" s="49">
        <v>0.45833333333333331</v>
      </c>
      <c r="AB6102" s="49">
        <v>0.53819444444444442</v>
      </c>
      <c r="AC6102" s="49"/>
      <c r="AD6102" s="50">
        <f>(AB6102-AA6102)*24</f>
        <v>1.9166666666666665</v>
      </c>
      <c r="AE6102" s="47" t="s">
        <v>5433</v>
      </c>
      <c r="AF6102" s="47">
        <v>45</v>
      </c>
      <c r="AG6102"/>
      <c r="AH6102"/>
      <c r="AI6102"/>
      <c r="AJ6102"/>
      <c r="AK6102">
        <f>2+2</f>
        <v>4</v>
      </c>
      <c r="AL6102"/>
      <c r="AM6102"/>
      <c r="AN6102"/>
      <c r="AO6102"/>
      <c r="AP6102"/>
      <c r="AQ6102" t="s">
        <v>6933</v>
      </c>
      <c r="AR6102" s="32" t="s">
        <v>6934</v>
      </c>
      <c r="AU6102">
        <v>6101</v>
      </c>
    </row>
    <row r="6103" spans="1:47" x14ac:dyDescent="0.2">
      <c r="A6103" s="133">
        <v>6831</v>
      </c>
      <c r="B6103" s="39" t="s">
        <v>85</v>
      </c>
      <c r="C6103" s="39">
        <v>99</v>
      </c>
      <c r="D6103" s="29"/>
      <c r="E6103" s="39" t="s">
        <v>6935</v>
      </c>
      <c r="F6103" s="47" t="s">
        <v>348</v>
      </c>
      <c r="G6103" s="47" t="s">
        <v>49</v>
      </c>
      <c r="H6103"/>
      <c r="I6103" s="47" t="b">
        <v>0</v>
      </c>
      <c r="J6103" s="47" t="b">
        <v>0</v>
      </c>
      <c r="K6103" s="47">
        <f>2*112</f>
        <v>224</v>
      </c>
      <c r="L6103" s="48"/>
      <c r="M6103" s="47"/>
      <c r="N6103" s="47"/>
      <c r="O6103" s="47"/>
      <c r="P6103" s="47">
        <v>1</v>
      </c>
      <c r="Q6103" s="47"/>
      <c r="R6103" s="47"/>
      <c r="S6103" s="48">
        <v>1</v>
      </c>
      <c r="T6103" s="47"/>
      <c r="U6103" s="47"/>
      <c r="V6103" s="47"/>
      <c r="W6103" s="47">
        <v>200</v>
      </c>
      <c r="X6103" s="47"/>
      <c r="Y6103" s="47" t="s">
        <v>51</v>
      </c>
      <c r="Z6103" s="47" t="s">
        <v>5139</v>
      </c>
      <c r="AA6103" s="49">
        <v>0.45833333333333331</v>
      </c>
      <c r="AB6103" s="49">
        <v>0.50694444444444442</v>
      </c>
      <c r="AC6103" s="49">
        <f>AVERAGE(AA6103:AB6103)</f>
        <v>0.48263888888888884</v>
      </c>
      <c r="AD6103" s="50">
        <f>(AB6103-AA6103)*24</f>
        <v>1.1666666666666665</v>
      </c>
      <c r="AE6103" s="47" t="s">
        <v>5433</v>
      </c>
      <c r="AF6103" s="47">
        <v>45</v>
      </c>
      <c r="AG6103"/>
      <c r="AH6103"/>
      <c r="AI6103"/>
      <c r="AJ6103"/>
      <c r="AK6103">
        <v>2</v>
      </c>
      <c r="AL6103"/>
      <c r="AM6103"/>
      <c r="AN6103"/>
      <c r="AO6103"/>
      <c r="AP6103"/>
      <c r="AQ6103" t="s">
        <v>6933</v>
      </c>
      <c r="AR6103" s="32" t="s">
        <v>6934</v>
      </c>
      <c r="AU6103">
        <v>6102</v>
      </c>
    </row>
    <row r="6104" spans="1:47" x14ac:dyDescent="0.2">
      <c r="A6104" s="133">
        <v>6831</v>
      </c>
      <c r="B6104" s="39" t="s">
        <v>85</v>
      </c>
      <c r="C6104" s="39">
        <v>99</v>
      </c>
      <c r="D6104" s="29"/>
      <c r="E6104" s="39" t="s">
        <v>6936</v>
      </c>
      <c r="F6104" s="47" t="s">
        <v>3054</v>
      </c>
      <c r="G6104" s="47" t="s">
        <v>69</v>
      </c>
      <c r="H6104"/>
      <c r="I6104" s="47" t="b">
        <v>0</v>
      </c>
      <c r="J6104" s="47" t="b">
        <v>0</v>
      </c>
      <c r="K6104" s="47">
        <f>2*112</f>
        <v>224</v>
      </c>
      <c r="L6104" s="48"/>
      <c r="M6104" s="47"/>
      <c r="N6104" s="47"/>
      <c r="O6104" s="47"/>
      <c r="P6104" s="47">
        <v>1</v>
      </c>
      <c r="Q6104" s="47"/>
      <c r="R6104" s="47"/>
      <c r="S6104" s="48">
        <v>1</v>
      </c>
      <c r="T6104" s="47"/>
      <c r="U6104" s="47"/>
      <c r="V6104" s="47"/>
      <c r="W6104" s="47">
        <v>200</v>
      </c>
      <c r="X6104" s="47"/>
      <c r="Y6104" s="47" t="s">
        <v>51</v>
      </c>
      <c r="Z6104" s="47" t="s">
        <v>5139</v>
      </c>
      <c r="AA6104" s="49">
        <v>0.45833333333333331</v>
      </c>
      <c r="AB6104" s="49">
        <v>0.50694444444444442</v>
      </c>
      <c r="AC6104" s="49">
        <f>AVERAGE(AA6104:AB6104)</f>
        <v>0.48263888888888884</v>
      </c>
      <c r="AD6104" s="50">
        <f>(AB6104-AA6104)*24</f>
        <v>1.1666666666666665</v>
      </c>
      <c r="AE6104" s="47" t="s">
        <v>5433</v>
      </c>
      <c r="AF6104" s="47">
        <v>45</v>
      </c>
      <c r="AG6104"/>
      <c r="AH6104"/>
      <c r="AI6104"/>
      <c r="AJ6104"/>
      <c r="AK6104">
        <v>2</v>
      </c>
      <c r="AL6104"/>
      <c r="AM6104"/>
      <c r="AN6104"/>
      <c r="AO6104"/>
      <c r="AP6104"/>
      <c r="AQ6104" t="s">
        <v>6933</v>
      </c>
      <c r="AR6104" s="32" t="s">
        <v>6934</v>
      </c>
      <c r="AU6104">
        <v>6103</v>
      </c>
    </row>
    <row r="6105" spans="1:47" x14ac:dyDescent="0.2">
      <c r="A6105" s="133">
        <v>6831</v>
      </c>
      <c r="B6105" s="39" t="s">
        <v>85</v>
      </c>
      <c r="C6105" s="39">
        <v>99</v>
      </c>
      <c r="D6105" s="29"/>
      <c r="E6105" s="39" t="s">
        <v>364</v>
      </c>
      <c r="F6105" s="47" t="s">
        <v>1757</v>
      </c>
      <c r="G6105" s="47" t="s">
        <v>49</v>
      </c>
      <c r="H6105"/>
      <c r="I6105" s="47" t="b">
        <v>0</v>
      </c>
      <c r="J6105" s="47" t="b">
        <v>1</v>
      </c>
      <c r="K6105" s="54">
        <f>2*112</f>
        <v>224</v>
      </c>
      <c r="L6105" s="48">
        <v>1</v>
      </c>
      <c r="M6105" s="47">
        <v>0</v>
      </c>
      <c r="N6105" s="47">
        <v>0</v>
      </c>
      <c r="O6105" s="47">
        <v>0</v>
      </c>
      <c r="P6105" s="47">
        <v>0</v>
      </c>
      <c r="Q6105" s="47">
        <v>0</v>
      </c>
      <c r="R6105" s="47">
        <v>0</v>
      </c>
      <c r="S6105" s="48">
        <v>1</v>
      </c>
      <c r="T6105" s="47">
        <v>1</v>
      </c>
      <c r="U6105" s="47">
        <v>0</v>
      </c>
      <c r="V6105" s="47">
        <v>0</v>
      </c>
      <c r="W6105" s="47"/>
      <c r="X6105" s="47"/>
      <c r="Y6105" s="47" t="s">
        <v>51</v>
      </c>
      <c r="Z6105" s="47" t="s">
        <v>5139</v>
      </c>
      <c r="AA6105" s="49"/>
      <c r="AB6105" s="49"/>
      <c r="AC6105" s="49"/>
      <c r="AD6105" s="50"/>
      <c r="AE6105" s="47" t="s">
        <v>5433</v>
      </c>
      <c r="AF6105" s="47">
        <v>55</v>
      </c>
      <c r="AG6105"/>
      <c r="AH6105" s="192"/>
      <c r="AI6105"/>
      <c r="AJ6105"/>
      <c r="AK6105" s="90">
        <v>2</v>
      </c>
      <c r="AL6105"/>
      <c r="AM6105"/>
      <c r="AN6105"/>
      <c r="AO6105"/>
      <c r="AP6105"/>
      <c r="AQ6105" t="s">
        <v>6933</v>
      </c>
      <c r="AR6105" s="32" t="s">
        <v>6937</v>
      </c>
      <c r="AU6105">
        <v>6104</v>
      </c>
    </row>
    <row r="6106" spans="1:47" x14ac:dyDescent="0.2">
      <c r="A6106" s="133">
        <v>6831</v>
      </c>
      <c r="B6106" s="39" t="s">
        <v>85</v>
      </c>
      <c r="C6106" s="39">
        <v>99</v>
      </c>
      <c r="D6106" s="29"/>
      <c r="E6106" s="39" t="s">
        <v>6938</v>
      </c>
      <c r="F6106" s="47" t="s">
        <v>2853</v>
      </c>
      <c r="G6106" s="47" t="s">
        <v>49</v>
      </c>
      <c r="H6106"/>
      <c r="I6106" s="47" t="b">
        <v>0</v>
      </c>
      <c r="J6106" s="47" t="b">
        <v>1</v>
      </c>
      <c r="K6106" s="47">
        <f>2*112</f>
        <v>224</v>
      </c>
      <c r="L6106" s="48">
        <v>1</v>
      </c>
      <c r="M6106" s="47">
        <v>0</v>
      </c>
      <c r="N6106" s="47">
        <v>0</v>
      </c>
      <c r="O6106" s="47">
        <v>0</v>
      </c>
      <c r="P6106" s="47">
        <v>1</v>
      </c>
      <c r="Q6106" s="47">
        <v>0</v>
      </c>
      <c r="R6106" s="47">
        <v>0</v>
      </c>
      <c r="S6106" s="48">
        <v>1</v>
      </c>
      <c r="T6106" s="47">
        <v>0</v>
      </c>
      <c r="U6106" s="47">
        <v>0</v>
      </c>
      <c r="V6106" s="47">
        <v>0</v>
      </c>
      <c r="W6106" s="47"/>
      <c r="X6106" s="47"/>
      <c r="Y6106" s="47" t="s">
        <v>51</v>
      </c>
      <c r="Z6106" s="47" t="s">
        <v>5139</v>
      </c>
      <c r="AA6106" s="49">
        <v>0.5</v>
      </c>
      <c r="AB6106" s="49">
        <v>0.53819444444444442</v>
      </c>
      <c r="AC6106" s="49">
        <f>AVERAGE(AA6106:AB6106)</f>
        <v>0.51909722222222221</v>
      </c>
      <c r="AD6106" s="50">
        <f>(AB6106-AA6106)*24</f>
        <v>0.91666666666666607</v>
      </c>
      <c r="AE6106" s="47" t="s">
        <v>5433</v>
      </c>
      <c r="AF6106" s="47">
        <v>50</v>
      </c>
      <c r="AG6106"/>
      <c r="AH6106"/>
      <c r="AI6106"/>
      <c r="AJ6106"/>
      <c r="AK6106">
        <v>2</v>
      </c>
      <c r="AL6106"/>
      <c r="AM6106"/>
      <c r="AN6106"/>
      <c r="AO6106"/>
      <c r="AP6106"/>
      <c r="AQ6106" t="s">
        <v>6933</v>
      </c>
      <c r="AR6106" s="32" t="s">
        <v>6939</v>
      </c>
      <c r="AU6106">
        <v>6105</v>
      </c>
    </row>
    <row r="6107" spans="1:47" x14ac:dyDescent="0.2">
      <c r="A6107" s="133">
        <v>6831</v>
      </c>
      <c r="B6107" s="39" t="s">
        <v>85</v>
      </c>
      <c r="C6107" s="39">
        <v>99</v>
      </c>
      <c r="D6107" s="29"/>
      <c r="E6107" s="39" t="s">
        <v>5670</v>
      </c>
      <c r="F6107" s="47" t="s">
        <v>220</v>
      </c>
      <c r="G6107" s="47" t="s">
        <v>49</v>
      </c>
      <c r="H6107"/>
      <c r="I6107" s="47" t="b">
        <v>0</v>
      </c>
      <c r="J6107" s="47" t="b">
        <v>1</v>
      </c>
      <c r="K6107" s="47">
        <f>2*230+4*112+8*25</f>
        <v>1108</v>
      </c>
      <c r="L6107" s="48">
        <v>6</v>
      </c>
      <c r="M6107" s="47">
        <v>0</v>
      </c>
      <c r="N6107" s="47">
        <v>0</v>
      </c>
      <c r="O6107" s="47">
        <v>0</v>
      </c>
      <c r="P6107" s="47">
        <v>6</v>
      </c>
      <c r="Q6107" s="47">
        <v>0</v>
      </c>
      <c r="R6107" s="47">
        <v>0</v>
      </c>
      <c r="S6107" s="48">
        <v>6</v>
      </c>
      <c r="T6107" s="47">
        <v>0</v>
      </c>
      <c r="U6107" s="47">
        <v>0</v>
      </c>
      <c r="V6107" s="47">
        <v>0</v>
      </c>
      <c r="W6107" s="47">
        <v>1000</v>
      </c>
      <c r="X6107" s="47"/>
      <c r="Y6107" s="47" t="s">
        <v>51</v>
      </c>
      <c r="Z6107" s="47" t="s">
        <v>5139</v>
      </c>
      <c r="AA6107" s="49">
        <v>0.60416666666666663</v>
      </c>
      <c r="AB6107" s="49">
        <v>0.63888888888888895</v>
      </c>
      <c r="AC6107" s="49">
        <f>AVERAGE(AA6107:AB6107)</f>
        <v>0.62152777777777779</v>
      </c>
      <c r="AD6107" s="50">
        <f>(AB6107-AA6107)*24</f>
        <v>0.8333333333333357</v>
      </c>
      <c r="AE6107" s="47" t="s">
        <v>5433</v>
      </c>
      <c r="AF6107" s="47">
        <v>50</v>
      </c>
      <c r="AG6107"/>
      <c r="AH6107"/>
      <c r="AI6107"/>
      <c r="AJ6107"/>
      <c r="AK6107">
        <v>14</v>
      </c>
      <c r="AL6107"/>
      <c r="AM6107"/>
      <c r="AN6107"/>
      <c r="AO6107"/>
      <c r="AP6107"/>
      <c r="AQ6107" t="s">
        <v>6933</v>
      </c>
      <c r="AR6107" s="32" t="s">
        <v>6934</v>
      </c>
      <c r="AU6107">
        <v>6106</v>
      </c>
    </row>
    <row r="6108" spans="1:47" x14ac:dyDescent="0.2">
      <c r="A6108" s="133">
        <v>6831</v>
      </c>
      <c r="B6108" s="39" t="s">
        <v>85</v>
      </c>
      <c r="C6108" s="39">
        <v>99</v>
      </c>
      <c r="D6108" s="29"/>
      <c r="E6108" s="39" t="s">
        <v>6940</v>
      </c>
      <c r="F6108" s="85" t="s">
        <v>6941</v>
      </c>
      <c r="G6108" s="47" t="s">
        <v>69</v>
      </c>
      <c r="H6108"/>
      <c r="I6108" s="47" t="b">
        <v>0</v>
      </c>
      <c r="J6108" s="47" t="b">
        <v>1</v>
      </c>
      <c r="K6108" s="47">
        <f>112*2+230</f>
        <v>454</v>
      </c>
      <c r="L6108" s="48">
        <v>2</v>
      </c>
      <c r="M6108" s="47">
        <v>0</v>
      </c>
      <c r="N6108" s="47">
        <v>0</v>
      </c>
      <c r="O6108" s="47">
        <v>0</v>
      </c>
      <c r="P6108" s="47">
        <v>2</v>
      </c>
      <c r="Q6108" s="47">
        <v>0</v>
      </c>
      <c r="R6108" s="47">
        <v>0</v>
      </c>
      <c r="S6108" s="48">
        <v>2</v>
      </c>
      <c r="T6108" s="47">
        <v>0</v>
      </c>
      <c r="U6108" s="47">
        <v>0</v>
      </c>
      <c r="V6108" s="47">
        <v>0</v>
      </c>
      <c r="W6108" s="47"/>
      <c r="X6108" s="47"/>
      <c r="Y6108" s="47" t="s">
        <v>51</v>
      </c>
      <c r="Z6108" s="47" t="s">
        <v>5139</v>
      </c>
      <c r="AA6108" s="201">
        <v>0.61458333333333337</v>
      </c>
      <c r="AB6108" s="201">
        <v>0.67708333333333337</v>
      </c>
      <c r="AC6108" s="201">
        <f>AVERAGE(AA6108:AB6108)</f>
        <v>0.64583333333333337</v>
      </c>
      <c r="AD6108" s="50">
        <f>(AB6108-AA6108)*24</f>
        <v>1.5</v>
      </c>
      <c r="AE6108" s="47" t="s">
        <v>5433</v>
      </c>
      <c r="AF6108" s="47">
        <v>45</v>
      </c>
      <c r="AG6108"/>
      <c r="AH6108"/>
      <c r="AI6108"/>
      <c r="AJ6108"/>
      <c r="AK6108">
        <v>3</v>
      </c>
      <c r="AL6108"/>
      <c r="AM6108"/>
      <c r="AN6108"/>
      <c r="AO6108"/>
      <c r="AP6108"/>
      <c r="AQ6108" t="s">
        <v>6933</v>
      </c>
      <c r="AR6108" s="32" t="s">
        <v>6942</v>
      </c>
      <c r="AU6108">
        <v>6107</v>
      </c>
    </row>
    <row r="6109" spans="1:47" x14ac:dyDescent="0.2">
      <c r="A6109" s="133">
        <v>6831</v>
      </c>
      <c r="B6109" s="39" t="s">
        <v>85</v>
      </c>
      <c r="C6109" s="39">
        <v>99</v>
      </c>
      <c r="D6109" s="29"/>
      <c r="E6109" s="39" t="s">
        <v>4078</v>
      </c>
      <c r="F6109" s="47" t="s">
        <v>1743</v>
      </c>
      <c r="G6109" s="47" t="s">
        <v>49</v>
      </c>
      <c r="H6109"/>
      <c r="I6109" s="47" t="b">
        <v>0</v>
      </c>
      <c r="J6109" s="47" t="b">
        <v>1</v>
      </c>
      <c r="K6109" s="47">
        <f>2*230+6*112</f>
        <v>1132</v>
      </c>
      <c r="L6109" s="48">
        <v>6</v>
      </c>
      <c r="M6109" s="47">
        <v>0</v>
      </c>
      <c r="N6109" s="47">
        <v>1</v>
      </c>
      <c r="O6109" s="47">
        <v>0</v>
      </c>
      <c r="P6109" s="47">
        <v>5</v>
      </c>
      <c r="Q6109" s="47">
        <v>0</v>
      </c>
      <c r="R6109" s="47">
        <v>0</v>
      </c>
      <c r="S6109" s="48">
        <v>5</v>
      </c>
      <c r="T6109" s="47">
        <v>1</v>
      </c>
      <c r="U6109" s="47">
        <v>0</v>
      </c>
      <c r="V6109" s="47">
        <v>0</v>
      </c>
      <c r="W6109" s="47"/>
      <c r="X6109" s="47"/>
      <c r="Y6109" s="47" t="s">
        <v>120</v>
      </c>
      <c r="Z6109" s="47" t="s">
        <v>5139</v>
      </c>
      <c r="AA6109" s="49">
        <v>0.6875</v>
      </c>
      <c r="AB6109" s="49">
        <v>0.73958333333333337</v>
      </c>
      <c r="AC6109" s="49">
        <f>AVERAGE(AA6109:AB6109)</f>
        <v>0.71354166666666674</v>
      </c>
      <c r="AD6109" s="50">
        <f>(AB6109-AA6109)*24</f>
        <v>1.2500000000000009</v>
      </c>
      <c r="AE6109" s="47" t="s">
        <v>5433</v>
      </c>
      <c r="AF6109" s="47">
        <v>50</v>
      </c>
      <c r="AG6109"/>
      <c r="AH6109"/>
      <c r="AI6109"/>
      <c r="AJ6109"/>
      <c r="AK6109">
        <v>8</v>
      </c>
      <c r="AL6109"/>
      <c r="AM6109"/>
      <c r="AN6109"/>
      <c r="AO6109"/>
      <c r="AP6109"/>
      <c r="AQ6109" t="s">
        <v>6933</v>
      </c>
      <c r="AR6109" s="32" t="s">
        <v>6934</v>
      </c>
      <c r="AU6109">
        <v>6108</v>
      </c>
    </row>
    <row r="6110" spans="1:47" x14ac:dyDescent="0.2">
      <c r="A6110" s="133">
        <v>6831</v>
      </c>
      <c r="B6110" s="39" t="s">
        <v>85</v>
      </c>
      <c r="C6110" s="39">
        <v>104</v>
      </c>
      <c r="D6110" s="29" t="b">
        <v>0</v>
      </c>
      <c r="E6110" s="39" t="s">
        <v>6943</v>
      </c>
      <c r="F6110" s="47" t="s">
        <v>6944</v>
      </c>
      <c r="G6110" s="47" t="s">
        <v>49</v>
      </c>
      <c r="H6110"/>
      <c r="I6110" s="47" t="b">
        <v>1</v>
      </c>
      <c r="J6110" s="47" t="b">
        <v>1</v>
      </c>
      <c r="K6110" s="47">
        <v>3064</v>
      </c>
      <c r="L6110" s="48">
        <v>14</v>
      </c>
      <c r="M6110" s="47">
        <v>0</v>
      </c>
      <c r="N6110" s="47">
        <v>0</v>
      </c>
      <c r="O6110" s="47">
        <v>0</v>
      </c>
      <c r="P6110" s="47">
        <v>-1</v>
      </c>
      <c r="Q6110" s="47">
        <v>0</v>
      </c>
      <c r="R6110" s="47">
        <v>0</v>
      </c>
      <c r="S6110" s="48">
        <v>14</v>
      </c>
      <c r="T6110" s="47">
        <v>0</v>
      </c>
      <c r="U6110" s="47">
        <v>0</v>
      </c>
      <c r="V6110" s="47">
        <v>0</v>
      </c>
      <c r="W6110" s="47"/>
      <c r="X6110" s="47">
        <v>991</v>
      </c>
      <c r="Y6110" s="47" t="s">
        <v>120</v>
      </c>
      <c r="Z6110" s="47" t="s">
        <v>5139</v>
      </c>
      <c r="AA6110" s="47"/>
      <c r="AB6110"/>
      <c r="AC6110"/>
      <c r="AD6110" s="50"/>
      <c r="AE6110" s="47" t="s">
        <v>5433</v>
      </c>
      <c r="AF6110" s="47">
        <v>50</v>
      </c>
      <c r="AG6110"/>
      <c r="AH6110"/>
      <c r="AI6110"/>
      <c r="AJ6110"/>
      <c r="AK6110">
        <v>48</v>
      </c>
      <c r="AL6110"/>
      <c r="AM6110"/>
      <c r="AN6110"/>
      <c r="AO6110"/>
      <c r="AP6110"/>
      <c r="AQ6110" t="s">
        <v>5485</v>
      </c>
      <c r="AR6110" t="s">
        <v>6945</v>
      </c>
      <c r="AU6110">
        <v>6109</v>
      </c>
    </row>
    <row r="6111" spans="1:47" x14ac:dyDescent="0.2">
      <c r="A6111" s="133">
        <v>6831</v>
      </c>
      <c r="B6111" s="39" t="s">
        <v>85</v>
      </c>
      <c r="C6111" s="39">
        <v>104</v>
      </c>
      <c r="D6111" s="29" t="b">
        <v>0</v>
      </c>
      <c r="E6111" s="39" t="s">
        <v>6946</v>
      </c>
      <c r="F6111" s="47" t="s">
        <v>529</v>
      </c>
      <c r="G6111" s="47" t="s">
        <v>205</v>
      </c>
      <c r="H6111"/>
      <c r="I6111" s="47" t="b">
        <v>0</v>
      </c>
      <c r="J6111" s="47" t="b">
        <v>0</v>
      </c>
      <c r="K6111" s="47">
        <v>220</v>
      </c>
      <c r="L6111" s="48">
        <v>14</v>
      </c>
      <c r="M6111" s="47">
        <v>0</v>
      </c>
      <c r="N6111" s="47">
        <v>0</v>
      </c>
      <c r="O6111" s="47">
        <v>0</v>
      </c>
      <c r="P6111" s="47">
        <v>-1</v>
      </c>
      <c r="Q6111" s="47">
        <v>0</v>
      </c>
      <c r="R6111" s="47">
        <v>0</v>
      </c>
      <c r="S6111" s="48">
        <v>1</v>
      </c>
      <c r="T6111" s="47">
        <v>0</v>
      </c>
      <c r="U6111" s="47">
        <v>0</v>
      </c>
      <c r="V6111" s="47">
        <v>0</v>
      </c>
      <c r="W6111" s="47"/>
      <c r="X6111" s="47">
        <v>989</v>
      </c>
      <c r="Y6111" s="47"/>
      <c r="Z6111" s="47" t="s">
        <v>5139</v>
      </c>
      <c r="AA6111" s="47"/>
      <c r="AB6111"/>
      <c r="AC6111"/>
      <c r="AD6111" s="50"/>
      <c r="AE6111" s="47" t="s">
        <v>5433</v>
      </c>
      <c r="AF6111" s="47">
        <v>45</v>
      </c>
      <c r="AG6111"/>
      <c r="AH6111"/>
      <c r="AI6111"/>
      <c r="AJ6111"/>
      <c r="AK6111">
        <v>2</v>
      </c>
      <c r="AL6111"/>
      <c r="AM6111"/>
      <c r="AN6111"/>
      <c r="AO6111"/>
      <c r="AP6111"/>
      <c r="AQ6111" t="s">
        <v>5485</v>
      </c>
      <c r="AR6111" t="s">
        <v>6945</v>
      </c>
      <c r="AU6111">
        <v>6110</v>
      </c>
    </row>
    <row r="6112" spans="1:47" x14ac:dyDescent="0.2">
      <c r="A6112" s="133">
        <v>6831</v>
      </c>
      <c r="B6112" s="39" t="s">
        <v>85</v>
      </c>
      <c r="C6112" s="39">
        <v>104</v>
      </c>
      <c r="D6112" s="29" t="b">
        <v>0</v>
      </c>
      <c r="E6112" s="39" t="s">
        <v>6947</v>
      </c>
      <c r="F6112" s="47" t="s">
        <v>2398</v>
      </c>
      <c r="G6112" s="47" t="s">
        <v>49</v>
      </c>
      <c r="H6112"/>
      <c r="I6112" s="47" t="b">
        <v>0</v>
      </c>
      <c r="J6112" s="47" t="b">
        <v>0</v>
      </c>
      <c r="K6112" s="47">
        <v>2844</v>
      </c>
      <c r="L6112" s="48">
        <v>14</v>
      </c>
      <c r="M6112" s="47">
        <v>0</v>
      </c>
      <c r="N6112" s="47">
        <v>0</v>
      </c>
      <c r="O6112" s="47">
        <v>0</v>
      </c>
      <c r="P6112" s="47">
        <v>-1</v>
      </c>
      <c r="Q6112" s="47">
        <v>0</v>
      </c>
      <c r="R6112" s="47">
        <v>0</v>
      </c>
      <c r="S6112" s="48">
        <v>13</v>
      </c>
      <c r="T6112" s="47">
        <v>0</v>
      </c>
      <c r="U6112" s="47">
        <v>0</v>
      </c>
      <c r="V6112" s="47">
        <v>0</v>
      </c>
      <c r="W6112" s="47"/>
      <c r="X6112" s="47">
        <v>990</v>
      </c>
      <c r="Y6112" s="47"/>
      <c r="Z6112" s="47" t="s">
        <v>5139</v>
      </c>
      <c r="AA6112" s="47"/>
      <c r="AB6112"/>
      <c r="AC6112"/>
      <c r="AD6112" s="50"/>
      <c r="AE6112" s="47" t="s">
        <v>5433</v>
      </c>
      <c r="AF6112" s="47">
        <v>50</v>
      </c>
      <c r="AG6112"/>
      <c r="AH6112"/>
      <c r="AI6112"/>
      <c r="AJ6112"/>
      <c r="AK6112">
        <v>46</v>
      </c>
      <c r="AL6112"/>
      <c r="AM6112"/>
      <c r="AN6112"/>
      <c r="AO6112"/>
      <c r="AP6112"/>
      <c r="AQ6112" t="s">
        <v>5485</v>
      </c>
      <c r="AR6112" t="s">
        <v>6945</v>
      </c>
      <c r="AU6112">
        <v>6111</v>
      </c>
    </row>
    <row r="6113" spans="1:47" x14ac:dyDescent="0.2">
      <c r="A6113" s="37">
        <v>6831</v>
      </c>
      <c r="B6113" s="38" t="s">
        <v>85</v>
      </c>
      <c r="C6113" s="39" t="s">
        <v>5626</v>
      </c>
      <c r="D6113" s="29"/>
      <c r="E6113" s="38" t="s">
        <v>6948</v>
      </c>
      <c r="F6113" s="31" t="s">
        <v>6949</v>
      </c>
      <c r="G6113" s="47" t="s">
        <v>69</v>
      </c>
      <c r="H6113"/>
      <c r="I6113" s="32" t="s">
        <v>6950</v>
      </c>
      <c r="J6113" s="47"/>
      <c r="K6113" s="47">
        <f>10500*2.2</f>
        <v>23100.000000000004</v>
      </c>
      <c r="L6113" s="48">
        <v>56</v>
      </c>
      <c r="M6113" s="47"/>
      <c r="N6113" s="47"/>
      <c r="O6113" s="47"/>
      <c r="P6113" s="47"/>
      <c r="Q6113" s="47"/>
      <c r="R6113" s="47"/>
      <c r="S6113" s="48">
        <v>52</v>
      </c>
      <c r="T6113" s="47">
        <v>0</v>
      </c>
      <c r="U6113" s="47"/>
      <c r="V6113" s="47"/>
      <c r="W6113" s="47">
        <f>((3200+1800)/2)*39.37/12</f>
        <v>8202.0833333333339</v>
      </c>
      <c r="X6113" s="47"/>
      <c r="Y6113" s="47" t="s">
        <v>120</v>
      </c>
      <c r="Z6113" s="31" t="s">
        <v>3724</v>
      </c>
      <c r="AA6113" s="49"/>
      <c r="AB6113" s="49"/>
      <c r="AC6113" s="49">
        <v>0.72222222222222221</v>
      </c>
      <c r="AD6113" s="50"/>
      <c r="AE6113" s="17" t="s">
        <v>6921</v>
      </c>
      <c r="AF6113" s="47">
        <v>80</v>
      </c>
      <c r="AG6113"/>
      <c r="AH6113"/>
      <c r="AI6113"/>
      <c r="AJ6113"/>
      <c r="AK6113"/>
      <c r="AL6113"/>
      <c r="AM6113"/>
      <c r="AN6113"/>
      <c r="AO6113"/>
      <c r="AP6113"/>
      <c r="AQ6113" t="s">
        <v>6951</v>
      </c>
      <c r="AU6113">
        <v>6112</v>
      </c>
    </row>
    <row r="6114" spans="1:47" x14ac:dyDescent="0.2">
      <c r="A6114" s="37">
        <v>6831</v>
      </c>
      <c r="B6114" s="38" t="s">
        <v>85</v>
      </c>
      <c r="C6114" s="39" t="s">
        <v>6952</v>
      </c>
      <c r="D6114" s="29"/>
      <c r="E6114" s="38" t="s">
        <v>6953</v>
      </c>
      <c r="F6114" s="32"/>
      <c r="G6114" s="47"/>
      <c r="H6114"/>
      <c r="I6114" s="32" t="s">
        <v>6954</v>
      </c>
      <c r="J6114" s="47"/>
      <c r="K6114" s="47"/>
      <c r="L6114" s="48"/>
      <c r="M6114" s="47"/>
      <c r="N6114" s="47"/>
      <c r="O6114" s="47"/>
      <c r="P6114" s="47"/>
      <c r="Q6114" s="47"/>
      <c r="R6114" s="47"/>
      <c r="S6114" s="48"/>
      <c r="T6114" s="47"/>
      <c r="U6114" s="47"/>
      <c r="V6114" s="47"/>
      <c r="W6114" s="47"/>
      <c r="X6114" s="47"/>
      <c r="Y6114" s="47"/>
      <c r="Z6114" s="47"/>
      <c r="AA6114" s="49"/>
      <c r="AB6114" s="49"/>
      <c r="AC6114" s="49"/>
      <c r="AD6114" s="50"/>
      <c r="AE6114" s="47"/>
      <c r="AF6114" s="47"/>
      <c r="AG6114"/>
      <c r="AH6114"/>
      <c r="AI6114"/>
      <c r="AJ6114"/>
      <c r="AK6114"/>
      <c r="AL6114"/>
      <c r="AM6114"/>
      <c r="AN6114"/>
      <c r="AO6114"/>
      <c r="AP6114"/>
      <c r="AQ6114"/>
      <c r="AU6114">
        <v>6113</v>
      </c>
    </row>
    <row r="6115" spans="1:47" x14ac:dyDescent="0.2">
      <c r="A6115" s="37">
        <v>6831</v>
      </c>
      <c r="B6115" s="38" t="s">
        <v>85</v>
      </c>
      <c r="C6115" s="39" t="s">
        <v>5533</v>
      </c>
      <c r="D6115" s="29"/>
      <c r="E6115" s="38" t="s">
        <v>175</v>
      </c>
      <c r="F6115" s="32" t="s">
        <v>6185</v>
      </c>
      <c r="G6115" s="47" t="s">
        <v>69</v>
      </c>
      <c r="H6115"/>
      <c r="I6115" s="32" t="s">
        <v>6955</v>
      </c>
      <c r="J6115" s="47"/>
      <c r="K6115" s="47">
        <f>62*9.2*2.2</f>
        <v>1254.8800000000001</v>
      </c>
      <c r="L6115" s="48">
        <v>5</v>
      </c>
      <c r="M6115" s="47"/>
      <c r="N6115" s="47">
        <v>1</v>
      </c>
      <c r="O6115" s="47">
        <v>1</v>
      </c>
      <c r="P6115" s="47"/>
      <c r="Q6115" s="47"/>
      <c r="R6115" s="47"/>
      <c r="S6115" s="48">
        <v>3</v>
      </c>
      <c r="T6115" s="47">
        <v>2</v>
      </c>
      <c r="U6115" s="47"/>
      <c r="V6115" s="47"/>
      <c r="W6115" s="47">
        <f>(1200/1000)*0.62*5280</f>
        <v>3928.32</v>
      </c>
      <c r="X6115" s="47"/>
      <c r="Y6115" s="47" t="s">
        <v>120</v>
      </c>
      <c r="Z6115" s="31" t="s">
        <v>3724</v>
      </c>
      <c r="AA6115" s="49">
        <v>0.64930555555555558</v>
      </c>
      <c r="AB6115" s="49">
        <v>0.69791666666666663</v>
      </c>
      <c r="AC6115" s="49">
        <f>AVERAGE(AA6115:AB6115)</f>
        <v>0.67361111111111116</v>
      </c>
      <c r="AD6115" s="50">
        <f>(AB6115-AA6115)*24</f>
        <v>1.1666666666666652</v>
      </c>
      <c r="AE6115" s="47" t="s">
        <v>5536</v>
      </c>
      <c r="AF6115" s="47">
        <v>60</v>
      </c>
      <c r="AG6115"/>
      <c r="AH6115"/>
      <c r="AI6115"/>
      <c r="AJ6115"/>
      <c r="AK6115">
        <v>62</v>
      </c>
      <c r="AL6115"/>
      <c r="AM6115"/>
      <c r="AN6115"/>
      <c r="AO6115"/>
      <c r="AP6115"/>
      <c r="AQ6115" t="s">
        <v>6956</v>
      </c>
      <c r="AU6115">
        <v>6114</v>
      </c>
    </row>
    <row r="6116" spans="1:47" x14ac:dyDescent="0.2">
      <c r="A6116" s="133">
        <v>6831</v>
      </c>
      <c r="B6116" s="39" t="s">
        <v>45</v>
      </c>
      <c r="C6116" s="39">
        <v>100</v>
      </c>
      <c r="D6116" s="29" t="b">
        <v>0</v>
      </c>
      <c r="E6116" s="39" t="s">
        <v>405</v>
      </c>
      <c r="F6116" s="47" t="s">
        <v>1743</v>
      </c>
      <c r="G6116" s="47" t="s">
        <v>49</v>
      </c>
      <c r="H6116"/>
      <c r="I6116" s="47" t="b">
        <v>0</v>
      </c>
      <c r="J6116" s="47" t="b">
        <v>1</v>
      </c>
      <c r="K6116" s="47">
        <v>1120</v>
      </c>
      <c r="L6116" s="48">
        <v>4</v>
      </c>
      <c r="M6116" s="47">
        <v>2</v>
      </c>
      <c r="N6116" s="47">
        <v>0</v>
      </c>
      <c r="O6116" s="47">
        <v>0</v>
      </c>
      <c r="P6116" s="47">
        <v>2</v>
      </c>
      <c r="Q6116" s="47">
        <v>0</v>
      </c>
      <c r="R6116" s="47">
        <v>0</v>
      </c>
      <c r="S6116" s="48">
        <v>2</v>
      </c>
      <c r="T6116" s="47">
        <v>0</v>
      </c>
      <c r="U6116" s="47">
        <v>0</v>
      </c>
      <c r="V6116" s="47">
        <v>0</v>
      </c>
      <c r="W6116" s="47">
        <v>2000</v>
      </c>
      <c r="X6116" s="47">
        <v>985</v>
      </c>
      <c r="Y6116" s="47"/>
      <c r="Z6116" s="47" t="s">
        <v>2466</v>
      </c>
      <c r="AA6116" s="49"/>
      <c r="AB6116" s="49"/>
      <c r="AC6116" s="49"/>
      <c r="AD6116" s="50"/>
      <c r="AE6116" s="47" t="s">
        <v>6445</v>
      </c>
      <c r="AF6116" s="47">
        <v>75</v>
      </c>
      <c r="AG6116"/>
      <c r="AH6116"/>
      <c r="AI6116"/>
      <c r="AJ6116"/>
      <c r="AK6116"/>
      <c r="AL6116"/>
      <c r="AM6116"/>
      <c r="AN6116"/>
      <c r="AO6116"/>
      <c r="AP6116"/>
      <c r="AQ6116" t="s">
        <v>2526</v>
      </c>
      <c r="AU6116">
        <v>6115</v>
      </c>
    </row>
    <row r="6117" spans="1:47" x14ac:dyDescent="0.2">
      <c r="A6117" s="133">
        <v>6831</v>
      </c>
      <c r="B6117" s="39" t="s">
        <v>45</v>
      </c>
      <c r="C6117" s="39">
        <v>215</v>
      </c>
      <c r="D6117" s="29" t="b">
        <v>0</v>
      </c>
      <c r="E6117" s="39" t="s">
        <v>405</v>
      </c>
      <c r="F6117" s="47" t="s">
        <v>1743</v>
      </c>
      <c r="G6117" s="47" t="s">
        <v>49</v>
      </c>
      <c r="H6117"/>
      <c r="I6117" s="47" t="b">
        <v>0</v>
      </c>
      <c r="J6117" s="47" t="b">
        <v>1</v>
      </c>
      <c r="K6117" s="47">
        <v>4084</v>
      </c>
      <c r="L6117" s="48">
        <v>4</v>
      </c>
      <c r="M6117" s="47">
        <v>2</v>
      </c>
      <c r="N6117" s="47">
        <v>0</v>
      </c>
      <c r="O6117" s="47">
        <v>0</v>
      </c>
      <c r="P6117" s="47">
        <v>2</v>
      </c>
      <c r="Q6117" s="47">
        <v>0</v>
      </c>
      <c r="R6117" s="47">
        <v>0</v>
      </c>
      <c r="S6117" s="48">
        <v>2</v>
      </c>
      <c r="T6117" s="47">
        <v>0</v>
      </c>
      <c r="U6117" s="47">
        <v>0</v>
      </c>
      <c r="V6117" s="47">
        <v>0</v>
      </c>
      <c r="W6117" s="47">
        <v>3000</v>
      </c>
      <c r="X6117" s="47">
        <v>984</v>
      </c>
      <c r="Y6117" s="47"/>
      <c r="Z6117" s="47" t="s">
        <v>2466</v>
      </c>
      <c r="AA6117" s="49"/>
      <c r="AB6117" s="49"/>
      <c r="AC6117" s="49"/>
      <c r="AD6117" s="50"/>
      <c r="AE6117" s="47"/>
      <c r="AF6117" s="47"/>
      <c r="AG6117"/>
      <c r="AH6117"/>
      <c r="AI6117"/>
      <c r="AJ6117"/>
      <c r="AK6117"/>
      <c r="AL6117"/>
      <c r="AM6117"/>
      <c r="AN6117"/>
      <c r="AO6117"/>
      <c r="AP6117"/>
      <c r="AQ6117" t="s">
        <v>2526</v>
      </c>
      <c r="AU6117">
        <v>6116</v>
      </c>
    </row>
    <row r="6118" spans="1:47" x14ac:dyDescent="0.2">
      <c r="A6118" s="13">
        <v>6831</v>
      </c>
      <c r="B6118" s="57" t="s">
        <v>45</v>
      </c>
      <c r="C6118" s="57" t="s">
        <v>142</v>
      </c>
      <c r="D6118" s="29"/>
      <c r="E6118" s="57" t="s">
        <v>6957</v>
      </c>
      <c r="F6118" s="31" t="s">
        <v>6958</v>
      </c>
      <c r="G6118" s="31" t="s">
        <v>49</v>
      </c>
      <c r="I6118" s="47" t="b">
        <v>1</v>
      </c>
      <c r="J6118" s="47" t="b">
        <v>1</v>
      </c>
      <c r="K6118" s="31">
        <f>2985*2.2</f>
        <v>6567.0000000000009</v>
      </c>
      <c r="L6118" s="33">
        <v>12</v>
      </c>
      <c r="M6118" s="31">
        <v>1</v>
      </c>
      <c r="O6118" s="31">
        <v>1</v>
      </c>
      <c r="S6118" s="33">
        <v>10</v>
      </c>
      <c r="T6118" s="31">
        <v>0</v>
      </c>
      <c r="U6118" s="31">
        <v>0</v>
      </c>
      <c r="V6118" s="31">
        <v>0</v>
      </c>
      <c r="Y6118" s="31" t="s">
        <v>51</v>
      </c>
      <c r="AE6118" s="31" t="s">
        <v>2470</v>
      </c>
      <c r="AK6118" s="32">
        <f>6+5+50+6</f>
        <v>67</v>
      </c>
      <c r="AQ6118" s="32" t="s">
        <v>6959</v>
      </c>
      <c r="AR6118" s="32" t="s">
        <v>6960</v>
      </c>
      <c r="AU6118">
        <v>6117</v>
      </c>
    </row>
    <row r="6119" spans="1:47" x14ac:dyDescent="0.2">
      <c r="A6119" s="13">
        <v>6831</v>
      </c>
      <c r="B6119" s="57" t="s">
        <v>45</v>
      </c>
      <c r="C6119" s="57" t="s">
        <v>142</v>
      </c>
      <c r="D6119" s="29"/>
      <c r="E6119" s="57" t="s">
        <v>3936</v>
      </c>
      <c r="F6119" s="31" t="s">
        <v>76</v>
      </c>
      <c r="G6119" s="31" t="s">
        <v>49</v>
      </c>
      <c r="I6119" s="47" t="b">
        <v>0</v>
      </c>
      <c r="J6119" s="47" t="b">
        <v>0</v>
      </c>
      <c r="K6119" s="31">
        <v>4455</v>
      </c>
      <c r="S6119" s="33">
        <v>7</v>
      </c>
      <c r="AE6119" s="31" t="s">
        <v>2470</v>
      </c>
      <c r="AF6119" s="31">
        <v>55</v>
      </c>
      <c r="AK6119" s="32">
        <v>43</v>
      </c>
      <c r="AQ6119" s="32" t="s">
        <v>6820</v>
      </c>
      <c r="AU6119">
        <v>6118</v>
      </c>
    </row>
    <row r="6120" spans="1:47" x14ac:dyDescent="0.2">
      <c r="A6120" s="13">
        <v>6831</v>
      </c>
      <c r="B6120" s="57" t="s">
        <v>45</v>
      </c>
      <c r="C6120" s="57" t="s">
        <v>142</v>
      </c>
      <c r="D6120" s="29"/>
      <c r="E6120" s="57" t="s">
        <v>1064</v>
      </c>
      <c r="F6120" s="31" t="s">
        <v>76</v>
      </c>
      <c r="G6120" s="31" t="s">
        <v>49</v>
      </c>
      <c r="I6120" s="47" t="b">
        <v>0</v>
      </c>
      <c r="J6120" s="47" t="b">
        <v>0</v>
      </c>
      <c r="K6120" s="31">
        <v>550</v>
      </c>
      <c r="S6120" s="33">
        <v>1</v>
      </c>
      <c r="AE6120" s="31" t="s">
        <v>2470</v>
      </c>
      <c r="AF6120" s="31">
        <v>50</v>
      </c>
      <c r="AK6120" s="32">
        <v>5</v>
      </c>
      <c r="AQ6120" s="32" t="s">
        <v>6820</v>
      </c>
      <c r="AU6120">
        <v>6119</v>
      </c>
    </row>
    <row r="6121" spans="1:47" x14ac:dyDescent="0.2">
      <c r="A6121" s="13">
        <v>6831</v>
      </c>
      <c r="B6121" s="57" t="s">
        <v>45</v>
      </c>
      <c r="C6121" s="57" t="s">
        <v>142</v>
      </c>
      <c r="D6121" s="29"/>
      <c r="E6121" s="57" t="s">
        <v>6961</v>
      </c>
      <c r="F6121" s="31" t="s">
        <v>6822</v>
      </c>
      <c r="G6121" s="31" t="s">
        <v>69</v>
      </c>
      <c r="I6121" s="47" t="b">
        <v>0</v>
      </c>
      <c r="J6121" s="47" t="b">
        <v>0</v>
      </c>
      <c r="K6121" s="31">
        <v>770</v>
      </c>
      <c r="S6121" s="33">
        <v>1</v>
      </c>
      <c r="AE6121" s="31" t="s">
        <v>2470</v>
      </c>
      <c r="AK6121" s="32">
        <v>7</v>
      </c>
      <c r="AQ6121" s="32" t="s">
        <v>6820</v>
      </c>
      <c r="AU6121">
        <v>6120</v>
      </c>
    </row>
    <row r="6122" spans="1:47" x14ac:dyDescent="0.2">
      <c r="A6122" s="13">
        <v>6831</v>
      </c>
      <c r="B6122" s="57" t="s">
        <v>45</v>
      </c>
      <c r="C6122" s="57" t="s">
        <v>142</v>
      </c>
      <c r="D6122" s="29"/>
      <c r="E6122" s="57" t="s">
        <v>3876</v>
      </c>
      <c r="F6122" s="31" t="s">
        <v>76</v>
      </c>
      <c r="G6122" s="31" t="s">
        <v>49</v>
      </c>
      <c r="I6122" s="47" t="b">
        <v>0</v>
      </c>
      <c r="J6122" s="47" t="b">
        <v>0</v>
      </c>
      <c r="K6122" s="31">
        <v>792</v>
      </c>
      <c r="S6122" s="33">
        <v>1</v>
      </c>
      <c r="AE6122" s="31" t="s">
        <v>2470</v>
      </c>
      <c r="AF6122" s="31">
        <v>70</v>
      </c>
      <c r="AK6122" s="32">
        <v>12</v>
      </c>
      <c r="AQ6122" s="32" t="s">
        <v>6820</v>
      </c>
      <c r="AU6122">
        <v>6121</v>
      </c>
    </row>
    <row r="6123" spans="1:47" x14ac:dyDescent="0.2">
      <c r="A6123" s="13">
        <v>6831</v>
      </c>
      <c r="B6123" s="57" t="s">
        <v>45</v>
      </c>
      <c r="C6123" s="57" t="s">
        <v>4456</v>
      </c>
      <c r="D6123" s="29"/>
      <c r="E6123" s="57" t="s">
        <v>788</v>
      </c>
      <c r="F6123" s="31" t="s">
        <v>76</v>
      </c>
      <c r="G6123" s="31" t="s">
        <v>49</v>
      </c>
      <c r="I6123" s="31" t="s">
        <v>6962</v>
      </c>
      <c r="K6123" s="31">
        <v>968</v>
      </c>
      <c r="L6123" s="33">
        <v>1</v>
      </c>
      <c r="S6123" s="33">
        <v>1</v>
      </c>
      <c r="T6123" s="31">
        <v>0</v>
      </c>
      <c r="U6123" s="31">
        <v>0</v>
      </c>
      <c r="V6123" s="31">
        <v>0</v>
      </c>
      <c r="W6123" s="47">
        <f>1800*39.37/12</f>
        <v>5905.5</v>
      </c>
      <c r="Y6123" s="19" t="s">
        <v>51</v>
      </c>
      <c r="Z6123" s="19" t="s">
        <v>1846</v>
      </c>
      <c r="AA6123" s="34">
        <v>0.94791666666666663</v>
      </c>
      <c r="AB6123" s="34">
        <v>1.0243055555555556</v>
      </c>
      <c r="AC6123" s="49">
        <f>AVERAGE(AA6123:AB6123)</f>
        <v>0.98611111111111116</v>
      </c>
      <c r="AD6123" s="50">
        <f>(AB6123-AA6123)*24</f>
        <v>1.8333333333333348</v>
      </c>
      <c r="AE6123" s="31" t="s">
        <v>4176</v>
      </c>
      <c r="AF6123" s="47">
        <v>70</v>
      </c>
      <c r="AK6123" s="53">
        <v>12</v>
      </c>
      <c r="AQ6123" s="32" t="s">
        <v>6963</v>
      </c>
      <c r="AU6123">
        <v>6122</v>
      </c>
    </row>
    <row r="6124" spans="1:47" x14ac:dyDescent="0.2">
      <c r="A6124" s="13">
        <v>6831</v>
      </c>
      <c r="B6124" s="57" t="s">
        <v>45</v>
      </c>
      <c r="C6124" s="57" t="s">
        <v>4843</v>
      </c>
      <c r="D6124" s="29"/>
      <c r="E6124" s="57" t="s">
        <v>6961</v>
      </c>
      <c r="F6124" s="31" t="s">
        <v>6822</v>
      </c>
      <c r="G6124" s="31" t="s">
        <v>69</v>
      </c>
      <c r="K6124" s="31">
        <v>990</v>
      </c>
      <c r="S6124" s="33">
        <v>2</v>
      </c>
      <c r="Z6124" s="31" t="s">
        <v>3814</v>
      </c>
      <c r="AE6124" s="31" t="s">
        <v>4411</v>
      </c>
      <c r="AK6124" s="32">
        <v>9</v>
      </c>
      <c r="AQ6124" s="32" t="s">
        <v>6820</v>
      </c>
      <c r="AU6124">
        <v>6123</v>
      </c>
    </row>
    <row r="6125" spans="1:47" x14ac:dyDescent="0.2">
      <c r="A6125" s="13">
        <v>6831</v>
      </c>
      <c r="B6125" s="57" t="s">
        <v>45</v>
      </c>
      <c r="C6125" s="57" t="s">
        <v>4843</v>
      </c>
      <c r="D6125" s="29"/>
      <c r="E6125" s="57" t="s">
        <v>1064</v>
      </c>
      <c r="F6125" s="31" t="s">
        <v>76</v>
      </c>
      <c r="G6125" s="31" t="s">
        <v>49</v>
      </c>
      <c r="K6125" s="31">
        <v>1320</v>
      </c>
      <c r="S6125" s="33">
        <v>2</v>
      </c>
      <c r="Z6125" s="31" t="s">
        <v>3814</v>
      </c>
      <c r="AE6125" s="31" t="s">
        <v>4411</v>
      </c>
      <c r="AF6125" s="31">
        <v>55</v>
      </c>
      <c r="AK6125" s="32">
        <v>12</v>
      </c>
      <c r="AQ6125" s="32" t="s">
        <v>6820</v>
      </c>
      <c r="AU6125">
        <v>6124</v>
      </c>
    </row>
    <row r="6126" spans="1:47" x14ac:dyDescent="0.2">
      <c r="A6126" s="13">
        <v>6831</v>
      </c>
      <c r="B6126" s="57" t="s">
        <v>45</v>
      </c>
      <c r="C6126" s="57" t="s">
        <v>4843</v>
      </c>
      <c r="D6126" s="29"/>
      <c r="E6126" s="57" t="s">
        <v>3876</v>
      </c>
      <c r="F6126" s="31" t="s">
        <v>76</v>
      </c>
      <c r="G6126" s="31" t="s">
        <v>49</v>
      </c>
      <c r="K6126" s="31">
        <v>1980</v>
      </c>
      <c r="S6126" s="33">
        <v>3</v>
      </c>
      <c r="Z6126" s="31" t="s">
        <v>3814</v>
      </c>
      <c r="AE6126" s="31" t="s">
        <v>4411</v>
      </c>
      <c r="AF6126" s="31">
        <v>70</v>
      </c>
      <c r="AK6126" s="32">
        <v>18</v>
      </c>
      <c r="AQ6126" s="32" t="s">
        <v>6820</v>
      </c>
      <c r="AU6126">
        <v>6125</v>
      </c>
    </row>
    <row r="6127" spans="1:47" x14ac:dyDescent="0.2">
      <c r="A6127" s="13">
        <v>6831</v>
      </c>
      <c r="B6127" s="57" t="s">
        <v>45</v>
      </c>
      <c r="C6127" s="57" t="s">
        <v>4843</v>
      </c>
      <c r="D6127" s="29"/>
      <c r="E6127" s="57" t="s">
        <v>3875</v>
      </c>
      <c r="F6127" s="31" t="s">
        <v>76</v>
      </c>
      <c r="G6127" s="31" t="s">
        <v>49</v>
      </c>
      <c r="K6127" s="31">
        <v>3850</v>
      </c>
      <c r="S6127" s="33">
        <v>8</v>
      </c>
      <c r="Z6127" s="31" t="s">
        <v>3814</v>
      </c>
      <c r="AE6127" s="31" t="s">
        <v>4411</v>
      </c>
      <c r="AF6127" s="31">
        <v>55</v>
      </c>
      <c r="AK6127" s="32">
        <v>35</v>
      </c>
      <c r="AQ6127" s="32" t="s">
        <v>6820</v>
      </c>
      <c r="AU6127">
        <v>6126</v>
      </c>
    </row>
    <row r="6128" spans="1:47" x14ac:dyDescent="0.2">
      <c r="A6128" s="13">
        <v>6831</v>
      </c>
      <c r="B6128" s="57" t="s">
        <v>45</v>
      </c>
      <c r="C6128" s="57" t="s">
        <v>4843</v>
      </c>
      <c r="D6128" s="29"/>
      <c r="E6128" s="57" t="s">
        <v>3936</v>
      </c>
      <c r="F6128" s="31" t="s">
        <v>76</v>
      </c>
      <c r="G6128" s="31" t="s">
        <v>49</v>
      </c>
      <c r="K6128" s="31">
        <v>330</v>
      </c>
      <c r="S6128" s="33">
        <v>1</v>
      </c>
      <c r="Z6128" s="31" t="s">
        <v>3814</v>
      </c>
      <c r="AE6128" s="31" t="s">
        <v>4411</v>
      </c>
      <c r="AF6128" s="31">
        <v>60</v>
      </c>
      <c r="AK6128" s="32">
        <v>3</v>
      </c>
      <c r="AQ6128" s="32" t="s">
        <v>6820</v>
      </c>
      <c r="AU6128">
        <v>6127</v>
      </c>
    </row>
    <row r="6129" spans="1:47" x14ac:dyDescent="0.2">
      <c r="A6129" s="13">
        <v>6831</v>
      </c>
      <c r="B6129" s="57" t="s">
        <v>45</v>
      </c>
      <c r="C6129" s="57" t="s">
        <v>6550</v>
      </c>
      <c r="D6129" s="29"/>
      <c r="E6129" s="57" t="s">
        <v>1397</v>
      </c>
      <c r="F6129" s="31" t="s">
        <v>76</v>
      </c>
      <c r="G6129" s="31" t="s">
        <v>49</v>
      </c>
      <c r="I6129" s="31" t="s">
        <v>6964</v>
      </c>
      <c r="J6129" s="33"/>
      <c r="K6129" s="193"/>
      <c r="AQ6129" s="32" t="s">
        <v>6824</v>
      </c>
      <c r="AU6129">
        <v>6128</v>
      </c>
    </row>
    <row r="6130" spans="1:47" x14ac:dyDescent="0.2">
      <c r="A6130" s="26">
        <v>6831</v>
      </c>
      <c r="B6130" s="27">
        <v>6.25E-2</v>
      </c>
      <c r="C6130" s="28"/>
      <c r="D6130" s="29"/>
      <c r="E6130" s="30" t="s">
        <v>1124</v>
      </c>
      <c r="H6130" s="32">
        <v>1</v>
      </c>
      <c r="I6130" s="32"/>
      <c r="AG6130" s="32">
        <v>0</v>
      </c>
      <c r="AH6130" s="32">
        <v>0</v>
      </c>
      <c r="AK6130" s="32">
        <v>8</v>
      </c>
      <c r="AL6130" s="32">
        <f>7/6</f>
        <v>1.1666666666666667</v>
      </c>
      <c r="AO6130" s="46" t="s">
        <v>1126</v>
      </c>
      <c r="AP6130" s="32">
        <f>7/6</f>
        <v>1.1666666666666667</v>
      </c>
      <c r="AQ6130" s="32" t="s">
        <v>589</v>
      </c>
      <c r="AU6130">
        <v>6129</v>
      </c>
    </row>
    <row r="6131" spans="1:47" x14ac:dyDescent="0.2">
      <c r="A6131" s="26">
        <v>6831</v>
      </c>
      <c r="B6131" s="27">
        <v>6.5972222222222224E-2</v>
      </c>
      <c r="C6131" s="28"/>
      <c r="D6131" s="29"/>
      <c r="E6131" s="30" t="s">
        <v>464</v>
      </c>
      <c r="H6131" s="32">
        <v>0</v>
      </c>
      <c r="I6131" s="32" t="s">
        <v>6965</v>
      </c>
      <c r="AG6131" s="32">
        <v>0</v>
      </c>
      <c r="AH6131" s="32">
        <v>0</v>
      </c>
      <c r="AL6131" s="32">
        <v>1</v>
      </c>
      <c r="AO6131" s="32" t="s">
        <v>4067</v>
      </c>
      <c r="AP6131" s="32">
        <v>1</v>
      </c>
      <c r="AQ6131" s="32" t="s">
        <v>1522</v>
      </c>
      <c r="AU6131">
        <v>6130</v>
      </c>
    </row>
    <row r="6132" spans="1:47" x14ac:dyDescent="0.2">
      <c r="A6132" s="26">
        <v>6831</v>
      </c>
      <c r="B6132" s="27">
        <v>7.9861111111111105E-2</v>
      </c>
      <c r="C6132" s="28"/>
      <c r="D6132" s="29"/>
      <c r="E6132" s="30" t="s">
        <v>1282</v>
      </c>
      <c r="H6132" s="32">
        <v>0</v>
      </c>
      <c r="I6132" s="32" t="s">
        <v>6966</v>
      </c>
      <c r="AG6132" s="32">
        <v>0</v>
      </c>
      <c r="AH6132" s="32">
        <v>0</v>
      </c>
      <c r="AI6132" s="32">
        <v>0</v>
      </c>
      <c r="AK6132" s="32">
        <v>0</v>
      </c>
      <c r="AL6132" s="32">
        <f>84/60</f>
        <v>1.4</v>
      </c>
      <c r="AP6132" s="32">
        <v>1.4</v>
      </c>
      <c r="AQ6132" s="32" t="s">
        <v>1101</v>
      </c>
      <c r="AU6132">
        <v>6131</v>
      </c>
    </row>
    <row r="6133" spans="1:47" x14ac:dyDescent="0.2">
      <c r="A6133" s="26">
        <v>6831</v>
      </c>
      <c r="B6133" s="27">
        <v>7.9861111111111105E-2</v>
      </c>
      <c r="C6133" s="28"/>
      <c r="D6133" s="29"/>
      <c r="E6133" s="30" t="s">
        <v>4219</v>
      </c>
      <c r="H6133" s="32">
        <v>0</v>
      </c>
      <c r="I6133" s="32" t="s">
        <v>6967</v>
      </c>
      <c r="AG6133" s="32">
        <v>0</v>
      </c>
      <c r="AH6133" s="32">
        <v>0</v>
      </c>
      <c r="AI6133" s="32">
        <v>0</v>
      </c>
      <c r="AK6133" s="32">
        <v>0</v>
      </c>
      <c r="AL6133" s="32">
        <f>25/60</f>
        <v>0.41666666666666669</v>
      </c>
      <c r="AO6133" s="32" t="s">
        <v>858</v>
      </c>
      <c r="AP6133" s="32">
        <f>25/60</f>
        <v>0.41666666666666669</v>
      </c>
      <c r="AQ6133" s="32" t="s">
        <v>1101</v>
      </c>
      <c r="AU6133">
        <v>6132</v>
      </c>
    </row>
    <row r="6134" spans="1:47" x14ac:dyDescent="0.2">
      <c r="A6134" s="26">
        <v>6831</v>
      </c>
      <c r="B6134" s="27">
        <v>0.52083333333333337</v>
      </c>
      <c r="C6134" s="28"/>
      <c r="D6134" s="29"/>
      <c r="E6134" s="30" t="s">
        <v>1124</v>
      </c>
      <c r="H6134" s="32">
        <v>1</v>
      </c>
      <c r="I6134" s="32"/>
      <c r="AG6134" s="32">
        <v>0</v>
      </c>
      <c r="AH6134" s="32">
        <v>0</v>
      </c>
      <c r="AK6134" s="32">
        <v>1</v>
      </c>
      <c r="AL6134" s="32">
        <f>1/6</f>
        <v>0.16666666666666666</v>
      </c>
      <c r="AO6134" s="46" t="s">
        <v>1126</v>
      </c>
      <c r="AP6134" s="32">
        <f>1/6</f>
        <v>0.16666666666666666</v>
      </c>
      <c r="AQ6134" s="32" t="s">
        <v>589</v>
      </c>
      <c r="AU6134">
        <v>6133</v>
      </c>
    </row>
    <row r="6135" spans="1:47" x14ac:dyDescent="0.2">
      <c r="A6135" s="26">
        <v>6831</v>
      </c>
      <c r="B6135" s="27">
        <v>0.65972222222222221</v>
      </c>
      <c r="C6135" s="28"/>
      <c r="D6135" s="29"/>
      <c r="E6135" s="30" t="s">
        <v>1124</v>
      </c>
      <c r="H6135" s="32">
        <v>1</v>
      </c>
      <c r="I6135" s="32"/>
      <c r="AG6135" s="32">
        <v>0</v>
      </c>
      <c r="AH6135" s="32">
        <v>0</v>
      </c>
      <c r="AK6135" s="32">
        <v>2</v>
      </c>
      <c r="AL6135" s="32">
        <f>7/6</f>
        <v>1.1666666666666667</v>
      </c>
      <c r="AO6135" s="46" t="s">
        <v>1126</v>
      </c>
      <c r="AP6135" s="32">
        <f>7/6</f>
        <v>1.1666666666666667</v>
      </c>
      <c r="AQ6135" s="32" t="s">
        <v>589</v>
      </c>
      <c r="AU6135">
        <v>6134</v>
      </c>
    </row>
    <row r="6136" spans="1:47" x14ac:dyDescent="0.2">
      <c r="A6136" s="26">
        <v>6831</v>
      </c>
      <c r="B6136" s="27">
        <v>0.79861111111111116</v>
      </c>
      <c r="C6136" s="28"/>
      <c r="D6136" s="29"/>
      <c r="E6136" s="30" t="s">
        <v>1282</v>
      </c>
      <c r="H6136" s="32">
        <v>0</v>
      </c>
      <c r="I6136" s="32" t="s">
        <v>6968</v>
      </c>
      <c r="AG6136" s="32">
        <v>0</v>
      </c>
      <c r="AH6136" s="32">
        <v>0</v>
      </c>
      <c r="AI6136" s="32">
        <v>0</v>
      </c>
      <c r="AK6136" s="32">
        <v>0</v>
      </c>
      <c r="AL6136" s="32">
        <v>0.25</v>
      </c>
      <c r="AP6136" s="32">
        <v>0.25</v>
      </c>
      <c r="AQ6136" s="32" t="s">
        <v>1101</v>
      </c>
      <c r="AU6136">
        <v>6135</v>
      </c>
    </row>
    <row r="6137" spans="1:47" x14ac:dyDescent="0.2">
      <c r="A6137" s="26">
        <v>6831</v>
      </c>
      <c r="B6137" s="27" t="s">
        <v>85</v>
      </c>
      <c r="C6137" s="28"/>
      <c r="D6137" s="29"/>
      <c r="E6137" s="30" t="s">
        <v>1285</v>
      </c>
      <c r="H6137" s="32">
        <v>1</v>
      </c>
      <c r="I6137" s="32" t="s">
        <v>6969</v>
      </c>
      <c r="AI6137" s="32">
        <v>6579</v>
      </c>
      <c r="AO6137" s="32" t="s">
        <v>472</v>
      </c>
      <c r="AQ6137" s="32" t="s">
        <v>589</v>
      </c>
      <c r="AU6137">
        <v>6136</v>
      </c>
    </row>
    <row r="6138" spans="1:47" x14ac:dyDescent="0.2">
      <c r="A6138" s="26">
        <v>6831</v>
      </c>
      <c r="B6138" s="27"/>
      <c r="C6138" s="28"/>
      <c r="D6138" s="29"/>
      <c r="E6138" s="30" t="s">
        <v>4666</v>
      </c>
      <c r="H6138" s="32">
        <v>0</v>
      </c>
      <c r="I6138" s="32" t="s">
        <v>6970</v>
      </c>
      <c r="AG6138" s="32">
        <v>0</v>
      </c>
      <c r="AH6138" s="32">
        <v>0</v>
      </c>
      <c r="AI6138" s="32">
        <v>0</v>
      </c>
      <c r="AK6138" s="32">
        <v>0</v>
      </c>
      <c r="AL6138" s="32">
        <v>9</v>
      </c>
      <c r="AO6138" s="32" t="s">
        <v>4668</v>
      </c>
      <c r="AP6138" s="32">
        <v>9</v>
      </c>
      <c r="AQ6138" s="32">
        <v>410</v>
      </c>
      <c r="AU6138">
        <v>6137</v>
      </c>
    </row>
    <row r="6139" spans="1:47" x14ac:dyDescent="0.2">
      <c r="A6139" s="26">
        <v>6831</v>
      </c>
      <c r="B6139" s="27"/>
      <c r="C6139" s="125"/>
      <c r="D6139" s="126"/>
      <c r="E6139" s="30" t="s">
        <v>75</v>
      </c>
      <c r="H6139" s="32"/>
      <c r="I6139" s="32" t="s">
        <v>6971</v>
      </c>
      <c r="AQ6139" s="32">
        <v>413</v>
      </c>
      <c r="AU6139">
        <v>6138</v>
      </c>
    </row>
    <row r="6140" spans="1:47" x14ac:dyDescent="0.2">
      <c r="A6140" s="133">
        <v>6832</v>
      </c>
      <c r="B6140" s="39" t="s">
        <v>85</v>
      </c>
      <c r="C6140" s="39">
        <v>55</v>
      </c>
      <c r="D6140" s="29" t="b">
        <v>0</v>
      </c>
      <c r="E6140" s="39" t="s">
        <v>1028</v>
      </c>
      <c r="F6140" s="47" t="s">
        <v>1743</v>
      </c>
      <c r="G6140" s="47" t="s">
        <v>49</v>
      </c>
      <c r="H6140"/>
      <c r="I6140" s="47" t="b">
        <v>0</v>
      </c>
      <c r="J6140" s="47" t="b">
        <v>1</v>
      </c>
      <c r="K6140" s="47">
        <v>2524</v>
      </c>
      <c r="L6140" s="48">
        <v>12</v>
      </c>
      <c r="M6140" s="47">
        <v>0</v>
      </c>
      <c r="N6140" s="47">
        <v>1</v>
      </c>
      <c r="O6140" s="47">
        <v>0</v>
      </c>
      <c r="P6140" s="47">
        <v>0</v>
      </c>
      <c r="Q6140" s="47">
        <v>0</v>
      </c>
      <c r="R6140" s="47">
        <v>0</v>
      </c>
      <c r="S6140" s="48">
        <v>11</v>
      </c>
      <c r="T6140" s="47">
        <v>0</v>
      </c>
      <c r="U6140" s="47">
        <v>0</v>
      </c>
      <c r="V6140" s="47">
        <v>0</v>
      </c>
      <c r="W6140" s="47">
        <v>16500</v>
      </c>
      <c r="X6140" s="47">
        <v>1005</v>
      </c>
      <c r="Y6140" s="47" t="s">
        <v>51</v>
      </c>
      <c r="Z6140" s="47" t="s">
        <v>3618</v>
      </c>
      <c r="AA6140" s="49">
        <v>0.4548611111111111</v>
      </c>
      <c r="AB6140" s="49">
        <v>0.61458333333333337</v>
      </c>
      <c r="AC6140" s="49">
        <v>0.53819444444444442</v>
      </c>
      <c r="AD6140" s="50">
        <f>(AB6140-AA6140)*24</f>
        <v>3.8333333333333344</v>
      </c>
      <c r="AE6140" s="47" t="s">
        <v>5433</v>
      </c>
      <c r="AF6140" s="47">
        <v>140</v>
      </c>
      <c r="AG6140"/>
      <c r="AH6140"/>
      <c r="AI6140"/>
      <c r="AJ6140"/>
      <c r="AK6140">
        <v>12</v>
      </c>
      <c r="AL6140"/>
      <c r="AM6140"/>
      <c r="AN6140"/>
      <c r="AO6140"/>
      <c r="AP6140"/>
      <c r="AQ6140" t="s">
        <v>5434</v>
      </c>
      <c r="AU6140">
        <v>6139</v>
      </c>
    </row>
    <row r="6141" spans="1:47" x14ac:dyDescent="0.2">
      <c r="A6141" s="133">
        <v>6832</v>
      </c>
      <c r="B6141" s="39" t="s">
        <v>85</v>
      </c>
      <c r="C6141" s="39">
        <v>99</v>
      </c>
      <c r="D6141" s="29" t="b">
        <v>0</v>
      </c>
      <c r="E6141" s="39" t="s">
        <v>6604</v>
      </c>
      <c r="F6141" s="47" t="s">
        <v>6795</v>
      </c>
      <c r="G6141" s="47" t="s">
        <v>49</v>
      </c>
      <c r="H6141"/>
      <c r="I6141" s="47" t="b">
        <v>1</v>
      </c>
      <c r="J6141" s="47" t="b">
        <v>1</v>
      </c>
      <c r="K6141" s="47">
        <v>4092</v>
      </c>
      <c r="L6141" s="48">
        <v>25</v>
      </c>
      <c r="M6141" s="47">
        <v>0</v>
      </c>
      <c r="N6141" s="47">
        <v>5</v>
      </c>
      <c r="O6141" s="47">
        <v>0</v>
      </c>
      <c r="P6141" s="47">
        <v>0</v>
      </c>
      <c r="Q6141" s="47">
        <v>0</v>
      </c>
      <c r="R6141" s="47">
        <v>0</v>
      </c>
      <c r="S6141" s="48">
        <v>19</v>
      </c>
      <c r="T6141" s="47">
        <v>1</v>
      </c>
      <c r="U6141" s="47">
        <v>0</v>
      </c>
      <c r="V6141" s="47">
        <v>0</v>
      </c>
      <c r="W6141" s="47"/>
      <c r="X6141" s="47">
        <v>1004</v>
      </c>
      <c r="Y6141" s="47" t="s">
        <v>120</v>
      </c>
      <c r="Z6141" s="47" t="s">
        <v>5139</v>
      </c>
      <c r="AA6141" s="49"/>
      <c r="AB6141" s="49"/>
      <c r="AC6141" s="49"/>
      <c r="AD6141" s="50"/>
      <c r="AE6141" s="47" t="s">
        <v>5433</v>
      </c>
      <c r="AF6141" s="47">
        <v>140</v>
      </c>
      <c r="AG6141"/>
      <c r="AH6141"/>
      <c r="AI6141"/>
      <c r="AJ6141"/>
      <c r="AK6141">
        <f>4+8+14</f>
        <v>26</v>
      </c>
      <c r="AL6141"/>
      <c r="AM6141"/>
      <c r="AN6141"/>
      <c r="AO6141"/>
      <c r="AP6141"/>
      <c r="AQ6141" t="s">
        <v>2526</v>
      </c>
      <c r="AR6141" s="32" t="s">
        <v>6972</v>
      </c>
      <c r="AU6141">
        <v>6140</v>
      </c>
    </row>
    <row r="6142" spans="1:47" x14ac:dyDescent="0.2">
      <c r="A6142" s="133">
        <v>6832</v>
      </c>
      <c r="B6142" s="39" t="s">
        <v>85</v>
      </c>
      <c r="C6142" s="39">
        <v>99</v>
      </c>
      <c r="D6142" s="29" t="b">
        <v>0</v>
      </c>
      <c r="E6142" s="39" t="s">
        <v>6973</v>
      </c>
      <c r="F6142" s="47" t="s">
        <v>2398</v>
      </c>
      <c r="G6142" s="47" t="s">
        <v>49</v>
      </c>
      <c r="H6142"/>
      <c r="I6142" s="47" t="b">
        <v>0</v>
      </c>
      <c r="J6142" s="47" t="b">
        <v>0</v>
      </c>
      <c r="K6142" s="47">
        <f>2*230+2*112</f>
        <v>684</v>
      </c>
      <c r="L6142" s="48">
        <v>6</v>
      </c>
      <c r="M6142" s="47">
        <v>0</v>
      </c>
      <c r="N6142" s="47">
        <v>2</v>
      </c>
      <c r="O6142" s="47">
        <v>0</v>
      </c>
      <c r="P6142" s="47">
        <v>0</v>
      </c>
      <c r="Q6142" s="47">
        <v>0</v>
      </c>
      <c r="R6142" s="47">
        <v>0</v>
      </c>
      <c r="S6142" s="48">
        <v>4</v>
      </c>
      <c r="T6142" s="47">
        <v>1</v>
      </c>
      <c r="U6142" s="47">
        <v>0</v>
      </c>
      <c r="V6142" s="47">
        <v>0</v>
      </c>
      <c r="W6142" s="47">
        <v>12000</v>
      </c>
      <c r="X6142" s="47">
        <v>993</v>
      </c>
      <c r="Y6142" s="47" t="s">
        <v>120</v>
      </c>
      <c r="Z6142" s="47" t="s">
        <v>5139</v>
      </c>
      <c r="AA6142" s="49">
        <v>0.30902777777777779</v>
      </c>
      <c r="AB6142" s="49">
        <v>0.39583333333333331</v>
      </c>
      <c r="AC6142" s="49">
        <f>AVERAGE(AA6142:AB6142)</f>
        <v>0.35243055555555558</v>
      </c>
      <c r="AD6142" s="50">
        <f t="shared" ref="AD6142:AD6147" si="15">(AB6142-AA6142)*24</f>
        <v>2.0833333333333326</v>
      </c>
      <c r="AE6142" s="47" t="s">
        <v>5433</v>
      </c>
      <c r="AF6142" s="47">
        <v>55</v>
      </c>
      <c r="AG6142"/>
      <c r="AH6142"/>
      <c r="AI6142"/>
      <c r="AJ6142"/>
      <c r="AK6142">
        <v>4</v>
      </c>
      <c r="AL6142"/>
      <c r="AM6142"/>
      <c r="AN6142"/>
      <c r="AO6142"/>
      <c r="AP6142"/>
      <c r="AQ6142" t="s">
        <v>2526</v>
      </c>
      <c r="AR6142" s="32" t="s">
        <v>6974</v>
      </c>
      <c r="AU6142">
        <v>6141</v>
      </c>
    </row>
    <row r="6143" spans="1:47" x14ac:dyDescent="0.2">
      <c r="A6143" s="133">
        <v>6832</v>
      </c>
      <c r="B6143" s="39" t="s">
        <v>85</v>
      </c>
      <c r="C6143" s="39">
        <v>99</v>
      </c>
      <c r="D6143" s="29" t="b">
        <v>0</v>
      </c>
      <c r="E6143" s="39" t="s">
        <v>3575</v>
      </c>
      <c r="F6143" s="47" t="s">
        <v>529</v>
      </c>
      <c r="G6143" s="47" t="s">
        <v>205</v>
      </c>
      <c r="H6143"/>
      <c r="I6143" s="47" t="b">
        <v>0</v>
      </c>
      <c r="J6143" s="47" t="b">
        <v>0</v>
      </c>
      <c r="K6143" s="47">
        <f>2*230+6*112</f>
        <v>1132</v>
      </c>
      <c r="L6143" s="48">
        <v>6</v>
      </c>
      <c r="M6143" s="47">
        <v>0</v>
      </c>
      <c r="N6143" s="47">
        <v>1</v>
      </c>
      <c r="O6143" s="47">
        <v>0</v>
      </c>
      <c r="P6143" s="47">
        <v>0</v>
      </c>
      <c r="Q6143" s="47">
        <v>0</v>
      </c>
      <c r="R6143" s="47">
        <v>0</v>
      </c>
      <c r="S6143" s="48">
        <v>5</v>
      </c>
      <c r="T6143" s="47">
        <v>0</v>
      </c>
      <c r="U6143" s="47">
        <v>0</v>
      </c>
      <c r="V6143" s="47">
        <v>0</v>
      </c>
      <c r="W6143" s="47">
        <v>10000</v>
      </c>
      <c r="X6143" s="47">
        <v>1006</v>
      </c>
      <c r="Y6143" s="47" t="s">
        <v>51</v>
      </c>
      <c r="Z6143" s="47" t="s">
        <v>5139</v>
      </c>
      <c r="AA6143" s="49">
        <v>0.32291666666666669</v>
      </c>
      <c r="AB6143" s="49">
        <v>0.40277777777777773</v>
      </c>
      <c r="AC6143" s="49">
        <f>AVERAGE(AA6143:AB6143)</f>
        <v>0.36284722222222221</v>
      </c>
      <c r="AD6143" s="50">
        <f t="shared" si="15"/>
        <v>1.9166666666666652</v>
      </c>
      <c r="AE6143" s="47" t="s">
        <v>5433</v>
      </c>
      <c r="AF6143" s="47">
        <v>140</v>
      </c>
      <c r="AG6143"/>
      <c r="AH6143"/>
      <c r="AI6143"/>
      <c r="AJ6143"/>
      <c r="AK6143">
        <v>8</v>
      </c>
      <c r="AL6143"/>
      <c r="AM6143"/>
      <c r="AN6143"/>
      <c r="AO6143"/>
      <c r="AP6143"/>
      <c r="AQ6143" t="s">
        <v>2526</v>
      </c>
      <c r="AU6143">
        <v>6142</v>
      </c>
    </row>
    <row r="6144" spans="1:47" x14ac:dyDescent="0.2">
      <c r="A6144" s="133">
        <v>6832</v>
      </c>
      <c r="B6144" s="39" t="s">
        <v>85</v>
      </c>
      <c r="C6144" s="39">
        <v>99</v>
      </c>
      <c r="D6144" s="29" t="b">
        <v>0</v>
      </c>
      <c r="E6144" s="39" t="s">
        <v>6975</v>
      </c>
      <c r="F6144" s="47" t="s">
        <v>2398</v>
      </c>
      <c r="G6144" s="47" t="s">
        <v>49</v>
      </c>
      <c r="H6144"/>
      <c r="I6144" s="47" t="b">
        <v>0</v>
      </c>
      <c r="J6144" s="47" t="b">
        <v>0</v>
      </c>
      <c r="K6144" s="47">
        <f>6*230+8*112</f>
        <v>2276</v>
      </c>
      <c r="L6144" s="48">
        <v>13</v>
      </c>
      <c r="M6144" s="47">
        <v>0</v>
      </c>
      <c r="N6144" s="47">
        <v>3</v>
      </c>
      <c r="O6144" s="47">
        <v>0</v>
      </c>
      <c r="P6144" s="47">
        <v>0</v>
      </c>
      <c r="Q6144" s="47">
        <v>0</v>
      </c>
      <c r="R6144" s="47">
        <v>0</v>
      </c>
      <c r="S6144" s="48">
        <v>10</v>
      </c>
      <c r="T6144" s="47">
        <v>0</v>
      </c>
      <c r="U6144" s="47">
        <v>1</v>
      </c>
      <c r="V6144" s="47">
        <v>0</v>
      </c>
      <c r="W6144" s="47"/>
      <c r="X6144" s="47"/>
      <c r="Y6144" s="47" t="s">
        <v>51</v>
      </c>
      <c r="Z6144" s="47" t="s">
        <v>5139</v>
      </c>
      <c r="AA6144" s="49">
        <v>0.65972222222222221</v>
      </c>
      <c r="AB6144" s="49">
        <v>0.75</v>
      </c>
      <c r="AC6144" s="49">
        <v>0.72916666666666663</v>
      </c>
      <c r="AD6144" s="50">
        <f t="shared" si="15"/>
        <v>2.166666666666667</v>
      </c>
      <c r="AE6144" s="47" t="s">
        <v>5433</v>
      </c>
      <c r="AF6144" s="47">
        <v>55</v>
      </c>
      <c r="AG6144"/>
      <c r="AH6144"/>
      <c r="AI6144"/>
      <c r="AJ6144"/>
      <c r="AK6144">
        <v>14</v>
      </c>
      <c r="AL6144"/>
      <c r="AM6144"/>
      <c r="AN6144"/>
      <c r="AO6144"/>
      <c r="AP6144"/>
      <c r="AQ6144" t="s">
        <v>6976</v>
      </c>
      <c r="AR6144" s="32" t="s">
        <v>6977</v>
      </c>
      <c r="AU6144">
        <v>6143</v>
      </c>
    </row>
    <row r="6145" spans="1:47" x14ac:dyDescent="0.2">
      <c r="A6145" s="133">
        <v>6832</v>
      </c>
      <c r="B6145" s="39" t="s">
        <v>85</v>
      </c>
      <c r="C6145" s="39">
        <v>104</v>
      </c>
      <c r="D6145" s="29" t="b">
        <v>0</v>
      </c>
      <c r="E6145" s="39" t="s">
        <v>6978</v>
      </c>
      <c r="F6145" s="47" t="s">
        <v>2398</v>
      </c>
      <c r="G6145" s="47" t="s">
        <v>49</v>
      </c>
      <c r="H6145"/>
      <c r="I6145" s="47" t="b">
        <v>0</v>
      </c>
      <c r="J6145" s="47" t="b">
        <v>1</v>
      </c>
      <c r="K6145" s="47">
        <f>(5*230)+(8*112)+(8*25)</f>
        <v>2246</v>
      </c>
      <c r="L6145" s="48">
        <v>14</v>
      </c>
      <c r="M6145" s="47">
        <v>0</v>
      </c>
      <c r="N6145" s="47">
        <v>2</v>
      </c>
      <c r="O6145" s="47">
        <v>2</v>
      </c>
      <c r="P6145" s="47">
        <v>0</v>
      </c>
      <c r="Q6145" s="47">
        <v>0</v>
      </c>
      <c r="R6145" s="47">
        <v>0</v>
      </c>
      <c r="S6145" s="48">
        <v>10</v>
      </c>
      <c r="T6145" s="47">
        <v>0</v>
      </c>
      <c r="U6145" s="47">
        <v>0</v>
      </c>
      <c r="V6145" s="47">
        <v>2</v>
      </c>
      <c r="W6145" s="31">
        <v>10500</v>
      </c>
      <c r="X6145" s="47">
        <v>998</v>
      </c>
      <c r="Y6145" s="47" t="s">
        <v>120</v>
      </c>
      <c r="Z6145" s="47" t="s">
        <v>5139</v>
      </c>
      <c r="AA6145" s="34">
        <v>0.3125</v>
      </c>
      <c r="AB6145" s="34">
        <v>0.39583333333333331</v>
      </c>
      <c r="AC6145" s="49">
        <f>AVERAGE(AA6145:AB6145)</f>
        <v>0.35416666666666663</v>
      </c>
      <c r="AD6145" s="50">
        <f t="shared" si="15"/>
        <v>1.9999999999999996</v>
      </c>
      <c r="AE6145" s="47" t="s">
        <v>5433</v>
      </c>
      <c r="AF6145" s="47">
        <v>55</v>
      </c>
      <c r="AG6145" s="192"/>
      <c r="AH6145" s="192"/>
      <c r="AI6145" s="192"/>
      <c r="AJ6145" s="192"/>
      <c r="AK6145" s="192">
        <v>21</v>
      </c>
      <c r="AL6145"/>
      <c r="AM6145"/>
      <c r="AN6145"/>
      <c r="AO6145"/>
      <c r="AP6145"/>
      <c r="AQ6145" t="s">
        <v>6979</v>
      </c>
      <c r="AR6145" s="32" t="s">
        <v>6980</v>
      </c>
      <c r="AU6145">
        <v>6144</v>
      </c>
    </row>
    <row r="6146" spans="1:47" x14ac:dyDescent="0.2">
      <c r="A6146" s="133">
        <v>6832</v>
      </c>
      <c r="B6146" s="39" t="s">
        <v>85</v>
      </c>
      <c r="C6146" s="39">
        <v>104</v>
      </c>
      <c r="D6146" s="29" t="b">
        <v>0</v>
      </c>
      <c r="E6146" s="39" t="s">
        <v>6981</v>
      </c>
      <c r="F6146" s="47" t="s">
        <v>2398</v>
      </c>
      <c r="G6146" s="47" t="s">
        <v>49</v>
      </c>
      <c r="H6146"/>
      <c r="I6146" s="47" t="b">
        <v>0</v>
      </c>
      <c r="J6146" s="47" t="b">
        <v>1</v>
      </c>
      <c r="K6146" s="47">
        <f>(3*230)+(4*112)+(8*25)</f>
        <v>1338</v>
      </c>
      <c r="L6146" s="48">
        <v>11</v>
      </c>
      <c r="M6146" s="47">
        <v>0</v>
      </c>
      <c r="N6146" s="47">
        <v>4</v>
      </c>
      <c r="O6146" s="47">
        <v>1</v>
      </c>
      <c r="P6146" s="47">
        <v>0</v>
      </c>
      <c r="Q6146" s="47">
        <v>0</v>
      </c>
      <c r="R6146" s="47">
        <v>0</v>
      </c>
      <c r="S6146" s="48">
        <v>6</v>
      </c>
      <c r="T6146" s="47">
        <v>0</v>
      </c>
      <c r="U6146" s="47">
        <v>0</v>
      </c>
      <c r="V6146" s="47">
        <v>0</v>
      </c>
      <c r="W6146" s="47">
        <v>11500</v>
      </c>
      <c r="X6146" s="47"/>
      <c r="Y6146" s="47" t="s">
        <v>120</v>
      </c>
      <c r="Z6146" s="47" t="s">
        <v>5139</v>
      </c>
      <c r="AA6146" s="49">
        <v>0.65277777777777779</v>
      </c>
      <c r="AB6146" s="49">
        <v>0.75</v>
      </c>
      <c r="AC6146" s="49">
        <v>0.72222222222222221</v>
      </c>
      <c r="AD6146" s="50">
        <f t="shared" si="15"/>
        <v>2.333333333333333</v>
      </c>
      <c r="AE6146" s="47" t="s">
        <v>5433</v>
      </c>
      <c r="AF6146" s="47">
        <v>55</v>
      </c>
      <c r="AG6146"/>
      <c r="AH6146"/>
      <c r="AI6146"/>
      <c r="AJ6146"/>
      <c r="AK6146">
        <v>15</v>
      </c>
      <c r="AL6146"/>
      <c r="AM6146"/>
      <c r="AN6146"/>
      <c r="AO6146"/>
      <c r="AP6146"/>
      <c r="AQ6146" t="s">
        <v>6982</v>
      </c>
      <c r="AR6146" s="32" t="s">
        <v>6983</v>
      </c>
      <c r="AU6146">
        <v>6145</v>
      </c>
    </row>
    <row r="6147" spans="1:47" x14ac:dyDescent="0.2">
      <c r="A6147" s="133">
        <v>6832</v>
      </c>
      <c r="B6147" s="39" t="s">
        <v>85</v>
      </c>
      <c r="C6147" s="39">
        <v>110</v>
      </c>
      <c r="D6147" s="29" t="b">
        <v>0</v>
      </c>
      <c r="E6147" s="39" t="s">
        <v>5707</v>
      </c>
      <c r="F6147" s="47" t="s">
        <v>529</v>
      </c>
      <c r="G6147" s="47" t="s">
        <v>205</v>
      </c>
      <c r="H6147"/>
      <c r="I6147" s="47" t="b">
        <v>0</v>
      </c>
      <c r="J6147" s="47" t="b">
        <v>1</v>
      </c>
      <c r="K6147" s="47">
        <v>2028</v>
      </c>
      <c r="L6147" s="48">
        <v>12</v>
      </c>
      <c r="M6147" s="47">
        <v>6</v>
      </c>
      <c r="N6147" s="47">
        <v>0</v>
      </c>
      <c r="O6147" s="47">
        <v>0</v>
      </c>
      <c r="P6147" s="47">
        <v>0</v>
      </c>
      <c r="Q6147" s="47">
        <v>0</v>
      </c>
      <c r="R6147" s="47">
        <v>0</v>
      </c>
      <c r="S6147" s="48">
        <v>6</v>
      </c>
      <c r="T6147" s="47">
        <v>0</v>
      </c>
      <c r="U6147" s="47">
        <v>0</v>
      </c>
      <c r="V6147" s="47">
        <v>0</v>
      </c>
      <c r="W6147" s="47">
        <v>15500</v>
      </c>
      <c r="X6147" s="47">
        <v>999</v>
      </c>
      <c r="Y6147" s="47" t="s">
        <v>51</v>
      </c>
      <c r="Z6147" s="47" t="s">
        <v>6984</v>
      </c>
      <c r="AA6147" s="49">
        <v>0.61458333333333337</v>
      </c>
      <c r="AB6147" s="49">
        <v>0.70486111111111116</v>
      </c>
      <c r="AC6147" s="49">
        <v>0.67013888888888884</v>
      </c>
      <c r="AD6147" s="50">
        <f t="shared" si="15"/>
        <v>2.166666666666667</v>
      </c>
      <c r="AE6147" s="47" t="s">
        <v>6985</v>
      </c>
      <c r="AF6147" s="47">
        <v>95</v>
      </c>
      <c r="AG6147"/>
      <c r="AH6147"/>
      <c r="AI6147"/>
      <c r="AJ6147"/>
      <c r="AK6147">
        <v>16</v>
      </c>
      <c r="AL6147"/>
      <c r="AM6147"/>
      <c r="AN6147"/>
      <c r="AO6147"/>
      <c r="AP6147"/>
      <c r="AQ6147" t="s">
        <v>5485</v>
      </c>
      <c r="AR6147" s="32" t="s">
        <v>6986</v>
      </c>
      <c r="AU6147">
        <v>6146</v>
      </c>
    </row>
    <row r="6148" spans="1:47" x14ac:dyDescent="0.2">
      <c r="A6148" s="37">
        <v>6832</v>
      </c>
      <c r="B6148" s="38" t="s">
        <v>85</v>
      </c>
      <c r="C6148" s="39" t="s">
        <v>1234</v>
      </c>
      <c r="D6148" s="29"/>
      <c r="E6148" s="38" t="s">
        <v>788</v>
      </c>
      <c r="F6148" s="32"/>
      <c r="G6148" s="47"/>
      <c r="H6148"/>
      <c r="I6148" s="32"/>
      <c r="J6148" s="47"/>
      <c r="K6148" s="47"/>
      <c r="L6148" s="48"/>
      <c r="M6148" s="47"/>
      <c r="N6148" s="47"/>
      <c r="O6148" s="47"/>
      <c r="P6148" s="47"/>
      <c r="Q6148" s="47"/>
      <c r="R6148" s="47"/>
      <c r="S6148" s="48"/>
      <c r="T6148" s="47"/>
      <c r="U6148" s="47"/>
      <c r="V6148" s="47"/>
      <c r="W6148" s="47"/>
      <c r="X6148" s="47"/>
      <c r="Y6148" s="47"/>
      <c r="Z6148" s="47"/>
      <c r="AA6148" s="49"/>
      <c r="AB6148" s="49"/>
      <c r="AC6148" s="49"/>
      <c r="AD6148" s="50"/>
      <c r="AE6148" s="47"/>
      <c r="AF6148" s="47"/>
      <c r="AG6148"/>
      <c r="AH6148"/>
      <c r="AI6148"/>
      <c r="AJ6148"/>
      <c r="AK6148"/>
      <c r="AL6148"/>
      <c r="AM6148"/>
      <c r="AN6148"/>
      <c r="AO6148"/>
      <c r="AP6148"/>
      <c r="AQ6148" t="s">
        <v>6987</v>
      </c>
      <c r="AU6148">
        <v>6147</v>
      </c>
    </row>
    <row r="6149" spans="1:47" x14ac:dyDescent="0.2">
      <c r="A6149" s="37">
        <v>6832</v>
      </c>
      <c r="B6149" s="38" t="s">
        <v>85</v>
      </c>
      <c r="C6149" s="15" t="s">
        <v>5533</v>
      </c>
      <c r="D6149" s="29"/>
      <c r="E6149" s="38" t="s">
        <v>788</v>
      </c>
      <c r="F6149" s="32" t="s">
        <v>714</v>
      </c>
      <c r="G6149" s="47" t="s">
        <v>49</v>
      </c>
      <c r="H6149"/>
      <c r="I6149" s="32" t="s">
        <v>6988</v>
      </c>
      <c r="J6149" s="47"/>
      <c r="K6149" s="47">
        <f>((48*9)+(2*50)+(2*9))*2.2</f>
        <v>1210</v>
      </c>
      <c r="L6149" s="48">
        <v>10</v>
      </c>
      <c r="M6149" s="47"/>
      <c r="N6149" s="47">
        <v>7</v>
      </c>
      <c r="O6149" s="47"/>
      <c r="P6149" s="47"/>
      <c r="Q6149" s="47"/>
      <c r="R6149" s="47"/>
      <c r="S6149" s="48">
        <v>3</v>
      </c>
      <c r="T6149" s="47"/>
      <c r="U6149" s="47"/>
      <c r="V6149" s="47"/>
      <c r="W6149" s="47">
        <f>(4500/1000)*0.62*5280</f>
        <v>14731.2</v>
      </c>
      <c r="X6149" s="47"/>
      <c r="Y6149" s="47" t="s">
        <v>120</v>
      </c>
      <c r="Z6149" s="31" t="s">
        <v>3724</v>
      </c>
      <c r="AA6149" s="49">
        <v>0.2673611111111111</v>
      </c>
      <c r="AB6149" s="49">
        <v>0.34722222222222227</v>
      </c>
      <c r="AC6149" s="49">
        <f>AVERAGE(AA6149:AB6149)</f>
        <v>0.30729166666666669</v>
      </c>
      <c r="AD6149" s="50">
        <f>(AB6149-AA6149)*24</f>
        <v>1.9166666666666679</v>
      </c>
      <c r="AE6149" s="47" t="s">
        <v>5536</v>
      </c>
      <c r="AF6149" s="47">
        <v>70</v>
      </c>
      <c r="AG6149"/>
      <c r="AH6149"/>
      <c r="AI6149"/>
      <c r="AJ6149"/>
      <c r="AK6149">
        <f>48+2+2</f>
        <v>52</v>
      </c>
      <c r="AL6149"/>
      <c r="AM6149"/>
      <c r="AN6149"/>
      <c r="AO6149"/>
      <c r="AP6149"/>
      <c r="AQ6149" t="s">
        <v>6989</v>
      </c>
      <c r="AU6149">
        <v>6148</v>
      </c>
    </row>
    <row r="6150" spans="1:47" x14ac:dyDescent="0.2">
      <c r="A6150" s="37">
        <v>6832</v>
      </c>
      <c r="B6150" s="38" t="s">
        <v>85</v>
      </c>
      <c r="C6150" s="15" t="s">
        <v>6990</v>
      </c>
      <c r="D6150" s="29"/>
      <c r="E6150" s="38" t="s">
        <v>788</v>
      </c>
      <c r="F6150" s="32" t="s">
        <v>714</v>
      </c>
      <c r="G6150" s="47" t="s">
        <v>49</v>
      </c>
      <c r="H6150"/>
      <c r="I6150" s="32" t="s">
        <v>6991</v>
      </c>
      <c r="J6150" s="47"/>
      <c r="K6150" s="47">
        <f>6*50*2.2</f>
        <v>660</v>
      </c>
      <c r="L6150" s="48">
        <v>10</v>
      </c>
      <c r="M6150" s="47"/>
      <c r="N6150" s="47">
        <v>3</v>
      </c>
      <c r="O6150" s="47"/>
      <c r="P6150" s="47"/>
      <c r="Q6150" s="47"/>
      <c r="R6150" s="47"/>
      <c r="S6150" s="48">
        <v>7</v>
      </c>
      <c r="T6150" s="47">
        <v>2</v>
      </c>
      <c r="U6150" s="47"/>
      <c r="V6150" s="47"/>
      <c r="W6150" s="47">
        <f>3000/0.3048</f>
        <v>9842.5196850393695</v>
      </c>
      <c r="X6150" s="47"/>
      <c r="Y6150" s="47" t="s">
        <v>120</v>
      </c>
      <c r="Z6150" s="47" t="s">
        <v>3618</v>
      </c>
      <c r="AA6150" s="49">
        <v>0.28125</v>
      </c>
      <c r="AB6150" s="49">
        <v>0.35416666666666669</v>
      </c>
      <c r="AC6150" s="49">
        <f>AVERAGE(AA6150:AB6150)</f>
        <v>0.31770833333333337</v>
      </c>
      <c r="AD6150" s="50">
        <f>(AB6150-AA6150)*24</f>
        <v>1.7500000000000004</v>
      </c>
      <c r="AE6150" s="47" t="s">
        <v>5536</v>
      </c>
      <c r="AF6150" s="47">
        <v>70</v>
      </c>
      <c r="AG6150"/>
      <c r="AH6150"/>
      <c r="AI6150"/>
      <c r="AJ6150"/>
      <c r="AK6150">
        <v>6</v>
      </c>
      <c r="AL6150"/>
      <c r="AM6150"/>
      <c r="AN6150"/>
      <c r="AO6150"/>
      <c r="AP6150"/>
      <c r="AQ6150" t="s">
        <v>6992</v>
      </c>
      <c r="AU6150">
        <v>6149</v>
      </c>
    </row>
    <row r="6151" spans="1:47" x14ac:dyDescent="0.2">
      <c r="A6151" s="37">
        <v>6832</v>
      </c>
      <c r="B6151" s="38" t="s">
        <v>85</v>
      </c>
      <c r="C6151" s="15" t="s">
        <v>6990</v>
      </c>
      <c r="D6151" s="29"/>
      <c r="E6151" s="38" t="s">
        <v>6993</v>
      </c>
      <c r="F6151" s="32"/>
      <c r="G6151" s="47"/>
      <c r="H6151"/>
      <c r="I6151" s="32" t="s">
        <v>6994</v>
      </c>
      <c r="J6151" s="47"/>
      <c r="K6151" s="47"/>
      <c r="L6151" s="48">
        <v>8</v>
      </c>
      <c r="M6151" s="47"/>
      <c r="N6151" s="47"/>
      <c r="O6151" s="47"/>
      <c r="P6151" s="47"/>
      <c r="Q6151" s="47"/>
      <c r="R6151" s="47"/>
      <c r="S6151" s="48"/>
      <c r="T6151" s="47"/>
      <c r="U6151" s="47"/>
      <c r="V6151" s="47"/>
      <c r="W6151" s="47"/>
      <c r="X6151" s="47"/>
      <c r="Y6151" s="47"/>
      <c r="Z6151" s="47" t="s">
        <v>3618</v>
      </c>
      <c r="AA6151" s="49"/>
      <c r="AB6151" s="49"/>
      <c r="AC6151" s="49"/>
      <c r="AD6151" s="50"/>
      <c r="AE6151" s="47" t="s">
        <v>5536</v>
      </c>
      <c r="AF6151" s="47">
        <v>60</v>
      </c>
      <c r="AG6151"/>
      <c r="AH6151"/>
      <c r="AI6151"/>
      <c r="AJ6151"/>
      <c r="AK6151"/>
      <c r="AL6151"/>
      <c r="AM6151"/>
      <c r="AN6151"/>
      <c r="AO6151"/>
      <c r="AP6151"/>
      <c r="AQ6151" t="s">
        <v>6995</v>
      </c>
      <c r="AU6151">
        <v>6150</v>
      </c>
    </row>
    <row r="6152" spans="1:47" x14ac:dyDescent="0.2">
      <c r="A6152" s="37">
        <v>6832</v>
      </c>
      <c r="B6152" s="38" t="s">
        <v>85</v>
      </c>
      <c r="C6152" s="15" t="s">
        <v>6990</v>
      </c>
      <c r="D6152" s="29"/>
      <c r="E6152" s="38" t="s">
        <v>881</v>
      </c>
      <c r="F6152" s="32" t="s">
        <v>6996</v>
      </c>
      <c r="G6152" s="47"/>
      <c r="H6152"/>
      <c r="I6152" s="32" t="s">
        <v>6994</v>
      </c>
      <c r="J6152" s="47"/>
      <c r="K6152" s="47"/>
      <c r="L6152" s="48">
        <v>4</v>
      </c>
      <c r="M6152" s="47"/>
      <c r="N6152" s="47"/>
      <c r="O6152" s="47"/>
      <c r="P6152" s="47"/>
      <c r="Q6152" s="47"/>
      <c r="R6152" s="47"/>
      <c r="S6152" s="48"/>
      <c r="T6152" s="47"/>
      <c r="U6152" s="47"/>
      <c r="V6152" s="47"/>
      <c r="W6152" s="47"/>
      <c r="X6152" s="47"/>
      <c r="Y6152" s="47"/>
      <c r="Z6152" s="47" t="s">
        <v>3618</v>
      </c>
      <c r="AA6152" s="49">
        <v>0.55208333333333337</v>
      </c>
      <c r="AB6152" s="49">
        <v>0.60069444444444442</v>
      </c>
      <c r="AC6152" s="49">
        <f t="shared" ref="AC6152:AC6157" si="16">AVERAGE(AA6152:AB6152)</f>
        <v>0.57638888888888884</v>
      </c>
      <c r="AD6152" s="50">
        <f t="shared" ref="AD6152:AD6157" si="17">(AB6152-AA6152)*24</f>
        <v>1.1666666666666652</v>
      </c>
      <c r="AE6152" s="47" t="s">
        <v>5536</v>
      </c>
      <c r="AF6152" s="47"/>
      <c r="AG6152"/>
      <c r="AH6152"/>
      <c r="AI6152"/>
      <c r="AJ6152"/>
      <c r="AK6152"/>
      <c r="AL6152"/>
      <c r="AM6152"/>
      <c r="AN6152"/>
      <c r="AO6152"/>
      <c r="AP6152"/>
      <c r="AQ6152" t="s">
        <v>6995</v>
      </c>
      <c r="AU6152">
        <v>6151</v>
      </c>
    </row>
    <row r="6153" spans="1:47" x14ac:dyDescent="0.2">
      <c r="A6153" s="37">
        <v>6832</v>
      </c>
      <c r="B6153" s="38" t="s">
        <v>85</v>
      </c>
      <c r="C6153" s="15" t="s">
        <v>6997</v>
      </c>
      <c r="D6153" s="29"/>
      <c r="E6153" s="38" t="s">
        <v>788</v>
      </c>
      <c r="F6153" s="32"/>
      <c r="G6153" s="47" t="s">
        <v>49</v>
      </c>
      <c r="H6153"/>
      <c r="I6153" s="32" t="s">
        <v>6998</v>
      </c>
      <c r="J6153" s="47"/>
      <c r="K6153" s="47">
        <f>18*50*2.2</f>
        <v>1980.0000000000002</v>
      </c>
      <c r="L6153" s="48">
        <v>10</v>
      </c>
      <c r="M6153" s="47"/>
      <c r="N6153" s="47"/>
      <c r="O6153" s="47"/>
      <c r="P6153" s="47"/>
      <c r="Q6153" s="47"/>
      <c r="R6153" s="47"/>
      <c r="S6153" s="48">
        <v>8</v>
      </c>
      <c r="T6153" s="47"/>
      <c r="U6153" s="47"/>
      <c r="V6153" s="47"/>
      <c r="W6153" s="47">
        <v>13000</v>
      </c>
      <c r="X6153" s="47"/>
      <c r="Y6153" s="47" t="s">
        <v>51</v>
      </c>
      <c r="Z6153" s="47" t="s">
        <v>3618</v>
      </c>
      <c r="AA6153" s="49">
        <v>0.28125</v>
      </c>
      <c r="AB6153" s="49">
        <v>0.36458333333333331</v>
      </c>
      <c r="AC6153" s="49">
        <f t="shared" si="16"/>
        <v>0.32291666666666663</v>
      </c>
      <c r="AD6153" s="50">
        <f t="shared" si="17"/>
        <v>1.9999999999999996</v>
      </c>
      <c r="AE6153" s="47" t="s">
        <v>5536</v>
      </c>
      <c r="AF6153" s="47">
        <v>70</v>
      </c>
      <c r="AG6153"/>
      <c r="AH6153"/>
      <c r="AI6153"/>
      <c r="AJ6153"/>
      <c r="AK6153">
        <v>18</v>
      </c>
      <c r="AL6153"/>
      <c r="AM6153"/>
      <c r="AN6153"/>
      <c r="AO6153"/>
      <c r="AP6153"/>
      <c r="AQ6153" t="s">
        <v>6999</v>
      </c>
      <c r="AU6153">
        <v>6152</v>
      </c>
    </row>
    <row r="6154" spans="1:47" x14ac:dyDescent="0.2">
      <c r="A6154" s="37">
        <v>6832</v>
      </c>
      <c r="B6154" s="38" t="s">
        <v>85</v>
      </c>
      <c r="C6154" s="15" t="s">
        <v>5533</v>
      </c>
      <c r="D6154" s="29"/>
      <c r="E6154" s="38" t="s">
        <v>1404</v>
      </c>
      <c r="F6154" s="32" t="s">
        <v>170</v>
      </c>
      <c r="G6154" s="47" t="s">
        <v>69</v>
      </c>
      <c r="H6154"/>
      <c r="I6154" s="32" t="s">
        <v>7000</v>
      </c>
      <c r="J6154" s="47"/>
      <c r="K6154" s="47">
        <f>((48*9)+(12*50)+(8*9))*2.2</f>
        <v>2428.8000000000002</v>
      </c>
      <c r="L6154" s="48">
        <v>8</v>
      </c>
      <c r="M6154" s="47"/>
      <c r="N6154" s="47"/>
      <c r="O6154" s="47"/>
      <c r="P6154" s="47"/>
      <c r="Q6154" s="47"/>
      <c r="R6154" s="47"/>
      <c r="S6154" s="48">
        <v>6</v>
      </c>
      <c r="T6154" s="47"/>
      <c r="U6154" s="47"/>
      <c r="V6154" s="47"/>
      <c r="W6154" s="47">
        <f>(4500/1000)*0.62*5280</f>
        <v>14731.2</v>
      </c>
      <c r="X6154" s="47"/>
      <c r="Y6154" s="47" t="s">
        <v>51</v>
      </c>
      <c r="Z6154" s="31" t="s">
        <v>3724</v>
      </c>
      <c r="AA6154" s="49">
        <v>0.45833333333333331</v>
      </c>
      <c r="AB6154" s="49">
        <v>0.55902777777777779</v>
      </c>
      <c r="AC6154" s="49">
        <f t="shared" si="16"/>
        <v>0.50868055555555558</v>
      </c>
      <c r="AD6154" s="50">
        <f t="shared" si="17"/>
        <v>2.4166666666666674</v>
      </c>
      <c r="AE6154" s="47" t="s">
        <v>5536</v>
      </c>
      <c r="AF6154" s="47">
        <v>75</v>
      </c>
      <c r="AG6154"/>
      <c r="AH6154"/>
      <c r="AI6154"/>
      <c r="AJ6154"/>
      <c r="AK6154">
        <f>48+12+8</f>
        <v>68</v>
      </c>
      <c r="AL6154"/>
      <c r="AM6154"/>
      <c r="AN6154"/>
      <c r="AO6154"/>
      <c r="AP6154"/>
      <c r="AQ6154" t="s">
        <v>7001</v>
      </c>
      <c r="AU6154">
        <v>6153</v>
      </c>
    </row>
    <row r="6155" spans="1:47" x14ac:dyDescent="0.2">
      <c r="A6155" s="37">
        <v>6832</v>
      </c>
      <c r="B6155" s="38" t="s">
        <v>85</v>
      </c>
      <c r="C6155" s="15" t="s">
        <v>5533</v>
      </c>
      <c r="D6155" s="29"/>
      <c r="E6155" s="38" t="s">
        <v>6993</v>
      </c>
      <c r="F6155" s="32" t="s">
        <v>170</v>
      </c>
      <c r="G6155" s="47" t="s">
        <v>69</v>
      </c>
      <c r="H6155"/>
      <c r="I6155" s="32" t="s">
        <v>7002</v>
      </c>
      <c r="J6155" s="47"/>
      <c r="K6155" s="47">
        <f>828*2.2</f>
        <v>1821.6000000000001</v>
      </c>
      <c r="L6155" s="48">
        <v>6</v>
      </c>
      <c r="M6155" s="47"/>
      <c r="N6155" s="47"/>
      <c r="O6155" s="47"/>
      <c r="P6155" s="47"/>
      <c r="Q6155" s="47"/>
      <c r="R6155" s="47"/>
      <c r="S6155" s="48">
        <v>4</v>
      </c>
      <c r="T6155" s="47"/>
      <c r="U6155" s="47"/>
      <c r="V6155" s="47"/>
      <c r="W6155" s="47">
        <f>(3600/1000)*0.62*5280</f>
        <v>11784.960000000001</v>
      </c>
      <c r="X6155" s="47"/>
      <c r="Y6155" s="47" t="s">
        <v>120</v>
      </c>
      <c r="Z6155" s="31" t="s">
        <v>3724</v>
      </c>
      <c r="AA6155" s="49">
        <v>0.55208333333333337</v>
      </c>
      <c r="AB6155" s="49">
        <v>0.71875</v>
      </c>
      <c r="AC6155" s="49">
        <f t="shared" si="16"/>
        <v>0.63541666666666674</v>
      </c>
      <c r="AD6155" s="50">
        <f t="shared" si="17"/>
        <v>3.9999999999999991</v>
      </c>
      <c r="AE6155" s="47" t="s">
        <v>5536</v>
      </c>
      <c r="AF6155" s="47">
        <v>60</v>
      </c>
      <c r="AG6155"/>
      <c r="AH6155"/>
      <c r="AI6155"/>
      <c r="AJ6155"/>
      <c r="AK6155">
        <f>12+8+12</f>
        <v>32</v>
      </c>
      <c r="AL6155"/>
      <c r="AM6155"/>
      <c r="AN6155"/>
      <c r="AO6155"/>
      <c r="AP6155"/>
      <c r="AQ6155" t="s">
        <v>7003</v>
      </c>
      <c r="AU6155">
        <v>6154</v>
      </c>
    </row>
    <row r="6156" spans="1:47" x14ac:dyDescent="0.2">
      <c r="A6156" s="37">
        <v>6832</v>
      </c>
      <c r="B6156" s="38" t="s">
        <v>85</v>
      </c>
      <c r="C6156" s="15" t="s">
        <v>6997</v>
      </c>
      <c r="D6156" s="29"/>
      <c r="E6156" s="38" t="s">
        <v>1016</v>
      </c>
      <c r="I6156" s="31" t="s">
        <v>7004</v>
      </c>
      <c r="K6156" s="31">
        <f>12*50*2.2</f>
        <v>1320</v>
      </c>
      <c r="L6156" s="33">
        <v>7</v>
      </c>
      <c r="S6156" s="33">
        <v>3</v>
      </c>
      <c r="W6156" s="31">
        <v>13000</v>
      </c>
      <c r="Y6156" s="31" t="s">
        <v>51</v>
      </c>
      <c r="Z6156" s="47" t="s">
        <v>3618</v>
      </c>
      <c r="AA6156" s="34">
        <v>0.46875</v>
      </c>
      <c r="AB6156" s="34">
        <v>0.52777777777777779</v>
      </c>
      <c r="AC6156" s="49">
        <f t="shared" si="16"/>
        <v>0.4982638888888889</v>
      </c>
      <c r="AD6156" s="50">
        <f t="shared" si="17"/>
        <v>1.416666666666667</v>
      </c>
      <c r="AE6156" s="47" t="s">
        <v>5536</v>
      </c>
      <c r="AF6156" s="31">
        <v>85</v>
      </c>
      <c r="AK6156" s="32">
        <v>12</v>
      </c>
      <c r="AQ6156" t="s">
        <v>7005</v>
      </c>
      <c r="AU6156">
        <v>6155</v>
      </c>
    </row>
    <row r="6157" spans="1:47" x14ac:dyDescent="0.2">
      <c r="A6157" s="37">
        <v>6832</v>
      </c>
      <c r="B6157" s="38" t="s">
        <v>85</v>
      </c>
      <c r="C6157" s="15" t="s">
        <v>6997</v>
      </c>
      <c r="D6157" s="29"/>
      <c r="E6157" s="38" t="s">
        <v>7006</v>
      </c>
      <c r="I6157" s="31" t="s">
        <v>7007</v>
      </c>
      <c r="K6157" s="31">
        <f>32*50*2.2</f>
        <v>3520.0000000000005</v>
      </c>
      <c r="L6157" s="33">
        <v>10</v>
      </c>
      <c r="S6157" s="33">
        <v>8</v>
      </c>
      <c r="W6157" s="31">
        <v>10000</v>
      </c>
      <c r="Y6157" s="31" t="s">
        <v>120</v>
      </c>
      <c r="Z6157" s="47" t="s">
        <v>3618</v>
      </c>
      <c r="AA6157" s="34">
        <v>0.64930555555555558</v>
      </c>
      <c r="AB6157" s="34">
        <v>0.70833333333333337</v>
      </c>
      <c r="AC6157" s="49">
        <f t="shared" si="16"/>
        <v>0.67881944444444442</v>
      </c>
      <c r="AD6157" s="50">
        <f t="shared" si="17"/>
        <v>1.416666666666667</v>
      </c>
      <c r="AE6157" s="47" t="s">
        <v>5536</v>
      </c>
      <c r="AF6157" s="31">
        <v>65</v>
      </c>
      <c r="AK6157" s="32">
        <v>32</v>
      </c>
      <c r="AQ6157" t="s">
        <v>7008</v>
      </c>
      <c r="AU6157">
        <v>6156</v>
      </c>
    </row>
    <row r="6158" spans="1:47" x14ac:dyDescent="0.2">
      <c r="A6158" s="133">
        <v>6832</v>
      </c>
      <c r="B6158" s="39" t="s">
        <v>45</v>
      </c>
      <c r="C6158" s="39">
        <v>97</v>
      </c>
      <c r="D6158" s="29" t="b">
        <v>0</v>
      </c>
      <c r="E6158" s="39" t="s">
        <v>7009</v>
      </c>
      <c r="F6158" s="47" t="s">
        <v>2398</v>
      </c>
      <c r="G6158" s="47" t="s">
        <v>49</v>
      </c>
      <c r="H6158"/>
      <c r="I6158" s="47" t="b">
        <v>0</v>
      </c>
      <c r="J6158" s="47" t="b">
        <v>1</v>
      </c>
      <c r="K6158" s="47">
        <v>13522</v>
      </c>
      <c r="L6158" s="48">
        <v>11</v>
      </c>
      <c r="M6158" s="47">
        <v>0</v>
      </c>
      <c r="N6158" s="47">
        <v>2</v>
      </c>
      <c r="O6158" s="47">
        <v>0</v>
      </c>
      <c r="P6158" s="47">
        <v>0</v>
      </c>
      <c r="Q6158" s="47">
        <v>0</v>
      </c>
      <c r="R6158" s="47">
        <v>0</v>
      </c>
      <c r="S6158" s="48">
        <v>9</v>
      </c>
      <c r="T6158" s="47">
        <v>0</v>
      </c>
      <c r="U6158" s="47">
        <v>0</v>
      </c>
      <c r="V6158" s="47">
        <v>0</v>
      </c>
      <c r="W6158" s="47"/>
      <c r="X6158" s="47">
        <v>997</v>
      </c>
      <c r="Y6158" s="47"/>
      <c r="Z6158" s="47" t="s">
        <v>2466</v>
      </c>
      <c r="AA6158" s="49"/>
      <c r="AB6158" s="49"/>
      <c r="AC6158" s="49"/>
      <c r="AD6158" s="50"/>
      <c r="AE6158" s="47"/>
      <c r="AF6158" s="47"/>
      <c r="AG6158"/>
      <c r="AH6158"/>
      <c r="AI6158"/>
      <c r="AJ6158"/>
      <c r="AK6158"/>
      <c r="AL6158"/>
      <c r="AM6158"/>
      <c r="AN6158"/>
      <c r="AO6158"/>
      <c r="AP6158"/>
      <c r="AQ6158" t="s">
        <v>2526</v>
      </c>
      <c r="AU6158">
        <v>6157</v>
      </c>
    </row>
    <row r="6159" spans="1:47" x14ac:dyDescent="0.2">
      <c r="A6159" s="133">
        <v>6832</v>
      </c>
      <c r="B6159" s="39" t="s">
        <v>45</v>
      </c>
      <c r="C6159" s="39">
        <v>100</v>
      </c>
      <c r="D6159" s="29" t="b">
        <v>0</v>
      </c>
      <c r="E6159" s="39" t="s">
        <v>7010</v>
      </c>
      <c r="F6159" s="47" t="s">
        <v>7011</v>
      </c>
      <c r="G6159" s="47" t="s">
        <v>49</v>
      </c>
      <c r="H6159"/>
      <c r="I6159" s="47" t="b">
        <v>1</v>
      </c>
      <c r="J6159" s="47" t="b">
        <v>1</v>
      </c>
      <c r="K6159" s="47">
        <v>5264</v>
      </c>
      <c r="L6159" s="48">
        <v>5</v>
      </c>
      <c r="M6159" s="47">
        <v>0</v>
      </c>
      <c r="N6159" s="47">
        <v>2</v>
      </c>
      <c r="O6159" s="47">
        <v>0</v>
      </c>
      <c r="P6159" s="47">
        <v>0</v>
      </c>
      <c r="Q6159" s="47">
        <v>0</v>
      </c>
      <c r="R6159" s="47">
        <v>0</v>
      </c>
      <c r="S6159" s="48">
        <v>3</v>
      </c>
      <c r="T6159" s="47">
        <v>0</v>
      </c>
      <c r="U6159" s="47">
        <v>0</v>
      </c>
      <c r="V6159" s="47">
        <v>0</v>
      </c>
      <c r="W6159" s="47">
        <v>2500</v>
      </c>
      <c r="X6159" s="47">
        <v>995</v>
      </c>
      <c r="Y6159" s="47"/>
      <c r="Z6159" s="47" t="s">
        <v>2466</v>
      </c>
      <c r="AA6159" s="49"/>
      <c r="AB6159" s="49"/>
      <c r="AC6159" s="49"/>
      <c r="AD6159" s="50"/>
      <c r="AE6159" s="47" t="s">
        <v>6445</v>
      </c>
      <c r="AF6159" s="47">
        <v>85</v>
      </c>
      <c r="AG6159"/>
      <c r="AH6159"/>
      <c r="AI6159"/>
      <c r="AJ6159"/>
      <c r="AK6159"/>
      <c r="AL6159"/>
      <c r="AM6159"/>
      <c r="AN6159"/>
      <c r="AO6159"/>
      <c r="AP6159"/>
      <c r="AQ6159" t="s">
        <v>2526</v>
      </c>
      <c r="AU6159">
        <v>6158</v>
      </c>
    </row>
    <row r="6160" spans="1:47" x14ac:dyDescent="0.2">
      <c r="A6160" s="133">
        <v>6832</v>
      </c>
      <c r="B6160" s="39" t="s">
        <v>45</v>
      </c>
      <c r="C6160" s="39">
        <v>100</v>
      </c>
      <c r="D6160" s="29" t="b">
        <v>0</v>
      </c>
      <c r="E6160" s="39" t="s">
        <v>1168</v>
      </c>
      <c r="F6160" s="47" t="s">
        <v>2398</v>
      </c>
      <c r="G6160" s="47" t="s">
        <v>49</v>
      </c>
      <c r="H6160"/>
      <c r="I6160" s="47" t="b">
        <v>0</v>
      </c>
      <c r="J6160" s="47" t="b">
        <v>0</v>
      </c>
      <c r="K6160" s="47">
        <v>3472</v>
      </c>
      <c r="L6160" s="48">
        <v>4</v>
      </c>
      <c r="M6160" s="47">
        <v>0</v>
      </c>
      <c r="N6160" s="47">
        <v>2</v>
      </c>
      <c r="O6160" s="47">
        <v>0</v>
      </c>
      <c r="P6160" s="47">
        <v>0</v>
      </c>
      <c r="Q6160" s="47">
        <v>0</v>
      </c>
      <c r="R6160" s="47">
        <v>0</v>
      </c>
      <c r="S6160" s="48">
        <v>2</v>
      </c>
      <c r="T6160" s="47">
        <v>0</v>
      </c>
      <c r="U6160" s="47">
        <v>0</v>
      </c>
      <c r="V6160" s="47">
        <v>0</v>
      </c>
      <c r="W6160" s="47">
        <v>2500</v>
      </c>
      <c r="X6160" s="47">
        <v>994</v>
      </c>
      <c r="Y6160" s="47"/>
      <c r="Z6160" s="47" t="s">
        <v>2466</v>
      </c>
      <c r="AA6160" s="49"/>
      <c r="AB6160" s="49"/>
      <c r="AC6160" s="49"/>
      <c r="AD6160" s="50"/>
      <c r="AE6160" s="47" t="s">
        <v>6445</v>
      </c>
      <c r="AF6160" s="47">
        <v>80</v>
      </c>
      <c r="AG6160"/>
      <c r="AH6160"/>
      <c r="AI6160"/>
      <c r="AJ6160"/>
      <c r="AK6160"/>
      <c r="AL6160"/>
      <c r="AM6160"/>
      <c r="AN6160"/>
      <c r="AO6160"/>
      <c r="AP6160"/>
      <c r="AQ6160" t="s">
        <v>2526</v>
      </c>
      <c r="AU6160">
        <v>6159</v>
      </c>
    </row>
    <row r="6161" spans="1:47" x14ac:dyDescent="0.2">
      <c r="A6161" s="133">
        <v>6832</v>
      </c>
      <c r="B6161" s="39" t="s">
        <v>45</v>
      </c>
      <c r="C6161" s="39">
        <v>100</v>
      </c>
      <c r="D6161" s="29" t="b">
        <v>0</v>
      </c>
      <c r="E6161" s="39" t="s">
        <v>5707</v>
      </c>
      <c r="F6161" s="47" t="s">
        <v>529</v>
      </c>
      <c r="G6161" s="47" t="s">
        <v>205</v>
      </c>
      <c r="H6161"/>
      <c r="I6161" s="47" t="b">
        <v>0</v>
      </c>
      <c r="J6161" s="47" t="b">
        <v>0</v>
      </c>
      <c r="K6161" s="47">
        <v>1792</v>
      </c>
      <c r="L6161" s="48">
        <v>1</v>
      </c>
      <c r="M6161" s="47">
        <v>0</v>
      </c>
      <c r="N6161" s="47">
        <v>0</v>
      </c>
      <c r="O6161" s="47">
        <v>0</v>
      </c>
      <c r="P6161" s="47">
        <v>0</v>
      </c>
      <c r="Q6161" s="47">
        <v>0</v>
      </c>
      <c r="R6161" s="47">
        <v>0</v>
      </c>
      <c r="S6161" s="48">
        <v>1</v>
      </c>
      <c r="T6161" s="47">
        <v>0</v>
      </c>
      <c r="U6161" s="47">
        <v>0</v>
      </c>
      <c r="V6161" s="47">
        <v>0</v>
      </c>
      <c r="W6161" s="47">
        <v>2500</v>
      </c>
      <c r="X6161" s="47">
        <v>1000</v>
      </c>
      <c r="Y6161" s="47"/>
      <c r="Z6161" s="47" t="s">
        <v>2466</v>
      </c>
      <c r="AA6161" s="49"/>
      <c r="AB6161" s="49"/>
      <c r="AC6161" s="49"/>
      <c r="AD6161" s="50"/>
      <c r="AE6161" s="47" t="s">
        <v>6445</v>
      </c>
      <c r="AF6161" s="47">
        <v>85</v>
      </c>
      <c r="AG6161"/>
      <c r="AH6161"/>
      <c r="AI6161"/>
      <c r="AJ6161"/>
      <c r="AK6161"/>
      <c r="AL6161"/>
      <c r="AM6161"/>
      <c r="AN6161"/>
      <c r="AO6161"/>
      <c r="AP6161"/>
      <c r="AQ6161" t="s">
        <v>2526</v>
      </c>
      <c r="AU6161">
        <v>6160</v>
      </c>
    </row>
    <row r="6162" spans="1:47" x14ac:dyDescent="0.2">
      <c r="A6162" s="133">
        <v>6832</v>
      </c>
      <c r="B6162" s="39" t="s">
        <v>45</v>
      </c>
      <c r="C6162" s="39">
        <v>215</v>
      </c>
      <c r="D6162" s="29" t="b">
        <v>0</v>
      </c>
      <c r="E6162" s="39" t="s">
        <v>7012</v>
      </c>
      <c r="F6162" s="47" t="s">
        <v>2398</v>
      </c>
      <c r="G6162" s="47" t="s">
        <v>49</v>
      </c>
      <c r="H6162"/>
      <c r="I6162" s="47" t="b">
        <v>1</v>
      </c>
      <c r="J6162" s="47" t="b">
        <v>1</v>
      </c>
      <c r="K6162" s="47">
        <v>14295</v>
      </c>
      <c r="L6162" s="48">
        <v>13</v>
      </c>
      <c r="M6162" s="47">
        <v>0</v>
      </c>
      <c r="N6162" s="47">
        <v>4</v>
      </c>
      <c r="O6162" s="47">
        <v>0</v>
      </c>
      <c r="P6162" s="47">
        <v>0</v>
      </c>
      <c r="Q6162" s="47">
        <v>0</v>
      </c>
      <c r="R6162" s="47">
        <v>0</v>
      </c>
      <c r="S6162" s="48">
        <v>9</v>
      </c>
      <c r="T6162" s="47">
        <v>2</v>
      </c>
      <c r="U6162" s="47">
        <v>0</v>
      </c>
      <c r="V6162" s="47">
        <v>0</v>
      </c>
      <c r="W6162" s="47">
        <v>1800</v>
      </c>
      <c r="X6162" s="47">
        <v>1001</v>
      </c>
      <c r="Y6162" s="47"/>
      <c r="Z6162" s="47" t="s">
        <v>2466</v>
      </c>
      <c r="AA6162" s="49"/>
      <c r="AB6162" s="49"/>
      <c r="AC6162" s="49"/>
      <c r="AD6162" s="50"/>
      <c r="AE6162" s="47"/>
      <c r="AF6162" s="47"/>
      <c r="AG6162"/>
      <c r="AH6162"/>
      <c r="AI6162"/>
      <c r="AJ6162"/>
      <c r="AK6162"/>
      <c r="AL6162"/>
      <c r="AM6162"/>
      <c r="AN6162"/>
      <c r="AO6162"/>
      <c r="AP6162"/>
      <c r="AQ6162" t="s">
        <v>2526</v>
      </c>
      <c r="AU6162">
        <v>6161</v>
      </c>
    </row>
    <row r="6163" spans="1:47" x14ac:dyDescent="0.2">
      <c r="A6163" s="133">
        <v>6832</v>
      </c>
      <c r="B6163" s="39" t="s">
        <v>45</v>
      </c>
      <c r="C6163" s="39">
        <v>215</v>
      </c>
      <c r="D6163" s="29" t="b">
        <v>0</v>
      </c>
      <c r="E6163" s="39" t="s">
        <v>405</v>
      </c>
      <c r="F6163" s="47" t="s">
        <v>2398</v>
      </c>
      <c r="G6163" s="47" t="s">
        <v>49</v>
      </c>
      <c r="H6163"/>
      <c r="I6163" s="47" t="b">
        <v>0</v>
      </c>
      <c r="J6163" s="47" t="b">
        <v>0</v>
      </c>
      <c r="K6163" s="47">
        <v>4765</v>
      </c>
      <c r="L6163" s="48">
        <v>13</v>
      </c>
      <c r="M6163" s="47">
        <v>0</v>
      </c>
      <c r="N6163" s="47">
        <v>4</v>
      </c>
      <c r="O6163" s="47">
        <v>0</v>
      </c>
      <c r="P6163" s="47">
        <v>0</v>
      </c>
      <c r="Q6163" s="47">
        <v>0</v>
      </c>
      <c r="R6163" s="47">
        <v>0</v>
      </c>
      <c r="S6163" s="48">
        <v>3</v>
      </c>
      <c r="T6163" s="47">
        <v>2</v>
      </c>
      <c r="U6163" s="47">
        <v>0</v>
      </c>
      <c r="V6163" s="47">
        <v>0</v>
      </c>
      <c r="W6163" s="47">
        <v>1800</v>
      </c>
      <c r="X6163" s="47">
        <v>996</v>
      </c>
      <c r="Y6163" s="47"/>
      <c r="Z6163" s="47" t="s">
        <v>2466</v>
      </c>
      <c r="AA6163" s="49"/>
      <c r="AB6163" s="49"/>
      <c r="AC6163" s="49"/>
      <c r="AD6163" s="50"/>
      <c r="AE6163" s="47"/>
      <c r="AF6163" s="47"/>
      <c r="AG6163"/>
      <c r="AH6163"/>
      <c r="AI6163"/>
      <c r="AJ6163"/>
      <c r="AK6163"/>
      <c r="AL6163"/>
      <c r="AM6163"/>
      <c r="AN6163"/>
      <c r="AO6163"/>
      <c r="AP6163"/>
      <c r="AQ6163" t="s">
        <v>2526</v>
      </c>
      <c r="AU6163">
        <v>6162</v>
      </c>
    </row>
    <row r="6164" spans="1:47" x14ac:dyDescent="0.2">
      <c r="A6164" s="133">
        <v>6832</v>
      </c>
      <c r="B6164" s="39" t="s">
        <v>45</v>
      </c>
      <c r="C6164" s="39">
        <v>215</v>
      </c>
      <c r="D6164" s="29" t="b">
        <v>0</v>
      </c>
      <c r="E6164" s="39" t="s">
        <v>6845</v>
      </c>
      <c r="F6164" s="47" t="s">
        <v>2398</v>
      </c>
      <c r="G6164" s="47" t="s">
        <v>49</v>
      </c>
      <c r="H6164"/>
      <c r="I6164" s="47" t="b">
        <v>0</v>
      </c>
      <c r="J6164" s="47" t="b">
        <v>0</v>
      </c>
      <c r="K6164" s="47">
        <v>4765</v>
      </c>
      <c r="L6164" s="48">
        <v>13</v>
      </c>
      <c r="M6164" s="47">
        <v>0</v>
      </c>
      <c r="N6164" s="47">
        <v>4</v>
      </c>
      <c r="O6164" s="47">
        <v>0</v>
      </c>
      <c r="P6164" s="47">
        <v>0</v>
      </c>
      <c r="Q6164" s="47">
        <v>0</v>
      </c>
      <c r="R6164" s="47">
        <v>0</v>
      </c>
      <c r="S6164" s="48">
        <v>3</v>
      </c>
      <c r="T6164" s="47">
        <v>2</v>
      </c>
      <c r="U6164" s="47">
        <v>0</v>
      </c>
      <c r="V6164" s="47">
        <v>0</v>
      </c>
      <c r="W6164" s="47">
        <v>1800</v>
      </c>
      <c r="X6164" s="47">
        <v>1002</v>
      </c>
      <c r="Y6164" s="47"/>
      <c r="Z6164" s="47" t="s">
        <v>2466</v>
      </c>
      <c r="AA6164" s="49"/>
      <c r="AB6164" s="49"/>
      <c r="AC6164" s="49"/>
      <c r="AD6164" s="50"/>
      <c r="AE6164" s="47"/>
      <c r="AF6164" s="47"/>
      <c r="AG6164"/>
      <c r="AH6164"/>
      <c r="AI6164"/>
      <c r="AJ6164"/>
      <c r="AK6164"/>
      <c r="AL6164"/>
      <c r="AM6164"/>
      <c r="AN6164"/>
      <c r="AO6164"/>
      <c r="AP6164"/>
      <c r="AQ6164" t="s">
        <v>2526</v>
      </c>
      <c r="AU6164">
        <v>6163</v>
      </c>
    </row>
    <row r="6165" spans="1:47" x14ac:dyDescent="0.2">
      <c r="A6165" s="133">
        <v>6832</v>
      </c>
      <c r="B6165" s="39" t="s">
        <v>45</v>
      </c>
      <c r="C6165" s="39">
        <v>215</v>
      </c>
      <c r="D6165" s="29" t="b">
        <v>0</v>
      </c>
      <c r="E6165" s="39" t="s">
        <v>3737</v>
      </c>
      <c r="F6165" s="47" t="s">
        <v>2398</v>
      </c>
      <c r="G6165" s="47" t="s">
        <v>49</v>
      </c>
      <c r="H6165"/>
      <c r="I6165" s="47" t="b">
        <v>0</v>
      </c>
      <c r="J6165" s="47" t="b">
        <v>0</v>
      </c>
      <c r="K6165" s="47">
        <v>4765</v>
      </c>
      <c r="L6165" s="48">
        <v>13</v>
      </c>
      <c r="M6165" s="47">
        <v>0</v>
      </c>
      <c r="N6165" s="47">
        <v>4</v>
      </c>
      <c r="O6165" s="47">
        <v>0</v>
      </c>
      <c r="P6165" s="47">
        <v>0</v>
      </c>
      <c r="Q6165" s="47">
        <v>0</v>
      </c>
      <c r="R6165" s="47">
        <v>0</v>
      </c>
      <c r="S6165" s="48">
        <v>3</v>
      </c>
      <c r="T6165" s="47">
        <v>2</v>
      </c>
      <c r="U6165" s="47">
        <v>0</v>
      </c>
      <c r="V6165" s="47">
        <v>0</v>
      </c>
      <c r="W6165" s="47">
        <v>1800</v>
      </c>
      <c r="X6165" s="47">
        <v>1003</v>
      </c>
      <c r="Y6165" s="47"/>
      <c r="Z6165" s="47" t="s">
        <v>2466</v>
      </c>
      <c r="AA6165" s="49"/>
      <c r="AB6165" s="49"/>
      <c r="AC6165" s="49"/>
      <c r="AD6165" s="50"/>
      <c r="AE6165" s="47"/>
      <c r="AF6165" s="47"/>
      <c r="AG6165"/>
      <c r="AH6165"/>
      <c r="AI6165"/>
      <c r="AJ6165"/>
      <c r="AK6165"/>
      <c r="AL6165"/>
      <c r="AM6165"/>
      <c r="AN6165"/>
      <c r="AO6165"/>
      <c r="AP6165"/>
      <c r="AQ6165" t="s">
        <v>2526</v>
      </c>
      <c r="AU6165">
        <v>6164</v>
      </c>
    </row>
    <row r="6166" spans="1:47" x14ac:dyDescent="0.2">
      <c r="A6166" s="133">
        <v>6832</v>
      </c>
      <c r="B6166" s="39" t="s">
        <v>45</v>
      </c>
      <c r="C6166" s="39">
        <v>216</v>
      </c>
      <c r="D6166" s="29" t="b">
        <v>0</v>
      </c>
      <c r="E6166" s="39" t="s">
        <v>7013</v>
      </c>
      <c r="F6166" s="47" t="s">
        <v>6795</v>
      </c>
      <c r="G6166" s="47" t="s">
        <v>49</v>
      </c>
      <c r="H6166"/>
      <c r="I6166" s="47" t="b">
        <v>1</v>
      </c>
      <c r="J6166" s="47" t="b">
        <v>1</v>
      </c>
      <c r="K6166" s="47">
        <v>12076</v>
      </c>
      <c r="L6166" s="48">
        <v>11</v>
      </c>
      <c r="M6166" s="47">
        <v>0</v>
      </c>
      <c r="N6166" s="47">
        <v>1</v>
      </c>
      <c r="O6166" s="47">
        <v>1</v>
      </c>
      <c r="P6166" s="47">
        <v>0</v>
      </c>
      <c r="Q6166" s="47">
        <v>0</v>
      </c>
      <c r="R6166" s="47">
        <v>0</v>
      </c>
      <c r="S6166" s="48">
        <v>8</v>
      </c>
      <c r="T6166" s="47">
        <v>1</v>
      </c>
      <c r="U6166" s="47">
        <v>0</v>
      </c>
      <c r="V6166" s="47">
        <v>0</v>
      </c>
      <c r="W6166" s="47">
        <v>5000</v>
      </c>
      <c r="X6166" s="47">
        <v>1007</v>
      </c>
      <c r="Y6166" s="47"/>
      <c r="Z6166" s="47" t="s">
        <v>2466</v>
      </c>
      <c r="AA6166" s="49"/>
      <c r="AB6166" s="49"/>
      <c r="AC6166" s="49"/>
      <c r="AD6166" s="50"/>
      <c r="AE6166" s="47" t="s">
        <v>1312</v>
      </c>
      <c r="AF6166" s="47">
        <v>105</v>
      </c>
      <c r="AG6166"/>
      <c r="AH6166"/>
      <c r="AI6166"/>
      <c r="AJ6166"/>
      <c r="AK6166"/>
      <c r="AL6166"/>
      <c r="AM6166"/>
      <c r="AN6166"/>
      <c r="AO6166"/>
      <c r="AP6166"/>
      <c r="AQ6166" t="s">
        <v>2526</v>
      </c>
      <c r="AU6166">
        <v>6165</v>
      </c>
    </row>
    <row r="6167" spans="1:47" x14ac:dyDescent="0.2">
      <c r="A6167" s="133">
        <v>6832</v>
      </c>
      <c r="B6167" s="39" t="s">
        <v>45</v>
      </c>
      <c r="C6167" s="39">
        <v>216</v>
      </c>
      <c r="D6167" s="29" t="b">
        <v>0</v>
      </c>
      <c r="E6167" s="39" t="s">
        <v>405</v>
      </c>
      <c r="F6167" s="47" t="s">
        <v>2398</v>
      </c>
      <c r="G6167" s="47" t="s">
        <v>49</v>
      </c>
      <c r="H6167"/>
      <c r="I6167" s="47" t="b">
        <v>0</v>
      </c>
      <c r="J6167" s="47" t="b">
        <v>0</v>
      </c>
      <c r="K6167" s="47">
        <v>1792</v>
      </c>
      <c r="L6167" s="48">
        <v>11</v>
      </c>
      <c r="M6167" s="47">
        <v>0</v>
      </c>
      <c r="N6167" s="47">
        <v>1</v>
      </c>
      <c r="O6167" s="47">
        <v>1</v>
      </c>
      <c r="P6167" s="47">
        <v>0</v>
      </c>
      <c r="Q6167" s="47">
        <v>0</v>
      </c>
      <c r="R6167" s="47">
        <v>0</v>
      </c>
      <c r="S6167" s="48">
        <v>1</v>
      </c>
      <c r="T6167" s="47">
        <v>1</v>
      </c>
      <c r="U6167" s="47">
        <v>0</v>
      </c>
      <c r="V6167" s="47">
        <v>0</v>
      </c>
      <c r="W6167" s="47">
        <v>5000</v>
      </c>
      <c r="X6167" s="47">
        <v>1008</v>
      </c>
      <c r="Y6167" s="47"/>
      <c r="Z6167" s="47" t="s">
        <v>2466</v>
      </c>
      <c r="AA6167" s="49"/>
      <c r="AB6167" s="49"/>
      <c r="AC6167" s="49"/>
      <c r="AD6167" s="50"/>
      <c r="AE6167" s="47" t="s">
        <v>1312</v>
      </c>
      <c r="AF6167" s="47">
        <v>60</v>
      </c>
      <c r="AG6167"/>
      <c r="AH6167"/>
      <c r="AI6167"/>
      <c r="AJ6167"/>
      <c r="AK6167"/>
      <c r="AL6167"/>
      <c r="AM6167"/>
      <c r="AN6167"/>
      <c r="AO6167"/>
      <c r="AP6167"/>
      <c r="AQ6167" t="s">
        <v>2526</v>
      </c>
      <c r="AU6167">
        <v>6166</v>
      </c>
    </row>
    <row r="6168" spans="1:47" x14ac:dyDescent="0.2">
      <c r="A6168" s="133">
        <v>6832</v>
      </c>
      <c r="B6168" s="39" t="s">
        <v>45</v>
      </c>
      <c r="C6168" s="39">
        <v>216</v>
      </c>
      <c r="D6168" s="29" t="b">
        <v>0</v>
      </c>
      <c r="E6168" s="39" t="s">
        <v>858</v>
      </c>
      <c r="F6168" s="47" t="s">
        <v>2398</v>
      </c>
      <c r="G6168" s="47" t="s">
        <v>49</v>
      </c>
      <c r="H6168"/>
      <c r="I6168" s="47" t="b">
        <v>0</v>
      </c>
      <c r="J6168" s="47" t="b">
        <v>0</v>
      </c>
      <c r="K6168" s="47">
        <v>3238</v>
      </c>
      <c r="L6168" s="48">
        <v>11</v>
      </c>
      <c r="M6168" s="47">
        <v>0</v>
      </c>
      <c r="N6168" s="47">
        <v>1</v>
      </c>
      <c r="O6168" s="47">
        <v>1</v>
      </c>
      <c r="P6168" s="47">
        <v>0</v>
      </c>
      <c r="Q6168" s="47">
        <v>0</v>
      </c>
      <c r="R6168" s="47">
        <v>0</v>
      </c>
      <c r="S6168" s="48">
        <v>2</v>
      </c>
      <c r="T6168" s="47">
        <v>1</v>
      </c>
      <c r="U6168" s="47">
        <v>0</v>
      </c>
      <c r="V6168" s="47">
        <v>0</v>
      </c>
      <c r="W6168" s="47">
        <v>5000</v>
      </c>
      <c r="X6168" s="47">
        <v>1009</v>
      </c>
      <c r="Y6168" s="47"/>
      <c r="Z6168" s="47" t="s">
        <v>2466</v>
      </c>
      <c r="AA6168" s="49"/>
      <c r="AB6168" s="49"/>
      <c r="AC6168" s="49"/>
      <c r="AD6168" s="50"/>
      <c r="AE6168" s="47" t="s">
        <v>1312</v>
      </c>
      <c r="AF6168" s="47">
        <v>105</v>
      </c>
      <c r="AG6168"/>
      <c r="AH6168"/>
      <c r="AI6168"/>
      <c r="AJ6168"/>
      <c r="AK6168"/>
      <c r="AL6168"/>
      <c r="AM6168"/>
      <c r="AN6168"/>
      <c r="AO6168"/>
      <c r="AP6168"/>
      <c r="AQ6168" t="s">
        <v>2526</v>
      </c>
      <c r="AU6168">
        <v>6167</v>
      </c>
    </row>
    <row r="6169" spans="1:47" x14ac:dyDescent="0.2">
      <c r="A6169" s="133">
        <v>6832</v>
      </c>
      <c r="B6169" s="39" t="s">
        <v>45</v>
      </c>
      <c r="C6169" s="39">
        <v>216</v>
      </c>
      <c r="D6169" s="29" t="b">
        <v>0</v>
      </c>
      <c r="E6169" s="39" t="s">
        <v>1168</v>
      </c>
      <c r="F6169" s="47" t="s">
        <v>2398</v>
      </c>
      <c r="G6169" s="47" t="s">
        <v>49</v>
      </c>
      <c r="H6169"/>
      <c r="I6169" s="47" t="b">
        <v>0</v>
      </c>
      <c r="J6169" s="47" t="b">
        <v>0</v>
      </c>
      <c r="K6169" s="47">
        <v>3808</v>
      </c>
      <c r="L6169" s="48">
        <v>11</v>
      </c>
      <c r="M6169" s="47">
        <v>0</v>
      </c>
      <c r="N6169" s="47">
        <v>1</v>
      </c>
      <c r="O6169" s="47">
        <v>1</v>
      </c>
      <c r="P6169" s="47">
        <v>0</v>
      </c>
      <c r="Q6169" s="47">
        <v>0</v>
      </c>
      <c r="R6169" s="47">
        <v>0</v>
      </c>
      <c r="S6169" s="48">
        <v>3</v>
      </c>
      <c r="T6169" s="47">
        <v>1</v>
      </c>
      <c r="U6169" s="47">
        <v>0</v>
      </c>
      <c r="V6169" s="47">
        <v>0</v>
      </c>
      <c r="W6169" s="47">
        <v>5000</v>
      </c>
      <c r="X6169" s="47">
        <v>1010</v>
      </c>
      <c r="Y6169" s="47"/>
      <c r="Z6169" s="47" t="s">
        <v>2466</v>
      </c>
      <c r="AA6169" s="49"/>
      <c r="AB6169" s="49"/>
      <c r="AC6169" s="49"/>
      <c r="AD6169" s="50"/>
      <c r="AE6169" s="47" t="s">
        <v>1312</v>
      </c>
      <c r="AF6169" s="47">
        <v>60</v>
      </c>
      <c r="AG6169"/>
      <c r="AH6169"/>
      <c r="AI6169"/>
      <c r="AJ6169"/>
      <c r="AK6169"/>
      <c r="AL6169"/>
      <c r="AM6169"/>
      <c r="AN6169"/>
      <c r="AO6169"/>
      <c r="AP6169"/>
      <c r="AQ6169" t="s">
        <v>2526</v>
      </c>
      <c r="AU6169">
        <v>6168</v>
      </c>
    </row>
    <row r="6170" spans="1:47" x14ac:dyDescent="0.2">
      <c r="A6170" s="133">
        <v>6832</v>
      </c>
      <c r="B6170" s="39" t="s">
        <v>45</v>
      </c>
      <c r="C6170" s="39">
        <v>216</v>
      </c>
      <c r="D6170" s="29" t="b">
        <v>0</v>
      </c>
      <c r="E6170" s="39" t="s">
        <v>649</v>
      </c>
      <c r="F6170" s="47" t="s">
        <v>529</v>
      </c>
      <c r="G6170" s="47" t="s">
        <v>205</v>
      </c>
      <c r="H6170"/>
      <c r="I6170" s="47" t="b">
        <v>0</v>
      </c>
      <c r="J6170" s="47" t="b">
        <v>0</v>
      </c>
      <c r="K6170" s="47">
        <v>3238</v>
      </c>
      <c r="L6170" s="48">
        <v>11</v>
      </c>
      <c r="M6170" s="47">
        <v>0</v>
      </c>
      <c r="N6170" s="47">
        <v>1</v>
      </c>
      <c r="O6170" s="47">
        <v>1</v>
      </c>
      <c r="P6170" s="47">
        <v>0</v>
      </c>
      <c r="Q6170" s="47">
        <v>0</v>
      </c>
      <c r="R6170" s="47">
        <v>0</v>
      </c>
      <c r="S6170" s="48">
        <v>2</v>
      </c>
      <c r="T6170" s="47">
        <v>1</v>
      </c>
      <c r="U6170" s="47">
        <v>0</v>
      </c>
      <c r="V6170" s="47">
        <v>0</v>
      </c>
      <c r="W6170" s="47">
        <v>5000</v>
      </c>
      <c r="X6170" s="47">
        <v>1011</v>
      </c>
      <c r="Y6170" s="47"/>
      <c r="Z6170" s="47" t="s">
        <v>2466</v>
      </c>
      <c r="AA6170" s="49"/>
      <c r="AB6170" s="49"/>
      <c r="AC6170" s="49"/>
      <c r="AD6170" s="50"/>
      <c r="AE6170" s="47" t="s">
        <v>1312</v>
      </c>
      <c r="AF6170" s="31">
        <v>55</v>
      </c>
      <c r="AG6170"/>
      <c r="AH6170"/>
      <c r="AI6170"/>
      <c r="AJ6170"/>
      <c r="AK6170"/>
      <c r="AL6170"/>
      <c r="AM6170"/>
      <c r="AN6170"/>
      <c r="AO6170"/>
      <c r="AP6170"/>
      <c r="AQ6170" t="s">
        <v>2526</v>
      </c>
      <c r="AU6170">
        <v>6169</v>
      </c>
    </row>
    <row r="6171" spans="1:47" x14ac:dyDescent="0.2">
      <c r="A6171" s="13">
        <v>6832</v>
      </c>
      <c r="B6171" s="57" t="s">
        <v>45</v>
      </c>
      <c r="C6171" s="57" t="s">
        <v>142</v>
      </c>
      <c r="D6171" s="29"/>
      <c r="E6171" s="57" t="s">
        <v>7014</v>
      </c>
      <c r="G6171" s="31" t="s">
        <v>49</v>
      </c>
      <c r="I6171" s="47" t="b">
        <v>1</v>
      </c>
      <c r="J6171" s="47" t="b">
        <v>1</v>
      </c>
      <c r="K6171" s="31">
        <f>3865*2.2</f>
        <v>8503</v>
      </c>
      <c r="L6171" s="33">
        <v>14</v>
      </c>
      <c r="S6171" s="33">
        <v>13</v>
      </c>
      <c r="T6171" s="31">
        <v>0</v>
      </c>
      <c r="U6171" s="31">
        <v>0</v>
      </c>
      <c r="V6171" s="31">
        <v>0</v>
      </c>
      <c r="Y6171" s="31" t="s">
        <v>51</v>
      </c>
      <c r="Z6171" s="31" t="s">
        <v>5406</v>
      </c>
      <c r="AE6171" s="31" t="s">
        <v>2470</v>
      </c>
      <c r="AK6171" s="32">
        <f>3+7+50+23+1</f>
        <v>84</v>
      </c>
      <c r="AQ6171" s="32" t="s">
        <v>6959</v>
      </c>
      <c r="AR6171" s="32" t="s">
        <v>7015</v>
      </c>
      <c r="AU6171">
        <v>6170</v>
      </c>
    </row>
    <row r="6172" spans="1:47" x14ac:dyDescent="0.2">
      <c r="A6172" s="13">
        <v>6832</v>
      </c>
      <c r="B6172" s="57" t="s">
        <v>45</v>
      </c>
      <c r="C6172" s="57" t="s">
        <v>142</v>
      </c>
      <c r="D6172" s="29"/>
      <c r="E6172" s="57" t="s">
        <v>3936</v>
      </c>
      <c r="F6172" s="31" t="s">
        <v>76</v>
      </c>
      <c r="G6172" s="31" t="s">
        <v>49</v>
      </c>
      <c r="I6172" s="47" t="b">
        <v>0</v>
      </c>
      <c r="J6172" s="47" t="b">
        <v>0</v>
      </c>
      <c r="K6172" s="31">
        <v>4576</v>
      </c>
      <c r="S6172" s="33">
        <v>6</v>
      </c>
      <c r="AE6172" s="31" t="s">
        <v>2470</v>
      </c>
      <c r="AF6172" s="31">
        <v>55</v>
      </c>
      <c r="AK6172" s="32">
        <v>44</v>
      </c>
      <c r="AQ6172" s="32" t="s">
        <v>6820</v>
      </c>
      <c r="AU6172">
        <v>6171</v>
      </c>
    </row>
    <row r="6173" spans="1:47" x14ac:dyDescent="0.2">
      <c r="A6173" s="13">
        <v>6832</v>
      </c>
      <c r="B6173" s="57" t="s">
        <v>45</v>
      </c>
      <c r="C6173" s="57" t="s">
        <v>142</v>
      </c>
      <c r="D6173" s="29"/>
      <c r="E6173" s="57" t="s">
        <v>3875</v>
      </c>
      <c r="F6173" s="31" t="s">
        <v>76</v>
      </c>
      <c r="G6173" s="31" t="s">
        <v>49</v>
      </c>
      <c r="I6173" s="47" t="b">
        <v>0</v>
      </c>
      <c r="J6173" s="47" t="b">
        <v>0</v>
      </c>
      <c r="K6173" s="31">
        <v>2750</v>
      </c>
      <c r="S6173" s="33">
        <v>4</v>
      </c>
      <c r="AE6173" s="31" t="s">
        <v>2470</v>
      </c>
      <c r="AF6173" s="31">
        <v>55</v>
      </c>
      <c r="AK6173" s="32">
        <v>25</v>
      </c>
      <c r="AQ6173" s="32" t="s">
        <v>6820</v>
      </c>
      <c r="AU6173">
        <v>6172</v>
      </c>
    </row>
    <row r="6174" spans="1:47" x14ac:dyDescent="0.2">
      <c r="A6174" s="13">
        <v>6832</v>
      </c>
      <c r="B6174" s="57" t="s">
        <v>45</v>
      </c>
      <c r="C6174" s="57" t="s">
        <v>142</v>
      </c>
      <c r="D6174" s="29"/>
      <c r="E6174" s="57" t="s">
        <v>1064</v>
      </c>
      <c r="F6174" s="31" t="s">
        <v>76</v>
      </c>
      <c r="G6174" s="31" t="s">
        <v>49</v>
      </c>
      <c r="I6174" s="47" t="b">
        <v>0</v>
      </c>
      <c r="J6174" s="47" t="b">
        <v>0</v>
      </c>
      <c r="K6174" s="31">
        <v>242</v>
      </c>
      <c r="S6174" s="33">
        <v>1</v>
      </c>
      <c r="AE6174" s="31" t="s">
        <v>2470</v>
      </c>
      <c r="AF6174" s="31">
        <v>50</v>
      </c>
      <c r="AK6174" s="32">
        <v>3</v>
      </c>
      <c r="AQ6174" s="32" t="s">
        <v>6820</v>
      </c>
      <c r="AU6174">
        <v>6173</v>
      </c>
    </row>
    <row r="6175" spans="1:47" x14ac:dyDescent="0.2">
      <c r="A6175" s="13">
        <v>6832</v>
      </c>
      <c r="B6175" s="57" t="s">
        <v>45</v>
      </c>
      <c r="C6175" s="57" t="s">
        <v>142</v>
      </c>
      <c r="D6175" s="29"/>
      <c r="E6175" s="57" t="s">
        <v>7016</v>
      </c>
      <c r="F6175" s="31" t="s">
        <v>6822</v>
      </c>
      <c r="G6175" s="31" t="s">
        <v>69</v>
      </c>
      <c r="I6175" s="47" t="b">
        <v>0</v>
      </c>
      <c r="J6175" s="47" t="b">
        <v>0</v>
      </c>
      <c r="K6175" s="31">
        <v>935</v>
      </c>
      <c r="S6175" s="33">
        <v>2</v>
      </c>
      <c r="AE6175" s="31" t="s">
        <v>2470</v>
      </c>
      <c r="AF6175" s="31">
        <v>70</v>
      </c>
      <c r="AK6175" s="32">
        <v>12</v>
      </c>
      <c r="AQ6175" s="32" t="s">
        <v>6820</v>
      </c>
      <c r="AU6175">
        <v>6174</v>
      </c>
    </row>
    <row r="6176" spans="1:47" x14ac:dyDescent="0.2">
      <c r="A6176" s="13">
        <v>6832</v>
      </c>
      <c r="B6176" s="57" t="s">
        <v>45</v>
      </c>
      <c r="C6176" s="57" t="s">
        <v>1367</v>
      </c>
      <c r="D6176" s="29"/>
      <c r="E6176" s="57" t="s">
        <v>788</v>
      </c>
      <c r="F6176" s="31" t="s">
        <v>76</v>
      </c>
      <c r="G6176" s="31" t="s">
        <v>49</v>
      </c>
      <c r="I6176" s="31" t="s">
        <v>7017</v>
      </c>
      <c r="K6176" s="31">
        <f>15857.6-8712</f>
        <v>7145.6</v>
      </c>
      <c r="Z6176" s="31" t="s">
        <v>1846</v>
      </c>
      <c r="AE6176" s="31" t="s">
        <v>4176</v>
      </c>
      <c r="AF6176" s="31">
        <v>70</v>
      </c>
      <c r="AK6176" s="32">
        <v>120</v>
      </c>
      <c r="AQ6176" s="32" t="s">
        <v>6963</v>
      </c>
      <c r="AU6176">
        <v>6175</v>
      </c>
    </row>
    <row r="6177" spans="1:47" x14ac:dyDescent="0.2">
      <c r="A6177" s="13">
        <v>6832</v>
      </c>
      <c r="B6177" s="57" t="s">
        <v>45</v>
      </c>
      <c r="C6177" s="57" t="s">
        <v>4456</v>
      </c>
      <c r="D6177" s="29"/>
      <c r="E6177" s="57" t="s">
        <v>7018</v>
      </c>
      <c r="F6177" s="31" t="s">
        <v>76</v>
      </c>
      <c r="G6177" s="31" t="s">
        <v>49</v>
      </c>
      <c r="I6177" s="31" t="s">
        <v>7019</v>
      </c>
      <c r="K6177" s="31">
        <f>9*968</f>
        <v>8712</v>
      </c>
      <c r="L6177" s="33">
        <v>9</v>
      </c>
      <c r="S6177" s="33">
        <v>9</v>
      </c>
      <c r="T6177" s="31">
        <v>0</v>
      </c>
      <c r="U6177" s="31">
        <v>0</v>
      </c>
      <c r="V6177" s="31">
        <v>0</v>
      </c>
      <c r="W6177" s="47">
        <f>((1600+5*2200+2400+2400+2500)/9)*39.37/12</f>
        <v>7254.2870370370374</v>
      </c>
      <c r="Y6177" s="19" t="s">
        <v>51</v>
      </c>
      <c r="Z6177" s="19" t="s">
        <v>1846</v>
      </c>
      <c r="AA6177" s="34">
        <v>0.94791666666666663</v>
      </c>
      <c r="AB6177" s="34">
        <v>1.1875</v>
      </c>
      <c r="AC6177" s="49">
        <f>AVERAGE(AA6177:AB6177)</f>
        <v>1.0677083333333333</v>
      </c>
      <c r="AD6177" s="50">
        <v>2.5</v>
      </c>
      <c r="AE6177" s="31" t="s">
        <v>4176</v>
      </c>
      <c r="AF6177" s="31">
        <v>70</v>
      </c>
      <c r="AQ6177" s="32" t="s">
        <v>7020</v>
      </c>
      <c r="AU6177">
        <v>6176</v>
      </c>
    </row>
    <row r="6178" spans="1:47" x14ac:dyDescent="0.2">
      <c r="A6178" s="13">
        <v>6832</v>
      </c>
      <c r="B6178" s="57" t="s">
        <v>45</v>
      </c>
      <c r="C6178" s="57" t="s">
        <v>1367</v>
      </c>
      <c r="D6178" s="29"/>
      <c r="E6178" s="57" t="s">
        <v>6703</v>
      </c>
      <c r="F6178" s="31" t="s">
        <v>76</v>
      </c>
      <c r="G6178" s="31" t="s">
        <v>49</v>
      </c>
      <c r="K6178" s="31">
        <v>1760</v>
      </c>
      <c r="Z6178" s="31" t="s">
        <v>1846</v>
      </c>
      <c r="AE6178" s="31" t="s">
        <v>4176</v>
      </c>
      <c r="AF6178" s="31">
        <v>60</v>
      </c>
      <c r="AK6178" s="32">
        <v>16</v>
      </c>
      <c r="AQ6178" s="32" t="s">
        <v>7021</v>
      </c>
      <c r="AU6178">
        <v>6177</v>
      </c>
    </row>
    <row r="6179" spans="1:47" x14ac:dyDescent="0.2">
      <c r="A6179" s="13">
        <v>6832</v>
      </c>
      <c r="B6179" s="57" t="s">
        <v>45</v>
      </c>
      <c r="C6179" s="57" t="s">
        <v>4843</v>
      </c>
      <c r="D6179" s="29"/>
      <c r="E6179" s="57" t="s">
        <v>1064</v>
      </c>
      <c r="F6179" s="31" t="s">
        <v>76</v>
      </c>
      <c r="G6179" s="31" t="s">
        <v>49</v>
      </c>
      <c r="K6179" s="31">
        <v>1936</v>
      </c>
      <c r="S6179" s="33">
        <v>3</v>
      </c>
      <c r="Z6179" s="31" t="s">
        <v>3814</v>
      </c>
      <c r="AE6179" s="31" t="s">
        <v>4411</v>
      </c>
      <c r="AF6179" s="31">
        <v>55</v>
      </c>
      <c r="AK6179" s="32">
        <v>24</v>
      </c>
      <c r="AQ6179" s="32" t="s">
        <v>6820</v>
      </c>
      <c r="AU6179">
        <v>6178</v>
      </c>
    </row>
    <row r="6180" spans="1:47" x14ac:dyDescent="0.2">
      <c r="A6180" s="13">
        <v>6832</v>
      </c>
      <c r="B6180" s="57" t="s">
        <v>45</v>
      </c>
      <c r="C6180" s="57" t="s">
        <v>4843</v>
      </c>
      <c r="D6180" s="29"/>
      <c r="E6180" s="57" t="s">
        <v>3876</v>
      </c>
      <c r="F6180" s="31" t="s">
        <v>76</v>
      </c>
      <c r="G6180" s="31" t="s">
        <v>49</v>
      </c>
      <c r="K6180" s="31">
        <v>2970</v>
      </c>
      <c r="S6180" s="33">
        <v>5</v>
      </c>
      <c r="Z6180" s="31" t="s">
        <v>3814</v>
      </c>
      <c r="AE6180" s="31" t="s">
        <v>4411</v>
      </c>
      <c r="AF6180" s="31">
        <v>70</v>
      </c>
      <c r="AK6180" s="32">
        <v>27</v>
      </c>
      <c r="AQ6180" s="32" t="s">
        <v>6820</v>
      </c>
      <c r="AU6180">
        <v>6179</v>
      </c>
    </row>
    <row r="6181" spans="1:47" x14ac:dyDescent="0.2">
      <c r="A6181" s="13">
        <v>6832</v>
      </c>
      <c r="B6181" s="57" t="s">
        <v>45</v>
      </c>
      <c r="C6181" s="57" t="s">
        <v>4843</v>
      </c>
      <c r="D6181" s="29"/>
      <c r="E6181" s="57" t="s">
        <v>3875</v>
      </c>
      <c r="F6181" s="31" t="s">
        <v>76</v>
      </c>
      <c r="G6181" s="31" t="s">
        <v>49</v>
      </c>
      <c r="K6181" s="31">
        <v>4224</v>
      </c>
      <c r="S6181" s="33">
        <v>8</v>
      </c>
      <c r="Z6181" s="31" t="s">
        <v>3814</v>
      </c>
      <c r="AE6181" s="31" t="s">
        <v>4411</v>
      </c>
      <c r="AF6181" s="31">
        <v>55</v>
      </c>
      <c r="AK6181" s="32">
        <v>64</v>
      </c>
      <c r="AQ6181" s="32" t="s">
        <v>6820</v>
      </c>
      <c r="AU6181">
        <v>6180</v>
      </c>
    </row>
    <row r="6182" spans="1:47" x14ac:dyDescent="0.2">
      <c r="A6182" s="13">
        <v>6832</v>
      </c>
      <c r="B6182" s="57" t="s">
        <v>45</v>
      </c>
      <c r="C6182" s="57" t="s">
        <v>4843</v>
      </c>
      <c r="D6182" s="29"/>
      <c r="E6182" s="57" t="s">
        <v>6112</v>
      </c>
      <c r="F6182" s="31" t="s">
        <v>6822</v>
      </c>
      <c r="G6182" s="31" t="s">
        <v>69</v>
      </c>
      <c r="K6182" s="31">
        <v>1518</v>
      </c>
      <c r="S6182" s="33">
        <v>2</v>
      </c>
      <c r="Z6182" s="31" t="s">
        <v>3814</v>
      </c>
      <c r="AE6182" s="31" t="s">
        <v>4411</v>
      </c>
      <c r="AF6182" s="31">
        <v>70</v>
      </c>
      <c r="AK6182" s="32">
        <v>21</v>
      </c>
      <c r="AQ6182" s="32" t="s">
        <v>6820</v>
      </c>
      <c r="AU6182">
        <v>6181</v>
      </c>
    </row>
    <row r="6183" spans="1:47" x14ac:dyDescent="0.2">
      <c r="A6183" s="13">
        <v>6832</v>
      </c>
      <c r="B6183" s="57" t="s">
        <v>45</v>
      </c>
      <c r="C6183" s="57" t="s">
        <v>4843</v>
      </c>
      <c r="D6183" s="29"/>
      <c r="E6183" s="57" t="s">
        <v>5882</v>
      </c>
      <c r="F6183" s="31" t="s">
        <v>76</v>
      </c>
      <c r="G6183" s="31" t="s">
        <v>49</v>
      </c>
      <c r="K6183" s="31">
        <v>330</v>
      </c>
      <c r="S6183" s="33">
        <v>1</v>
      </c>
      <c r="Z6183" s="31" t="s">
        <v>3814</v>
      </c>
      <c r="AE6183" s="31" t="s">
        <v>4411</v>
      </c>
      <c r="AF6183" s="31">
        <v>65</v>
      </c>
      <c r="AK6183" s="32">
        <v>3</v>
      </c>
      <c r="AQ6183" s="32" t="s">
        <v>6820</v>
      </c>
      <c r="AU6183">
        <v>6182</v>
      </c>
    </row>
    <row r="6184" spans="1:47" x14ac:dyDescent="0.2">
      <c r="A6184" s="13">
        <v>6832</v>
      </c>
      <c r="B6184" s="57" t="s">
        <v>45</v>
      </c>
      <c r="C6184" s="57" t="s">
        <v>6550</v>
      </c>
      <c r="D6184" s="29"/>
      <c r="E6184" s="57" t="s">
        <v>7022</v>
      </c>
      <c r="K6184" s="31">
        <v>550</v>
      </c>
      <c r="AK6184" s="32">
        <v>5</v>
      </c>
      <c r="AQ6184" s="32" t="s">
        <v>6824</v>
      </c>
      <c r="AU6184">
        <v>6183</v>
      </c>
    </row>
    <row r="6185" spans="1:47" x14ac:dyDescent="0.2">
      <c r="A6185" s="13">
        <v>6832</v>
      </c>
      <c r="B6185" s="57" t="s">
        <v>45</v>
      </c>
      <c r="C6185" s="57" t="s">
        <v>6550</v>
      </c>
      <c r="D6185" s="29"/>
      <c r="E6185" s="57" t="s">
        <v>3949</v>
      </c>
      <c r="K6185" s="31">
        <v>132</v>
      </c>
      <c r="AK6185" s="32">
        <v>6</v>
      </c>
      <c r="AQ6185" s="32" t="s">
        <v>6824</v>
      </c>
      <c r="AU6185">
        <v>6184</v>
      </c>
    </row>
    <row r="6186" spans="1:47" x14ac:dyDescent="0.2">
      <c r="A6186" s="13">
        <v>6832</v>
      </c>
      <c r="B6186" s="57" t="s">
        <v>45</v>
      </c>
      <c r="C6186" s="57" t="s">
        <v>6550</v>
      </c>
      <c r="D6186" s="29"/>
      <c r="E6186" s="57" t="s">
        <v>4182</v>
      </c>
      <c r="F6186" s="31" t="s">
        <v>76</v>
      </c>
      <c r="I6186" s="31" t="s">
        <v>7023</v>
      </c>
      <c r="J6186" s="33"/>
      <c r="K6186" s="193"/>
      <c r="AQ6186" s="32" t="s">
        <v>6824</v>
      </c>
      <c r="AU6186">
        <v>6185</v>
      </c>
    </row>
    <row r="6187" spans="1:47" x14ac:dyDescent="0.2">
      <c r="A6187" s="13">
        <v>6832</v>
      </c>
      <c r="B6187" s="57" t="s">
        <v>45</v>
      </c>
      <c r="C6187" s="57" t="s">
        <v>6550</v>
      </c>
      <c r="D6187" s="29"/>
      <c r="E6187" s="57" t="s">
        <v>3634</v>
      </c>
      <c r="F6187" s="31" t="s">
        <v>76</v>
      </c>
      <c r="I6187" s="31" t="s">
        <v>7024</v>
      </c>
      <c r="J6187" s="33"/>
      <c r="K6187" s="193"/>
      <c r="AQ6187" s="32" t="s">
        <v>6824</v>
      </c>
      <c r="AU6187">
        <v>6186</v>
      </c>
    </row>
    <row r="6188" spans="1:47" x14ac:dyDescent="0.2">
      <c r="A6188" s="26">
        <v>6832</v>
      </c>
      <c r="B6188" s="27">
        <v>0.11597222222222221</v>
      </c>
      <c r="C6188" s="28"/>
      <c r="D6188" s="29"/>
      <c r="E6188" s="30" t="s">
        <v>3737</v>
      </c>
      <c r="H6188" s="32">
        <v>0</v>
      </c>
      <c r="I6188" s="32" t="s">
        <v>4926</v>
      </c>
      <c r="AG6188" s="32">
        <v>0</v>
      </c>
      <c r="AH6188" s="32">
        <v>0</v>
      </c>
      <c r="AI6188" s="32">
        <v>0</v>
      </c>
      <c r="AK6188" s="32">
        <v>0</v>
      </c>
      <c r="AM6188" s="74"/>
      <c r="AQ6188" s="32" t="s">
        <v>1101</v>
      </c>
      <c r="AU6188">
        <v>6187</v>
      </c>
    </row>
    <row r="6189" spans="1:47" x14ac:dyDescent="0.2">
      <c r="A6189" s="26">
        <v>6832</v>
      </c>
      <c r="B6189" s="27">
        <v>0.375</v>
      </c>
      <c r="C6189" s="28"/>
      <c r="D6189" s="29"/>
      <c r="E6189" s="30" t="s">
        <v>1124</v>
      </c>
      <c r="H6189" s="32">
        <v>1</v>
      </c>
      <c r="I6189" s="32" t="s">
        <v>7025</v>
      </c>
      <c r="AG6189" s="32">
        <v>0</v>
      </c>
      <c r="AH6189" s="32">
        <v>0</v>
      </c>
      <c r="AK6189" s="32">
        <v>4</v>
      </c>
      <c r="AL6189" s="32">
        <f>1.333+4+15+15</f>
        <v>35.332999999999998</v>
      </c>
      <c r="AO6189" s="46" t="s">
        <v>1126</v>
      </c>
      <c r="AP6189" s="32">
        <v>1.333</v>
      </c>
      <c r="AQ6189" s="32" t="s">
        <v>6081</v>
      </c>
      <c r="AU6189">
        <v>6188</v>
      </c>
    </row>
    <row r="6190" spans="1:47" x14ac:dyDescent="0.2">
      <c r="A6190" s="26">
        <v>6832</v>
      </c>
      <c r="B6190" s="27">
        <v>0.375</v>
      </c>
      <c r="C6190" s="28"/>
      <c r="D6190" s="29"/>
      <c r="E6190" s="30" t="s">
        <v>464</v>
      </c>
      <c r="H6190" s="32">
        <v>0</v>
      </c>
      <c r="I6190" s="32" t="s">
        <v>4220</v>
      </c>
      <c r="AG6190" s="32">
        <v>0</v>
      </c>
      <c r="AH6190" s="32">
        <v>0</v>
      </c>
      <c r="AL6190" s="32">
        <v>2.6669999999999998</v>
      </c>
      <c r="AO6190" s="32" t="s">
        <v>4067</v>
      </c>
      <c r="AP6190" s="32">
        <v>2.6669999999999998</v>
      </c>
      <c r="AQ6190" s="32" t="s">
        <v>1522</v>
      </c>
      <c r="AU6190">
        <v>6189</v>
      </c>
    </row>
    <row r="6191" spans="1:47" x14ac:dyDescent="0.2">
      <c r="A6191" s="26">
        <v>6832</v>
      </c>
      <c r="B6191" s="27">
        <v>0.51041666666666663</v>
      </c>
      <c r="C6191" s="28"/>
      <c r="D6191" s="29"/>
      <c r="E6191" s="30" t="s">
        <v>4219</v>
      </c>
      <c r="H6191" s="32">
        <v>0</v>
      </c>
      <c r="I6191" s="32" t="s">
        <v>7026</v>
      </c>
      <c r="AG6191" s="32">
        <v>0</v>
      </c>
      <c r="AH6191" s="32">
        <v>0</v>
      </c>
      <c r="AI6191" s="32">
        <v>0</v>
      </c>
      <c r="AK6191" s="32">
        <v>0</v>
      </c>
      <c r="AL6191" s="32">
        <f>5/60</f>
        <v>8.3333333333333329E-2</v>
      </c>
      <c r="AO6191" s="32" t="s">
        <v>858</v>
      </c>
      <c r="AP6191" s="32">
        <f>5/60</f>
        <v>8.3333333333333329E-2</v>
      </c>
      <c r="AQ6191" s="32" t="s">
        <v>1101</v>
      </c>
      <c r="AU6191">
        <v>6190</v>
      </c>
    </row>
    <row r="6192" spans="1:47" x14ac:dyDescent="0.2">
      <c r="A6192" s="26">
        <v>6832</v>
      </c>
      <c r="B6192" s="27">
        <v>0.55902777777777779</v>
      </c>
      <c r="C6192" s="28"/>
      <c r="D6192" s="29"/>
      <c r="E6192" s="30" t="s">
        <v>1282</v>
      </c>
      <c r="H6192" s="32">
        <v>0</v>
      </c>
      <c r="I6192" s="32" t="s">
        <v>7027</v>
      </c>
      <c r="AG6192" s="32">
        <v>0</v>
      </c>
      <c r="AH6192" s="32">
        <v>0</v>
      </c>
      <c r="AI6192" s="32">
        <v>0</v>
      </c>
      <c r="AK6192" s="32">
        <v>0</v>
      </c>
      <c r="AL6192" s="32">
        <f>65/60</f>
        <v>1.0833333333333333</v>
      </c>
      <c r="AP6192" s="32">
        <f>65/60</f>
        <v>1.0833333333333333</v>
      </c>
      <c r="AQ6192" s="32" t="s">
        <v>1101</v>
      </c>
      <c r="AU6192">
        <v>6191</v>
      </c>
    </row>
    <row r="6193" spans="1:47" x14ac:dyDescent="0.2">
      <c r="A6193" s="26">
        <v>6832</v>
      </c>
      <c r="B6193" s="27">
        <v>0.56944444444444442</v>
      </c>
      <c r="C6193" s="28"/>
      <c r="D6193" s="29"/>
      <c r="E6193" s="30" t="s">
        <v>4219</v>
      </c>
      <c r="H6193" s="32">
        <v>0</v>
      </c>
      <c r="I6193" s="32" t="s">
        <v>7028</v>
      </c>
      <c r="AG6193" s="32">
        <v>0</v>
      </c>
      <c r="AH6193" s="32">
        <v>0</v>
      </c>
      <c r="AI6193" s="32">
        <v>0</v>
      </c>
      <c r="AK6193" s="32">
        <v>0</v>
      </c>
      <c r="AL6193" s="32">
        <v>0.5</v>
      </c>
      <c r="AO6193" s="32" t="s">
        <v>858</v>
      </c>
      <c r="AP6193" s="32">
        <v>0.5</v>
      </c>
      <c r="AQ6193" s="32" t="s">
        <v>1101</v>
      </c>
      <c r="AU6193">
        <v>6192</v>
      </c>
    </row>
    <row r="6194" spans="1:47" x14ac:dyDescent="0.2">
      <c r="A6194" s="26">
        <v>6832</v>
      </c>
      <c r="B6194" s="27">
        <v>0.57291666666666663</v>
      </c>
      <c r="C6194" s="28"/>
      <c r="D6194" s="29"/>
      <c r="E6194" s="30" t="s">
        <v>7029</v>
      </c>
      <c r="H6194" s="32">
        <v>1</v>
      </c>
      <c r="I6194" s="32" t="s">
        <v>7030</v>
      </c>
      <c r="AG6194" s="32">
        <v>1</v>
      </c>
      <c r="AH6194" s="32">
        <v>1</v>
      </c>
      <c r="AI6194" s="32">
        <f>20744+1070+2143</f>
        <v>23957</v>
      </c>
      <c r="AK6194" s="32">
        <v>6</v>
      </c>
      <c r="AL6194" s="32">
        <v>0.67</v>
      </c>
      <c r="AO6194" s="32" t="s">
        <v>7031</v>
      </c>
      <c r="AP6194" s="32">
        <v>0.67</v>
      </c>
      <c r="AQ6194" s="91" t="s">
        <v>7032</v>
      </c>
      <c r="AU6194">
        <v>6193</v>
      </c>
    </row>
    <row r="6195" spans="1:47" x14ac:dyDescent="0.2">
      <c r="A6195" s="26">
        <v>6832</v>
      </c>
      <c r="B6195" s="27">
        <v>0.57291666666666663</v>
      </c>
      <c r="C6195" s="28"/>
      <c r="D6195" s="29"/>
      <c r="E6195" s="30" t="s">
        <v>1028</v>
      </c>
      <c r="H6195" s="32">
        <v>1</v>
      </c>
      <c r="I6195" s="32" t="s">
        <v>7033</v>
      </c>
      <c r="AG6195" s="32">
        <v>0</v>
      </c>
      <c r="AH6195" s="32">
        <v>0</v>
      </c>
      <c r="AI6195" s="32">
        <v>10000</v>
      </c>
      <c r="AK6195" s="32">
        <v>4</v>
      </c>
      <c r="AO6195" s="32" t="s">
        <v>1030</v>
      </c>
      <c r="AQ6195" s="32">
        <v>433</v>
      </c>
      <c r="AU6195">
        <v>6194</v>
      </c>
    </row>
    <row r="6196" spans="1:47" x14ac:dyDescent="0.2">
      <c r="A6196" s="26">
        <v>6832</v>
      </c>
      <c r="B6196" s="27">
        <v>0.60277777777777775</v>
      </c>
      <c r="C6196" s="28"/>
      <c r="D6196" s="29"/>
      <c r="E6196" s="30" t="s">
        <v>869</v>
      </c>
      <c r="H6196" s="32">
        <v>0</v>
      </c>
      <c r="I6196" s="32" t="s">
        <v>2344</v>
      </c>
      <c r="AG6196" s="32">
        <v>0</v>
      </c>
      <c r="AH6196" s="32">
        <v>0</v>
      </c>
      <c r="AI6196" s="32">
        <v>0</v>
      </c>
      <c r="AK6196" s="32">
        <v>0</v>
      </c>
      <c r="AL6196" s="32">
        <f>1/6</f>
        <v>0.16666666666666666</v>
      </c>
      <c r="AP6196" s="32">
        <f>1/6</f>
        <v>0.16666666666666666</v>
      </c>
      <c r="AQ6196" s="32" t="s">
        <v>589</v>
      </c>
      <c r="AU6196">
        <v>6195</v>
      </c>
    </row>
    <row r="6197" spans="1:47" x14ac:dyDescent="0.2">
      <c r="A6197" s="26">
        <v>6832</v>
      </c>
      <c r="B6197" s="27">
        <v>0.60416666666666663</v>
      </c>
      <c r="C6197" s="28"/>
      <c r="D6197" s="29"/>
      <c r="E6197" s="30" t="s">
        <v>3737</v>
      </c>
      <c r="H6197" s="32">
        <v>0</v>
      </c>
      <c r="I6197" s="32" t="s">
        <v>4926</v>
      </c>
      <c r="AG6197" s="32">
        <v>0</v>
      </c>
      <c r="AH6197" s="32">
        <v>0</v>
      </c>
      <c r="AI6197" s="32">
        <v>0</v>
      </c>
      <c r="AK6197" s="32">
        <v>0</v>
      </c>
      <c r="AL6197" s="32">
        <f>12/60</f>
        <v>0.2</v>
      </c>
      <c r="AM6197" s="33">
        <f>(3125+3691)*AL6197</f>
        <v>1363.2</v>
      </c>
      <c r="AP6197" s="32">
        <f>12/60</f>
        <v>0.2</v>
      </c>
      <c r="AQ6197" s="32" t="s">
        <v>1101</v>
      </c>
      <c r="AU6197">
        <v>6196</v>
      </c>
    </row>
    <row r="6198" spans="1:47" x14ac:dyDescent="0.2">
      <c r="A6198" s="26">
        <v>6832</v>
      </c>
      <c r="B6198" s="27">
        <v>0.70833333333333337</v>
      </c>
      <c r="C6198" s="28"/>
      <c r="D6198" s="29"/>
      <c r="E6198" s="30" t="s">
        <v>1282</v>
      </c>
      <c r="H6198" s="32">
        <v>0</v>
      </c>
      <c r="I6198" s="32" t="s">
        <v>7034</v>
      </c>
      <c r="AG6198" s="32">
        <v>0</v>
      </c>
      <c r="AH6198" s="32">
        <v>0</v>
      </c>
      <c r="AI6198" s="32">
        <v>0</v>
      </c>
      <c r="AK6198" s="32">
        <v>0</v>
      </c>
      <c r="AL6198" s="32">
        <v>0.33329999999999999</v>
      </c>
      <c r="AP6198" s="32">
        <v>0.33329999999999999</v>
      </c>
      <c r="AQ6198" s="32" t="s">
        <v>1101</v>
      </c>
      <c r="AU6198">
        <v>6197</v>
      </c>
    </row>
    <row r="6199" spans="1:47" x14ac:dyDescent="0.2">
      <c r="A6199" s="26">
        <v>6832</v>
      </c>
      <c r="B6199" s="27">
        <v>0.71527777777777779</v>
      </c>
      <c r="C6199" s="28"/>
      <c r="D6199" s="29"/>
      <c r="E6199" s="30" t="s">
        <v>4219</v>
      </c>
      <c r="H6199" s="32">
        <v>0</v>
      </c>
      <c r="I6199" s="32" t="s">
        <v>7035</v>
      </c>
      <c r="AG6199" s="32">
        <v>0</v>
      </c>
      <c r="AH6199" s="32">
        <v>0</v>
      </c>
      <c r="AI6199" s="32">
        <v>0</v>
      </c>
      <c r="AK6199" s="32">
        <v>0</v>
      </c>
      <c r="AL6199" s="32">
        <f>5/60</f>
        <v>8.3333333333333329E-2</v>
      </c>
      <c r="AO6199" s="32" t="s">
        <v>858</v>
      </c>
      <c r="AP6199" s="32">
        <f>5/60</f>
        <v>8.3333333333333329E-2</v>
      </c>
      <c r="AQ6199" s="32" t="s">
        <v>1101</v>
      </c>
      <c r="AU6199">
        <v>6198</v>
      </c>
    </row>
    <row r="6200" spans="1:47" x14ac:dyDescent="0.2">
      <c r="A6200" s="26">
        <v>6832</v>
      </c>
      <c r="B6200" s="27">
        <v>0.90972222222222221</v>
      </c>
      <c r="C6200" s="28"/>
      <c r="D6200" s="29"/>
      <c r="E6200" s="30" t="s">
        <v>4219</v>
      </c>
      <c r="H6200" s="32">
        <v>0</v>
      </c>
      <c r="I6200" s="32" t="s">
        <v>7036</v>
      </c>
      <c r="AG6200" s="32">
        <v>0</v>
      </c>
      <c r="AH6200" s="32">
        <v>0</v>
      </c>
      <c r="AI6200" s="32">
        <v>0</v>
      </c>
      <c r="AK6200" s="32">
        <v>0</v>
      </c>
      <c r="AL6200" s="32">
        <v>0.75</v>
      </c>
      <c r="AO6200" s="32" t="s">
        <v>858</v>
      </c>
      <c r="AP6200" s="32">
        <v>0.75</v>
      </c>
      <c r="AQ6200" s="32" t="s">
        <v>1101</v>
      </c>
      <c r="AU6200">
        <v>6199</v>
      </c>
    </row>
    <row r="6201" spans="1:47" x14ac:dyDescent="0.2">
      <c r="A6201" s="26">
        <v>6832</v>
      </c>
      <c r="B6201" s="27">
        <v>0.91319444444444453</v>
      </c>
      <c r="C6201" s="28"/>
      <c r="D6201" s="29"/>
      <c r="E6201" s="30" t="s">
        <v>464</v>
      </c>
      <c r="H6201" s="32">
        <v>0</v>
      </c>
      <c r="I6201" s="32" t="s">
        <v>7037</v>
      </c>
      <c r="AG6201" s="32">
        <v>0</v>
      </c>
      <c r="AH6201" s="32">
        <v>0</v>
      </c>
      <c r="AL6201" s="32">
        <f>57/60</f>
        <v>0.95</v>
      </c>
      <c r="AO6201" s="32" t="s">
        <v>4067</v>
      </c>
      <c r="AP6201" s="32">
        <f>57/60</f>
        <v>0.95</v>
      </c>
      <c r="AQ6201" s="32" t="s">
        <v>1522</v>
      </c>
      <c r="AU6201">
        <v>6200</v>
      </c>
    </row>
    <row r="6202" spans="1:47" x14ac:dyDescent="0.2">
      <c r="A6202" s="26">
        <v>6832</v>
      </c>
      <c r="B6202" s="27">
        <v>0.92361111111111116</v>
      </c>
      <c r="C6202" s="28"/>
      <c r="D6202" s="29"/>
      <c r="E6202" s="30" t="s">
        <v>3737</v>
      </c>
      <c r="H6202" s="32">
        <v>1</v>
      </c>
      <c r="I6202" s="32" t="s">
        <v>7038</v>
      </c>
      <c r="AG6202" s="32">
        <v>4</v>
      </c>
      <c r="AH6202" s="32">
        <v>2</v>
      </c>
      <c r="AI6202" s="32">
        <v>272762</v>
      </c>
      <c r="AK6202" s="32">
        <v>15</v>
      </c>
      <c r="AL6202" s="32">
        <f>97/60</f>
        <v>1.6166666666666667</v>
      </c>
      <c r="AP6202" s="32">
        <f>97/60</f>
        <v>1.6166666666666667</v>
      </c>
      <c r="AQ6202" s="32">
        <v>457</v>
      </c>
      <c r="AU6202">
        <v>6201</v>
      </c>
    </row>
    <row r="6203" spans="1:47" x14ac:dyDescent="0.2">
      <c r="A6203" s="26">
        <v>6832</v>
      </c>
      <c r="B6203" s="27">
        <v>0.92847222222222225</v>
      </c>
      <c r="C6203" s="28"/>
      <c r="D6203" s="29"/>
      <c r="E6203" s="30" t="s">
        <v>1282</v>
      </c>
      <c r="H6203" s="32">
        <v>0</v>
      </c>
      <c r="I6203" s="32" t="s">
        <v>7039</v>
      </c>
      <c r="AG6203" s="32">
        <v>0</v>
      </c>
      <c r="AH6203" s="32">
        <v>0</v>
      </c>
      <c r="AI6203" s="32">
        <v>0</v>
      </c>
      <c r="AK6203" s="32">
        <v>0</v>
      </c>
      <c r="AL6203" s="32">
        <f>(17+15+19+25+13)/60</f>
        <v>1.4833333333333334</v>
      </c>
      <c r="AP6203" s="32">
        <f>(17+15+19+25+13)/60</f>
        <v>1.4833333333333334</v>
      </c>
      <c r="AQ6203" s="32" t="s">
        <v>1101</v>
      </c>
      <c r="AU6203">
        <v>6202</v>
      </c>
    </row>
    <row r="6204" spans="1:47" x14ac:dyDescent="0.2">
      <c r="A6204" s="26">
        <v>6832</v>
      </c>
      <c r="B6204" s="27">
        <v>0.93194444444444446</v>
      </c>
      <c r="C6204" s="28"/>
      <c r="D6204" s="29"/>
      <c r="E6204" s="30" t="s">
        <v>869</v>
      </c>
      <c r="H6204" s="32">
        <v>0</v>
      </c>
      <c r="I6204" s="32" t="s">
        <v>2344</v>
      </c>
      <c r="AG6204" s="32">
        <v>0</v>
      </c>
      <c r="AH6204" s="32">
        <v>0</v>
      </c>
      <c r="AI6204" s="32">
        <v>0</v>
      </c>
      <c r="AK6204" s="32">
        <v>0</v>
      </c>
      <c r="AL6204" s="32">
        <f>14/60</f>
        <v>0.23333333333333334</v>
      </c>
      <c r="AP6204" s="32">
        <f>14/60</f>
        <v>0.23333333333333334</v>
      </c>
      <c r="AQ6204" s="32" t="s">
        <v>589</v>
      </c>
      <c r="AU6204">
        <v>6203</v>
      </c>
    </row>
    <row r="6205" spans="1:47" x14ac:dyDescent="0.2">
      <c r="A6205" s="26">
        <v>6832</v>
      </c>
      <c r="B6205" s="27">
        <v>0.9375</v>
      </c>
      <c r="C6205" s="28"/>
      <c r="D6205" s="29"/>
      <c r="E6205" s="30" t="s">
        <v>631</v>
      </c>
      <c r="H6205" s="32">
        <v>0</v>
      </c>
      <c r="I6205" s="32" t="s">
        <v>837</v>
      </c>
      <c r="AG6205" s="32">
        <v>0</v>
      </c>
      <c r="AH6205" s="32">
        <v>0</v>
      </c>
      <c r="AI6205" s="32">
        <v>0</v>
      </c>
      <c r="AK6205" s="32">
        <v>0</v>
      </c>
      <c r="AL6205" s="32">
        <v>1</v>
      </c>
      <c r="AP6205" s="32">
        <v>1</v>
      </c>
      <c r="AQ6205" s="32">
        <v>465</v>
      </c>
      <c r="AU6205">
        <v>6204</v>
      </c>
    </row>
    <row r="6206" spans="1:47" x14ac:dyDescent="0.2">
      <c r="A6206" s="26">
        <v>6832</v>
      </c>
      <c r="B6206" s="27">
        <v>0.94444444444444453</v>
      </c>
      <c r="C6206" s="28"/>
      <c r="D6206" s="29"/>
      <c r="E6206" s="30" t="s">
        <v>3155</v>
      </c>
      <c r="H6206" s="32">
        <v>0</v>
      </c>
      <c r="I6206" s="32" t="s">
        <v>3156</v>
      </c>
      <c r="AG6206" s="32">
        <v>0</v>
      </c>
      <c r="AH6206" s="32">
        <v>0</v>
      </c>
      <c r="AI6206" s="32">
        <v>0</v>
      </c>
      <c r="AK6206" s="32">
        <v>0</v>
      </c>
      <c r="AP6206" s="32">
        <v>1.333</v>
      </c>
      <c r="AQ6206" s="32" t="s">
        <v>1101</v>
      </c>
      <c r="AU6206">
        <v>6205</v>
      </c>
    </row>
    <row r="6207" spans="1:47" x14ac:dyDescent="0.2">
      <c r="A6207" s="26">
        <v>6832</v>
      </c>
      <c r="B6207" s="27">
        <v>0.9770833333333333</v>
      </c>
      <c r="C6207" s="28"/>
      <c r="D6207" s="29"/>
      <c r="E6207" s="102" t="s">
        <v>1102</v>
      </c>
      <c r="H6207" s="32">
        <v>0</v>
      </c>
      <c r="I6207" s="32" t="s">
        <v>1103</v>
      </c>
      <c r="AG6207" s="32">
        <v>0</v>
      </c>
      <c r="AH6207" s="32">
        <v>0</v>
      </c>
      <c r="AI6207" s="32">
        <v>0</v>
      </c>
      <c r="AK6207" s="32">
        <v>0</v>
      </c>
      <c r="AL6207" s="32">
        <f>23/60</f>
        <v>0.38333333333333336</v>
      </c>
      <c r="AO6207" s="73" t="s">
        <v>1006</v>
      </c>
      <c r="AP6207" s="32">
        <f>23/60</f>
        <v>0.38333333333333336</v>
      </c>
      <c r="AQ6207" s="32" t="s">
        <v>589</v>
      </c>
      <c r="AU6207">
        <v>6206</v>
      </c>
    </row>
    <row r="6208" spans="1:47" x14ac:dyDescent="0.2">
      <c r="A6208" s="26">
        <v>6832</v>
      </c>
      <c r="B6208" s="27" t="s">
        <v>45</v>
      </c>
      <c r="C6208" s="28"/>
      <c r="D6208" s="29"/>
      <c r="E6208" s="30" t="s">
        <v>858</v>
      </c>
      <c r="H6208" s="32">
        <v>1</v>
      </c>
      <c r="I6208" s="32"/>
      <c r="AG6208" s="32">
        <v>0</v>
      </c>
      <c r="AH6208" s="32">
        <v>0</v>
      </c>
      <c r="AI6208" s="32">
        <v>2500</v>
      </c>
      <c r="AQ6208" s="32">
        <v>438</v>
      </c>
      <c r="AU6208">
        <v>6207</v>
      </c>
    </row>
    <row r="6209" spans="1:47" x14ac:dyDescent="0.2">
      <c r="A6209" s="26">
        <v>6832</v>
      </c>
      <c r="B6209" s="27" t="s">
        <v>45</v>
      </c>
      <c r="C6209" s="28"/>
      <c r="D6209" s="29"/>
      <c r="E6209" s="30" t="s">
        <v>4666</v>
      </c>
      <c r="H6209" s="32">
        <v>1</v>
      </c>
      <c r="I6209" s="32" t="s">
        <v>7040</v>
      </c>
      <c r="AG6209" s="32">
        <v>0</v>
      </c>
      <c r="AH6209" s="32">
        <v>0</v>
      </c>
      <c r="AI6209" s="32">
        <v>0</v>
      </c>
      <c r="AK6209" s="32">
        <v>0</v>
      </c>
      <c r="AL6209" s="32">
        <v>6</v>
      </c>
      <c r="AO6209" s="32" t="s">
        <v>4668</v>
      </c>
      <c r="AP6209" s="32">
        <v>6</v>
      </c>
      <c r="AQ6209" s="32">
        <v>411</v>
      </c>
      <c r="AU6209">
        <v>6208</v>
      </c>
    </row>
    <row r="6210" spans="1:47" x14ac:dyDescent="0.2">
      <c r="A6210" s="26">
        <v>6832</v>
      </c>
      <c r="B6210" s="27" t="s">
        <v>45</v>
      </c>
      <c r="C6210" s="28"/>
      <c r="D6210" s="29"/>
      <c r="E6210" s="30" t="s">
        <v>1531</v>
      </c>
      <c r="H6210" s="32">
        <v>0</v>
      </c>
      <c r="I6210" s="32" t="s">
        <v>1532</v>
      </c>
      <c r="AG6210" s="32">
        <v>0</v>
      </c>
      <c r="AH6210" s="32">
        <v>0</v>
      </c>
      <c r="AI6210" s="32">
        <v>0</v>
      </c>
      <c r="AK6210" s="32">
        <v>0</v>
      </c>
      <c r="AM6210" s="32">
        <f>498*32</f>
        <v>15936</v>
      </c>
      <c r="AO6210" s="32" t="s">
        <v>1533</v>
      </c>
      <c r="AQ6210" s="32" t="s">
        <v>1101</v>
      </c>
      <c r="AU6210">
        <v>6209</v>
      </c>
    </row>
    <row r="6211" spans="1:47" x14ac:dyDescent="0.2">
      <c r="A6211" s="26">
        <v>6832</v>
      </c>
      <c r="B6211" s="27" t="s">
        <v>45</v>
      </c>
      <c r="C6211" s="28"/>
      <c r="D6211" s="29"/>
      <c r="E6211" s="150" t="s">
        <v>2286</v>
      </c>
      <c r="H6211" s="32">
        <v>0</v>
      </c>
      <c r="I6211" s="32" t="s">
        <v>1824</v>
      </c>
      <c r="AG6211" s="32">
        <v>0</v>
      </c>
      <c r="AH6211" s="32">
        <v>0</v>
      </c>
      <c r="AI6211" s="32">
        <v>0</v>
      </c>
      <c r="AK6211" s="32">
        <v>0</v>
      </c>
      <c r="AM6211" s="32">
        <v>4500</v>
      </c>
      <c r="AO6211" s="73" t="s">
        <v>75</v>
      </c>
      <c r="AQ6211" s="32" t="s">
        <v>589</v>
      </c>
      <c r="AU6211">
        <v>6210</v>
      </c>
    </row>
    <row r="6212" spans="1:47" x14ac:dyDescent="0.2">
      <c r="A6212" s="26">
        <v>6832</v>
      </c>
      <c r="B6212" s="27"/>
      <c r="C6212" s="28"/>
      <c r="D6212" s="29"/>
      <c r="E6212" s="30" t="s">
        <v>153</v>
      </c>
      <c r="H6212" s="32">
        <v>1</v>
      </c>
      <c r="I6212" s="32" t="s">
        <v>7041</v>
      </c>
      <c r="AG6212" s="32">
        <v>0</v>
      </c>
      <c r="AH6212" s="32">
        <v>0</v>
      </c>
      <c r="AK6212" s="32">
        <v>3</v>
      </c>
      <c r="AO6212" s="46" t="s">
        <v>155</v>
      </c>
      <c r="AP6212" s="46"/>
      <c r="AQ6212" s="32">
        <v>448</v>
      </c>
      <c r="AU6212">
        <v>6211</v>
      </c>
    </row>
    <row r="6213" spans="1:47" x14ac:dyDescent="0.2">
      <c r="A6213" s="133">
        <v>6833</v>
      </c>
      <c r="B6213" s="39" t="s">
        <v>85</v>
      </c>
      <c r="C6213" s="39">
        <v>55</v>
      </c>
      <c r="D6213" s="29" t="b">
        <v>0</v>
      </c>
      <c r="E6213" s="39" t="s">
        <v>1040</v>
      </c>
      <c r="F6213" s="47" t="s">
        <v>6325</v>
      </c>
      <c r="G6213" s="47" t="s">
        <v>459</v>
      </c>
      <c r="H6213"/>
      <c r="I6213" s="47" t="b">
        <v>0</v>
      </c>
      <c r="J6213" s="47" t="b">
        <v>1</v>
      </c>
      <c r="K6213" s="47">
        <v>2058</v>
      </c>
      <c r="L6213" s="48">
        <v>12</v>
      </c>
      <c r="M6213" s="47">
        <v>0</v>
      </c>
      <c r="N6213" s="47">
        <v>1</v>
      </c>
      <c r="O6213" s="47">
        <v>2</v>
      </c>
      <c r="P6213" s="47">
        <v>9</v>
      </c>
      <c r="Q6213" s="47">
        <v>0</v>
      </c>
      <c r="R6213" s="47">
        <v>0</v>
      </c>
      <c r="S6213" s="48">
        <v>9</v>
      </c>
      <c r="T6213" s="47">
        <v>0</v>
      </c>
      <c r="U6213" s="47">
        <v>0</v>
      </c>
      <c r="V6213" s="47">
        <v>0</v>
      </c>
      <c r="W6213" s="47">
        <v>17000</v>
      </c>
      <c r="X6213" s="47">
        <v>1012</v>
      </c>
      <c r="Y6213" s="47" t="s">
        <v>120</v>
      </c>
      <c r="Z6213" s="47" t="s">
        <v>3618</v>
      </c>
      <c r="AA6213" s="49">
        <v>0.30555555555555552</v>
      </c>
      <c r="AB6213" s="49">
        <v>0.49305555555555558</v>
      </c>
      <c r="AC6213" s="49">
        <v>0.40277777777777773</v>
      </c>
      <c r="AD6213" s="50">
        <f t="shared" ref="AD6213:AD6222" si="18">(AB6213-AA6213)*24</f>
        <v>4.5000000000000018</v>
      </c>
      <c r="AE6213" s="47" t="s">
        <v>5433</v>
      </c>
      <c r="AF6213" s="47">
        <v>205</v>
      </c>
      <c r="AG6213"/>
      <c r="AH6213"/>
      <c r="AI6213"/>
      <c r="AJ6213"/>
      <c r="AK6213">
        <v>11</v>
      </c>
      <c r="AL6213"/>
      <c r="AM6213"/>
      <c r="AN6213"/>
      <c r="AO6213"/>
      <c r="AP6213"/>
      <c r="AQ6213" t="s">
        <v>5434</v>
      </c>
      <c r="AU6213">
        <v>6212</v>
      </c>
    </row>
    <row r="6214" spans="1:47" x14ac:dyDescent="0.2">
      <c r="A6214" s="133">
        <v>6833</v>
      </c>
      <c r="B6214" s="39" t="s">
        <v>85</v>
      </c>
      <c r="C6214" s="39">
        <v>99</v>
      </c>
      <c r="D6214" s="29" t="b">
        <v>0</v>
      </c>
      <c r="E6214" s="39" t="s">
        <v>1168</v>
      </c>
      <c r="F6214" s="47" t="s">
        <v>2398</v>
      </c>
      <c r="G6214" s="47" t="s">
        <v>49</v>
      </c>
      <c r="H6214"/>
      <c r="I6214" s="47" t="b">
        <v>0</v>
      </c>
      <c r="J6214" s="47" t="b">
        <v>1</v>
      </c>
      <c r="K6214" s="47">
        <v>2930</v>
      </c>
      <c r="L6214" s="48">
        <v>13</v>
      </c>
      <c r="M6214" s="47">
        <v>0</v>
      </c>
      <c r="N6214" s="47">
        <v>0</v>
      </c>
      <c r="O6214" s="47">
        <v>0</v>
      </c>
      <c r="P6214" s="47">
        <v>0</v>
      </c>
      <c r="Q6214" s="47">
        <v>0</v>
      </c>
      <c r="R6214" s="47">
        <v>0</v>
      </c>
      <c r="S6214" s="48">
        <v>13</v>
      </c>
      <c r="T6214" s="47">
        <v>0</v>
      </c>
      <c r="U6214" s="47">
        <v>0</v>
      </c>
      <c r="V6214" s="47">
        <v>0</v>
      </c>
      <c r="W6214" s="47">
        <v>11000</v>
      </c>
      <c r="X6214" s="47">
        <v>1028</v>
      </c>
      <c r="Y6214" s="47" t="s">
        <v>51</v>
      </c>
      <c r="Z6214" s="47" t="s">
        <v>5139</v>
      </c>
      <c r="AA6214" s="49">
        <v>0.40625</v>
      </c>
      <c r="AB6214" s="49">
        <v>0.48958333333333331</v>
      </c>
      <c r="AC6214" s="49">
        <v>0.45833333333333331</v>
      </c>
      <c r="AD6214" s="50">
        <f t="shared" si="18"/>
        <v>1.9999999999999996</v>
      </c>
      <c r="AE6214" s="47" t="s">
        <v>5433</v>
      </c>
      <c r="AF6214" s="47">
        <v>55</v>
      </c>
      <c r="AG6214"/>
      <c r="AH6214"/>
      <c r="AI6214"/>
      <c r="AJ6214"/>
      <c r="AK6214">
        <v>25</v>
      </c>
      <c r="AL6214"/>
      <c r="AM6214"/>
      <c r="AN6214"/>
      <c r="AO6214"/>
      <c r="AP6214"/>
      <c r="AQ6214" t="s">
        <v>2526</v>
      </c>
      <c r="AU6214">
        <v>6213</v>
      </c>
    </row>
    <row r="6215" spans="1:47" x14ac:dyDescent="0.2">
      <c r="A6215" s="133">
        <v>6833</v>
      </c>
      <c r="B6215" s="39" t="s">
        <v>85</v>
      </c>
      <c r="C6215" s="39">
        <v>104</v>
      </c>
      <c r="D6215" s="29" t="b">
        <v>0</v>
      </c>
      <c r="E6215" s="39" t="s">
        <v>1168</v>
      </c>
      <c r="F6215" s="47" t="s">
        <v>2398</v>
      </c>
      <c r="G6215" s="47" t="s">
        <v>49</v>
      </c>
      <c r="H6215"/>
      <c r="I6215" s="47" t="b">
        <v>0</v>
      </c>
      <c r="J6215" s="47" t="b">
        <v>1</v>
      </c>
      <c r="K6215" s="47">
        <v>2706</v>
      </c>
      <c r="L6215" s="48">
        <v>12</v>
      </c>
      <c r="M6215" s="47">
        <v>0</v>
      </c>
      <c r="N6215" s="47">
        <v>0</v>
      </c>
      <c r="O6215" s="47">
        <v>0</v>
      </c>
      <c r="P6215" s="47">
        <v>0</v>
      </c>
      <c r="Q6215" s="47">
        <v>0</v>
      </c>
      <c r="R6215" s="47">
        <v>0</v>
      </c>
      <c r="S6215" s="48">
        <v>12</v>
      </c>
      <c r="T6215" s="47">
        <v>3</v>
      </c>
      <c r="U6215" s="47">
        <v>3</v>
      </c>
      <c r="V6215" s="47">
        <v>0</v>
      </c>
      <c r="W6215" s="47">
        <v>10500</v>
      </c>
      <c r="X6215" s="47">
        <v>1015</v>
      </c>
      <c r="Y6215" s="47" t="s">
        <v>120</v>
      </c>
      <c r="Z6215" s="47" t="s">
        <v>5139</v>
      </c>
      <c r="AA6215" s="49">
        <v>0.39930555555555558</v>
      </c>
      <c r="AB6215" s="49">
        <v>0.4861111111111111</v>
      </c>
      <c r="AC6215" s="49">
        <v>0.46180555555555558</v>
      </c>
      <c r="AD6215" s="50">
        <f t="shared" si="18"/>
        <v>2.0833333333333326</v>
      </c>
      <c r="AE6215" s="47" t="s">
        <v>5433</v>
      </c>
      <c r="AF6215" s="47">
        <v>55</v>
      </c>
      <c r="AG6215"/>
      <c r="AH6215"/>
      <c r="AI6215"/>
      <c r="AJ6215"/>
      <c r="AK6215">
        <v>23</v>
      </c>
      <c r="AL6215"/>
      <c r="AM6215"/>
      <c r="AN6215"/>
      <c r="AO6215"/>
      <c r="AP6215"/>
      <c r="AQ6215" t="s">
        <v>5485</v>
      </c>
      <c r="AU6215">
        <v>6214</v>
      </c>
    </row>
    <row r="6216" spans="1:47" x14ac:dyDescent="0.2">
      <c r="A6216" s="133">
        <v>6833</v>
      </c>
      <c r="B6216" s="39" t="s">
        <v>85</v>
      </c>
      <c r="C6216" s="39">
        <v>110</v>
      </c>
      <c r="D6216" s="29" t="b">
        <v>0</v>
      </c>
      <c r="E6216" s="39" t="s">
        <v>3575</v>
      </c>
      <c r="F6216" s="47" t="s">
        <v>529</v>
      </c>
      <c r="G6216" s="47" t="s">
        <v>205</v>
      </c>
      <c r="H6216"/>
      <c r="I6216" s="47" t="b">
        <v>0</v>
      </c>
      <c r="J6216" s="47" t="b">
        <v>1</v>
      </c>
      <c r="K6216" s="47">
        <v>3030</v>
      </c>
      <c r="L6216" s="48">
        <v>10</v>
      </c>
      <c r="M6216" s="47">
        <v>0</v>
      </c>
      <c r="N6216" s="47">
        <v>0</v>
      </c>
      <c r="O6216" s="47">
        <v>0</v>
      </c>
      <c r="P6216" s="47">
        <v>0</v>
      </c>
      <c r="Q6216" s="47">
        <v>0</v>
      </c>
      <c r="R6216" s="47">
        <v>0</v>
      </c>
      <c r="S6216" s="48">
        <v>10</v>
      </c>
      <c r="T6216" s="47">
        <v>0</v>
      </c>
      <c r="U6216" s="47">
        <v>0</v>
      </c>
      <c r="V6216" s="47">
        <v>0</v>
      </c>
      <c r="W6216" s="47">
        <v>15000</v>
      </c>
      <c r="X6216" s="47">
        <v>1029</v>
      </c>
      <c r="Y6216" s="47" t="s">
        <v>51</v>
      </c>
      <c r="Z6216" s="47" t="s">
        <v>6984</v>
      </c>
      <c r="AA6216" s="49">
        <v>0.46875</v>
      </c>
      <c r="AB6216" s="49">
        <v>0.58333333333333337</v>
      </c>
      <c r="AC6216" s="49">
        <f t="shared" ref="AC6216:AC6222" si="19">AVERAGE(AA6216:AB6216)</f>
        <v>0.52604166666666674</v>
      </c>
      <c r="AD6216" s="50">
        <f t="shared" si="18"/>
        <v>2.7500000000000009</v>
      </c>
      <c r="AE6216" s="47" t="s">
        <v>6985</v>
      </c>
      <c r="AF6216" s="47">
        <v>150</v>
      </c>
      <c r="AG6216"/>
      <c r="AH6216"/>
      <c r="AI6216"/>
      <c r="AJ6216"/>
      <c r="AK6216">
        <v>26</v>
      </c>
      <c r="AL6216"/>
      <c r="AM6216"/>
      <c r="AN6216"/>
      <c r="AO6216"/>
      <c r="AP6216"/>
      <c r="AQ6216" t="s">
        <v>5485</v>
      </c>
      <c r="AU6216">
        <v>6215</v>
      </c>
    </row>
    <row r="6217" spans="1:47" x14ac:dyDescent="0.2">
      <c r="A6217" s="37">
        <v>6833</v>
      </c>
      <c r="B6217" s="38" t="s">
        <v>85</v>
      </c>
      <c r="C6217" s="43" t="s">
        <v>6990</v>
      </c>
      <c r="D6217" s="29"/>
      <c r="E6217" s="38" t="s">
        <v>7042</v>
      </c>
      <c r="F6217" s="32" t="s">
        <v>7043</v>
      </c>
      <c r="G6217" s="47"/>
      <c r="H6217"/>
      <c r="I6217" s="32" t="s">
        <v>7044</v>
      </c>
      <c r="J6217" s="47"/>
      <c r="K6217" s="47">
        <f>8*50*2.2</f>
        <v>880.00000000000011</v>
      </c>
      <c r="L6217" s="48">
        <v>10</v>
      </c>
      <c r="M6217" s="47"/>
      <c r="N6217" s="47"/>
      <c r="O6217" s="47"/>
      <c r="P6217" s="47"/>
      <c r="Q6217" s="47"/>
      <c r="R6217" s="47"/>
      <c r="S6217" s="48">
        <v>2</v>
      </c>
      <c r="T6217" s="47">
        <v>0</v>
      </c>
      <c r="U6217" s="47"/>
      <c r="V6217" s="47"/>
      <c r="W6217" s="47">
        <v>10000</v>
      </c>
      <c r="X6217" s="47"/>
      <c r="Y6217" s="47" t="s">
        <v>51</v>
      </c>
      <c r="Z6217" s="47" t="s">
        <v>3618</v>
      </c>
      <c r="AA6217" s="49">
        <v>0.45833333333333331</v>
      </c>
      <c r="AB6217" s="49">
        <v>0.54166666666666663</v>
      </c>
      <c r="AC6217" s="49">
        <f t="shared" si="19"/>
        <v>0.5</v>
      </c>
      <c r="AD6217" s="50">
        <f t="shared" si="18"/>
        <v>1.9999999999999996</v>
      </c>
      <c r="AE6217" s="47" t="s">
        <v>5536</v>
      </c>
      <c r="AF6217" s="47">
        <v>60</v>
      </c>
      <c r="AG6217"/>
      <c r="AH6217"/>
      <c r="AI6217"/>
      <c r="AJ6217"/>
      <c r="AK6217">
        <v>8</v>
      </c>
      <c r="AL6217"/>
      <c r="AM6217"/>
      <c r="AN6217"/>
      <c r="AO6217"/>
      <c r="AP6217"/>
      <c r="AQ6217" t="s">
        <v>7045</v>
      </c>
      <c r="AU6217">
        <v>6216</v>
      </c>
    </row>
    <row r="6218" spans="1:47" x14ac:dyDescent="0.2">
      <c r="A6218" s="37">
        <v>6833</v>
      </c>
      <c r="B6218" s="38" t="s">
        <v>85</v>
      </c>
      <c r="C6218" s="39" t="s">
        <v>6997</v>
      </c>
      <c r="D6218" s="29"/>
      <c r="E6218" s="38" t="s">
        <v>512</v>
      </c>
      <c r="F6218" s="32"/>
      <c r="G6218" s="47"/>
      <c r="H6218"/>
      <c r="I6218" s="32" t="s">
        <v>7046</v>
      </c>
      <c r="J6218" s="47"/>
      <c r="K6218" s="47">
        <f>16*50*2.2</f>
        <v>1760.0000000000002</v>
      </c>
      <c r="L6218" s="48">
        <v>10</v>
      </c>
      <c r="M6218" s="47"/>
      <c r="N6218" s="47"/>
      <c r="O6218" s="47"/>
      <c r="P6218" s="47"/>
      <c r="Q6218" s="47"/>
      <c r="R6218" s="47"/>
      <c r="S6218" s="48">
        <v>4</v>
      </c>
      <c r="T6218" s="47"/>
      <c r="U6218" s="47"/>
      <c r="V6218" s="47">
        <v>1</v>
      </c>
      <c r="W6218" s="47">
        <v>11000</v>
      </c>
      <c r="X6218" s="47"/>
      <c r="Y6218" s="47" t="s">
        <v>120</v>
      </c>
      <c r="Z6218" s="47" t="s">
        <v>3618</v>
      </c>
      <c r="AA6218" s="49">
        <v>0.46180555555555558</v>
      </c>
      <c r="AB6218" s="49">
        <v>0.52777777777777779</v>
      </c>
      <c r="AC6218" s="49">
        <f t="shared" si="19"/>
        <v>0.49479166666666669</v>
      </c>
      <c r="AD6218" s="50">
        <f t="shared" si="18"/>
        <v>1.583333333333333</v>
      </c>
      <c r="AE6218" s="47" t="s">
        <v>5536</v>
      </c>
      <c r="AF6218" s="47">
        <v>60</v>
      </c>
      <c r="AG6218"/>
      <c r="AH6218"/>
      <c r="AI6218"/>
      <c r="AJ6218"/>
      <c r="AK6218">
        <v>16</v>
      </c>
      <c r="AL6218"/>
      <c r="AM6218"/>
      <c r="AN6218"/>
      <c r="AO6218"/>
      <c r="AP6218"/>
      <c r="AQ6218" t="s">
        <v>7047</v>
      </c>
      <c r="AU6218">
        <v>6217</v>
      </c>
    </row>
    <row r="6219" spans="1:47" x14ac:dyDescent="0.2">
      <c r="A6219" s="37">
        <v>6833</v>
      </c>
      <c r="B6219" s="38" t="s">
        <v>85</v>
      </c>
      <c r="C6219" s="39" t="s">
        <v>5533</v>
      </c>
      <c r="D6219" s="29"/>
      <c r="E6219" s="38"/>
      <c r="F6219" s="32"/>
      <c r="G6219" s="47"/>
      <c r="H6219"/>
      <c r="I6219" s="32" t="s">
        <v>7048</v>
      </c>
      <c r="J6219" s="47"/>
      <c r="K6219" s="47">
        <f>828*2.2</f>
        <v>1821.6000000000001</v>
      </c>
      <c r="L6219" s="48">
        <v>7</v>
      </c>
      <c r="M6219" s="47"/>
      <c r="N6219" s="47"/>
      <c r="O6219" s="47"/>
      <c r="P6219" s="47"/>
      <c r="Q6219" s="47"/>
      <c r="R6219" s="47"/>
      <c r="S6219" s="48">
        <v>6</v>
      </c>
      <c r="T6219" s="47"/>
      <c r="U6219" s="47"/>
      <c r="V6219" s="47"/>
      <c r="W6219" s="47">
        <f>4000/0.3048</f>
        <v>13123.359580052493</v>
      </c>
      <c r="X6219" s="47"/>
      <c r="Y6219" s="47" t="s">
        <v>120</v>
      </c>
      <c r="Z6219" s="47" t="s">
        <v>3724</v>
      </c>
      <c r="AA6219" s="49">
        <v>0.45833333333333331</v>
      </c>
      <c r="AB6219" s="49">
        <v>0.54166666666666663</v>
      </c>
      <c r="AC6219" s="49">
        <f t="shared" si="19"/>
        <v>0.5</v>
      </c>
      <c r="AD6219" s="50">
        <f t="shared" si="18"/>
        <v>1.9999999999999996</v>
      </c>
      <c r="AE6219" s="47" t="s">
        <v>5536</v>
      </c>
      <c r="AF6219" s="47"/>
      <c r="AG6219"/>
      <c r="AH6219"/>
      <c r="AI6219"/>
      <c r="AJ6219"/>
      <c r="AK6219">
        <f>12+10+8+6</f>
        <v>36</v>
      </c>
      <c r="AL6219"/>
      <c r="AM6219"/>
      <c r="AN6219"/>
      <c r="AO6219"/>
      <c r="AP6219"/>
      <c r="AQ6219" t="s">
        <v>7049</v>
      </c>
      <c r="AU6219">
        <v>6218</v>
      </c>
    </row>
    <row r="6220" spans="1:47" x14ac:dyDescent="0.2">
      <c r="A6220" s="37">
        <v>6833</v>
      </c>
      <c r="B6220" s="38" t="s">
        <v>85</v>
      </c>
      <c r="C6220" s="43" t="s">
        <v>6990</v>
      </c>
      <c r="D6220" s="29"/>
      <c r="E6220" s="38" t="s">
        <v>3063</v>
      </c>
      <c r="F6220" s="32" t="s">
        <v>7043</v>
      </c>
      <c r="G6220" s="47" t="s">
        <v>49</v>
      </c>
      <c r="H6220"/>
      <c r="I6220" s="32"/>
      <c r="J6220" s="47"/>
      <c r="K6220" s="47">
        <f>8*50*2.2</f>
        <v>880.00000000000011</v>
      </c>
      <c r="L6220" s="48">
        <v>9</v>
      </c>
      <c r="M6220" s="47"/>
      <c r="N6220" s="47"/>
      <c r="O6220" s="47"/>
      <c r="P6220" s="47"/>
      <c r="Q6220" s="47"/>
      <c r="R6220" s="47"/>
      <c r="S6220" s="48"/>
      <c r="T6220" s="47"/>
      <c r="U6220" s="47"/>
      <c r="V6220" s="47"/>
      <c r="W6220" s="47">
        <v>14000</v>
      </c>
      <c r="X6220" s="47"/>
      <c r="Y6220" s="47" t="s">
        <v>51</v>
      </c>
      <c r="Z6220" s="47" t="s">
        <v>3618</v>
      </c>
      <c r="AA6220" s="49">
        <v>0.63194444444444442</v>
      </c>
      <c r="AB6220" s="49">
        <v>0.71180555555555547</v>
      </c>
      <c r="AC6220" s="49">
        <f t="shared" si="19"/>
        <v>0.671875</v>
      </c>
      <c r="AD6220" s="50">
        <f t="shared" si="18"/>
        <v>1.9166666666666652</v>
      </c>
      <c r="AE6220" s="47" t="s">
        <v>5536</v>
      </c>
      <c r="AF6220" s="47">
        <v>100</v>
      </c>
      <c r="AG6220"/>
      <c r="AH6220"/>
      <c r="AI6220"/>
      <c r="AJ6220"/>
      <c r="AK6220">
        <v>8</v>
      </c>
      <c r="AL6220"/>
      <c r="AM6220"/>
      <c r="AN6220"/>
      <c r="AO6220"/>
      <c r="AP6220"/>
      <c r="AQ6220" t="s">
        <v>7050</v>
      </c>
      <c r="AU6220">
        <v>6219</v>
      </c>
    </row>
    <row r="6221" spans="1:47" x14ac:dyDescent="0.2">
      <c r="A6221" s="37">
        <v>6833</v>
      </c>
      <c r="B6221" s="38" t="s">
        <v>85</v>
      </c>
      <c r="C6221" s="39" t="s">
        <v>6997</v>
      </c>
      <c r="D6221" s="29"/>
      <c r="E6221" s="38" t="s">
        <v>3063</v>
      </c>
      <c r="F6221" s="32" t="s">
        <v>7043</v>
      </c>
      <c r="G6221" s="47" t="s">
        <v>49</v>
      </c>
      <c r="H6221"/>
      <c r="I6221" s="32" t="s">
        <v>7051</v>
      </c>
      <c r="J6221" s="47"/>
      <c r="K6221" s="47">
        <f>4*50*2.2</f>
        <v>440.00000000000006</v>
      </c>
      <c r="L6221" s="48">
        <v>6</v>
      </c>
      <c r="M6221" s="47"/>
      <c r="N6221" s="47"/>
      <c r="O6221" s="47"/>
      <c r="P6221" s="47"/>
      <c r="Q6221" s="47"/>
      <c r="R6221" s="47"/>
      <c r="S6221" s="48">
        <v>1</v>
      </c>
      <c r="T6221" s="47"/>
      <c r="U6221" s="47"/>
      <c r="V6221" s="47"/>
      <c r="W6221" s="47">
        <v>14000</v>
      </c>
      <c r="X6221" s="47"/>
      <c r="Y6221" s="47" t="s">
        <v>51</v>
      </c>
      <c r="Z6221" s="47" t="s">
        <v>3618</v>
      </c>
      <c r="AA6221" s="49">
        <v>0.63541666666666663</v>
      </c>
      <c r="AB6221" s="49">
        <v>0.71875</v>
      </c>
      <c r="AC6221" s="49">
        <f t="shared" si="19"/>
        <v>0.67708333333333326</v>
      </c>
      <c r="AD6221" s="50">
        <f t="shared" si="18"/>
        <v>2.0000000000000009</v>
      </c>
      <c r="AE6221" s="47" t="s">
        <v>5536</v>
      </c>
      <c r="AF6221" s="47">
        <v>100</v>
      </c>
      <c r="AG6221"/>
      <c r="AH6221"/>
      <c r="AI6221"/>
      <c r="AJ6221"/>
      <c r="AK6221">
        <v>4</v>
      </c>
      <c r="AL6221"/>
      <c r="AM6221"/>
      <c r="AN6221"/>
      <c r="AO6221"/>
      <c r="AP6221"/>
      <c r="AQ6221" t="s">
        <v>7052</v>
      </c>
      <c r="AU6221">
        <v>6220</v>
      </c>
    </row>
    <row r="6222" spans="1:47" x14ac:dyDescent="0.2">
      <c r="A6222" s="37">
        <v>6833</v>
      </c>
      <c r="B6222" s="38" t="s">
        <v>85</v>
      </c>
      <c r="C6222" s="39" t="s">
        <v>5533</v>
      </c>
      <c r="D6222" s="29"/>
      <c r="E6222" s="38" t="s">
        <v>3063</v>
      </c>
      <c r="F6222" s="32" t="s">
        <v>7043</v>
      </c>
      <c r="G6222" s="47" t="s">
        <v>49</v>
      </c>
      <c r="H6222"/>
      <c r="I6222" s="31" t="s">
        <v>7053</v>
      </c>
      <c r="J6222" s="47"/>
      <c r="K6222" s="47">
        <f>660*2.2</f>
        <v>1452.0000000000002</v>
      </c>
      <c r="L6222" s="48">
        <v>6</v>
      </c>
      <c r="M6222" s="47"/>
      <c r="N6222" s="47"/>
      <c r="O6222" s="47"/>
      <c r="P6222" s="47"/>
      <c r="Q6222" s="47"/>
      <c r="R6222" s="47"/>
      <c r="S6222" s="48">
        <v>4</v>
      </c>
      <c r="T6222" s="47"/>
      <c r="U6222" s="47"/>
      <c r="V6222" s="47"/>
      <c r="W6222" s="47">
        <f>4200/0.3048</f>
        <v>13779.527559055117</v>
      </c>
      <c r="X6222" s="47"/>
      <c r="Y6222" s="47" t="s">
        <v>51</v>
      </c>
      <c r="Z6222" s="47" t="s">
        <v>3724</v>
      </c>
      <c r="AA6222" s="49">
        <v>0.625</v>
      </c>
      <c r="AB6222" s="49">
        <v>0.71527777777777779</v>
      </c>
      <c r="AC6222" s="49">
        <f t="shared" si="19"/>
        <v>0.67013888888888884</v>
      </c>
      <c r="AD6222" s="50">
        <f t="shared" si="18"/>
        <v>2.166666666666667</v>
      </c>
      <c r="AE6222" s="47" t="s">
        <v>5536</v>
      </c>
      <c r="AF6222" s="47">
        <v>100</v>
      </c>
      <c r="AG6222"/>
      <c r="AH6222"/>
      <c r="AI6222"/>
      <c r="AJ6222"/>
      <c r="AK6222">
        <f>10+8+6</f>
        <v>24</v>
      </c>
      <c r="AL6222"/>
      <c r="AM6222"/>
      <c r="AN6222"/>
      <c r="AO6222"/>
      <c r="AP6222"/>
      <c r="AQ6222" t="s">
        <v>7054</v>
      </c>
      <c r="AU6222">
        <v>6221</v>
      </c>
    </row>
    <row r="6223" spans="1:47" x14ac:dyDescent="0.2">
      <c r="A6223" s="133">
        <v>6833</v>
      </c>
      <c r="B6223" s="39" t="s">
        <v>45</v>
      </c>
      <c r="C6223" s="39">
        <v>97</v>
      </c>
      <c r="D6223" s="29" t="b">
        <v>0</v>
      </c>
      <c r="E6223" s="39" t="s">
        <v>7055</v>
      </c>
      <c r="F6223" s="47" t="s">
        <v>7056</v>
      </c>
      <c r="G6223" s="47" t="s">
        <v>205</v>
      </c>
      <c r="H6223"/>
      <c r="I6223" s="47" t="b">
        <v>1</v>
      </c>
      <c r="J6223" s="47" t="b">
        <v>1</v>
      </c>
      <c r="K6223" s="47">
        <v>12396</v>
      </c>
      <c r="L6223" s="48">
        <v>11</v>
      </c>
      <c r="M6223" s="47">
        <v>0</v>
      </c>
      <c r="N6223" s="47">
        <v>2</v>
      </c>
      <c r="O6223" s="47">
        <v>0</v>
      </c>
      <c r="P6223" s="47">
        <v>0</v>
      </c>
      <c r="Q6223" s="47">
        <v>0</v>
      </c>
      <c r="R6223" s="47">
        <v>0</v>
      </c>
      <c r="S6223" s="48">
        <v>9</v>
      </c>
      <c r="T6223" s="47">
        <v>0</v>
      </c>
      <c r="U6223" s="47">
        <v>0</v>
      </c>
      <c r="V6223" s="47">
        <v>0</v>
      </c>
      <c r="W6223" s="47">
        <v>3722</v>
      </c>
      <c r="X6223" s="47">
        <v>1017</v>
      </c>
      <c r="Y6223" s="47"/>
      <c r="Z6223" s="47" t="s">
        <v>2466</v>
      </c>
      <c r="AA6223" s="49"/>
      <c r="AB6223" s="49"/>
      <c r="AC6223" s="49"/>
      <c r="AD6223" s="50"/>
      <c r="AE6223" s="47"/>
      <c r="AF6223" s="47"/>
      <c r="AG6223"/>
      <c r="AH6223"/>
      <c r="AI6223"/>
      <c r="AJ6223"/>
      <c r="AK6223"/>
      <c r="AL6223"/>
      <c r="AM6223"/>
      <c r="AN6223"/>
      <c r="AO6223"/>
      <c r="AP6223"/>
      <c r="AQ6223" t="s">
        <v>2526</v>
      </c>
      <c r="AU6223">
        <v>6222</v>
      </c>
    </row>
    <row r="6224" spans="1:47" x14ac:dyDescent="0.2">
      <c r="A6224" s="133">
        <v>6833</v>
      </c>
      <c r="B6224" s="39" t="s">
        <v>45</v>
      </c>
      <c r="C6224" s="39">
        <v>97</v>
      </c>
      <c r="D6224" s="29" t="b">
        <v>0</v>
      </c>
      <c r="E6224" s="39" t="s">
        <v>1551</v>
      </c>
      <c r="F6224" s="47" t="s">
        <v>529</v>
      </c>
      <c r="G6224" s="47" t="s">
        <v>205</v>
      </c>
      <c r="H6224"/>
      <c r="I6224" s="47" t="b">
        <v>0</v>
      </c>
      <c r="J6224" s="47" t="b">
        <v>0</v>
      </c>
      <c r="K6224" s="47">
        <v>3136</v>
      </c>
      <c r="L6224" s="48">
        <v>2</v>
      </c>
      <c r="M6224" s="47">
        <v>0</v>
      </c>
      <c r="N6224" s="47">
        <v>0</v>
      </c>
      <c r="O6224" s="47">
        <v>0</v>
      </c>
      <c r="P6224" s="47">
        <v>0</v>
      </c>
      <c r="Q6224" s="47">
        <v>0</v>
      </c>
      <c r="R6224" s="47">
        <v>0</v>
      </c>
      <c r="S6224" s="48">
        <v>2</v>
      </c>
      <c r="T6224" s="47">
        <v>0</v>
      </c>
      <c r="U6224" s="47">
        <v>0</v>
      </c>
      <c r="V6224" s="47">
        <v>0</v>
      </c>
      <c r="W6224" s="47">
        <v>4000</v>
      </c>
      <c r="X6224" s="47">
        <v>1019</v>
      </c>
      <c r="Y6224" s="47"/>
      <c r="Z6224" s="47" t="s">
        <v>2466</v>
      </c>
      <c r="AA6224" s="49"/>
      <c r="AB6224" s="49"/>
      <c r="AC6224" s="49"/>
      <c r="AD6224" s="50"/>
      <c r="AE6224" s="47"/>
      <c r="AF6224" s="47"/>
      <c r="AG6224"/>
      <c r="AH6224"/>
      <c r="AI6224"/>
      <c r="AJ6224"/>
      <c r="AK6224"/>
      <c r="AL6224"/>
      <c r="AM6224"/>
      <c r="AN6224"/>
      <c r="AO6224"/>
      <c r="AP6224"/>
      <c r="AQ6224" t="s">
        <v>2526</v>
      </c>
      <c r="AU6224">
        <v>6223</v>
      </c>
    </row>
    <row r="6225" spans="1:47" x14ac:dyDescent="0.2">
      <c r="A6225" s="133">
        <v>6833</v>
      </c>
      <c r="B6225" s="39" t="s">
        <v>45</v>
      </c>
      <c r="C6225" s="39">
        <v>97</v>
      </c>
      <c r="D6225" s="29" t="b">
        <v>0</v>
      </c>
      <c r="E6225" s="39" t="s">
        <v>4469</v>
      </c>
      <c r="F6225" s="47" t="s">
        <v>2398</v>
      </c>
      <c r="G6225" s="47" t="s">
        <v>49</v>
      </c>
      <c r="H6225"/>
      <c r="I6225" s="47" t="b">
        <v>0</v>
      </c>
      <c r="J6225" s="47" t="b">
        <v>0</v>
      </c>
      <c r="K6225" s="47">
        <v>2738</v>
      </c>
      <c r="L6225" s="48">
        <v>4</v>
      </c>
      <c r="M6225" s="47">
        <v>0</v>
      </c>
      <c r="N6225" s="47">
        <v>2</v>
      </c>
      <c r="O6225" s="47">
        <v>0</v>
      </c>
      <c r="P6225" s="47">
        <v>0</v>
      </c>
      <c r="Q6225" s="47">
        <v>0</v>
      </c>
      <c r="R6225" s="47">
        <v>0</v>
      </c>
      <c r="S6225" s="48">
        <v>2</v>
      </c>
      <c r="T6225" s="47">
        <v>0</v>
      </c>
      <c r="U6225" s="47">
        <v>0</v>
      </c>
      <c r="V6225" s="47">
        <v>0</v>
      </c>
      <c r="W6225" s="47">
        <v>3500</v>
      </c>
      <c r="X6225" s="47">
        <v>1021</v>
      </c>
      <c r="Y6225" s="47"/>
      <c r="Z6225" s="47" t="s">
        <v>2466</v>
      </c>
      <c r="AA6225" s="49"/>
      <c r="AB6225" s="49"/>
      <c r="AC6225" s="49"/>
      <c r="AD6225" s="50"/>
      <c r="AE6225" s="47"/>
      <c r="AF6225" s="47"/>
      <c r="AG6225"/>
      <c r="AH6225"/>
      <c r="AI6225"/>
      <c r="AJ6225"/>
      <c r="AK6225"/>
      <c r="AL6225"/>
      <c r="AM6225"/>
      <c r="AN6225"/>
      <c r="AO6225"/>
      <c r="AP6225"/>
      <c r="AQ6225" t="s">
        <v>2526</v>
      </c>
      <c r="AU6225">
        <v>6224</v>
      </c>
    </row>
    <row r="6226" spans="1:47" x14ac:dyDescent="0.2">
      <c r="A6226" s="133">
        <v>6833</v>
      </c>
      <c r="B6226" s="39" t="s">
        <v>45</v>
      </c>
      <c r="C6226" s="39">
        <v>97</v>
      </c>
      <c r="D6226" s="29" t="b">
        <v>0</v>
      </c>
      <c r="E6226" s="39" t="s">
        <v>6637</v>
      </c>
      <c r="F6226" s="47" t="s">
        <v>529</v>
      </c>
      <c r="G6226" s="47" t="s">
        <v>205</v>
      </c>
      <c r="H6226"/>
      <c r="I6226" s="47" t="b">
        <v>0</v>
      </c>
      <c r="J6226" s="47" t="b">
        <v>0</v>
      </c>
      <c r="K6226" s="47">
        <v>3280</v>
      </c>
      <c r="L6226" s="48">
        <v>2</v>
      </c>
      <c r="M6226" s="47">
        <v>0</v>
      </c>
      <c r="N6226" s="47">
        <v>0</v>
      </c>
      <c r="O6226" s="47">
        <v>0</v>
      </c>
      <c r="P6226" s="47">
        <v>0</v>
      </c>
      <c r="Q6226" s="47">
        <v>0</v>
      </c>
      <c r="R6226" s="47">
        <v>0</v>
      </c>
      <c r="S6226" s="48">
        <v>2</v>
      </c>
      <c r="T6226" s="47">
        <v>0</v>
      </c>
      <c r="U6226" s="47">
        <v>0</v>
      </c>
      <c r="V6226" s="47">
        <v>0</v>
      </c>
      <c r="W6226" s="47">
        <v>3500</v>
      </c>
      <c r="X6226" s="47">
        <v>1030</v>
      </c>
      <c r="Y6226" s="47"/>
      <c r="Z6226" s="47" t="s">
        <v>2466</v>
      </c>
      <c r="AA6226" s="49"/>
      <c r="AB6226" s="49"/>
      <c r="AC6226" s="49"/>
      <c r="AD6226" s="50"/>
      <c r="AE6226" s="47"/>
      <c r="AF6226" s="47"/>
      <c r="AG6226"/>
      <c r="AH6226"/>
      <c r="AI6226"/>
      <c r="AJ6226"/>
      <c r="AK6226"/>
      <c r="AL6226"/>
      <c r="AM6226"/>
      <c r="AN6226"/>
      <c r="AO6226"/>
      <c r="AP6226"/>
      <c r="AQ6226" t="s">
        <v>2526</v>
      </c>
      <c r="AU6226">
        <v>6225</v>
      </c>
    </row>
    <row r="6227" spans="1:47" x14ac:dyDescent="0.2">
      <c r="A6227" s="133">
        <v>6833</v>
      </c>
      <c r="B6227" s="39" t="s">
        <v>45</v>
      </c>
      <c r="C6227" s="39">
        <v>97</v>
      </c>
      <c r="D6227" s="29" t="b">
        <v>0</v>
      </c>
      <c r="E6227" s="39" t="s">
        <v>5707</v>
      </c>
      <c r="F6227" s="47" t="s">
        <v>529</v>
      </c>
      <c r="G6227" s="47" t="s">
        <v>205</v>
      </c>
      <c r="H6227"/>
      <c r="I6227" s="47" t="b">
        <v>0</v>
      </c>
      <c r="J6227" s="47" t="b">
        <v>0</v>
      </c>
      <c r="K6227" s="47">
        <v>3018</v>
      </c>
      <c r="L6227" s="48">
        <v>2</v>
      </c>
      <c r="M6227" s="47">
        <v>0</v>
      </c>
      <c r="N6227" s="47">
        <v>0</v>
      </c>
      <c r="O6227" s="47">
        <v>0</v>
      </c>
      <c r="P6227" s="47">
        <v>0</v>
      </c>
      <c r="Q6227" s="47">
        <v>0</v>
      </c>
      <c r="R6227" s="47">
        <v>0</v>
      </c>
      <c r="S6227" s="48">
        <v>2</v>
      </c>
      <c r="T6227" s="47">
        <v>0</v>
      </c>
      <c r="U6227" s="47">
        <v>0</v>
      </c>
      <c r="V6227" s="47">
        <v>0</v>
      </c>
      <c r="W6227" s="47">
        <v>4000</v>
      </c>
      <c r="X6227" s="47">
        <v>1031</v>
      </c>
      <c r="Y6227" s="47"/>
      <c r="Z6227" s="47" t="s">
        <v>2466</v>
      </c>
      <c r="AA6227" s="49"/>
      <c r="AB6227" s="49"/>
      <c r="AC6227" s="49"/>
      <c r="AD6227" s="50"/>
      <c r="AE6227" s="47"/>
      <c r="AF6227" s="47"/>
      <c r="AG6227"/>
      <c r="AH6227"/>
      <c r="AI6227"/>
      <c r="AJ6227"/>
      <c r="AK6227"/>
      <c r="AL6227"/>
      <c r="AM6227"/>
      <c r="AN6227"/>
      <c r="AO6227"/>
      <c r="AP6227"/>
      <c r="AQ6227" t="s">
        <v>2526</v>
      </c>
      <c r="AU6227">
        <v>6226</v>
      </c>
    </row>
    <row r="6228" spans="1:47" x14ac:dyDescent="0.2">
      <c r="A6228" s="133">
        <v>6833</v>
      </c>
      <c r="B6228" s="39" t="s">
        <v>45</v>
      </c>
      <c r="C6228" s="39">
        <v>97</v>
      </c>
      <c r="D6228" s="29" t="b">
        <v>0</v>
      </c>
      <c r="E6228" s="39" t="s">
        <v>7057</v>
      </c>
      <c r="F6228" s="47" t="s">
        <v>7058</v>
      </c>
      <c r="G6228" s="47" t="s">
        <v>49</v>
      </c>
      <c r="H6228"/>
      <c r="I6228" s="47" t="b">
        <v>0</v>
      </c>
      <c r="J6228" s="47" t="b">
        <v>0</v>
      </c>
      <c r="K6228" s="47">
        <v>224</v>
      </c>
      <c r="L6228" s="48">
        <v>1</v>
      </c>
      <c r="M6228" s="47">
        <v>0</v>
      </c>
      <c r="N6228" s="47">
        <v>0</v>
      </c>
      <c r="O6228" s="47">
        <v>0</v>
      </c>
      <c r="P6228" s="47">
        <v>0</v>
      </c>
      <c r="Q6228" s="47">
        <v>0</v>
      </c>
      <c r="R6228" s="47">
        <v>0</v>
      </c>
      <c r="S6228" s="48">
        <v>1</v>
      </c>
      <c r="T6228" s="47">
        <v>0</v>
      </c>
      <c r="U6228" s="47">
        <v>0</v>
      </c>
      <c r="V6228" s="47">
        <v>0</v>
      </c>
      <c r="W6228" s="47">
        <v>3500</v>
      </c>
      <c r="X6228" s="47">
        <v>1032</v>
      </c>
      <c r="Y6228" s="47"/>
      <c r="Z6228" s="47" t="s">
        <v>2466</v>
      </c>
      <c r="AA6228" s="49"/>
      <c r="AB6228" s="49"/>
      <c r="AC6228" s="49"/>
      <c r="AD6228" s="50"/>
      <c r="AE6228" s="47"/>
      <c r="AF6228" s="47"/>
      <c r="AG6228"/>
      <c r="AH6228"/>
      <c r="AI6228"/>
      <c r="AJ6228"/>
      <c r="AK6228"/>
      <c r="AL6228"/>
      <c r="AM6228"/>
      <c r="AN6228"/>
      <c r="AO6228"/>
      <c r="AP6228"/>
      <c r="AQ6228" t="s">
        <v>2526</v>
      </c>
      <c r="AU6228">
        <v>6227</v>
      </c>
    </row>
    <row r="6229" spans="1:47" x14ac:dyDescent="0.2">
      <c r="A6229" s="133">
        <v>6833</v>
      </c>
      <c r="B6229" s="39" t="s">
        <v>45</v>
      </c>
      <c r="C6229" s="39">
        <v>100</v>
      </c>
      <c r="D6229" s="29" t="b">
        <v>0</v>
      </c>
      <c r="E6229" s="39" t="s">
        <v>7059</v>
      </c>
      <c r="F6229" s="47" t="s">
        <v>7060</v>
      </c>
      <c r="G6229" s="47" t="s">
        <v>205</v>
      </c>
      <c r="H6229"/>
      <c r="I6229" s="47" t="b">
        <v>1</v>
      </c>
      <c r="J6229" s="47" t="b">
        <v>1</v>
      </c>
      <c r="K6229" s="47">
        <v>5143</v>
      </c>
      <c r="L6229" s="48">
        <v>5</v>
      </c>
      <c r="M6229" s="47">
        <v>0</v>
      </c>
      <c r="N6229" s="47">
        <v>0</v>
      </c>
      <c r="O6229" s="47">
        <v>0</v>
      </c>
      <c r="P6229" s="47">
        <v>0</v>
      </c>
      <c r="Q6229" s="47">
        <v>0</v>
      </c>
      <c r="R6229" s="47">
        <v>0</v>
      </c>
      <c r="S6229" s="48">
        <v>5</v>
      </c>
      <c r="T6229" s="47">
        <v>0</v>
      </c>
      <c r="U6229" s="47">
        <v>0</v>
      </c>
      <c r="V6229" s="47">
        <v>0</v>
      </c>
      <c r="W6229" s="47">
        <v>2500</v>
      </c>
      <c r="X6229" s="47">
        <v>1023</v>
      </c>
      <c r="Y6229" s="47"/>
      <c r="Z6229" s="47" t="s">
        <v>2466</v>
      </c>
      <c r="AA6229" s="49"/>
      <c r="AB6229" s="49"/>
      <c r="AC6229" s="49"/>
      <c r="AD6229" s="50"/>
      <c r="AE6229" s="47" t="s">
        <v>6445</v>
      </c>
      <c r="AF6229" s="47">
        <v>130</v>
      </c>
      <c r="AG6229"/>
      <c r="AH6229"/>
      <c r="AI6229"/>
      <c r="AJ6229"/>
      <c r="AK6229"/>
      <c r="AL6229"/>
      <c r="AM6229"/>
      <c r="AN6229"/>
      <c r="AO6229"/>
      <c r="AP6229"/>
      <c r="AQ6229" t="s">
        <v>2526</v>
      </c>
      <c r="AU6229">
        <v>6228</v>
      </c>
    </row>
    <row r="6230" spans="1:47" x14ac:dyDescent="0.2">
      <c r="A6230" s="133">
        <v>6833</v>
      </c>
      <c r="B6230" s="39" t="s">
        <v>45</v>
      </c>
      <c r="C6230" s="39">
        <v>100</v>
      </c>
      <c r="D6230" s="29" t="b">
        <v>0</v>
      </c>
      <c r="E6230" s="39" t="s">
        <v>3575</v>
      </c>
      <c r="F6230" s="47" t="s">
        <v>529</v>
      </c>
      <c r="G6230" s="47" t="s">
        <v>205</v>
      </c>
      <c r="H6230"/>
      <c r="I6230" s="47" t="b">
        <v>0</v>
      </c>
      <c r="J6230" s="47" t="b">
        <v>0</v>
      </c>
      <c r="K6230" s="47">
        <v>896</v>
      </c>
      <c r="L6230" s="48">
        <v>5</v>
      </c>
      <c r="M6230" s="47">
        <v>0</v>
      </c>
      <c r="N6230" s="47">
        <v>0</v>
      </c>
      <c r="O6230" s="47">
        <v>0</v>
      </c>
      <c r="P6230" s="47">
        <v>0</v>
      </c>
      <c r="Q6230" s="47">
        <v>0</v>
      </c>
      <c r="R6230" s="47">
        <v>0</v>
      </c>
      <c r="S6230" s="48">
        <v>1</v>
      </c>
      <c r="T6230" s="47">
        <v>0</v>
      </c>
      <c r="U6230" s="47">
        <v>0</v>
      </c>
      <c r="V6230" s="47">
        <v>0</v>
      </c>
      <c r="W6230" s="47">
        <v>2500</v>
      </c>
      <c r="X6230" s="47">
        <v>1024</v>
      </c>
      <c r="Y6230" s="47"/>
      <c r="Z6230" s="47" t="s">
        <v>2466</v>
      </c>
      <c r="AA6230" s="49"/>
      <c r="AB6230" s="49"/>
      <c r="AC6230" s="49"/>
      <c r="AD6230" s="50"/>
      <c r="AE6230" s="47" t="s">
        <v>6445</v>
      </c>
      <c r="AF6230" s="47">
        <v>115</v>
      </c>
      <c r="AG6230"/>
      <c r="AH6230"/>
      <c r="AI6230"/>
      <c r="AJ6230"/>
      <c r="AK6230"/>
      <c r="AL6230"/>
      <c r="AM6230"/>
      <c r="AN6230"/>
      <c r="AO6230"/>
      <c r="AP6230"/>
      <c r="AQ6230" t="s">
        <v>2526</v>
      </c>
      <c r="AU6230">
        <v>6229</v>
      </c>
    </row>
    <row r="6231" spans="1:47" x14ac:dyDescent="0.2">
      <c r="A6231" s="133">
        <v>6833</v>
      </c>
      <c r="B6231" s="39" t="s">
        <v>45</v>
      </c>
      <c r="C6231" s="39">
        <v>100</v>
      </c>
      <c r="D6231" s="29" t="b">
        <v>0</v>
      </c>
      <c r="E6231" s="39" t="s">
        <v>7061</v>
      </c>
      <c r="F6231" s="47" t="s">
        <v>5697</v>
      </c>
      <c r="G6231" s="47" t="s">
        <v>73</v>
      </c>
      <c r="H6231"/>
      <c r="I6231" s="47" t="b">
        <v>0</v>
      </c>
      <c r="J6231" s="47" t="b">
        <v>0</v>
      </c>
      <c r="K6231" s="47">
        <v>896</v>
      </c>
      <c r="L6231" s="48">
        <v>5</v>
      </c>
      <c r="M6231" s="47">
        <v>0</v>
      </c>
      <c r="N6231" s="47">
        <v>0</v>
      </c>
      <c r="O6231" s="47">
        <v>0</v>
      </c>
      <c r="P6231" s="47">
        <v>0</v>
      </c>
      <c r="Q6231" s="47">
        <v>0</v>
      </c>
      <c r="R6231" s="47">
        <v>0</v>
      </c>
      <c r="S6231" s="48">
        <v>1</v>
      </c>
      <c r="T6231" s="47">
        <v>0</v>
      </c>
      <c r="U6231" s="47">
        <v>0</v>
      </c>
      <c r="V6231" s="47">
        <v>0</v>
      </c>
      <c r="W6231" s="47">
        <v>2500</v>
      </c>
      <c r="X6231" s="47">
        <v>1025</v>
      </c>
      <c r="Y6231" s="47"/>
      <c r="Z6231" s="47" t="s">
        <v>2466</v>
      </c>
      <c r="AA6231" s="49"/>
      <c r="AB6231" s="49"/>
      <c r="AC6231" s="49"/>
      <c r="AD6231" s="50"/>
      <c r="AE6231" s="47" t="s">
        <v>6445</v>
      </c>
      <c r="AF6231" s="47">
        <v>130</v>
      </c>
      <c r="AG6231"/>
      <c r="AH6231"/>
      <c r="AI6231"/>
      <c r="AJ6231"/>
      <c r="AK6231"/>
      <c r="AL6231"/>
      <c r="AM6231"/>
      <c r="AN6231"/>
      <c r="AO6231"/>
      <c r="AP6231"/>
      <c r="AQ6231" t="s">
        <v>2526</v>
      </c>
      <c r="AU6231">
        <v>6230</v>
      </c>
    </row>
    <row r="6232" spans="1:47" x14ac:dyDescent="0.2">
      <c r="A6232" s="133">
        <v>6833</v>
      </c>
      <c r="B6232" s="39" t="s">
        <v>45</v>
      </c>
      <c r="C6232" s="39">
        <v>100</v>
      </c>
      <c r="D6232" s="29" t="b">
        <v>0</v>
      </c>
      <c r="E6232" s="39" t="s">
        <v>6637</v>
      </c>
      <c r="F6232" s="47" t="s">
        <v>529</v>
      </c>
      <c r="G6232" s="47" t="s">
        <v>205</v>
      </c>
      <c r="H6232"/>
      <c r="I6232" s="47" t="b">
        <v>0</v>
      </c>
      <c r="J6232" s="47" t="b">
        <v>0</v>
      </c>
      <c r="K6232" s="47">
        <v>3351</v>
      </c>
      <c r="L6232" s="48">
        <v>5</v>
      </c>
      <c r="M6232" s="47">
        <v>0</v>
      </c>
      <c r="N6232" s="47">
        <v>0</v>
      </c>
      <c r="O6232" s="47">
        <v>0</v>
      </c>
      <c r="P6232" s="47">
        <v>0</v>
      </c>
      <c r="Q6232" s="47">
        <v>0</v>
      </c>
      <c r="R6232" s="47">
        <v>0</v>
      </c>
      <c r="S6232" s="48">
        <v>4</v>
      </c>
      <c r="T6232" s="47">
        <v>0</v>
      </c>
      <c r="U6232" s="47">
        <v>0</v>
      </c>
      <c r="V6232" s="47">
        <v>0</v>
      </c>
      <c r="W6232" s="47">
        <v>2500</v>
      </c>
      <c r="X6232" s="47">
        <v>1027</v>
      </c>
      <c r="Y6232" s="47"/>
      <c r="Z6232" s="47" t="s">
        <v>2466</v>
      </c>
      <c r="AA6232" s="49"/>
      <c r="AB6232" s="49"/>
      <c r="AC6232" s="49"/>
      <c r="AD6232" s="50"/>
      <c r="AE6232" s="47" t="s">
        <v>6445</v>
      </c>
      <c r="AF6232" s="47">
        <v>40</v>
      </c>
      <c r="AG6232"/>
      <c r="AH6232"/>
      <c r="AI6232"/>
      <c r="AJ6232"/>
      <c r="AK6232"/>
      <c r="AL6232"/>
      <c r="AM6232"/>
      <c r="AN6232"/>
      <c r="AO6232"/>
      <c r="AP6232"/>
      <c r="AQ6232" t="s">
        <v>2526</v>
      </c>
      <c r="AU6232">
        <v>6231</v>
      </c>
    </row>
    <row r="6233" spans="1:47" x14ac:dyDescent="0.2">
      <c r="A6233" s="133">
        <v>6833</v>
      </c>
      <c r="B6233" s="39" t="s">
        <v>45</v>
      </c>
      <c r="C6233" s="39">
        <v>215</v>
      </c>
      <c r="D6233" s="29" t="b">
        <v>0</v>
      </c>
      <c r="E6233" s="39" t="s">
        <v>7062</v>
      </c>
      <c r="F6233" s="47" t="s">
        <v>7063</v>
      </c>
      <c r="G6233" s="47" t="s">
        <v>205</v>
      </c>
      <c r="H6233"/>
      <c r="I6233" s="47" t="b">
        <v>1</v>
      </c>
      <c r="J6233" s="47" t="b">
        <v>1</v>
      </c>
      <c r="K6233" s="47">
        <v>10210</v>
      </c>
      <c r="L6233" s="48">
        <v>6</v>
      </c>
      <c r="M6233" s="47">
        <v>0</v>
      </c>
      <c r="N6233" s="47">
        <v>1</v>
      </c>
      <c r="O6233" s="47">
        <v>0</v>
      </c>
      <c r="P6233" s="47">
        <v>0</v>
      </c>
      <c r="Q6233" s="47">
        <v>0</v>
      </c>
      <c r="R6233" s="47">
        <v>0</v>
      </c>
      <c r="S6233" s="48">
        <v>5</v>
      </c>
      <c r="T6233" s="47">
        <v>0</v>
      </c>
      <c r="U6233" s="47">
        <v>0</v>
      </c>
      <c r="V6233" s="47">
        <v>0</v>
      </c>
      <c r="W6233" s="47">
        <v>1128</v>
      </c>
      <c r="X6233" s="47">
        <v>1026</v>
      </c>
      <c r="Y6233" s="47"/>
      <c r="Z6233" s="47" t="s">
        <v>2466</v>
      </c>
      <c r="AA6233" s="49"/>
      <c r="AB6233" s="49"/>
      <c r="AC6233" s="49"/>
      <c r="AD6233" s="50"/>
      <c r="AE6233" s="47"/>
      <c r="AF6233" s="47"/>
      <c r="AG6233"/>
      <c r="AH6233"/>
      <c r="AI6233"/>
      <c r="AJ6233"/>
      <c r="AK6233"/>
      <c r="AL6233"/>
      <c r="AM6233"/>
      <c r="AN6233"/>
      <c r="AO6233"/>
      <c r="AP6233"/>
      <c r="AQ6233" t="s">
        <v>2526</v>
      </c>
      <c r="AU6233">
        <v>6232</v>
      </c>
    </row>
    <row r="6234" spans="1:47" x14ac:dyDescent="0.2">
      <c r="A6234" s="133">
        <v>6833</v>
      </c>
      <c r="B6234" s="39" t="s">
        <v>45</v>
      </c>
      <c r="C6234" s="39">
        <v>215</v>
      </c>
      <c r="D6234" s="29" t="b">
        <v>0</v>
      </c>
      <c r="E6234" s="39" t="s">
        <v>720</v>
      </c>
      <c r="F6234" s="47" t="s">
        <v>7064</v>
      </c>
      <c r="G6234" s="47" t="s">
        <v>49</v>
      </c>
      <c r="H6234"/>
      <c r="I6234" s="47" t="b">
        <v>0</v>
      </c>
      <c r="J6234" s="47" t="b">
        <v>0</v>
      </c>
      <c r="K6234" s="47">
        <v>2042</v>
      </c>
      <c r="L6234" s="48">
        <v>2</v>
      </c>
      <c r="M6234" s="47">
        <v>0</v>
      </c>
      <c r="N6234" s="47">
        <v>1</v>
      </c>
      <c r="O6234" s="47">
        <v>0</v>
      </c>
      <c r="P6234" s="47">
        <v>0</v>
      </c>
      <c r="Q6234" s="47">
        <v>0</v>
      </c>
      <c r="R6234" s="47">
        <v>0</v>
      </c>
      <c r="S6234" s="48">
        <v>1</v>
      </c>
      <c r="T6234" s="47">
        <v>0</v>
      </c>
      <c r="U6234" s="47">
        <v>0</v>
      </c>
      <c r="V6234" s="47">
        <v>0</v>
      </c>
      <c r="W6234" s="47">
        <v>1500</v>
      </c>
      <c r="X6234" s="47">
        <v>1013</v>
      </c>
      <c r="Y6234" s="47"/>
      <c r="Z6234" s="47" t="s">
        <v>2466</v>
      </c>
      <c r="AA6234" s="49"/>
      <c r="AB6234" s="49"/>
      <c r="AC6234" s="49"/>
      <c r="AD6234" s="50"/>
      <c r="AE6234" s="47"/>
      <c r="AF6234" s="47"/>
      <c r="AG6234"/>
      <c r="AH6234"/>
      <c r="AI6234"/>
      <c r="AJ6234"/>
      <c r="AK6234"/>
      <c r="AL6234"/>
      <c r="AM6234"/>
      <c r="AN6234"/>
      <c r="AO6234"/>
      <c r="AP6234"/>
      <c r="AQ6234" t="s">
        <v>2526</v>
      </c>
      <c r="AU6234">
        <v>6233</v>
      </c>
    </row>
    <row r="6235" spans="1:47" x14ac:dyDescent="0.2">
      <c r="A6235" s="133">
        <v>6833</v>
      </c>
      <c r="B6235" s="39" t="s">
        <v>45</v>
      </c>
      <c r="C6235" s="39">
        <v>215</v>
      </c>
      <c r="D6235" s="29" t="b">
        <v>0</v>
      </c>
      <c r="E6235" s="39" t="s">
        <v>6606</v>
      </c>
      <c r="F6235" s="47" t="s">
        <v>529</v>
      </c>
      <c r="G6235" s="47" t="s">
        <v>205</v>
      </c>
      <c r="H6235"/>
      <c r="I6235" s="47" t="b">
        <v>0</v>
      </c>
      <c r="J6235" s="47" t="b">
        <v>0</v>
      </c>
      <c r="K6235" s="47">
        <v>8168</v>
      </c>
      <c r="L6235" s="48">
        <v>4</v>
      </c>
      <c r="M6235" s="47">
        <v>0</v>
      </c>
      <c r="N6235" s="47">
        <v>0</v>
      </c>
      <c r="O6235" s="47">
        <v>0</v>
      </c>
      <c r="P6235" s="47">
        <v>0</v>
      </c>
      <c r="Q6235" s="47">
        <v>0</v>
      </c>
      <c r="R6235" s="47">
        <v>0</v>
      </c>
      <c r="S6235" s="48">
        <v>4</v>
      </c>
      <c r="T6235" s="47">
        <v>0</v>
      </c>
      <c r="U6235" s="47">
        <v>0</v>
      </c>
      <c r="V6235" s="47">
        <v>0</v>
      </c>
      <c r="W6235" s="47">
        <v>1035</v>
      </c>
      <c r="X6235" s="47">
        <v>1022</v>
      </c>
      <c r="Y6235" s="47"/>
      <c r="Z6235" s="47" t="s">
        <v>2466</v>
      </c>
      <c r="AA6235" s="49"/>
      <c r="AB6235" s="49"/>
      <c r="AC6235" s="49"/>
      <c r="AD6235" s="50"/>
      <c r="AE6235" s="47"/>
      <c r="AF6235" s="47"/>
      <c r="AG6235"/>
      <c r="AH6235"/>
      <c r="AI6235"/>
      <c r="AJ6235"/>
      <c r="AK6235"/>
      <c r="AL6235"/>
      <c r="AM6235"/>
      <c r="AN6235"/>
      <c r="AO6235"/>
      <c r="AP6235"/>
      <c r="AQ6235" t="s">
        <v>2526</v>
      </c>
      <c r="AU6235">
        <v>6234</v>
      </c>
    </row>
    <row r="6236" spans="1:47" x14ac:dyDescent="0.2">
      <c r="A6236" s="133">
        <v>6833</v>
      </c>
      <c r="B6236" s="39" t="s">
        <v>45</v>
      </c>
      <c r="C6236" s="39">
        <v>216</v>
      </c>
      <c r="D6236" s="29" t="b">
        <v>0</v>
      </c>
      <c r="E6236" s="39" t="s">
        <v>7065</v>
      </c>
      <c r="F6236" s="47" t="s">
        <v>7066</v>
      </c>
      <c r="G6236" s="47" t="s">
        <v>49</v>
      </c>
      <c r="H6236"/>
      <c r="I6236" s="47" t="b">
        <v>1</v>
      </c>
      <c r="J6236" s="47" t="b">
        <v>1</v>
      </c>
      <c r="K6236" s="47">
        <v>9711</v>
      </c>
      <c r="L6236" s="48">
        <v>6</v>
      </c>
      <c r="M6236" s="47">
        <v>0</v>
      </c>
      <c r="N6236" s="47">
        <v>0</v>
      </c>
      <c r="O6236" s="47">
        <v>0</v>
      </c>
      <c r="P6236" s="47">
        <v>0</v>
      </c>
      <c r="Q6236" s="47">
        <v>0</v>
      </c>
      <c r="R6236" s="47">
        <v>0</v>
      </c>
      <c r="S6236" s="48">
        <v>6</v>
      </c>
      <c r="T6236" s="47">
        <v>0</v>
      </c>
      <c r="U6236" s="47">
        <v>0</v>
      </c>
      <c r="V6236" s="47">
        <v>0</v>
      </c>
      <c r="W6236" s="47">
        <v>5000</v>
      </c>
      <c r="X6236" s="47">
        <v>1014</v>
      </c>
      <c r="Y6236" s="47"/>
      <c r="Z6236" s="47" t="s">
        <v>2466</v>
      </c>
      <c r="AA6236" s="49"/>
      <c r="AB6236" s="49"/>
      <c r="AC6236" s="49"/>
      <c r="AD6236" s="50"/>
      <c r="AE6236" s="47" t="s">
        <v>1312</v>
      </c>
      <c r="AF6236" s="47">
        <v>205</v>
      </c>
      <c r="AG6236"/>
      <c r="AH6236"/>
      <c r="AI6236"/>
      <c r="AJ6236"/>
      <c r="AK6236"/>
      <c r="AL6236"/>
      <c r="AM6236"/>
      <c r="AN6236"/>
      <c r="AO6236"/>
      <c r="AP6236"/>
      <c r="AQ6236" t="s">
        <v>2526</v>
      </c>
      <c r="AU6236">
        <v>6235</v>
      </c>
    </row>
    <row r="6237" spans="1:47" x14ac:dyDescent="0.2">
      <c r="A6237" s="133">
        <v>6833</v>
      </c>
      <c r="B6237" s="39" t="s">
        <v>45</v>
      </c>
      <c r="C6237" s="39">
        <v>216</v>
      </c>
      <c r="D6237" s="29" t="b">
        <v>0</v>
      </c>
      <c r="E6237" s="39" t="s">
        <v>720</v>
      </c>
      <c r="F6237" s="47" t="s">
        <v>7064</v>
      </c>
      <c r="G6237" s="47" t="s">
        <v>49</v>
      </c>
      <c r="H6237"/>
      <c r="I6237" s="47" t="b">
        <v>0</v>
      </c>
      <c r="J6237" s="47" t="b">
        <v>0</v>
      </c>
      <c r="K6237" s="47">
        <v>6127</v>
      </c>
      <c r="L6237" s="48">
        <v>4</v>
      </c>
      <c r="M6237" s="47">
        <v>0</v>
      </c>
      <c r="N6237" s="47">
        <v>0</v>
      </c>
      <c r="O6237" s="47">
        <v>0</v>
      </c>
      <c r="P6237" s="47">
        <v>0</v>
      </c>
      <c r="Q6237" s="47">
        <v>0</v>
      </c>
      <c r="R6237" s="47">
        <v>0</v>
      </c>
      <c r="S6237" s="48">
        <v>4</v>
      </c>
      <c r="T6237" s="47">
        <v>0</v>
      </c>
      <c r="U6237" s="47">
        <v>0</v>
      </c>
      <c r="V6237" s="47">
        <v>0</v>
      </c>
      <c r="W6237" s="47">
        <v>6000</v>
      </c>
      <c r="X6237" s="47">
        <v>1016</v>
      </c>
      <c r="Y6237" s="47"/>
      <c r="Z6237" s="47" t="s">
        <v>2466</v>
      </c>
      <c r="AA6237" s="49"/>
      <c r="AB6237" s="49"/>
      <c r="AC6237" s="49"/>
      <c r="AD6237" s="50"/>
      <c r="AE6237" s="47" t="s">
        <v>1312</v>
      </c>
      <c r="AF6237" s="47">
        <v>205</v>
      </c>
      <c r="AG6237"/>
      <c r="AH6237"/>
      <c r="AI6237"/>
      <c r="AJ6237"/>
      <c r="AK6237"/>
      <c r="AL6237"/>
      <c r="AM6237"/>
      <c r="AN6237"/>
      <c r="AO6237"/>
      <c r="AP6237"/>
      <c r="AQ6237" t="s">
        <v>2526</v>
      </c>
      <c r="AU6237">
        <v>6236</v>
      </c>
    </row>
    <row r="6238" spans="1:47" x14ac:dyDescent="0.2">
      <c r="A6238" s="133">
        <v>6833</v>
      </c>
      <c r="B6238" s="39" t="s">
        <v>45</v>
      </c>
      <c r="C6238" s="39">
        <v>216</v>
      </c>
      <c r="D6238" s="29" t="b">
        <v>0</v>
      </c>
      <c r="E6238" s="39" t="s">
        <v>1551</v>
      </c>
      <c r="F6238" s="47" t="s">
        <v>529</v>
      </c>
      <c r="G6238" s="47" t="s">
        <v>205</v>
      </c>
      <c r="H6238"/>
      <c r="I6238" s="47" t="b">
        <v>0</v>
      </c>
      <c r="J6238" s="47" t="b">
        <v>0</v>
      </c>
      <c r="K6238" s="47">
        <v>1792</v>
      </c>
      <c r="L6238" s="48">
        <v>1</v>
      </c>
      <c r="M6238" s="47">
        <v>0</v>
      </c>
      <c r="N6238" s="47">
        <v>0</v>
      </c>
      <c r="O6238" s="47">
        <v>0</v>
      </c>
      <c r="P6238" s="47">
        <v>0</v>
      </c>
      <c r="Q6238" s="47">
        <v>0</v>
      </c>
      <c r="R6238" s="47">
        <v>0</v>
      </c>
      <c r="S6238" s="48">
        <v>1</v>
      </c>
      <c r="T6238" s="47">
        <v>0</v>
      </c>
      <c r="U6238" s="47">
        <v>0</v>
      </c>
      <c r="V6238" s="47">
        <v>0</v>
      </c>
      <c r="W6238" s="47">
        <v>3000</v>
      </c>
      <c r="X6238" s="47">
        <v>1018</v>
      </c>
      <c r="Y6238" s="47"/>
      <c r="Z6238" s="47" t="s">
        <v>2466</v>
      </c>
      <c r="AA6238" s="49"/>
      <c r="AB6238" s="49"/>
      <c r="AC6238" s="49"/>
      <c r="AD6238" s="50"/>
      <c r="AE6238" s="47" t="s">
        <v>1312</v>
      </c>
      <c r="AF6238" s="47">
        <v>60</v>
      </c>
      <c r="AG6238"/>
      <c r="AH6238"/>
      <c r="AI6238"/>
      <c r="AJ6238"/>
      <c r="AK6238"/>
      <c r="AL6238"/>
      <c r="AM6238"/>
      <c r="AN6238"/>
      <c r="AO6238"/>
      <c r="AP6238"/>
      <c r="AQ6238" t="s">
        <v>2526</v>
      </c>
      <c r="AU6238">
        <v>6237</v>
      </c>
    </row>
    <row r="6239" spans="1:47" x14ac:dyDescent="0.2">
      <c r="A6239" s="133">
        <v>6833</v>
      </c>
      <c r="B6239" s="39" t="s">
        <v>45</v>
      </c>
      <c r="C6239" s="39">
        <v>216</v>
      </c>
      <c r="D6239" s="29" t="b">
        <v>0</v>
      </c>
      <c r="E6239" s="39" t="s">
        <v>1168</v>
      </c>
      <c r="F6239" s="47" t="s">
        <v>2398</v>
      </c>
      <c r="G6239" s="47" t="s">
        <v>49</v>
      </c>
      <c r="H6239"/>
      <c r="I6239" s="47" t="b">
        <v>0</v>
      </c>
      <c r="J6239" s="47" t="b">
        <v>0</v>
      </c>
      <c r="K6239" s="47">
        <v>1792</v>
      </c>
      <c r="L6239" s="48">
        <v>1</v>
      </c>
      <c r="M6239" s="47">
        <v>0</v>
      </c>
      <c r="N6239" s="47">
        <v>0</v>
      </c>
      <c r="O6239" s="47">
        <v>0</v>
      </c>
      <c r="P6239" s="47">
        <v>0</v>
      </c>
      <c r="Q6239" s="47">
        <v>0</v>
      </c>
      <c r="R6239" s="47">
        <v>0</v>
      </c>
      <c r="S6239" s="48">
        <v>1</v>
      </c>
      <c r="T6239" s="47">
        <v>0</v>
      </c>
      <c r="U6239" s="47">
        <v>0</v>
      </c>
      <c r="V6239" s="47">
        <v>0</v>
      </c>
      <c r="W6239" s="47">
        <v>3000</v>
      </c>
      <c r="X6239" s="47">
        <v>1020</v>
      </c>
      <c r="Y6239" s="47"/>
      <c r="Z6239" s="47" t="s">
        <v>2466</v>
      </c>
      <c r="AA6239" s="49"/>
      <c r="AB6239" s="49"/>
      <c r="AC6239" s="49"/>
      <c r="AD6239" s="50"/>
      <c r="AE6239" s="47" t="s">
        <v>1312</v>
      </c>
      <c r="AF6239" s="47">
        <v>60</v>
      </c>
      <c r="AG6239"/>
      <c r="AH6239"/>
      <c r="AI6239"/>
      <c r="AJ6239"/>
      <c r="AK6239"/>
      <c r="AL6239"/>
      <c r="AM6239"/>
      <c r="AN6239"/>
      <c r="AO6239"/>
      <c r="AP6239"/>
      <c r="AQ6239" t="s">
        <v>2526</v>
      </c>
      <c r="AU6239">
        <v>6238</v>
      </c>
    </row>
    <row r="6240" spans="1:47" x14ac:dyDescent="0.2">
      <c r="A6240" s="13">
        <v>6833</v>
      </c>
      <c r="B6240" s="57" t="s">
        <v>45</v>
      </c>
      <c r="C6240" s="57" t="s">
        <v>142</v>
      </c>
      <c r="D6240" s="29"/>
      <c r="E6240" s="57" t="s">
        <v>7067</v>
      </c>
      <c r="F6240" s="31" t="s">
        <v>6463</v>
      </c>
      <c r="G6240" s="31" t="s">
        <v>49</v>
      </c>
      <c r="I6240" s="47" t="b">
        <v>1</v>
      </c>
      <c r="J6240" s="47" t="b">
        <v>1</v>
      </c>
      <c r="K6240" s="31">
        <f>6075*2.2</f>
        <v>13365.000000000002</v>
      </c>
      <c r="L6240" s="33">
        <v>18</v>
      </c>
      <c r="S6240" s="33">
        <v>18</v>
      </c>
      <c r="T6240" s="31">
        <v>0</v>
      </c>
      <c r="U6240" s="31">
        <v>0</v>
      </c>
      <c r="V6240" s="31">
        <v>0</v>
      </c>
      <c r="Y6240" s="31" t="s">
        <v>51</v>
      </c>
      <c r="Z6240" s="31" t="s">
        <v>5406</v>
      </c>
      <c r="AE6240" s="31" t="s">
        <v>2470</v>
      </c>
      <c r="AK6240" s="32">
        <f>13+95+9+1+18</f>
        <v>136</v>
      </c>
      <c r="AQ6240" s="32" t="s">
        <v>7068</v>
      </c>
      <c r="AR6240" s="32" t="s">
        <v>7069</v>
      </c>
      <c r="AU6240">
        <v>6239</v>
      </c>
    </row>
    <row r="6241" spans="1:47" x14ac:dyDescent="0.2">
      <c r="A6241" s="13">
        <v>6833</v>
      </c>
      <c r="B6241" s="57" t="s">
        <v>45</v>
      </c>
      <c r="C6241" s="57" t="s">
        <v>142</v>
      </c>
      <c r="D6241" s="29"/>
      <c r="E6241" s="57" t="s">
        <v>3875</v>
      </c>
      <c r="F6241" s="31" t="s">
        <v>76</v>
      </c>
      <c r="G6241" s="31" t="s">
        <v>49</v>
      </c>
      <c r="I6241" s="47" t="b">
        <v>0</v>
      </c>
      <c r="J6241" s="47" t="b">
        <v>0</v>
      </c>
      <c r="K6241" s="31">
        <v>4895</v>
      </c>
      <c r="S6241" s="33">
        <v>6</v>
      </c>
      <c r="AE6241" s="31" t="s">
        <v>2470</v>
      </c>
      <c r="AF6241" s="31">
        <v>55</v>
      </c>
      <c r="AK6241" s="32">
        <v>46</v>
      </c>
      <c r="AQ6241" s="32" t="s">
        <v>7070</v>
      </c>
      <c r="AU6241">
        <v>6240</v>
      </c>
    </row>
    <row r="6242" spans="1:47" x14ac:dyDescent="0.2">
      <c r="A6242" s="13">
        <v>6833</v>
      </c>
      <c r="B6242" s="57" t="s">
        <v>45</v>
      </c>
      <c r="C6242" s="57" t="s">
        <v>142</v>
      </c>
      <c r="D6242" s="29"/>
      <c r="E6242" s="57" t="s">
        <v>3936</v>
      </c>
      <c r="F6242" s="31" t="s">
        <v>76</v>
      </c>
      <c r="G6242" s="31" t="s">
        <v>49</v>
      </c>
      <c r="I6242" s="47" t="b">
        <v>0</v>
      </c>
      <c r="J6242" s="47" t="b">
        <v>0</v>
      </c>
      <c r="K6242" s="31">
        <v>3630</v>
      </c>
      <c r="S6242" s="33">
        <v>5</v>
      </c>
      <c r="AE6242" s="31" t="s">
        <v>2470</v>
      </c>
      <c r="AF6242" s="31">
        <v>55</v>
      </c>
      <c r="AK6242" s="32">
        <v>33</v>
      </c>
      <c r="AQ6242" s="32" t="s">
        <v>7070</v>
      </c>
      <c r="AU6242">
        <v>6241</v>
      </c>
    </row>
    <row r="6243" spans="1:47" x14ac:dyDescent="0.2">
      <c r="A6243" s="13">
        <v>6833</v>
      </c>
      <c r="B6243" s="57" t="s">
        <v>45</v>
      </c>
      <c r="C6243" s="57" t="s">
        <v>142</v>
      </c>
      <c r="D6243" s="29"/>
      <c r="E6243" s="57" t="s">
        <v>1064</v>
      </c>
      <c r="F6243" s="31" t="s">
        <v>76</v>
      </c>
      <c r="G6243" s="31" t="s">
        <v>49</v>
      </c>
      <c r="I6243" s="47" t="b">
        <v>0</v>
      </c>
      <c r="J6243" s="47" t="b">
        <v>0</v>
      </c>
      <c r="K6243" s="31">
        <v>1265</v>
      </c>
      <c r="S6243" s="33">
        <v>2</v>
      </c>
      <c r="AE6243" s="31" t="s">
        <v>2470</v>
      </c>
      <c r="AF6243" s="31">
        <v>50</v>
      </c>
      <c r="AK6243" s="32">
        <v>13</v>
      </c>
      <c r="AQ6243" s="32" t="s">
        <v>7070</v>
      </c>
      <c r="AU6243">
        <v>6242</v>
      </c>
    </row>
    <row r="6244" spans="1:47" x14ac:dyDescent="0.2">
      <c r="A6244" s="13">
        <v>6833</v>
      </c>
      <c r="B6244" s="57" t="s">
        <v>45</v>
      </c>
      <c r="C6244" s="57" t="s">
        <v>142</v>
      </c>
      <c r="D6244" s="29"/>
      <c r="E6244" s="57" t="s">
        <v>3885</v>
      </c>
      <c r="F6244" s="31" t="s">
        <v>76</v>
      </c>
      <c r="G6244" s="31" t="s">
        <v>49</v>
      </c>
      <c r="I6244" s="47" t="b">
        <v>0</v>
      </c>
      <c r="J6244" s="47" t="b">
        <v>0</v>
      </c>
      <c r="K6244" s="31">
        <v>1320</v>
      </c>
      <c r="S6244" s="33">
        <v>2</v>
      </c>
      <c r="AE6244" s="31" t="s">
        <v>2470</v>
      </c>
      <c r="AF6244" s="31">
        <v>50</v>
      </c>
      <c r="AK6244" s="32">
        <v>12</v>
      </c>
      <c r="AQ6244" s="32" t="s">
        <v>7070</v>
      </c>
      <c r="AU6244">
        <v>6243</v>
      </c>
    </row>
    <row r="6245" spans="1:47" x14ac:dyDescent="0.2">
      <c r="A6245" s="13">
        <v>6833</v>
      </c>
      <c r="B6245" s="57" t="s">
        <v>45</v>
      </c>
      <c r="C6245" s="57" t="s">
        <v>142</v>
      </c>
      <c r="D6245" s="29"/>
      <c r="E6245" s="57" t="s">
        <v>3876</v>
      </c>
      <c r="F6245" s="31" t="s">
        <v>76</v>
      </c>
      <c r="G6245" s="31" t="s">
        <v>49</v>
      </c>
      <c r="I6245" s="47" t="b">
        <v>0</v>
      </c>
      <c r="J6245" s="47" t="b">
        <v>0</v>
      </c>
      <c r="K6245" s="31">
        <v>1540</v>
      </c>
      <c r="S6245" s="33">
        <v>2</v>
      </c>
      <c r="AE6245" s="31" t="s">
        <v>2470</v>
      </c>
      <c r="AF6245" s="31">
        <v>70</v>
      </c>
      <c r="AK6245" s="32">
        <v>22</v>
      </c>
      <c r="AQ6245" s="32" t="s">
        <v>7070</v>
      </c>
      <c r="AU6245">
        <v>6244</v>
      </c>
    </row>
    <row r="6246" spans="1:47" x14ac:dyDescent="0.2">
      <c r="A6246" s="13">
        <v>6833</v>
      </c>
      <c r="B6246" s="57" t="s">
        <v>45</v>
      </c>
      <c r="C6246" s="57" t="s">
        <v>142</v>
      </c>
      <c r="D6246" s="29"/>
      <c r="E6246" s="57" t="s">
        <v>4921</v>
      </c>
      <c r="F6246" s="31" t="s">
        <v>76</v>
      </c>
      <c r="G6246" s="31" t="s">
        <v>49</v>
      </c>
      <c r="I6246" s="47" t="b">
        <v>0</v>
      </c>
      <c r="J6246" s="47" t="b">
        <v>0</v>
      </c>
      <c r="K6246" s="31">
        <v>715</v>
      </c>
      <c r="S6246" s="33">
        <v>1</v>
      </c>
      <c r="AE6246" s="31" t="s">
        <v>2470</v>
      </c>
      <c r="AF6246" s="31">
        <v>70</v>
      </c>
      <c r="AK6246" s="32">
        <v>10</v>
      </c>
      <c r="AQ6246" s="32" t="s">
        <v>7070</v>
      </c>
      <c r="AU6246">
        <v>6245</v>
      </c>
    </row>
    <row r="6247" spans="1:47" x14ac:dyDescent="0.2">
      <c r="A6247" s="13">
        <v>6833</v>
      </c>
      <c r="B6247" s="57" t="s">
        <v>45</v>
      </c>
      <c r="C6247" s="57" t="s">
        <v>1367</v>
      </c>
      <c r="D6247" s="29"/>
      <c r="E6247" s="57" t="s">
        <v>3063</v>
      </c>
      <c r="F6247" s="31" t="s">
        <v>76</v>
      </c>
      <c r="G6247" s="31" t="s">
        <v>49</v>
      </c>
      <c r="I6247" s="31" t="s">
        <v>7071</v>
      </c>
      <c r="K6247" s="31">
        <f>13521.2-3872</f>
        <v>9649.2000000000007</v>
      </c>
      <c r="Z6247" s="31" t="s">
        <v>1846</v>
      </c>
      <c r="AE6247" s="31" t="s">
        <v>4176</v>
      </c>
      <c r="AF6247" s="31">
        <v>100</v>
      </c>
      <c r="AK6247" s="32">
        <v>108</v>
      </c>
      <c r="AQ6247" s="32" t="s">
        <v>7021</v>
      </c>
      <c r="AU6247">
        <v>6246</v>
      </c>
    </row>
    <row r="6248" spans="1:47" x14ac:dyDescent="0.2">
      <c r="A6248" s="13">
        <v>6833</v>
      </c>
      <c r="B6248" s="57" t="s">
        <v>45</v>
      </c>
      <c r="C6248" s="57" t="s">
        <v>1367</v>
      </c>
      <c r="D6248" s="29"/>
      <c r="E6248" s="57" t="s">
        <v>2191</v>
      </c>
      <c r="F6248" s="31" t="s">
        <v>76</v>
      </c>
      <c r="G6248" s="31" t="s">
        <v>49</v>
      </c>
      <c r="I6248" s="31" t="s">
        <v>7071</v>
      </c>
      <c r="K6248" s="31">
        <f>13802.8-1938</f>
        <v>11864.8</v>
      </c>
      <c r="Z6248" s="31" t="s">
        <v>1846</v>
      </c>
      <c r="AE6248" s="31" t="s">
        <v>4176</v>
      </c>
      <c r="AF6248" s="31">
        <v>80</v>
      </c>
      <c r="AK6248" s="32">
        <v>60</v>
      </c>
      <c r="AQ6248" s="32" t="s">
        <v>7021</v>
      </c>
      <c r="AU6248">
        <v>6247</v>
      </c>
    </row>
    <row r="6249" spans="1:47" x14ac:dyDescent="0.2">
      <c r="A6249" s="13">
        <v>6833</v>
      </c>
      <c r="B6249" s="57" t="s">
        <v>45</v>
      </c>
      <c r="C6249" s="57" t="s">
        <v>4456</v>
      </c>
      <c r="D6249" s="29"/>
      <c r="E6249" s="57" t="s">
        <v>788</v>
      </c>
      <c r="F6249" s="31" t="s">
        <v>76</v>
      </c>
      <c r="G6249" s="31" t="s">
        <v>49</v>
      </c>
      <c r="I6249" s="31" t="s">
        <v>7072</v>
      </c>
      <c r="K6249" s="31">
        <v>2816</v>
      </c>
      <c r="L6249" s="33">
        <v>3</v>
      </c>
      <c r="S6249" s="33">
        <v>3</v>
      </c>
      <c r="T6249" s="31">
        <v>0</v>
      </c>
      <c r="U6249" s="31">
        <v>0</v>
      </c>
      <c r="V6249" s="31">
        <v>0</v>
      </c>
      <c r="W6249" s="47">
        <f>((2500+2100+2500)/3)*39.37/12</f>
        <v>7764.6388888888878</v>
      </c>
      <c r="Y6249" s="19" t="s">
        <v>51</v>
      </c>
      <c r="Z6249" s="19" t="s">
        <v>1846</v>
      </c>
      <c r="AA6249" s="34">
        <v>3.472222222222222E-3</v>
      </c>
      <c r="AB6249" s="34">
        <v>0.1875</v>
      </c>
      <c r="AC6249" s="49">
        <f>AVERAGE(AA6249:AB6249)</f>
        <v>9.5486111111111105E-2</v>
      </c>
      <c r="AD6249" s="50">
        <f>1+55/60</f>
        <v>1.9166666666666665</v>
      </c>
      <c r="AE6249" s="31" t="s">
        <v>4176</v>
      </c>
      <c r="AF6249" s="31">
        <v>70</v>
      </c>
      <c r="AK6249" s="32">
        <v>32</v>
      </c>
      <c r="AQ6249" s="32" t="s">
        <v>7073</v>
      </c>
      <c r="AU6249">
        <v>6248</v>
      </c>
    </row>
    <row r="6250" spans="1:47" x14ac:dyDescent="0.2">
      <c r="A6250" s="13">
        <v>6833</v>
      </c>
      <c r="B6250" s="57" t="s">
        <v>45</v>
      </c>
      <c r="C6250" s="57" t="s">
        <v>4456</v>
      </c>
      <c r="D6250" s="29"/>
      <c r="E6250" s="57" t="s">
        <v>4027</v>
      </c>
      <c r="F6250" s="31" t="s">
        <v>76</v>
      </c>
      <c r="G6250" s="31" t="s">
        <v>49</v>
      </c>
      <c r="I6250" s="31" t="s">
        <v>7074</v>
      </c>
      <c r="K6250" s="31">
        <v>968</v>
      </c>
      <c r="L6250" s="33">
        <v>1</v>
      </c>
      <c r="S6250" s="33">
        <v>1</v>
      </c>
      <c r="T6250" s="31">
        <v>0</v>
      </c>
      <c r="U6250" s="31">
        <v>0</v>
      </c>
      <c r="V6250" s="31">
        <v>0</v>
      </c>
      <c r="W6250" s="47">
        <f>2800*39.37/12</f>
        <v>9186.3333333333339</v>
      </c>
      <c r="Y6250" s="19" t="s">
        <v>51</v>
      </c>
      <c r="Z6250" s="19" t="s">
        <v>1846</v>
      </c>
      <c r="AA6250" s="34">
        <v>0.86111111111111116</v>
      </c>
      <c r="AB6250" s="34">
        <v>1.0902777777777779</v>
      </c>
      <c r="AC6250" s="49">
        <f>AVERAGE(AA6250:AB6250)</f>
        <v>0.97569444444444453</v>
      </c>
      <c r="AD6250" s="50">
        <f>(AB6250-AA6250)*24</f>
        <v>5.5000000000000018</v>
      </c>
      <c r="AE6250" s="31" t="s">
        <v>4176</v>
      </c>
      <c r="AF6250" s="31">
        <v>90</v>
      </c>
      <c r="AK6250" s="32">
        <v>12</v>
      </c>
      <c r="AQ6250" s="32" t="s">
        <v>7073</v>
      </c>
      <c r="AU6250">
        <v>6249</v>
      </c>
    </row>
    <row r="6251" spans="1:47" x14ac:dyDescent="0.2">
      <c r="A6251" s="13">
        <v>6833</v>
      </c>
      <c r="B6251" s="57" t="s">
        <v>45</v>
      </c>
      <c r="C6251" s="57" t="s">
        <v>4456</v>
      </c>
      <c r="D6251" s="29"/>
      <c r="E6251" s="57" t="s">
        <v>3063</v>
      </c>
      <c r="F6251" s="31" t="s">
        <v>76</v>
      </c>
      <c r="G6251" s="31" t="s">
        <v>49</v>
      </c>
      <c r="I6251" s="31" t="s">
        <v>7075</v>
      </c>
      <c r="K6251" s="135">
        <f>968*4</f>
        <v>3872</v>
      </c>
      <c r="L6251" s="33">
        <v>4</v>
      </c>
      <c r="S6251" s="33">
        <v>4</v>
      </c>
      <c r="T6251" s="31">
        <v>0</v>
      </c>
      <c r="U6251" s="31">
        <v>0</v>
      </c>
      <c r="V6251" s="31">
        <v>0</v>
      </c>
      <c r="W6251" s="47">
        <f>((2400+2700+2600+2400)/4)*39.37/12</f>
        <v>8284.1041666666661</v>
      </c>
      <c r="Y6251" s="19" t="s">
        <v>51</v>
      </c>
      <c r="Z6251" s="19" t="s">
        <v>1846</v>
      </c>
      <c r="AA6251" s="34">
        <v>0.84722222222222221</v>
      </c>
      <c r="AB6251" s="34">
        <v>1.1388888888888888</v>
      </c>
      <c r="AC6251" s="49">
        <f>AVERAGE(AA6251:AB6251)</f>
        <v>0.99305555555555558</v>
      </c>
      <c r="AD6251" s="50">
        <v>3</v>
      </c>
      <c r="AE6251" s="31" t="s">
        <v>4176</v>
      </c>
      <c r="AF6251" s="31">
        <v>100</v>
      </c>
      <c r="AK6251" s="130">
        <f>4*12</f>
        <v>48</v>
      </c>
      <c r="AQ6251" s="32" t="s">
        <v>7073</v>
      </c>
      <c r="AU6251">
        <v>6250</v>
      </c>
    </row>
    <row r="6252" spans="1:47" x14ac:dyDescent="0.2">
      <c r="A6252" s="13">
        <v>6833</v>
      </c>
      <c r="B6252" s="57" t="s">
        <v>45</v>
      </c>
      <c r="C6252" s="57" t="s">
        <v>4456</v>
      </c>
      <c r="D6252" s="29"/>
      <c r="E6252" s="57" t="s">
        <v>2191</v>
      </c>
      <c r="F6252" s="31" t="s">
        <v>76</v>
      </c>
      <c r="G6252" s="31" t="s">
        <v>49</v>
      </c>
      <c r="I6252" s="31" t="s">
        <v>7076</v>
      </c>
      <c r="K6252" s="135">
        <f>968*2</f>
        <v>1936</v>
      </c>
      <c r="L6252" s="33">
        <v>2</v>
      </c>
      <c r="S6252" s="33">
        <v>2</v>
      </c>
      <c r="T6252" s="31">
        <v>0</v>
      </c>
      <c r="U6252" s="31">
        <v>0</v>
      </c>
      <c r="V6252" s="31">
        <v>0</v>
      </c>
      <c r="W6252" s="47">
        <f>((2500+2500)/2)*39.37/12</f>
        <v>8202.0833333333339</v>
      </c>
      <c r="Y6252" s="19" t="s">
        <v>51</v>
      </c>
      <c r="Z6252" s="19" t="s">
        <v>1846</v>
      </c>
      <c r="AA6252" s="34">
        <v>5.2083333333333336E-2</v>
      </c>
      <c r="AB6252" s="34">
        <v>0.1388888888888889</v>
      </c>
      <c r="AC6252" s="49">
        <f>AVERAGE(AA6252:AB6252)</f>
        <v>9.5486111111111119E-2</v>
      </c>
      <c r="AD6252" s="50">
        <f>2+5/60</f>
        <v>2.0833333333333335</v>
      </c>
      <c r="AE6252" s="31" t="s">
        <v>4176</v>
      </c>
      <c r="AF6252" s="31">
        <v>80</v>
      </c>
      <c r="AK6252" s="130">
        <f>2*12</f>
        <v>24</v>
      </c>
      <c r="AQ6252" s="32" t="s">
        <v>7073</v>
      </c>
      <c r="AU6252">
        <v>6251</v>
      </c>
    </row>
    <row r="6253" spans="1:47" x14ac:dyDescent="0.2">
      <c r="A6253" s="13">
        <v>6833</v>
      </c>
      <c r="B6253" s="57" t="s">
        <v>45</v>
      </c>
      <c r="C6253" s="57" t="s">
        <v>4456</v>
      </c>
      <c r="D6253" s="29"/>
      <c r="E6253" s="57" t="s">
        <v>199</v>
      </c>
      <c r="F6253" s="31" t="s">
        <v>7077</v>
      </c>
      <c r="G6253" s="31" t="s">
        <v>49</v>
      </c>
      <c r="I6253" s="31" t="s">
        <v>7078</v>
      </c>
      <c r="K6253" s="135">
        <v>968</v>
      </c>
      <c r="L6253" s="33">
        <v>1</v>
      </c>
      <c r="S6253" s="33">
        <v>1</v>
      </c>
      <c r="T6253" s="31">
        <v>0</v>
      </c>
      <c r="U6253" s="31">
        <v>0</v>
      </c>
      <c r="V6253" s="31">
        <v>0</v>
      </c>
      <c r="W6253" s="47">
        <f>2200*39.37/12</f>
        <v>7217.833333333333</v>
      </c>
      <c r="Y6253" s="19" t="s">
        <v>51</v>
      </c>
      <c r="Z6253" s="19" t="s">
        <v>1846</v>
      </c>
      <c r="AA6253" s="34">
        <v>0.85416666666666663</v>
      </c>
      <c r="AB6253" s="34">
        <v>0.9375</v>
      </c>
      <c r="AC6253" s="49">
        <f>AVERAGE(AA6253:AB6253)</f>
        <v>0.89583333333333326</v>
      </c>
      <c r="AD6253" s="50">
        <f>(AB6253-AA6253)*24</f>
        <v>2.0000000000000009</v>
      </c>
      <c r="AE6253" s="31" t="s">
        <v>4176</v>
      </c>
      <c r="AF6253" s="31">
        <v>85</v>
      </c>
      <c r="AK6253" s="130">
        <v>12</v>
      </c>
      <c r="AQ6253" s="32" t="s">
        <v>7073</v>
      </c>
      <c r="AU6253">
        <v>6252</v>
      </c>
    </row>
    <row r="6254" spans="1:47" x14ac:dyDescent="0.2">
      <c r="A6254" s="13">
        <v>6833</v>
      </c>
      <c r="B6254" s="57" t="s">
        <v>45</v>
      </c>
      <c r="C6254" s="57" t="s">
        <v>4843</v>
      </c>
      <c r="D6254" s="29"/>
      <c r="E6254" s="57" t="s">
        <v>1078</v>
      </c>
      <c r="F6254" s="31" t="s">
        <v>76</v>
      </c>
      <c r="G6254" s="31" t="s">
        <v>49</v>
      </c>
      <c r="K6254" s="31">
        <v>1540</v>
      </c>
      <c r="S6254" s="33">
        <v>3</v>
      </c>
      <c r="Z6254" s="31" t="s">
        <v>3814</v>
      </c>
      <c r="AE6254" s="31" t="s">
        <v>4411</v>
      </c>
      <c r="AF6254" s="31">
        <v>70</v>
      </c>
      <c r="AK6254" s="32">
        <v>15</v>
      </c>
      <c r="AQ6254" s="32" t="s">
        <v>7070</v>
      </c>
      <c r="AU6254">
        <v>6253</v>
      </c>
    </row>
    <row r="6255" spans="1:47" x14ac:dyDescent="0.2">
      <c r="A6255" s="13">
        <v>6833</v>
      </c>
      <c r="B6255" s="57" t="s">
        <v>45</v>
      </c>
      <c r="C6255" s="57" t="s">
        <v>4843</v>
      </c>
      <c r="D6255" s="29"/>
      <c r="E6255" s="57" t="s">
        <v>3875</v>
      </c>
      <c r="F6255" s="31" t="s">
        <v>76</v>
      </c>
      <c r="G6255" s="31" t="s">
        <v>49</v>
      </c>
      <c r="K6255" s="31">
        <v>1100</v>
      </c>
      <c r="S6255" s="33">
        <v>2</v>
      </c>
      <c r="Z6255" s="31" t="s">
        <v>3814</v>
      </c>
      <c r="AE6255" s="31" t="s">
        <v>4411</v>
      </c>
      <c r="AF6255" s="31">
        <v>55</v>
      </c>
      <c r="AK6255" s="32">
        <v>10</v>
      </c>
      <c r="AQ6255" s="32" t="s">
        <v>7070</v>
      </c>
      <c r="AU6255">
        <v>6254</v>
      </c>
    </row>
    <row r="6256" spans="1:47" x14ac:dyDescent="0.2">
      <c r="A6256" s="13">
        <v>6833</v>
      </c>
      <c r="B6256" s="57" t="s">
        <v>45</v>
      </c>
      <c r="C6256" s="57" t="s">
        <v>4843</v>
      </c>
      <c r="D6256" s="29"/>
      <c r="E6256" s="57" t="s">
        <v>5772</v>
      </c>
      <c r="F6256" s="31" t="s">
        <v>6354</v>
      </c>
      <c r="G6256" s="31" t="s">
        <v>69</v>
      </c>
      <c r="K6256" s="31">
        <v>4026</v>
      </c>
      <c r="S6256" s="33">
        <v>7</v>
      </c>
      <c r="Z6256" s="31" t="s">
        <v>3814</v>
      </c>
      <c r="AE6256" s="31" t="s">
        <v>4411</v>
      </c>
      <c r="AF6256" s="31">
        <v>70</v>
      </c>
      <c r="AK6256" s="32">
        <v>43</v>
      </c>
      <c r="AQ6256" s="32" t="s">
        <v>7070</v>
      </c>
      <c r="AU6256">
        <v>6255</v>
      </c>
    </row>
    <row r="6257" spans="1:47" x14ac:dyDescent="0.2">
      <c r="A6257" s="13">
        <v>6833</v>
      </c>
      <c r="B6257" s="57" t="s">
        <v>45</v>
      </c>
      <c r="C6257" s="57" t="s">
        <v>4843</v>
      </c>
      <c r="D6257" s="29"/>
      <c r="E6257" s="57" t="s">
        <v>6527</v>
      </c>
      <c r="F6257" s="31" t="s">
        <v>76</v>
      </c>
      <c r="G6257" s="31" t="s">
        <v>49</v>
      </c>
      <c r="K6257" s="31">
        <v>792</v>
      </c>
      <c r="S6257" s="33">
        <v>1</v>
      </c>
      <c r="Z6257" s="31" t="s">
        <v>3814</v>
      </c>
      <c r="AE6257" s="31" t="s">
        <v>4411</v>
      </c>
      <c r="AF6257" s="31">
        <v>100</v>
      </c>
      <c r="AK6257" s="32">
        <v>8</v>
      </c>
      <c r="AQ6257" s="32" t="s">
        <v>7070</v>
      </c>
      <c r="AU6257">
        <v>6256</v>
      </c>
    </row>
    <row r="6258" spans="1:47" x14ac:dyDescent="0.2">
      <c r="A6258" s="13">
        <v>6833</v>
      </c>
      <c r="B6258" s="57" t="s">
        <v>45</v>
      </c>
      <c r="C6258" s="57" t="s">
        <v>4843</v>
      </c>
      <c r="D6258" s="29"/>
      <c r="E6258" s="57" t="s">
        <v>3876</v>
      </c>
      <c r="F6258" s="31" t="s">
        <v>76</v>
      </c>
      <c r="G6258" s="31" t="s">
        <v>49</v>
      </c>
      <c r="K6258" s="31">
        <v>9900</v>
      </c>
      <c r="S6258" s="33">
        <v>17</v>
      </c>
      <c r="Z6258" s="31" t="s">
        <v>3814</v>
      </c>
      <c r="AE6258" s="31" t="s">
        <v>4411</v>
      </c>
      <c r="AF6258" s="31">
        <v>70</v>
      </c>
      <c r="AK6258" s="32">
        <v>122</v>
      </c>
      <c r="AQ6258" s="32" t="s">
        <v>7070</v>
      </c>
      <c r="AU6258">
        <v>6257</v>
      </c>
    </row>
    <row r="6259" spans="1:47" x14ac:dyDescent="0.2">
      <c r="A6259" s="13">
        <v>6833</v>
      </c>
      <c r="B6259" s="57" t="s">
        <v>45</v>
      </c>
      <c r="C6259" s="57" t="s">
        <v>6550</v>
      </c>
      <c r="D6259" s="29"/>
      <c r="E6259" s="57" t="s">
        <v>5937</v>
      </c>
      <c r="F6259" s="31" t="s">
        <v>76</v>
      </c>
      <c r="G6259" s="31" t="s">
        <v>49</v>
      </c>
      <c r="K6259" s="31">
        <v>220</v>
      </c>
      <c r="AK6259" s="32">
        <v>2</v>
      </c>
      <c r="AQ6259" s="32" t="s">
        <v>6824</v>
      </c>
      <c r="AU6259">
        <v>6258</v>
      </c>
    </row>
    <row r="6260" spans="1:47" x14ac:dyDescent="0.2">
      <c r="A6260" s="13">
        <v>6833</v>
      </c>
      <c r="B6260" s="57" t="s">
        <v>45</v>
      </c>
      <c r="C6260" s="57" t="s">
        <v>6550</v>
      </c>
      <c r="D6260" s="29"/>
      <c r="E6260" s="57" t="s">
        <v>5781</v>
      </c>
      <c r="K6260" s="31">
        <v>297</v>
      </c>
      <c r="AK6260" s="32">
        <v>3</v>
      </c>
      <c r="AQ6260" s="32" t="s">
        <v>6824</v>
      </c>
      <c r="AU6260">
        <v>6259</v>
      </c>
    </row>
    <row r="6261" spans="1:47" x14ac:dyDescent="0.2">
      <c r="A6261" s="13">
        <v>6833</v>
      </c>
      <c r="B6261" s="57" t="s">
        <v>45</v>
      </c>
      <c r="C6261" s="57" t="s">
        <v>6550</v>
      </c>
      <c r="D6261" s="29"/>
      <c r="E6261" s="57" t="s">
        <v>3884</v>
      </c>
      <c r="K6261" s="31">
        <v>440</v>
      </c>
      <c r="AK6261" s="32">
        <v>4</v>
      </c>
      <c r="AQ6261" s="32" t="s">
        <v>6824</v>
      </c>
      <c r="AU6261">
        <v>6260</v>
      </c>
    </row>
    <row r="6262" spans="1:47" x14ac:dyDescent="0.2">
      <c r="A6262" s="13">
        <v>6833</v>
      </c>
      <c r="B6262" s="57" t="s">
        <v>45</v>
      </c>
      <c r="C6262" s="57" t="s">
        <v>6550</v>
      </c>
      <c r="D6262" s="29"/>
      <c r="E6262" s="57" t="s">
        <v>7079</v>
      </c>
      <c r="K6262" s="31">
        <v>550</v>
      </c>
      <c r="AK6262" s="32">
        <v>5</v>
      </c>
      <c r="AQ6262" s="32" t="s">
        <v>6824</v>
      </c>
      <c r="AU6262">
        <v>6261</v>
      </c>
    </row>
    <row r="6263" spans="1:47" x14ac:dyDescent="0.2">
      <c r="A6263" s="13">
        <v>6833</v>
      </c>
      <c r="B6263" s="57" t="s">
        <v>45</v>
      </c>
      <c r="C6263" s="57" t="s">
        <v>6550</v>
      </c>
      <c r="D6263" s="29"/>
      <c r="E6263" s="57" t="s">
        <v>7080</v>
      </c>
      <c r="F6263" s="31" t="s">
        <v>76</v>
      </c>
      <c r="G6263" s="31" t="s">
        <v>49</v>
      </c>
      <c r="K6263" s="31">
        <v>550</v>
      </c>
      <c r="AK6263" s="32">
        <v>5</v>
      </c>
      <c r="AQ6263" s="32" t="s">
        <v>6824</v>
      </c>
      <c r="AU6263">
        <v>6262</v>
      </c>
    </row>
    <row r="6264" spans="1:47" x14ac:dyDescent="0.2">
      <c r="A6264" s="13">
        <v>6833</v>
      </c>
      <c r="B6264" s="57" t="s">
        <v>45</v>
      </c>
      <c r="C6264" s="57" t="s">
        <v>6550</v>
      </c>
      <c r="D6264" s="29"/>
      <c r="E6264" s="57" t="s">
        <v>1397</v>
      </c>
      <c r="F6264" s="31" t="s">
        <v>76</v>
      </c>
      <c r="I6264" s="31" t="s">
        <v>6964</v>
      </c>
      <c r="J6264" s="33"/>
      <c r="K6264" s="193"/>
      <c r="AQ6264" s="32" t="s">
        <v>6824</v>
      </c>
      <c r="AU6264">
        <v>6263</v>
      </c>
    </row>
    <row r="6265" spans="1:47" x14ac:dyDescent="0.2">
      <c r="A6265" s="13">
        <v>6833</v>
      </c>
      <c r="B6265" s="57" t="s">
        <v>45</v>
      </c>
      <c r="C6265" s="57" t="s">
        <v>6550</v>
      </c>
      <c r="D6265" s="29"/>
      <c r="E6265" s="57" t="s">
        <v>4182</v>
      </c>
      <c r="F6265" s="31" t="s">
        <v>76</v>
      </c>
      <c r="I6265" s="31" t="s">
        <v>7023</v>
      </c>
      <c r="J6265" s="33"/>
      <c r="K6265" s="193"/>
      <c r="AQ6265" s="32" t="s">
        <v>6824</v>
      </c>
      <c r="AU6265">
        <v>6264</v>
      </c>
    </row>
    <row r="6266" spans="1:47" x14ac:dyDescent="0.2">
      <c r="A6266" s="13">
        <v>6833</v>
      </c>
      <c r="B6266" s="57" t="s">
        <v>45</v>
      </c>
      <c r="C6266" s="57" t="s">
        <v>6550</v>
      </c>
      <c r="D6266" s="29"/>
      <c r="E6266" s="57" t="s">
        <v>3634</v>
      </c>
      <c r="F6266" s="31" t="s">
        <v>76</v>
      </c>
      <c r="I6266" s="31" t="s">
        <v>7024</v>
      </c>
      <c r="J6266" s="33"/>
      <c r="K6266" s="193"/>
      <c r="AQ6266" s="32" t="s">
        <v>6824</v>
      </c>
      <c r="AU6266">
        <v>6265</v>
      </c>
    </row>
    <row r="6267" spans="1:47" x14ac:dyDescent="0.2">
      <c r="A6267" s="26">
        <v>6833</v>
      </c>
      <c r="B6267" s="27">
        <v>3.6805555555555557E-2</v>
      </c>
      <c r="C6267" s="28"/>
      <c r="D6267" s="29"/>
      <c r="E6267" s="30" t="s">
        <v>3737</v>
      </c>
      <c r="H6267" s="32">
        <v>0</v>
      </c>
      <c r="I6267" s="32" t="s">
        <v>4926</v>
      </c>
      <c r="AG6267" s="32">
        <v>0</v>
      </c>
      <c r="AH6267" s="32">
        <v>0</v>
      </c>
      <c r="AI6267" s="32">
        <v>0</v>
      </c>
      <c r="AK6267" s="32">
        <v>0</v>
      </c>
      <c r="AL6267" s="32">
        <f>22/60</f>
        <v>0.36666666666666664</v>
      </c>
      <c r="AM6267" s="33">
        <f>3125*AL6267</f>
        <v>1145.8333333333333</v>
      </c>
      <c r="AP6267" s="32">
        <f>22/60</f>
        <v>0.36666666666666664</v>
      </c>
      <c r="AQ6267" s="32" t="s">
        <v>1101</v>
      </c>
      <c r="AU6267">
        <v>6266</v>
      </c>
    </row>
    <row r="6268" spans="1:47" x14ac:dyDescent="0.2">
      <c r="A6268" s="26">
        <v>6833</v>
      </c>
      <c r="B6268" s="27">
        <v>0.46180555555555558</v>
      </c>
      <c r="C6268" s="28"/>
      <c r="D6268" s="29"/>
      <c r="E6268" s="30" t="s">
        <v>3737</v>
      </c>
      <c r="H6268" s="32">
        <v>0</v>
      </c>
      <c r="I6268" s="32" t="s">
        <v>7081</v>
      </c>
      <c r="AG6268" s="32">
        <v>0</v>
      </c>
      <c r="AH6268" s="32">
        <v>0</v>
      </c>
      <c r="AI6268" s="32">
        <v>0</v>
      </c>
      <c r="AK6268" s="32">
        <v>0</v>
      </c>
      <c r="AL6268" s="32">
        <f>56/60</f>
        <v>0.93333333333333335</v>
      </c>
      <c r="AM6268" s="33">
        <f>(3125+3691)*AL6268</f>
        <v>6361.6</v>
      </c>
      <c r="AP6268" s="32">
        <f>56/60</f>
        <v>0.93333333333333335</v>
      </c>
      <c r="AQ6268" s="32" t="s">
        <v>1101</v>
      </c>
      <c r="AU6268">
        <v>6267</v>
      </c>
    </row>
    <row r="6269" spans="1:47" x14ac:dyDescent="0.2">
      <c r="A6269" s="26">
        <v>6833</v>
      </c>
      <c r="B6269" s="27">
        <v>0.47430555555555554</v>
      </c>
      <c r="C6269" s="28"/>
      <c r="D6269" s="29"/>
      <c r="E6269" s="102" t="s">
        <v>1102</v>
      </c>
      <c r="H6269" s="32">
        <v>0</v>
      </c>
      <c r="I6269" s="32" t="s">
        <v>1103</v>
      </c>
      <c r="AG6269" s="32">
        <v>0</v>
      </c>
      <c r="AH6269" s="32">
        <v>0</v>
      </c>
      <c r="AI6269" s="32">
        <v>0</v>
      </c>
      <c r="AK6269" s="32">
        <v>0</v>
      </c>
      <c r="AL6269" s="32">
        <v>0.25</v>
      </c>
      <c r="AO6269" s="73" t="s">
        <v>1006</v>
      </c>
      <c r="AP6269" s="32">
        <v>0.25</v>
      </c>
      <c r="AQ6269" s="32" t="s">
        <v>589</v>
      </c>
      <c r="AU6269">
        <v>6268</v>
      </c>
    </row>
    <row r="6270" spans="1:47" x14ac:dyDescent="0.2">
      <c r="A6270" s="26">
        <v>6833</v>
      </c>
      <c r="B6270" s="27">
        <v>0.47916666666666669</v>
      </c>
      <c r="C6270" s="28"/>
      <c r="D6270" s="29"/>
      <c r="E6270" s="30" t="s">
        <v>3155</v>
      </c>
      <c r="H6270" s="32">
        <v>0</v>
      </c>
      <c r="I6270" s="32" t="s">
        <v>7082</v>
      </c>
      <c r="AG6270" s="32">
        <v>0</v>
      </c>
      <c r="AH6270" s="32">
        <v>0</v>
      </c>
      <c r="AI6270" s="32">
        <v>0</v>
      </c>
      <c r="AK6270" s="32">
        <v>0</v>
      </c>
      <c r="AP6270" s="32">
        <f>130/60</f>
        <v>2.1666666666666665</v>
      </c>
      <c r="AQ6270" s="32" t="s">
        <v>1101</v>
      </c>
      <c r="AU6270">
        <v>6269</v>
      </c>
    </row>
    <row r="6271" spans="1:47" x14ac:dyDescent="0.2">
      <c r="A6271" s="26">
        <v>6833</v>
      </c>
      <c r="B6271" s="27">
        <v>0.48194444444444445</v>
      </c>
      <c r="C6271" s="28"/>
      <c r="D6271" s="29"/>
      <c r="E6271" s="30" t="s">
        <v>2964</v>
      </c>
      <c r="H6271" s="32">
        <v>0</v>
      </c>
      <c r="I6271" s="32" t="s">
        <v>4158</v>
      </c>
      <c r="AG6271" s="32">
        <v>0</v>
      </c>
      <c r="AH6271" s="32">
        <v>0</v>
      </c>
      <c r="AI6271" s="32">
        <v>0</v>
      </c>
      <c r="AK6271" s="32">
        <v>0</v>
      </c>
      <c r="AL6271" s="32">
        <f>23/60</f>
        <v>0.38333333333333336</v>
      </c>
      <c r="AP6271" s="32">
        <f>23/60</f>
        <v>0.38333333333333336</v>
      </c>
      <c r="AQ6271" s="32" t="s">
        <v>1101</v>
      </c>
      <c r="AU6271">
        <v>6270</v>
      </c>
    </row>
    <row r="6272" spans="1:47" x14ac:dyDescent="0.2">
      <c r="A6272" s="26">
        <v>6833</v>
      </c>
      <c r="B6272" s="27">
        <v>0.48958333333333331</v>
      </c>
      <c r="C6272" s="28"/>
      <c r="D6272" s="29"/>
      <c r="E6272" s="30" t="s">
        <v>4219</v>
      </c>
      <c r="H6272" s="32">
        <v>0</v>
      </c>
      <c r="I6272" s="32" t="s">
        <v>7083</v>
      </c>
      <c r="AG6272" s="32">
        <v>0</v>
      </c>
      <c r="AH6272" s="32">
        <v>0</v>
      </c>
      <c r="AI6272" s="32">
        <v>0</v>
      </c>
      <c r="AK6272" s="32">
        <v>0</v>
      </c>
      <c r="AL6272" s="32">
        <v>0.5</v>
      </c>
      <c r="AO6272" s="32" t="s">
        <v>858</v>
      </c>
      <c r="AP6272" s="32">
        <v>0.5</v>
      </c>
      <c r="AQ6272" s="32" t="s">
        <v>1101</v>
      </c>
      <c r="AU6272">
        <v>6271</v>
      </c>
    </row>
    <row r="6273" spans="1:47" x14ac:dyDescent="0.2">
      <c r="A6273" s="26">
        <v>6833</v>
      </c>
      <c r="B6273" s="27">
        <v>0.50347222222222221</v>
      </c>
      <c r="C6273" s="28"/>
      <c r="D6273" s="29"/>
      <c r="E6273" s="30" t="s">
        <v>1124</v>
      </c>
      <c r="H6273" s="32">
        <v>1</v>
      </c>
      <c r="I6273" s="32"/>
      <c r="AG6273" s="32">
        <v>0</v>
      </c>
      <c r="AH6273" s="32">
        <v>0</v>
      </c>
      <c r="AK6273" s="32">
        <v>29</v>
      </c>
      <c r="AL6273" s="32">
        <v>0.25</v>
      </c>
      <c r="AO6273" s="46" t="s">
        <v>1126</v>
      </c>
      <c r="AP6273" s="32">
        <v>0.25</v>
      </c>
      <c r="AQ6273" s="32" t="s">
        <v>589</v>
      </c>
      <c r="AU6273">
        <v>6272</v>
      </c>
    </row>
    <row r="6274" spans="1:47" x14ac:dyDescent="0.2">
      <c r="A6274" s="26">
        <v>6833</v>
      </c>
      <c r="B6274" s="27">
        <v>0.54513888888888895</v>
      </c>
      <c r="C6274" s="28"/>
      <c r="D6274" s="29"/>
      <c r="E6274" s="30" t="s">
        <v>631</v>
      </c>
      <c r="H6274" s="32">
        <v>0</v>
      </c>
      <c r="I6274" s="32" t="s">
        <v>7084</v>
      </c>
      <c r="AG6274" s="32">
        <v>0</v>
      </c>
      <c r="AH6274" s="32">
        <v>0</v>
      </c>
      <c r="AI6274" s="32">
        <v>0</v>
      </c>
      <c r="AK6274" s="32">
        <v>0</v>
      </c>
      <c r="AL6274" s="32">
        <f>55/60</f>
        <v>0.91666666666666663</v>
      </c>
      <c r="AP6274" s="32">
        <f>55/60</f>
        <v>0.91666666666666663</v>
      </c>
      <c r="AQ6274" s="32">
        <v>465</v>
      </c>
      <c r="AU6274">
        <v>6273</v>
      </c>
    </row>
    <row r="6275" spans="1:47" x14ac:dyDescent="0.2">
      <c r="A6275" s="26">
        <v>6833</v>
      </c>
      <c r="B6275" s="27">
        <v>0.76527777777777783</v>
      </c>
      <c r="C6275" s="28"/>
      <c r="D6275" s="29"/>
      <c r="E6275" s="30" t="s">
        <v>1124</v>
      </c>
      <c r="H6275" s="32">
        <v>1</v>
      </c>
      <c r="I6275" s="32"/>
      <c r="AG6275" s="32">
        <v>0</v>
      </c>
      <c r="AH6275" s="32">
        <v>1</v>
      </c>
      <c r="AK6275" s="32">
        <v>16</v>
      </c>
      <c r="AL6275" s="32">
        <f>13/60</f>
        <v>0.21666666666666667</v>
      </c>
      <c r="AO6275" s="46" t="s">
        <v>1126</v>
      </c>
      <c r="AP6275" s="32">
        <f>13/60</f>
        <v>0.21666666666666667</v>
      </c>
      <c r="AQ6275" s="32" t="s">
        <v>589</v>
      </c>
      <c r="AU6275">
        <v>6274</v>
      </c>
    </row>
    <row r="6276" spans="1:47" x14ac:dyDescent="0.2">
      <c r="A6276" s="26">
        <v>6833</v>
      </c>
      <c r="B6276" s="27">
        <v>0.89861111111111114</v>
      </c>
      <c r="C6276" s="28"/>
      <c r="D6276" s="29"/>
      <c r="E6276" s="30" t="s">
        <v>869</v>
      </c>
      <c r="H6276" s="32">
        <v>0</v>
      </c>
      <c r="I6276" s="32" t="s">
        <v>2344</v>
      </c>
      <c r="AG6276" s="32">
        <v>0</v>
      </c>
      <c r="AH6276" s="32">
        <v>0</v>
      </c>
      <c r="AI6276" s="32">
        <v>0</v>
      </c>
      <c r="AK6276" s="32">
        <v>0</v>
      </c>
      <c r="AL6276" s="32">
        <f>16/60</f>
        <v>0.26666666666666666</v>
      </c>
      <c r="AP6276" s="32">
        <f>16/60</f>
        <v>0.26666666666666666</v>
      </c>
      <c r="AQ6276" s="32" t="s">
        <v>589</v>
      </c>
      <c r="AU6276">
        <v>6275</v>
      </c>
    </row>
    <row r="6277" spans="1:47" x14ac:dyDescent="0.2">
      <c r="A6277" s="26">
        <v>6833</v>
      </c>
      <c r="B6277" s="27">
        <v>0.89930555555555547</v>
      </c>
      <c r="C6277" s="28"/>
      <c r="D6277" s="29"/>
      <c r="E6277" s="30" t="s">
        <v>3737</v>
      </c>
      <c r="H6277" s="32">
        <v>0</v>
      </c>
      <c r="I6277" s="32" t="s">
        <v>4926</v>
      </c>
      <c r="AG6277" s="32">
        <v>0</v>
      </c>
      <c r="AH6277" s="32">
        <v>0</v>
      </c>
      <c r="AI6277" s="32">
        <v>0</v>
      </c>
      <c r="AK6277" s="32">
        <v>0</v>
      </c>
      <c r="AL6277" s="32">
        <f>128/60</f>
        <v>2.1333333333333333</v>
      </c>
      <c r="AM6277" s="33">
        <f>3125*AL6277</f>
        <v>6666.666666666667</v>
      </c>
      <c r="AP6277" s="32">
        <f>128/60</f>
        <v>2.1333333333333333</v>
      </c>
      <c r="AQ6277" s="32" t="s">
        <v>1101</v>
      </c>
      <c r="AU6277">
        <v>6276</v>
      </c>
    </row>
    <row r="6278" spans="1:47" x14ac:dyDescent="0.2">
      <c r="A6278" s="26">
        <v>6833</v>
      </c>
      <c r="B6278" s="27">
        <v>0.90972222222222221</v>
      </c>
      <c r="C6278" s="28"/>
      <c r="D6278" s="29"/>
      <c r="E6278" s="30" t="s">
        <v>4219</v>
      </c>
      <c r="H6278" s="32">
        <v>1</v>
      </c>
      <c r="I6278" s="32" t="s">
        <v>7085</v>
      </c>
      <c r="AL6278" s="32">
        <v>0.66700000000000004</v>
      </c>
      <c r="AO6278" s="32" t="s">
        <v>858</v>
      </c>
      <c r="AP6278" s="32">
        <v>0.66700000000000004</v>
      </c>
      <c r="AQ6278" s="32" t="s">
        <v>1101</v>
      </c>
      <c r="AU6278">
        <v>6277</v>
      </c>
    </row>
    <row r="6279" spans="1:47" x14ac:dyDescent="0.2">
      <c r="A6279" s="26">
        <v>6833</v>
      </c>
      <c r="B6279" s="27">
        <v>0.91527777777777775</v>
      </c>
      <c r="C6279" s="28"/>
      <c r="D6279" s="29"/>
      <c r="E6279" s="30" t="s">
        <v>3155</v>
      </c>
      <c r="H6279" s="32">
        <v>0</v>
      </c>
      <c r="I6279" s="32" t="s">
        <v>3156</v>
      </c>
      <c r="AG6279" s="32">
        <v>0</v>
      </c>
      <c r="AH6279" s="32">
        <v>0</v>
      </c>
      <c r="AI6279" s="32">
        <v>0</v>
      </c>
      <c r="AK6279" s="32">
        <v>0</v>
      </c>
      <c r="AP6279" s="32">
        <f>147/60</f>
        <v>2.4500000000000002</v>
      </c>
      <c r="AQ6279" s="32" t="s">
        <v>1101</v>
      </c>
      <c r="AU6279">
        <v>6278</v>
      </c>
    </row>
    <row r="6280" spans="1:47" x14ac:dyDescent="0.2">
      <c r="A6280" s="26">
        <v>6833</v>
      </c>
      <c r="B6280" s="27">
        <v>0.92708333333333337</v>
      </c>
      <c r="C6280" s="28"/>
      <c r="D6280" s="29"/>
      <c r="E6280" s="30" t="s">
        <v>2964</v>
      </c>
      <c r="H6280" s="32">
        <v>0</v>
      </c>
      <c r="I6280" s="32" t="s">
        <v>4158</v>
      </c>
      <c r="AG6280" s="32">
        <v>0</v>
      </c>
      <c r="AH6280" s="32">
        <v>0</v>
      </c>
      <c r="AI6280" s="32">
        <v>0</v>
      </c>
      <c r="AK6280" s="32">
        <v>0</v>
      </c>
      <c r="AL6280" s="32">
        <f>114/60</f>
        <v>1.9</v>
      </c>
      <c r="AP6280" s="32">
        <f>114/60</f>
        <v>1.9</v>
      </c>
      <c r="AQ6280" s="32" t="s">
        <v>1101</v>
      </c>
      <c r="AU6280">
        <v>6279</v>
      </c>
    </row>
    <row r="6281" spans="1:47" x14ac:dyDescent="0.2">
      <c r="A6281" s="26">
        <v>6833</v>
      </c>
      <c r="B6281" s="27">
        <v>0.9375</v>
      </c>
      <c r="C6281" s="28"/>
      <c r="D6281" s="29"/>
      <c r="E6281" s="30" t="s">
        <v>1124</v>
      </c>
      <c r="H6281" s="32">
        <v>1</v>
      </c>
      <c r="I6281" s="32"/>
      <c r="AG6281" s="32">
        <v>2</v>
      </c>
      <c r="AH6281" s="32">
        <v>4</v>
      </c>
      <c r="AK6281" s="32">
        <v>6</v>
      </c>
      <c r="AL6281" s="32">
        <v>0.33300000000000002</v>
      </c>
      <c r="AO6281" s="46" t="s">
        <v>1126</v>
      </c>
      <c r="AP6281" s="32">
        <v>0.33300000000000002</v>
      </c>
      <c r="AQ6281" s="32" t="s">
        <v>589</v>
      </c>
      <c r="AU6281">
        <v>6280</v>
      </c>
    </row>
    <row r="6282" spans="1:47" x14ac:dyDescent="0.2">
      <c r="A6282" s="26">
        <v>6833</v>
      </c>
      <c r="B6282" s="27">
        <v>0.94791666666666663</v>
      </c>
      <c r="C6282" s="28"/>
      <c r="D6282" s="29"/>
      <c r="E6282" s="30" t="s">
        <v>6591</v>
      </c>
      <c r="H6282" s="32">
        <v>1</v>
      </c>
      <c r="I6282" s="32"/>
      <c r="AG6282" s="32">
        <v>0</v>
      </c>
      <c r="AH6282" s="32">
        <v>0</v>
      </c>
      <c r="AI6282" s="32">
        <v>0</v>
      </c>
      <c r="AK6282" s="32">
        <v>12</v>
      </c>
      <c r="AQ6282" s="32">
        <v>448</v>
      </c>
      <c r="AU6282">
        <v>6281</v>
      </c>
    </row>
    <row r="6283" spans="1:47" x14ac:dyDescent="0.2">
      <c r="A6283" s="26">
        <v>6833</v>
      </c>
      <c r="B6283" s="27" t="s">
        <v>85</v>
      </c>
      <c r="C6283" s="28"/>
      <c r="D6283" s="29"/>
      <c r="E6283" s="30" t="s">
        <v>720</v>
      </c>
      <c r="H6283" s="32">
        <v>1</v>
      </c>
      <c r="I6283" s="32" t="s">
        <v>7086</v>
      </c>
      <c r="AG6283" s="32">
        <v>0</v>
      </c>
      <c r="AH6283" s="32">
        <v>5</v>
      </c>
      <c r="AI6283" s="32">
        <v>60000</v>
      </c>
      <c r="AQ6283" s="32" t="s">
        <v>7087</v>
      </c>
      <c r="AU6283">
        <v>6282</v>
      </c>
    </row>
    <row r="6284" spans="1:47" x14ac:dyDescent="0.2">
      <c r="A6284" s="26">
        <v>6833</v>
      </c>
      <c r="B6284" s="27" t="s">
        <v>45</v>
      </c>
      <c r="C6284" s="28"/>
      <c r="D6284" s="29"/>
      <c r="E6284" s="30" t="s">
        <v>140</v>
      </c>
      <c r="H6284" s="32">
        <v>1</v>
      </c>
      <c r="I6284" s="32" t="s">
        <v>7088</v>
      </c>
      <c r="AI6284" s="32">
        <v>60000</v>
      </c>
      <c r="AQ6284" s="32">
        <v>449</v>
      </c>
      <c r="AU6284">
        <v>6283</v>
      </c>
    </row>
    <row r="6285" spans="1:47" x14ac:dyDescent="0.2">
      <c r="A6285" s="26">
        <v>6833</v>
      </c>
      <c r="B6285" s="27" t="s">
        <v>45</v>
      </c>
      <c r="C6285" s="28"/>
      <c r="D6285" s="29"/>
      <c r="E6285" s="30" t="s">
        <v>4469</v>
      </c>
      <c r="H6285" s="32">
        <v>1</v>
      </c>
      <c r="I6285" s="32" t="s">
        <v>7089</v>
      </c>
      <c r="AG6285" s="32">
        <v>0</v>
      </c>
      <c r="AH6285" s="32">
        <v>0</v>
      </c>
      <c r="AK6285" s="32">
        <v>8</v>
      </c>
      <c r="AL6285" s="32">
        <f>7+50/60</f>
        <v>7.833333333333333</v>
      </c>
      <c r="AO6285" s="32" t="s">
        <v>4493</v>
      </c>
      <c r="AQ6285" s="32" t="s">
        <v>4494</v>
      </c>
      <c r="AU6285">
        <v>6284</v>
      </c>
    </row>
    <row r="6286" spans="1:47" x14ac:dyDescent="0.2">
      <c r="A6286" s="26">
        <v>6833</v>
      </c>
      <c r="B6286" s="27" t="s">
        <v>45</v>
      </c>
      <c r="C6286" s="28"/>
      <c r="D6286" s="29"/>
      <c r="E6286" s="30" t="s">
        <v>1531</v>
      </c>
      <c r="H6286" s="32">
        <v>0</v>
      </c>
      <c r="I6286" s="32" t="s">
        <v>1706</v>
      </c>
      <c r="AG6286" s="32">
        <v>0</v>
      </c>
      <c r="AH6286" s="32">
        <v>0</v>
      </c>
      <c r="AI6286" s="32">
        <v>0</v>
      </c>
      <c r="AK6286" s="32">
        <v>0</v>
      </c>
      <c r="AM6286" s="32">
        <f>498*42</f>
        <v>20916</v>
      </c>
      <c r="AO6286" s="32" t="s">
        <v>1533</v>
      </c>
      <c r="AQ6286" s="32" t="s">
        <v>1101</v>
      </c>
      <c r="AU6286">
        <v>6285</v>
      </c>
    </row>
    <row r="6287" spans="1:47" x14ac:dyDescent="0.2">
      <c r="A6287" s="26">
        <v>6833</v>
      </c>
      <c r="B6287" s="27" t="s">
        <v>45</v>
      </c>
      <c r="C6287" s="28"/>
      <c r="D6287" s="29"/>
      <c r="E6287" s="150" t="s">
        <v>2286</v>
      </c>
      <c r="H6287" s="32">
        <v>0</v>
      </c>
      <c r="I6287" s="32" t="s">
        <v>1824</v>
      </c>
      <c r="AG6287" s="32">
        <v>0</v>
      </c>
      <c r="AH6287" s="32">
        <v>0</v>
      </c>
      <c r="AI6287" s="32">
        <v>0</v>
      </c>
      <c r="AK6287" s="32">
        <v>0</v>
      </c>
      <c r="AM6287" s="32">
        <v>6500</v>
      </c>
      <c r="AO6287" s="73" t="s">
        <v>75</v>
      </c>
      <c r="AQ6287" s="32" t="s">
        <v>589</v>
      </c>
      <c r="AU6287">
        <v>6286</v>
      </c>
    </row>
    <row r="6288" spans="1:47" x14ac:dyDescent="0.2">
      <c r="A6288" s="26">
        <v>6833</v>
      </c>
      <c r="B6288" s="27"/>
      <c r="C6288" s="28"/>
      <c r="D6288" s="29"/>
      <c r="E6288" s="30" t="s">
        <v>3063</v>
      </c>
      <c r="H6288" s="32">
        <v>1</v>
      </c>
      <c r="I6288" s="32" t="s">
        <v>7090</v>
      </c>
      <c r="AQ6288" s="32">
        <v>375</v>
      </c>
      <c r="AU6288">
        <v>6287</v>
      </c>
    </row>
    <row r="6289" spans="1:47" x14ac:dyDescent="0.2">
      <c r="A6289" s="26">
        <v>6833</v>
      </c>
      <c r="B6289" s="27"/>
      <c r="C6289" s="28"/>
      <c r="D6289" s="29"/>
      <c r="E6289" s="30" t="s">
        <v>1040</v>
      </c>
      <c r="H6289" s="32">
        <v>1</v>
      </c>
      <c r="I6289" s="32" t="s">
        <v>7091</v>
      </c>
      <c r="AG6289" s="32">
        <v>12</v>
      </c>
      <c r="AH6289" s="32">
        <v>11</v>
      </c>
      <c r="AI6289" s="32">
        <v>65000</v>
      </c>
      <c r="AQ6289" s="32" t="s">
        <v>7092</v>
      </c>
      <c r="AU6289">
        <v>6288</v>
      </c>
    </row>
    <row r="6290" spans="1:47" x14ac:dyDescent="0.2">
      <c r="A6290" s="26">
        <v>6833</v>
      </c>
      <c r="B6290" s="27"/>
      <c r="C6290" s="28"/>
      <c r="D6290" s="29"/>
      <c r="E6290" s="30" t="s">
        <v>464</v>
      </c>
      <c r="H6290" s="32">
        <v>0</v>
      </c>
      <c r="I6290" s="32" t="s">
        <v>7093</v>
      </c>
      <c r="AG6290" s="32">
        <v>0</v>
      </c>
      <c r="AH6290" s="32">
        <v>0</v>
      </c>
      <c r="AL6290" s="32">
        <f>6+27/60</f>
        <v>6.45</v>
      </c>
      <c r="AO6290" s="32" t="s">
        <v>4067</v>
      </c>
      <c r="AP6290" s="32">
        <f>6+27/60</f>
        <v>6.45</v>
      </c>
      <c r="AQ6290" s="32" t="s">
        <v>1522</v>
      </c>
      <c r="AU6290">
        <v>6289</v>
      </c>
    </row>
    <row r="6291" spans="1:47" x14ac:dyDescent="0.2">
      <c r="A6291" s="26">
        <v>6833</v>
      </c>
      <c r="B6291" s="27"/>
      <c r="C6291" s="125"/>
      <c r="D6291" s="126"/>
      <c r="E6291" s="30" t="s">
        <v>75</v>
      </c>
      <c r="H6291" s="32"/>
      <c r="I6291" s="32" t="s">
        <v>7094</v>
      </c>
      <c r="AQ6291" s="32">
        <v>413</v>
      </c>
      <c r="AU6291">
        <v>6290</v>
      </c>
    </row>
    <row r="6292" spans="1:47" x14ac:dyDescent="0.2">
      <c r="A6292" s="133">
        <v>6834</v>
      </c>
      <c r="B6292" s="39" t="s">
        <v>85</v>
      </c>
      <c r="C6292" s="39">
        <v>55</v>
      </c>
      <c r="D6292" s="29" t="b">
        <v>0</v>
      </c>
      <c r="E6292" s="39" t="s">
        <v>3909</v>
      </c>
      <c r="F6292" s="47" t="s">
        <v>7095</v>
      </c>
      <c r="G6292" s="47" t="s">
        <v>49</v>
      </c>
      <c r="H6292"/>
      <c r="I6292" s="47" t="b">
        <v>0</v>
      </c>
      <c r="J6292" s="47" t="b">
        <v>1</v>
      </c>
      <c r="K6292" s="47">
        <v>1138</v>
      </c>
      <c r="L6292" s="48">
        <v>6</v>
      </c>
      <c r="M6292" s="47">
        <v>0</v>
      </c>
      <c r="N6292" s="47">
        <v>0</v>
      </c>
      <c r="O6292" s="47">
        <v>0</v>
      </c>
      <c r="P6292" s="47">
        <v>0</v>
      </c>
      <c r="Q6292" s="47">
        <v>0</v>
      </c>
      <c r="R6292" s="47">
        <v>0</v>
      </c>
      <c r="S6292" s="48">
        <v>5</v>
      </c>
      <c r="T6292" s="47">
        <v>1</v>
      </c>
      <c r="U6292" s="47">
        <v>0</v>
      </c>
      <c r="V6292" s="47">
        <v>0</v>
      </c>
      <c r="W6292" s="47">
        <v>16000</v>
      </c>
      <c r="X6292" s="47">
        <v>1033</v>
      </c>
      <c r="Y6292" s="47" t="s">
        <v>120</v>
      </c>
      <c r="Z6292" s="47" t="s">
        <v>3618</v>
      </c>
      <c r="AA6292" s="49">
        <v>0.51388888888888895</v>
      </c>
      <c r="AB6292" s="49">
        <v>0.69444444444444453</v>
      </c>
      <c r="AC6292" s="49">
        <v>0.60763888888888895</v>
      </c>
      <c r="AD6292" s="50">
        <f>(AB6292-AA6292)*24</f>
        <v>4.3333333333333339</v>
      </c>
      <c r="AE6292" s="47" t="s">
        <v>5433</v>
      </c>
      <c r="AF6292" s="47">
        <v>190</v>
      </c>
      <c r="AG6292"/>
      <c r="AH6292"/>
      <c r="AI6292"/>
      <c r="AJ6292"/>
      <c r="AK6292">
        <v>7</v>
      </c>
      <c r="AL6292"/>
      <c r="AM6292"/>
      <c r="AN6292"/>
      <c r="AO6292"/>
      <c r="AP6292"/>
      <c r="AQ6292" t="s">
        <v>5434</v>
      </c>
      <c r="AU6292">
        <v>6291</v>
      </c>
    </row>
    <row r="6293" spans="1:47" x14ac:dyDescent="0.2">
      <c r="A6293" s="133">
        <v>6834</v>
      </c>
      <c r="B6293" s="39" t="s">
        <v>85</v>
      </c>
      <c r="C6293" s="39">
        <v>99</v>
      </c>
      <c r="D6293" s="29" t="b">
        <v>0</v>
      </c>
      <c r="E6293" s="39" t="s">
        <v>5791</v>
      </c>
      <c r="F6293" s="47" t="s">
        <v>529</v>
      </c>
      <c r="G6293" s="47" t="s">
        <v>205</v>
      </c>
      <c r="H6293"/>
      <c r="I6293" s="47" t="b">
        <v>0</v>
      </c>
      <c r="J6293" s="47" t="b">
        <v>1</v>
      </c>
      <c r="K6293" s="47">
        <v>2264</v>
      </c>
      <c r="L6293" s="48">
        <v>11</v>
      </c>
      <c r="M6293" s="47">
        <v>0</v>
      </c>
      <c r="N6293" s="47">
        <v>0</v>
      </c>
      <c r="O6293" s="47">
        <v>0</v>
      </c>
      <c r="P6293" s="47">
        <v>0</v>
      </c>
      <c r="Q6293" s="47">
        <v>0</v>
      </c>
      <c r="R6293" s="47">
        <v>0</v>
      </c>
      <c r="S6293" s="48">
        <v>11</v>
      </c>
      <c r="T6293" s="47">
        <v>0</v>
      </c>
      <c r="U6293" s="47">
        <v>0</v>
      </c>
      <c r="V6293" s="47">
        <v>0</v>
      </c>
      <c r="W6293" s="47">
        <v>10000</v>
      </c>
      <c r="X6293" s="47">
        <v>1035</v>
      </c>
      <c r="Y6293" s="47" t="s">
        <v>51</v>
      </c>
      <c r="Z6293" s="47" t="s">
        <v>5139</v>
      </c>
      <c r="AA6293" s="49">
        <v>0.53472222222222221</v>
      </c>
      <c r="AB6293" s="49">
        <v>0.68055555555555547</v>
      </c>
      <c r="AC6293" s="49">
        <f>AVERAGE(AA6293:AB6293)</f>
        <v>0.60763888888888884</v>
      </c>
      <c r="AD6293" s="50">
        <f>(AB6293-AA6293)*24</f>
        <v>3.4999999999999982</v>
      </c>
      <c r="AE6293" s="47" t="s">
        <v>5433</v>
      </c>
      <c r="AF6293" s="47">
        <v>115</v>
      </c>
      <c r="AG6293"/>
      <c r="AH6293"/>
      <c r="AI6293"/>
      <c r="AJ6293"/>
      <c r="AK6293">
        <v>16</v>
      </c>
      <c r="AL6293"/>
      <c r="AM6293"/>
      <c r="AN6293"/>
      <c r="AO6293"/>
      <c r="AP6293"/>
      <c r="AQ6293" t="s">
        <v>2526</v>
      </c>
      <c r="AU6293">
        <v>6292</v>
      </c>
    </row>
    <row r="6294" spans="1:47" x14ac:dyDescent="0.2">
      <c r="A6294" s="133">
        <v>6834</v>
      </c>
      <c r="B6294" s="39" t="s">
        <v>85</v>
      </c>
      <c r="C6294" s="39">
        <v>110</v>
      </c>
      <c r="D6294" s="29" t="b">
        <v>0</v>
      </c>
      <c r="E6294" s="39" t="s">
        <v>3909</v>
      </c>
      <c r="F6294" s="47" t="s">
        <v>7096</v>
      </c>
      <c r="G6294" s="47" t="s">
        <v>627</v>
      </c>
      <c r="H6294"/>
      <c r="I6294" s="47" t="b">
        <v>0</v>
      </c>
      <c r="J6294" s="47" t="b">
        <v>1</v>
      </c>
      <c r="K6294" s="47">
        <v>3266</v>
      </c>
      <c r="L6294" s="48">
        <v>12</v>
      </c>
      <c r="M6294" s="47">
        <v>0</v>
      </c>
      <c r="N6294" s="47">
        <v>1</v>
      </c>
      <c r="O6294" s="47">
        <v>0</v>
      </c>
      <c r="P6294" s="47">
        <v>0</v>
      </c>
      <c r="Q6294" s="47">
        <v>0</v>
      </c>
      <c r="R6294" s="47">
        <v>0</v>
      </c>
      <c r="S6294" s="48">
        <v>11</v>
      </c>
      <c r="T6294" s="47">
        <v>2</v>
      </c>
      <c r="U6294" s="47">
        <v>0</v>
      </c>
      <c r="V6294" s="47">
        <v>0</v>
      </c>
      <c r="W6294" s="47">
        <v>15200</v>
      </c>
      <c r="X6294" s="47">
        <v>1039</v>
      </c>
      <c r="Y6294" s="47" t="s">
        <v>120</v>
      </c>
      <c r="Z6294" s="47" t="s">
        <v>6984</v>
      </c>
      <c r="AA6294" s="49">
        <v>0.53472222222222221</v>
      </c>
      <c r="AB6294" s="49"/>
      <c r="AC6294" s="49"/>
      <c r="AD6294" s="50"/>
      <c r="AE6294" s="47" t="s">
        <v>6985</v>
      </c>
      <c r="AF6294" s="47">
        <v>210</v>
      </c>
      <c r="AG6294"/>
      <c r="AH6294"/>
      <c r="AI6294"/>
      <c r="AJ6294"/>
      <c r="AK6294"/>
      <c r="AL6294"/>
      <c r="AM6294"/>
      <c r="AN6294"/>
      <c r="AO6294"/>
      <c r="AP6294"/>
      <c r="AQ6294" t="s">
        <v>5485</v>
      </c>
      <c r="AU6294">
        <v>6293</v>
      </c>
    </row>
    <row r="6295" spans="1:47" x14ac:dyDescent="0.2">
      <c r="A6295" s="133">
        <v>6834</v>
      </c>
      <c r="B6295" s="39" t="s">
        <v>85</v>
      </c>
      <c r="C6295" s="43" t="s">
        <v>6990</v>
      </c>
      <c r="D6295" s="29"/>
      <c r="E6295" s="39" t="s">
        <v>3063</v>
      </c>
      <c r="F6295" s="47" t="s">
        <v>7097</v>
      </c>
      <c r="G6295" s="47" t="s">
        <v>49</v>
      </c>
      <c r="H6295"/>
      <c r="I6295" s="47" t="s">
        <v>7098</v>
      </c>
      <c r="J6295" s="47"/>
      <c r="K6295" s="47">
        <f>8*50*2.2</f>
        <v>880.00000000000011</v>
      </c>
      <c r="L6295" s="48">
        <v>9</v>
      </c>
      <c r="M6295" s="47"/>
      <c r="N6295" s="47"/>
      <c r="O6295" s="47"/>
      <c r="P6295" s="47"/>
      <c r="Q6295" s="47"/>
      <c r="R6295" s="47"/>
      <c r="S6295" s="48">
        <v>4</v>
      </c>
      <c r="T6295" s="47"/>
      <c r="U6295" s="47"/>
      <c r="V6295" s="47"/>
      <c r="W6295" s="47">
        <v>13000</v>
      </c>
      <c r="X6295" s="47"/>
      <c r="Y6295" s="47" t="s">
        <v>51</v>
      </c>
      <c r="Z6295" s="47" t="s">
        <v>3618</v>
      </c>
      <c r="AA6295" s="49">
        <v>0.25347222222222221</v>
      </c>
      <c r="AB6295" s="49">
        <v>0.33333333333333331</v>
      </c>
      <c r="AC6295" s="49">
        <f t="shared" ref="AC6295:AC6303" si="20">AVERAGE(AA6295:AB6295)</f>
        <v>0.29340277777777779</v>
      </c>
      <c r="AD6295" s="50">
        <f t="shared" ref="AD6295:AD6303" si="21">(AB6295-AA6295)*24</f>
        <v>1.9166666666666665</v>
      </c>
      <c r="AE6295" s="47" t="s">
        <v>5536</v>
      </c>
      <c r="AF6295" s="47">
        <v>100</v>
      </c>
      <c r="AG6295"/>
      <c r="AH6295"/>
      <c r="AI6295"/>
      <c r="AJ6295"/>
      <c r="AK6295">
        <v>8</v>
      </c>
      <c r="AL6295"/>
      <c r="AM6295"/>
      <c r="AN6295"/>
      <c r="AO6295"/>
      <c r="AP6295"/>
      <c r="AQ6295" t="s">
        <v>7099</v>
      </c>
      <c r="AU6295">
        <v>6294</v>
      </c>
    </row>
    <row r="6296" spans="1:47" x14ac:dyDescent="0.2">
      <c r="A6296" s="133">
        <v>6834</v>
      </c>
      <c r="B6296" s="39" t="s">
        <v>85</v>
      </c>
      <c r="C6296" s="39" t="s">
        <v>6997</v>
      </c>
      <c r="D6296" s="29"/>
      <c r="E6296" s="39" t="s">
        <v>3063</v>
      </c>
      <c r="F6296" s="47" t="s">
        <v>7097</v>
      </c>
      <c r="G6296" s="47" t="s">
        <v>49</v>
      </c>
      <c r="H6296"/>
      <c r="I6296" s="47" t="s">
        <v>7100</v>
      </c>
      <c r="J6296" s="47"/>
      <c r="K6296" s="47">
        <f>4*50*2.2</f>
        <v>440.00000000000006</v>
      </c>
      <c r="L6296" s="48">
        <v>11</v>
      </c>
      <c r="M6296" s="47"/>
      <c r="N6296" s="47"/>
      <c r="O6296" s="47"/>
      <c r="P6296" s="47"/>
      <c r="Q6296" s="47"/>
      <c r="R6296" s="47"/>
      <c r="S6296" s="202">
        <v>1</v>
      </c>
      <c r="T6296" s="47"/>
      <c r="U6296" s="47"/>
      <c r="V6296" s="47"/>
      <c r="W6296" s="47">
        <v>15000</v>
      </c>
      <c r="X6296" s="47"/>
      <c r="Y6296" s="47" t="s">
        <v>51</v>
      </c>
      <c r="Z6296" s="47" t="s">
        <v>3618</v>
      </c>
      <c r="AA6296" s="49">
        <v>0.25694444444444448</v>
      </c>
      <c r="AB6296" s="49">
        <v>0.34375</v>
      </c>
      <c r="AC6296" s="49">
        <f t="shared" si="20"/>
        <v>0.30034722222222221</v>
      </c>
      <c r="AD6296" s="50">
        <f t="shared" si="21"/>
        <v>2.0833333333333326</v>
      </c>
      <c r="AE6296" s="47" t="s">
        <v>5536</v>
      </c>
      <c r="AF6296" s="47">
        <v>100</v>
      </c>
      <c r="AG6296"/>
      <c r="AH6296"/>
      <c r="AI6296"/>
      <c r="AJ6296"/>
      <c r="AK6296">
        <v>4</v>
      </c>
      <c r="AL6296"/>
      <c r="AM6296"/>
      <c r="AN6296"/>
      <c r="AO6296"/>
      <c r="AP6296"/>
      <c r="AQ6296" t="s">
        <v>7101</v>
      </c>
      <c r="AU6296">
        <v>6295</v>
      </c>
    </row>
    <row r="6297" spans="1:47" x14ac:dyDescent="0.2">
      <c r="A6297" s="133">
        <v>6834</v>
      </c>
      <c r="B6297" s="39" t="s">
        <v>85</v>
      </c>
      <c r="C6297" s="39" t="s">
        <v>5533</v>
      </c>
      <c r="D6297" s="29"/>
      <c r="E6297" s="39" t="s">
        <v>3063</v>
      </c>
      <c r="F6297" s="47" t="s">
        <v>7097</v>
      </c>
      <c r="G6297" s="47" t="s">
        <v>49</v>
      </c>
      <c r="H6297"/>
      <c r="I6297" s="47" t="s">
        <v>7102</v>
      </c>
      <c r="J6297" s="47"/>
      <c r="K6297" s="47">
        <f>(2320-400-200)*2.2</f>
        <v>3784.0000000000005</v>
      </c>
      <c r="L6297" s="48">
        <v>8</v>
      </c>
      <c r="M6297" s="47"/>
      <c r="N6297" s="47"/>
      <c r="O6297" s="47"/>
      <c r="P6297" s="47"/>
      <c r="Q6297" s="47"/>
      <c r="R6297" s="47"/>
      <c r="S6297" s="48">
        <v>8</v>
      </c>
      <c r="T6297" s="47"/>
      <c r="U6297" s="47"/>
      <c r="V6297" s="47"/>
      <c r="W6297" s="47"/>
      <c r="X6297" s="47"/>
      <c r="Y6297" s="47" t="s">
        <v>51</v>
      </c>
      <c r="Z6297" s="47" t="s">
        <v>3724</v>
      </c>
      <c r="AA6297" s="49">
        <v>0.25347222222222221</v>
      </c>
      <c r="AB6297" s="49">
        <v>0.33333333333333331</v>
      </c>
      <c r="AC6297" s="49">
        <f t="shared" si="20"/>
        <v>0.29340277777777779</v>
      </c>
      <c r="AD6297" s="50">
        <f t="shared" si="21"/>
        <v>1.9166666666666665</v>
      </c>
      <c r="AE6297" s="47" t="s">
        <v>5536</v>
      </c>
      <c r="AF6297" s="47">
        <v>100</v>
      </c>
      <c r="AG6297"/>
      <c r="AH6297"/>
      <c r="AI6297"/>
      <c r="AJ6297"/>
      <c r="AK6297"/>
      <c r="AL6297"/>
      <c r="AM6297"/>
      <c r="AN6297"/>
      <c r="AO6297"/>
      <c r="AP6297"/>
      <c r="AQ6297" t="s">
        <v>7103</v>
      </c>
      <c r="AU6297">
        <v>6296</v>
      </c>
    </row>
    <row r="6298" spans="1:47" x14ac:dyDescent="0.2">
      <c r="A6298" s="133">
        <v>6834</v>
      </c>
      <c r="B6298" s="39" t="s">
        <v>85</v>
      </c>
      <c r="C6298" s="43" t="s">
        <v>6990</v>
      </c>
      <c r="D6298" s="29" t="s">
        <v>120</v>
      </c>
      <c r="E6298" s="39" t="s">
        <v>788</v>
      </c>
      <c r="F6298" s="47" t="s">
        <v>7097</v>
      </c>
      <c r="G6298" s="47" t="s">
        <v>49</v>
      </c>
      <c r="H6298"/>
      <c r="I6298" s="47" t="s">
        <v>7104</v>
      </c>
      <c r="J6298" s="47"/>
      <c r="K6298" s="47">
        <v>0</v>
      </c>
      <c r="L6298" s="48">
        <v>8</v>
      </c>
      <c r="M6298" s="47"/>
      <c r="N6298" s="47"/>
      <c r="O6298" s="47"/>
      <c r="P6298" s="47"/>
      <c r="Q6298" s="47"/>
      <c r="R6298" s="47"/>
      <c r="S6298" s="48">
        <v>0</v>
      </c>
      <c r="T6298" s="47"/>
      <c r="U6298" s="47"/>
      <c r="V6298" s="47"/>
      <c r="W6298" s="47">
        <f>4200/0.3048</f>
        <v>13779.527559055117</v>
      </c>
      <c r="X6298" s="47"/>
      <c r="Y6298" s="47"/>
      <c r="Z6298" s="47" t="s">
        <v>3618</v>
      </c>
      <c r="AA6298" s="49">
        <v>0.53125</v>
      </c>
      <c r="AB6298" s="49">
        <v>0.625</v>
      </c>
      <c r="AC6298" s="49">
        <f t="shared" si="20"/>
        <v>0.578125</v>
      </c>
      <c r="AD6298" s="50">
        <f t="shared" si="21"/>
        <v>2.25</v>
      </c>
      <c r="AE6298" s="47" t="s">
        <v>5536</v>
      </c>
      <c r="AF6298" s="47">
        <v>70</v>
      </c>
      <c r="AG6298"/>
      <c r="AH6298"/>
      <c r="AI6298"/>
      <c r="AJ6298"/>
      <c r="AK6298">
        <v>0</v>
      </c>
      <c r="AL6298"/>
      <c r="AM6298"/>
      <c r="AN6298"/>
      <c r="AO6298"/>
      <c r="AP6298"/>
      <c r="AQ6298" t="s">
        <v>7105</v>
      </c>
      <c r="AU6298">
        <v>6297</v>
      </c>
    </row>
    <row r="6299" spans="1:47" x14ac:dyDescent="0.2">
      <c r="A6299" s="133">
        <v>6834</v>
      </c>
      <c r="B6299" s="39" t="s">
        <v>85</v>
      </c>
      <c r="C6299" s="39" t="s">
        <v>6997</v>
      </c>
      <c r="D6299" s="29"/>
      <c r="E6299" s="39" t="s">
        <v>788</v>
      </c>
      <c r="F6299" s="47" t="s">
        <v>7097</v>
      </c>
      <c r="G6299" s="47" t="s">
        <v>49</v>
      </c>
      <c r="H6299"/>
      <c r="I6299" s="47" t="s">
        <v>7106</v>
      </c>
      <c r="J6299" s="47"/>
      <c r="K6299" s="47">
        <f>20*50*2.2</f>
        <v>2200</v>
      </c>
      <c r="L6299" s="48">
        <v>8</v>
      </c>
      <c r="M6299" s="47"/>
      <c r="N6299" s="47"/>
      <c r="O6299" s="47"/>
      <c r="P6299" s="47"/>
      <c r="Q6299" s="47"/>
      <c r="R6299" s="47"/>
      <c r="S6299" s="48">
        <v>5</v>
      </c>
      <c r="T6299" s="47"/>
      <c r="U6299" s="47"/>
      <c r="V6299" s="47"/>
      <c r="W6299" s="47">
        <v>12000</v>
      </c>
      <c r="X6299" s="47"/>
      <c r="Y6299" s="47" t="s">
        <v>51</v>
      </c>
      <c r="Z6299" s="47" t="s">
        <v>3618</v>
      </c>
      <c r="AA6299" s="49">
        <v>0.53125</v>
      </c>
      <c r="AB6299" s="49">
        <v>0.60416666666666663</v>
      </c>
      <c r="AC6299" s="49">
        <f t="shared" si="20"/>
        <v>0.56770833333333326</v>
      </c>
      <c r="AD6299" s="50">
        <f t="shared" si="21"/>
        <v>1.7499999999999991</v>
      </c>
      <c r="AE6299" s="47" t="s">
        <v>5536</v>
      </c>
      <c r="AF6299" s="47">
        <v>70</v>
      </c>
      <c r="AG6299"/>
      <c r="AH6299"/>
      <c r="AI6299"/>
      <c r="AJ6299"/>
      <c r="AK6299">
        <v>20</v>
      </c>
      <c r="AL6299"/>
      <c r="AM6299"/>
      <c r="AN6299"/>
      <c r="AO6299"/>
      <c r="AP6299"/>
      <c r="AQ6299" t="s">
        <v>7107</v>
      </c>
      <c r="AU6299">
        <v>6298</v>
      </c>
    </row>
    <row r="6300" spans="1:47" x14ac:dyDescent="0.2">
      <c r="A6300" s="133">
        <v>6834</v>
      </c>
      <c r="B6300" s="39" t="s">
        <v>85</v>
      </c>
      <c r="C6300" s="39" t="s">
        <v>5533</v>
      </c>
      <c r="D6300" s="29"/>
      <c r="E6300" s="39" t="s">
        <v>788</v>
      </c>
      <c r="F6300" s="47" t="s">
        <v>7097</v>
      </c>
      <c r="G6300" s="47" t="s">
        <v>49</v>
      </c>
      <c r="H6300"/>
      <c r="I6300" s="47" t="s">
        <v>7108</v>
      </c>
      <c r="J6300" s="47"/>
      <c r="K6300" s="47">
        <f>(1860-1000)*2.2</f>
        <v>1892.0000000000002</v>
      </c>
      <c r="L6300" s="48">
        <v>8</v>
      </c>
      <c r="M6300" s="47"/>
      <c r="N6300" s="47"/>
      <c r="O6300" s="47"/>
      <c r="P6300" s="47"/>
      <c r="Q6300" s="47"/>
      <c r="R6300" s="47"/>
      <c r="S6300" s="48">
        <v>6</v>
      </c>
      <c r="T6300" s="47"/>
      <c r="U6300" s="47"/>
      <c r="V6300" s="47"/>
      <c r="W6300" s="47">
        <f>4200/0.3048</f>
        <v>13779.527559055117</v>
      </c>
      <c r="X6300" s="47"/>
      <c r="Y6300" s="47" t="s">
        <v>51</v>
      </c>
      <c r="Z6300" s="47" t="s">
        <v>3724</v>
      </c>
      <c r="AA6300" s="49">
        <v>0.52430555555555558</v>
      </c>
      <c r="AB6300" s="49">
        <v>0.625</v>
      </c>
      <c r="AC6300" s="49">
        <f t="shared" si="20"/>
        <v>0.57465277777777779</v>
      </c>
      <c r="AD6300" s="50">
        <f t="shared" si="21"/>
        <v>2.4166666666666661</v>
      </c>
      <c r="AE6300" s="47" t="s">
        <v>5536</v>
      </c>
      <c r="AF6300" s="47">
        <v>70</v>
      </c>
      <c r="AG6300"/>
      <c r="AH6300"/>
      <c r="AI6300"/>
      <c r="AJ6300"/>
      <c r="AK6300">
        <f>10+12+6</f>
        <v>28</v>
      </c>
      <c r="AL6300"/>
      <c r="AM6300"/>
      <c r="AN6300"/>
      <c r="AO6300"/>
      <c r="AP6300"/>
      <c r="AQ6300" t="s">
        <v>7109</v>
      </c>
      <c r="AU6300">
        <v>6299</v>
      </c>
    </row>
    <row r="6301" spans="1:47" x14ac:dyDescent="0.2">
      <c r="A6301" s="133">
        <v>6834</v>
      </c>
      <c r="B6301" s="39" t="s">
        <v>85</v>
      </c>
      <c r="C6301" s="43" t="s">
        <v>6990</v>
      </c>
      <c r="D6301" s="29"/>
      <c r="E6301" s="39" t="s">
        <v>788</v>
      </c>
      <c r="F6301" s="47" t="s">
        <v>7097</v>
      </c>
      <c r="G6301" s="47" t="s">
        <v>49</v>
      </c>
      <c r="H6301"/>
      <c r="I6301" s="47" t="s">
        <v>7110</v>
      </c>
      <c r="J6301" s="47"/>
      <c r="K6301" s="47"/>
      <c r="L6301" s="48">
        <v>9</v>
      </c>
      <c r="M6301" s="47"/>
      <c r="N6301" s="47"/>
      <c r="O6301" s="47"/>
      <c r="P6301" s="47"/>
      <c r="Q6301" s="47"/>
      <c r="R6301" s="47"/>
      <c r="S6301" s="48">
        <v>4</v>
      </c>
      <c r="T6301" s="47"/>
      <c r="U6301" s="47"/>
      <c r="V6301" s="47"/>
      <c r="W6301" s="47">
        <f>4200/0.3048</f>
        <v>13779.527559055117</v>
      </c>
      <c r="X6301" s="47"/>
      <c r="Y6301" s="47" t="s">
        <v>120</v>
      </c>
      <c r="Z6301" s="47" t="s">
        <v>3618</v>
      </c>
      <c r="AA6301" s="49">
        <v>0.70833333333333337</v>
      </c>
      <c r="AB6301" s="49">
        <v>0.79166666666666663</v>
      </c>
      <c r="AC6301" s="49">
        <f t="shared" si="20"/>
        <v>0.75</v>
      </c>
      <c r="AD6301" s="50">
        <f t="shared" si="21"/>
        <v>1.9999999999999982</v>
      </c>
      <c r="AE6301" s="47" t="s">
        <v>5536</v>
      </c>
      <c r="AF6301" s="47">
        <v>70</v>
      </c>
      <c r="AG6301"/>
      <c r="AH6301"/>
      <c r="AI6301"/>
      <c r="AJ6301"/>
      <c r="AK6301"/>
      <c r="AL6301"/>
      <c r="AM6301"/>
      <c r="AN6301"/>
      <c r="AO6301"/>
      <c r="AP6301"/>
      <c r="AQ6301" t="s">
        <v>7111</v>
      </c>
      <c r="AU6301">
        <v>6300</v>
      </c>
    </row>
    <row r="6302" spans="1:47" x14ac:dyDescent="0.2">
      <c r="A6302" s="133">
        <v>6834</v>
      </c>
      <c r="B6302" s="39" t="s">
        <v>85</v>
      </c>
      <c r="C6302" s="39" t="s">
        <v>6997</v>
      </c>
      <c r="D6302" s="29"/>
      <c r="E6302" s="39" t="s">
        <v>788</v>
      </c>
      <c r="F6302" s="47" t="s">
        <v>7097</v>
      </c>
      <c r="G6302" s="47" t="s">
        <v>49</v>
      </c>
      <c r="H6302"/>
      <c r="I6302" s="47"/>
      <c r="J6302" s="47"/>
      <c r="K6302" s="47">
        <f>4*50*2.2</f>
        <v>440.00000000000006</v>
      </c>
      <c r="L6302" s="48">
        <v>6</v>
      </c>
      <c r="M6302" s="47"/>
      <c r="N6302" s="47"/>
      <c r="O6302" s="47"/>
      <c r="P6302" s="47"/>
      <c r="Q6302" s="47"/>
      <c r="R6302" s="47"/>
      <c r="S6302" s="48">
        <v>1</v>
      </c>
      <c r="T6302" s="47"/>
      <c r="U6302" s="47"/>
      <c r="V6302" s="47"/>
      <c r="W6302" s="47">
        <v>15000</v>
      </c>
      <c r="X6302" s="47"/>
      <c r="Y6302" s="47" t="s">
        <v>120</v>
      </c>
      <c r="Z6302" s="47" t="s">
        <v>3618</v>
      </c>
      <c r="AA6302" s="49">
        <v>0.69444444444444453</v>
      </c>
      <c r="AB6302" s="49">
        <v>0.78125</v>
      </c>
      <c r="AC6302" s="49">
        <f t="shared" si="20"/>
        <v>0.73784722222222232</v>
      </c>
      <c r="AD6302" s="50">
        <f t="shared" si="21"/>
        <v>2.0833333333333313</v>
      </c>
      <c r="AE6302" s="47" t="s">
        <v>5536</v>
      </c>
      <c r="AF6302" s="47">
        <v>70</v>
      </c>
      <c r="AG6302"/>
      <c r="AH6302"/>
      <c r="AI6302"/>
      <c r="AJ6302"/>
      <c r="AK6302">
        <v>4</v>
      </c>
      <c r="AL6302"/>
      <c r="AM6302"/>
      <c r="AN6302"/>
      <c r="AO6302"/>
      <c r="AP6302"/>
      <c r="AQ6302" t="s">
        <v>7112</v>
      </c>
      <c r="AU6302">
        <v>6301</v>
      </c>
    </row>
    <row r="6303" spans="1:47" x14ac:dyDescent="0.2">
      <c r="A6303" s="133">
        <v>6834</v>
      </c>
      <c r="B6303" s="39" t="s">
        <v>85</v>
      </c>
      <c r="C6303" s="39" t="s">
        <v>5533</v>
      </c>
      <c r="D6303" s="29"/>
      <c r="E6303" s="39" t="s">
        <v>788</v>
      </c>
      <c r="F6303" s="47" t="s">
        <v>7097</v>
      </c>
      <c r="G6303" s="47" t="s">
        <v>49</v>
      </c>
      <c r="H6303"/>
      <c r="I6303" s="47" t="s">
        <v>7113</v>
      </c>
      <c r="J6303" s="47"/>
      <c r="K6303" s="47">
        <f>(4*9+4*20+8*50)*2.2</f>
        <v>1135.2</v>
      </c>
      <c r="L6303" s="48">
        <v>8</v>
      </c>
      <c r="M6303" s="47"/>
      <c r="N6303" s="47">
        <v>2</v>
      </c>
      <c r="O6303" s="47"/>
      <c r="P6303" s="47"/>
      <c r="Q6303" s="47">
        <v>1</v>
      </c>
      <c r="R6303" s="47"/>
      <c r="S6303" s="48">
        <v>4</v>
      </c>
      <c r="T6303" s="47">
        <v>4</v>
      </c>
      <c r="U6303" s="47"/>
      <c r="V6303" s="47"/>
      <c r="W6303" s="47">
        <f>4200/0.3048</f>
        <v>13779.527559055117</v>
      </c>
      <c r="X6303" s="47"/>
      <c r="Y6303" s="47" t="s">
        <v>120</v>
      </c>
      <c r="Z6303" s="47" t="s">
        <v>3724</v>
      </c>
      <c r="AA6303" s="49">
        <v>0.70138888888888884</v>
      </c>
      <c r="AB6303" s="49">
        <v>0.80555555555555547</v>
      </c>
      <c r="AC6303" s="49">
        <f t="shared" si="20"/>
        <v>0.7534722222222221</v>
      </c>
      <c r="AD6303" s="50">
        <f t="shared" si="21"/>
        <v>2.4999999999999991</v>
      </c>
      <c r="AE6303" s="47" t="s">
        <v>5536</v>
      </c>
      <c r="AF6303" s="47">
        <v>70</v>
      </c>
      <c r="AG6303"/>
      <c r="AH6303"/>
      <c r="AI6303"/>
      <c r="AJ6303"/>
      <c r="AK6303">
        <f>4+4+8</f>
        <v>16</v>
      </c>
      <c r="AL6303"/>
      <c r="AM6303"/>
      <c r="AN6303"/>
      <c r="AO6303"/>
      <c r="AP6303"/>
      <c r="AQ6303" t="s">
        <v>7114</v>
      </c>
      <c r="AU6303">
        <v>6302</v>
      </c>
    </row>
    <row r="6304" spans="1:47" x14ac:dyDescent="0.2">
      <c r="A6304" s="133">
        <v>6834</v>
      </c>
      <c r="B6304" s="39" t="s">
        <v>45</v>
      </c>
      <c r="C6304" s="39">
        <v>97</v>
      </c>
      <c r="D6304" s="29" t="b">
        <v>0</v>
      </c>
      <c r="E6304" s="39" t="s">
        <v>7115</v>
      </c>
      <c r="F6304" s="47" t="s">
        <v>7116</v>
      </c>
      <c r="G6304" s="47" t="s">
        <v>205</v>
      </c>
      <c r="H6304"/>
      <c r="I6304" s="47" t="b">
        <v>1</v>
      </c>
      <c r="J6304" s="47" t="b">
        <v>1</v>
      </c>
      <c r="K6304" s="47">
        <v>4350</v>
      </c>
      <c r="L6304" s="48">
        <v>5</v>
      </c>
      <c r="M6304" s="47">
        <v>0</v>
      </c>
      <c r="N6304" s="47">
        <v>2</v>
      </c>
      <c r="O6304" s="47">
        <v>0</v>
      </c>
      <c r="P6304" s="47">
        <v>0</v>
      </c>
      <c r="Q6304" s="47">
        <v>0</v>
      </c>
      <c r="R6304" s="47">
        <v>0</v>
      </c>
      <c r="S6304" s="48">
        <v>3</v>
      </c>
      <c r="T6304" s="47">
        <v>0</v>
      </c>
      <c r="U6304" s="47">
        <v>0</v>
      </c>
      <c r="V6304" s="47">
        <v>0</v>
      </c>
      <c r="W6304" s="47">
        <v>3500</v>
      </c>
      <c r="X6304" s="47">
        <v>1036</v>
      </c>
      <c r="Y6304" s="47"/>
      <c r="Z6304" s="47" t="s">
        <v>2466</v>
      </c>
      <c r="AA6304" s="49"/>
      <c r="AB6304" s="49"/>
      <c r="AC6304" s="49"/>
      <c r="AD6304" s="50"/>
      <c r="AE6304" s="47"/>
      <c r="AF6304" s="47"/>
      <c r="AG6304"/>
      <c r="AH6304"/>
      <c r="AI6304"/>
      <c r="AJ6304"/>
      <c r="AK6304"/>
      <c r="AL6304"/>
      <c r="AM6304"/>
      <c r="AN6304"/>
      <c r="AO6304"/>
      <c r="AP6304"/>
      <c r="AQ6304" t="s">
        <v>2526</v>
      </c>
      <c r="AU6304">
        <v>6303</v>
      </c>
    </row>
    <row r="6305" spans="1:47" x14ac:dyDescent="0.2">
      <c r="A6305" s="133">
        <v>6834</v>
      </c>
      <c r="B6305" s="39" t="s">
        <v>45</v>
      </c>
      <c r="C6305" s="39">
        <v>97</v>
      </c>
      <c r="D6305" s="29" t="b">
        <v>0</v>
      </c>
      <c r="E6305" s="39" t="s">
        <v>649</v>
      </c>
      <c r="F6305" s="47" t="s">
        <v>529</v>
      </c>
      <c r="G6305" s="47" t="s">
        <v>205</v>
      </c>
      <c r="H6305"/>
      <c r="I6305" s="47" t="b">
        <v>0</v>
      </c>
      <c r="J6305" s="47" t="b">
        <v>0</v>
      </c>
      <c r="K6305" s="47">
        <v>1450</v>
      </c>
      <c r="L6305" s="48">
        <v>1</v>
      </c>
      <c r="M6305" s="47">
        <v>0</v>
      </c>
      <c r="N6305" s="47">
        <v>0</v>
      </c>
      <c r="O6305" s="47">
        <v>0</v>
      </c>
      <c r="P6305" s="47">
        <v>0</v>
      </c>
      <c r="Q6305" s="47">
        <v>0</v>
      </c>
      <c r="R6305" s="47">
        <v>0</v>
      </c>
      <c r="S6305" s="48">
        <v>1</v>
      </c>
      <c r="T6305" s="47">
        <v>0</v>
      </c>
      <c r="U6305" s="47">
        <v>0</v>
      </c>
      <c r="V6305" s="47">
        <v>0</v>
      </c>
      <c r="W6305" s="47">
        <v>4000</v>
      </c>
      <c r="X6305" s="47">
        <v>1037</v>
      </c>
      <c r="Y6305" s="47"/>
      <c r="Z6305" s="47" t="s">
        <v>2466</v>
      </c>
      <c r="AA6305" s="49"/>
      <c r="AB6305" s="49"/>
      <c r="AC6305" s="49"/>
      <c r="AD6305" s="50"/>
      <c r="AE6305" s="47"/>
      <c r="AF6305" s="47"/>
      <c r="AG6305"/>
      <c r="AH6305"/>
      <c r="AI6305"/>
      <c r="AJ6305"/>
      <c r="AK6305"/>
      <c r="AL6305"/>
      <c r="AM6305"/>
      <c r="AN6305"/>
      <c r="AO6305"/>
      <c r="AP6305"/>
      <c r="AQ6305" t="s">
        <v>2526</v>
      </c>
      <c r="AU6305">
        <v>6304</v>
      </c>
    </row>
    <row r="6306" spans="1:47" x14ac:dyDescent="0.2">
      <c r="A6306" s="133">
        <v>6834</v>
      </c>
      <c r="B6306" s="39" t="s">
        <v>45</v>
      </c>
      <c r="C6306" s="39">
        <v>97</v>
      </c>
      <c r="D6306" s="29" t="b">
        <v>0</v>
      </c>
      <c r="E6306" s="39" t="s">
        <v>3542</v>
      </c>
      <c r="F6306" s="47" t="s">
        <v>348</v>
      </c>
      <c r="G6306" s="47" t="s">
        <v>49</v>
      </c>
      <c r="H6306"/>
      <c r="I6306" s="47" t="b">
        <v>0</v>
      </c>
      <c r="J6306" s="47" t="b">
        <v>0</v>
      </c>
      <c r="K6306" s="47">
        <v>1450</v>
      </c>
      <c r="L6306" s="48">
        <v>3</v>
      </c>
      <c r="M6306" s="47">
        <v>0</v>
      </c>
      <c r="N6306" s="47">
        <v>2</v>
      </c>
      <c r="O6306" s="47">
        <v>0</v>
      </c>
      <c r="P6306" s="47">
        <v>0</v>
      </c>
      <c r="Q6306" s="47">
        <v>0</v>
      </c>
      <c r="R6306" s="47">
        <v>0</v>
      </c>
      <c r="S6306" s="48">
        <v>1</v>
      </c>
      <c r="T6306" s="47">
        <v>0</v>
      </c>
      <c r="U6306" s="47">
        <v>0</v>
      </c>
      <c r="V6306" s="47">
        <v>0</v>
      </c>
      <c r="W6306" s="47">
        <v>2500</v>
      </c>
      <c r="X6306" s="47">
        <v>1043</v>
      </c>
      <c r="Y6306" s="47"/>
      <c r="Z6306" s="47" t="s">
        <v>2466</v>
      </c>
      <c r="AA6306" s="49"/>
      <c r="AB6306" s="49"/>
      <c r="AC6306" s="49"/>
      <c r="AD6306" s="50"/>
      <c r="AE6306" s="47"/>
      <c r="AF6306" s="47"/>
      <c r="AG6306"/>
      <c r="AH6306"/>
      <c r="AI6306"/>
      <c r="AJ6306"/>
      <c r="AK6306"/>
      <c r="AL6306"/>
      <c r="AM6306"/>
      <c r="AN6306"/>
      <c r="AO6306"/>
      <c r="AP6306"/>
      <c r="AQ6306" t="s">
        <v>2526</v>
      </c>
      <c r="AU6306">
        <v>6305</v>
      </c>
    </row>
    <row r="6307" spans="1:47" x14ac:dyDescent="0.2">
      <c r="A6307" s="133">
        <v>6834</v>
      </c>
      <c r="B6307" s="39" t="s">
        <v>45</v>
      </c>
      <c r="C6307" s="39">
        <v>97</v>
      </c>
      <c r="D6307" s="29" t="b">
        <v>0</v>
      </c>
      <c r="E6307" s="39" t="s">
        <v>6637</v>
      </c>
      <c r="F6307" s="47" t="s">
        <v>529</v>
      </c>
      <c r="G6307" s="47" t="s">
        <v>205</v>
      </c>
      <c r="H6307"/>
      <c r="I6307" s="47" t="b">
        <v>0</v>
      </c>
      <c r="J6307" s="47" t="b">
        <v>0</v>
      </c>
      <c r="K6307" s="47">
        <v>1450</v>
      </c>
      <c r="L6307" s="48">
        <v>1</v>
      </c>
      <c r="M6307" s="47">
        <v>0</v>
      </c>
      <c r="N6307" s="47">
        <v>0</v>
      </c>
      <c r="O6307" s="47">
        <v>0</v>
      </c>
      <c r="P6307" s="47">
        <v>0</v>
      </c>
      <c r="Q6307" s="47">
        <v>0</v>
      </c>
      <c r="R6307" s="47">
        <v>0</v>
      </c>
      <c r="S6307" s="48">
        <v>1</v>
      </c>
      <c r="T6307" s="47">
        <v>0</v>
      </c>
      <c r="U6307" s="47">
        <v>0</v>
      </c>
      <c r="V6307" s="47">
        <v>0</v>
      </c>
      <c r="W6307" s="47">
        <v>4000</v>
      </c>
      <c r="X6307" s="47">
        <v>1046</v>
      </c>
      <c r="Y6307" s="47"/>
      <c r="Z6307" s="47" t="s">
        <v>2466</v>
      </c>
      <c r="AA6307" s="49"/>
      <c r="AB6307" s="49"/>
      <c r="AC6307" s="49"/>
      <c r="AD6307" s="50"/>
      <c r="AE6307" s="47"/>
      <c r="AF6307" s="47"/>
      <c r="AG6307"/>
      <c r="AH6307"/>
      <c r="AI6307"/>
      <c r="AJ6307"/>
      <c r="AK6307"/>
      <c r="AL6307"/>
      <c r="AM6307"/>
      <c r="AN6307"/>
      <c r="AO6307"/>
      <c r="AP6307"/>
      <c r="AQ6307" t="s">
        <v>2526</v>
      </c>
      <c r="AU6307">
        <v>6306</v>
      </c>
    </row>
    <row r="6308" spans="1:47" x14ac:dyDescent="0.2">
      <c r="A6308" s="133">
        <v>6834</v>
      </c>
      <c r="B6308" s="39" t="s">
        <v>45</v>
      </c>
      <c r="C6308" s="39">
        <v>100</v>
      </c>
      <c r="D6308" s="29" t="b">
        <v>0</v>
      </c>
      <c r="E6308" s="39" t="s">
        <v>649</v>
      </c>
      <c r="F6308" s="47" t="s">
        <v>7117</v>
      </c>
      <c r="G6308" s="47" t="s">
        <v>205</v>
      </c>
      <c r="H6308"/>
      <c r="I6308" s="47" t="b">
        <v>0</v>
      </c>
      <c r="J6308" s="47" t="b">
        <v>1</v>
      </c>
      <c r="K6308" s="47">
        <v>3462</v>
      </c>
      <c r="L6308" s="48">
        <v>2</v>
      </c>
      <c r="M6308" s="47">
        <v>0</v>
      </c>
      <c r="N6308" s="47">
        <v>0</v>
      </c>
      <c r="O6308" s="47">
        <v>0</v>
      </c>
      <c r="P6308" s="47">
        <v>0</v>
      </c>
      <c r="Q6308" s="47">
        <v>0</v>
      </c>
      <c r="R6308" s="47">
        <v>0</v>
      </c>
      <c r="S6308" s="48">
        <v>1</v>
      </c>
      <c r="T6308" s="47">
        <v>1</v>
      </c>
      <c r="U6308" s="47">
        <v>0</v>
      </c>
      <c r="V6308" s="47">
        <v>0</v>
      </c>
      <c r="W6308" s="47"/>
      <c r="X6308" s="47">
        <v>1038</v>
      </c>
      <c r="Y6308" s="47"/>
      <c r="Z6308" s="47" t="s">
        <v>2466</v>
      </c>
      <c r="AA6308" s="49"/>
      <c r="AB6308" s="49"/>
      <c r="AC6308" s="49"/>
      <c r="AD6308" s="50"/>
      <c r="AE6308" s="47" t="s">
        <v>6445</v>
      </c>
      <c r="AF6308" s="47">
        <v>80</v>
      </c>
      <c r="AG6308"/>
      <c r="AH6308"/>
      <c r="AI6308"/>
      <c r="AJ6308"/>
      <c r="AK6308"/>
      <c r="AL6308"/>
      <c r="AM6308"/>
      <c r="AN6308"/>
      <c r="AO6308"/>
      <c r="AP6308"/>
      <c r="AQ6308" t="s">
        <v>2526</v>
      </c>
      <c r="AU6308">
        <v>6307</v>
      </c>
    </row>
    <row r="6309" spans="1:47" x14ac:dyDescent="0.2">
      <c r="A6309" s="133">
        <v>6834</v>
      </c>
      <c r="B6309" s="39" t="s">
        <v>45</v>
      </c>
      <c r="C6309" s="39">
        <v>115</v>
      </c>
      <c r="D6309" s="29" t="b">
        <v>0</v>
      </c>
      <c r="E6309" s="39" t="s">
        <v>1168</v>
      </c>
      <c r="F6309" s="47" t="s">
        <v>2398</v>
      </c>
      <c r="G6309" s="47" t="s">
        <v>49</v>
      </c>
      <c r="H6309"/>
      <c r="I6309" s="47" t="b">
        <v>0</v>
      </c>
      <c r="J6309" s="47" t="b">
        <v>1</v>
      </c>
      <c r="K6309" s="47">
        <v>8176</v>
      </c>
      <c r="L6309" s="48">
        <v>8</v>
      </c>
      <c r="M6309" s="47">
        <v>0</v>
      </c>
      <c r="N6309" s="47">
        <v>2</v>
      </c>
      <c r="O6309" s="47">
        <v>0</v>
      </c>
      <c r="P6309" s="47">
        <v>0</v>
      </c>
      <c r="Q6309" s="47">
        <v>0</v>
      </c>
      <c r="R6309" s="47">
        <v>0</v>
      </c>
      <c r="S6309" s="48">
        <v>6</v>
      </c>
      <c r="T6309" s="47">
        <v>1</v>
      </c>
      <c r="U6309" s="47">
        <v>0</v>
      </c>
      <c r="V6309" s="47">
        <v>0</v>
      </c>
      <c r="W6309" s="47">
        <v>7700</v>
      </c>
      <c r="X6309" s="47">
        <v>1034</v>
      </c>
      <c r="Y6309" s="47"/>
      <c r="Z6309" s="47" t="s">
        <v>2466</v>
      </c>
      <c r="AA6309" s="49"/>
      <c r="AB6309" s="49"/>
      <c r="AC6309" s="49"/>
      <c r="AD6309" s="50"/>
      <c r="AE6309" s="47" t="s">
        <v>7118</v>
      </c>
      <c r="AF6309" s="47">
        <v>70</v>
      </c>
      <c r="AG6309"/>
      <c r="AH6309"/>
      <c r="AI6309"/>
      <c r="AJ6309"/>
      <c r="AK6309"/>
      <c r="AL6309"/>
      <c r="AM6309"/>
      <c r="AN6309"/>
      <c r="AO6309"/>
      <c r="AP6309"/>
      <c r="AQ6309" t="s">
        <v>2526</v>
      </c>
      <c r="AR6309" s="32" t="s">
        <v>7119</v>
      </c>
      <c r="AU6309">
        <v>6308</v>
      </c>
    </row>
    <row r="6310" spans="1:47" x14ac:dyDescent="0.2">
      <c r="A6310" s="133">
        <v>6834</v>
      </c>
      <c r="B6310" s="39" t="s">
        <v>45</v>
      </c>
      <c r="C6310" s="39">
        <v>215</v>
      </c>
      <c r="D6310" s="29" t="b">
        <v>0</v>
      </c>
      <c r="E6310" s="39" t="s">
        <v>7120</v>
      </c>
      <c r="F6310" s="47" t="s">
        <v>881</v>
      </c>
      <c r="G6310" s="47" t="s">
        <v>73</v>
      </c>
      <c r="H6310"/>
      <c r="I6310" s="47" t="b">
        <v>0</v>
      </c>
      <c r="J6310" s="47" t="b">
        <v>1</v>
      </c>
      <c r="K6310" s="47">
        <v>-1</v>
      </c>
      <c r="L6310" s="48">
        <v>5</v>
      </c>
      <c r="M6310" s="47">
        <v>0</v>
      </c>
      <c r="N6310" s="47">
        <v>1</v>
      </c>
      <c r="O6310" s="47">
        <v>0</v>
      </c>
      <c r="P6310" s="47">
        <v>0</v>
      </c>
      <c r="Q6310" s="47">
        <v>0</v>
      </c>
      <c r="R6310" s="47">
        <v>0</v>
      </c>
      <c r="S6310" s="48">
        <v>-1</v>
      </c>
      <c r="T6310" s="47">
        <v>4</v>
      </c>
      <c r="U6310" s="47">
        <v>0</v>
      </c>
      <c r="V6310" s="47">
        <v>0</v>
      </c>
      <c r="W6310" s="47"/>
      <c r="X6310" s="47">
        <v>1040</v>
      </c>
      <c r="Y6310" s="47"/>
      <c r="Z6310" s="47" t="s">
        <v>2466</v>
      </c>
      <c r="AA6310" s="49"/>
      <c r="AB6310" s="49"/>
      <c r="AC6310" s="49"/>
      <c r="AD6310" s="50"/>
      <c r="AE6310" s="47"/>
      <c r="AF6310" s="47"/>
      <c r="AG6310"/>
      <c r="AH6310"/>
      <c r="AI6310"/>
      <c r="AJ6310"/>
      <c r="AK6310"/>
      <c r="AL6310"/>
      <c r="AM6310"/>
      <c r="AN6310"/>
      <c r="AO6310"/>
      <c r="AP6310"/>
      <c r="AQ6310" t="s">
        <v>2526</v>
      </c>
      <c r="AU6310">
        <v>6309</v>
      </c>
    </row>
    <row r="6311" spans="1:47" x14ac:dyDescent="0.2">
      <c r="A6311" s="133">
        <v>6834</v>
      </c>
      <c r="B6311" s="39" t="s">
        <v>45</v>
      </c>
      <c r="C6311" s="39">
        <v>216</v>
      </c>
      <c r="D6311" s="29" t="b">
        <v>0</v>
      </c>
      <c r="E6311" s="39" t="s">
        <v>7121</v>
      </c>
      <c r="F6311" s="47" t="s">
        <v>7122</v>
      </c>
      <c r="G6311" s="47" t="s">
        <v>49</v>
      </c>
      <c r="H6311"/>
      <c r="I6311" s="47" t="b">
        <v>1</v>
      </c>
      <c r="J6311" s="47" t="b">
        <v>1</v>
      </c>
      <c r="K6311" s="47">
        <v>7138</v>
      </c>
      <c r="L6311" s="48">
        <v>6</v>
      </c>
      <c r="M6311" s="47">
        <v>0</v>
      </c>
      <c r="N6311" s="47">
        <v>0</v>
      </c>
      <c r="O6311" s="47">
        <v>0</v>
      </c>
      <c r="P6311" s="47">
        <v>5</v>
      </c>
      <c r="Q6311" s="47">
        <v>0</v>
      </c>
      <c r="R6311" s="47">
        <v>0</v>
      </c>
      <c r="S6311" s="48">
        <v>5</v>
      </c>
      <c r="T6311" s="47">
        <v>1</v>
      </c>
      <c r="U6311" s="47">
        <v>0</v>
      </c>
      <c r="V6311" s="47">
        <v>1</v>
      </c>
      <c r="W6311" s="47">
        <v>5400</v>
      </c>
      <c r="X6311" s="47">
        <v>1041</v>
      </c>
      <c r="Y6311" s="47"/>
      <c r="Z6311" s="47" t="s">
        <v>2466</v>
      </c>
      <c r="AA6311" s="49"/>
      <c r="AB6311" s="49"/>
      <c r="AC6311" s="49"/>
      <c r="AD6311" s="50"/>
      <c r="AE6311" s="47" t="s">
        <v>1312</v>
      </c>
      <c r="AF6311" s="47">
        <v>55</v>
      </c>
      <c r="AG6311"/>
      <c r="AH6311"/>
      <c r="AI6311"/>
      <c r="AJ6311"/>
      <c r="AK6311"/>
      <c r="AL6311"/>
      <c r="AM6311"/>
      <c r="AN6311"/>
      <c r="AO6311"/>
      <c r="AP6311"/>
      <c r="AQ6311" t="s">
        <v>2526</v>
      </c>
      <c r="AU6311">
        <v>6310</v>
      </c>
    </row>
    <row r="6312" spans="1:47" x14ac:dyDescent="0.2">
      <c r="A6312" s="133">
        <v>6834</v>
      </c>
      <c r="B6312" s="39" t="s">
        <v>45</v>
      </c>
      <c r="C6312" s="39">
        <v>216</v>
      </c>
      <c r="D6312" s="29" t="b">
        <v>0</v>
      </c>
      <c r="E6312" s="39" t="s">
        <v>649</v>
      </c>
      <c r="F6312" s="47" t="s">
        <v>529</v>
      </c>
      <c r="G6312" s="47" t="s">
        <v>205</v>
      </c>
      <c r="H6312"/>
      <c r="I6312" s="47" t="b">
        <v>0</v>
      </c>
      <c r="J6312" s="47" t="b">
        <v>0</v>
      </c>
      <c r="K6312" s="47">
        <v>1344</v>
      </c>
      <c r="L6312" s="48">
        <v>6</v>
      </c>
      <c r="M6312" s="47">
        <v>0</v>
      </c>
      <c r="N6312" s="47">
        <v>0</v>
      </c>
      <c r="O6312" s="47">
        <v>0</v>
      </c>
      <c r="P6312" s="47">
        <v>5</v>
      </c>
      <c r="Q6312" s="47">
        <v>0</v>
      </c>
      <c r="R6312" s="47">
        <v>0</v>
      </c>
      <c r="S6312" s="48">
        <v>1</v>
      </c>
      <c r="T6312" s="47">
        <v>1</v>
      </c>
      <c r="U6312" s="47">
        <v>0</v>
      </c>
      <c r="V6312" s="47">
        <v>1</v>
      </c>
      <c r="W6312" s="47">
        <v>7500</v>
      </c>
      <c r="X6312" s="47">
        <v>1042</v>
      </c>
      <c r="Y6312" s="47"/>
      <c r="Z6312" s="47" t="s">
        <v>2466</v>
      </c>
      <c r="AA6312" s="49"/>
      <c r="AB6312" s="49"/>
      <c r="AC6312" s="49"/>
      <c r="AD6312" s="50"/>
      <c r="AE6312" s="47" t="s">
        <v>1312</v>
      </c>
      <c r="AF6312" s="31">
        <v>55</v>
      </c>
      <c r="AG6312"/>
      <c r="AH6312"/>
      <c r="AI6312"/>
      <c r="AJ6312"/>
      <c r="AK6312"/>
      <c r="AL6312"/>
      <c r="AM6312"/>
      <c r="AN6312"/>
      <c r="AO6312"/>
      <c r="AP6312"/>
      <c r="AQ6312" t="s">
        <v>2526</v>
      </c>
      <c r="AU6312">
        <v>6311</v>
      </c>
    </row>
    <row r="6313" spans="1:47" x14ac:dyDescent="0.2">
      <c r="A6313" s="133">
        <v>6834</v>
      </c>
      <c r="B6313" s="39" t="s">
        <v>45</v>
      </c>
      <c r="C6313" s="39">
        <v>216</v>
      </c>
      <c r="D6313" s="29" t="b">
        <v>0</v>
      </c>
      <c r="E6313" s="39" t="s">
        <v>5707</v>
      </c>
      <c r="F6313" s="47" t="s">
        <v>529</v>
      </c>
      <c r="G6313" s="47" t="s">
        <v>205</v>
      </c>
      <c r="H6313"/>
      <c r="I6313" s="47" t="b">
        <v>0</v>
      </c>
      <c r="J6313" s="47" t="b">
        <v>0</v>
      </c>
      <c r="K6313" s="47">
        <v>1568</v>
      </c>
      <c r="L6313" s="48">
        <v>6</v>
      </c>
      <c r="M6313" s="47">
        <v>0</v>
      </c>
      <c r="N6313" s="47">
        <v>0</v>
      </c>
      <c r="O6313" s="47">
        <v>0</v>
      </c>
      <c r="P6313" s="47">
        <v>5</v>
      </c>
      <c r="Q6313" s="47">
        <v>0</v>
      </c>
      <c r="R6313" s="47">
        <v>0</v>
      </c>
      <c r="S6313" s="48">
        <v>1</v>
      </c>
      <c r="T6313" s="47">
        <v>1</v>
      </c>
      <c r="U6313" s="47">
        <v>0</v>
      </c>
      <c r="V6313" s="47">
        <v>1</v>
      </c>
      <c r="W6313" s="47">
        <v>4000</v>
      </c>
      <c r="X6313" s="47">
        <v>1044</v>
      </c>
      <c r="Y6313" s="47"/>
      <c r="Z6313" s="47" t="s">
        <v>2466</v>
      </c>
      <c r="AA6313" s="49"/>
      <c r="AB6313" s="49"/>
      <c r="AC6313" s="49"/>
      <c r="AD6313" s="50"/>
      <c r="AE6313" s="47" t="s">
        <v>1312</v>
      </c>
      <c r="AF6313" s="47">
        <v>75</v>
      </c>
      <c r="AG6313"/>
      <c r="AH6313"/>
      <c r="AI6313"/>
      <c r="AJ6313"/>
      <c r="AK6313"/>
      <c r="AL6313"/>
      <c r="AM6313"/>
      <c r="AN6313"/>
      <c r="AO6313"/>
      <c r="AP6313"/>
      <c r="AQ6313" t="s">
        <v>2526</v>
      </c>
      <c r="AU6313">
        <v>6312</v>
      </c>
    </row>
    <row r="6314" spans="1:47" x14ac:dyDescent="0.2">
      <c r="A6314" s="133">
        <v>6834</v>
      </c>
      <c r="B6314" s="39" t="s">
        <v>45</v>
      </c>
      <c r="C6314" s="39">
        <v>216</v>
      </c>
      <c r="D6314" s="29" t="b">
        <v>0</v>
      </c>
      <c r="E6314" s="39" t="s">
        <v>364</v>
      </c>
      <c r="F6314" s="47" t="s">
        <v>76</v>
      </c>
      <c r="G6314" s="47" t="s">
        <v>49</v>
      </c>
      <c r="H6314"/>
      <c r="I6314" s="47" t="b">
        <v>0</v>
      </c>
      <c r="J6314" s="47" t="b">
        <v>0</v>
      </c>
      <c r="K6314" s="47">
        <v>1334</v>
      </c>
      <c r="L6314" s="48">
        <v>6</v>
      </c>
      <c r="M6314" s="47">
        <v>0</v>
      </c>
      <c r="N6314" s="47">
        <v>0</v>
      </c>
      <c r="O6314" s="47">
        <v>0</v>
      </c>
      <c r="P6314" s="47">
        <v>5</v>
      </c>
      <c r="Q6314" s="47">
        <v>0</v>
      </c>
      <c r="R6314" s="47">
        <v>0</v>
      </c>
      <c r="S6314" s="48">
        <v>1</v>
      </c>
      <c r="T6314" s="47">
        <v>1</v>
      </c>
      <c r="U6314" s="47">
        <v>0</v>
      </c>
      <c r="V6314" s="47">
        <v>1</v>
      </c>
      <c r="W6314" s="47">
        <v>6500</v>
      </c>
      <c r="X6314" s="47">
        <v>1045</v>
      </c>
      <c r="Y6314" s="47"/>
      <c r="Z6314" s="47" t="s">
        <v>2466</v>
      </c>
      <c r="AA6314" s="49"/>
      <c r="AB6314" s="49"/>
      <c r="AC6314" s="49"/>
      <c r="AD6314" s="50"/>
      <c r="AE6314" s="47" t="s">
        <v>1312</v>
      </c>
      <c r="AF6314" s="47">
        <v>60</v>
      </c>
      <c r="AG6314"/>
      <c r="AH6314"/>
      <c r="AI6314"/>
      <c r="AJ6314"/>
      <c r="AK6314"/>
      <c r="AL6314"/>
      <c r="AM6314"/>
      <c r="AN6314"/>
      <c r="AO6314"/>
      <c r="AP6314"/>
      <c r="AQ6314" t="s">
        <v>2526</v>
      </c>
      <c r="AU6314">
        <v>6313</v>
      </c>
    </row>
    <row r="6315" spans="1:47" x14ac:dyDescent="0.2">
      <c r="A6315" s="133">
        <v>6834</v>
      </c>
      <c r="B6315" s="39" t="s">
        <v>45</v>
      </c>
      <c r="C6315" s="39">
        <v>216</v>
      </c>
      <c r="D6315" s="29" t="b">
        <v>0</v>
      </c>
      <c r="E6315" s="39" t="s">
        <v>1006</v>
      </c>
      <c r="F6315" s="47" t="s">
        <v>76</v>
      </c>
      <c r="G6315" s="47" t="s">
        <v>49</v>
      </c>
      <c r="H6315"/>
      <c r="I6315" s="47" t="b">
        <v>0</v>
      </c>
      <c r="J6315" s="47" t="b">
        <v>0</v>
      </c>
      <c r="K6315" s="47">
        <v>1446</v>
      </c>
      <c r="L6315" s="48">
        <v>6</v>
      </c>
      <c r="M6315" s="47">
        <v>0</v>
      </c>
      <c r="N6315" s="47">
        <v>0</v>
      </c>
      <c r="O6315" s="47">
        <v>0</v>
      </c>
      <c r="P6315" s="47">
        <v>5</v>
      </c>
      <c r="Q6315" s="47">
        <v>0</v>
      </c>
      <c r="R6315" s="47">
        <v>0</v>
      </c>
      <c r="S6315" s="48">
        <v>1</v>
      </c>
      <c r="T6315" s="47">
        <v>1</v>
      </c>
      <c r="U6315" s="47">
        <v>0</v>
      </c>
      <c r="V6315" s="47">
        <v>1</v>
      </c>
      <c r="W6315" s="47">
        <v>5000</v>
      </c>
      <c r="X6315" s="47">
        <v>1047</v>
      </c>
      <c r="Y6315" s="47"/>
      <c r="Z6315" s="47" t="s">
        <v>2466</v>
      </c>
      <c r="AA6315" s="49"/>
      <c r="AB6315" s="49"/>
      <c r="AC6315" s="49"/>
      <c r="AD6315" s="50"/>
      <c r="AE6315" s="47" t="s">
        <v>1312</v>
      </c>
      <c r="AF6315" s="47">
        <v>135</v>
      </c>
      <c r="AG6315"/>
      <c r="AH6315"/>
      <c r="AI6315"/>
      <c r="AJ6315"/>
      <c r="AK6315"/>
      <c r="AL6315"/>
      <c r="AM6315"/>
      <c r="AN6315"/>
      <c r="AO6315"/>
      <c r="AP6315"/>
      <c r="AQ6315" t="s">
        <v>2526</v>
      </c>
      <c r="AU6315">
        <v>6314</v>
      </c>
    </row>
    <row r="6316" spans="1:47" x14ac:dyDescent="0.2">
      <c r="A6316" s="133">
        <v>6834</v>
      </c>
      <c r="B6316" s="39" t="s">
        <v>45</v>
      </c>
      <c r="C6316" s="39">
        <v>216</v>
      </c>
      <c r="D6316" s="29" t="b">
        <v>0</v>
      </c>
      <c r="E6316" s="39" t="s">
        <v>7123</v>
      </c>
      <c r="F6316" s="47" t="s">
        <v>76</v>
      </c>
      <c r="G6316" s="47" t="s">
        <v>49</v>
      </c>
      <c r="H6316"/>
      <c r="I6316" s="47" t="b">
        <v>0</v>
      </c>
      <c r="J6316" s="47" t="b">
        <v>0</v>
      </c>
      <c r="K6316" s="47">
        <v>1446</v>
      </c>
      <c r="L6316" s="48">
        <v>6</v>
      </c>
      <c r="M6316" s="47">
        <v>0</v>
      </c>
      <c r="N6316" s="47">
        <v>0</v>
      </c>
      <c r="O6316" s="47">
        <v>0</v>
      </c>
      <c r="P6316" s="47">
        <v>5</v>
      </c>
      <c r="Q6316" s="47">
        <v>0</v>
      </c>
      <c r="R6316" s="47">
        <v>0</v>
      </c>
      <c r="S6316" s="48">
        <v>1</v>
      </c>
      <c r="T6316" s="47">
        <v>1</v>
      </c>
      <c r="U6316" s="47">
        <v>0</v>
      </c>
      <c r="V6316" s="47">
        <v>1</v>
      </c>
      <c r="W6316" s="47">
        <v>4000</v>
      </c>
      <c r="X6316" s="47">
        <v>1048</v>
      </c>
      <c r="Y6316" s="47"/>
      <c r="Z6316" s="47" t="s">
        <v>2466</v>
      </c>
      <c r="AA6316" s="49"/>
      <c r="AB6316" s="49"/>
      <c r="AC6316" s="49"/>
      <c r="AD6316" s="50"/>
      <c r="AE6316" s="47" t="s">
        <v>1312</v>
      </c>
      <c r="AF6316" s="47">
        <v>105</v>
      </c>
      <c r="AG6316"/>
      <c r="AH6316"/>
      <c r="AI6316"/>
      <c r="AJ6316"/>
      <c r="AK6316"/>
      <c r="AL6316"/>
      <c r="AM6316"/>
      <c r="AN6316"/>
      <c r="AO6316"/>
      <c r="AP6316"/>
      <c r="AQ6316" t="s">
        <v>2526</v>
      </c>
      <c r="AU6316">
        <v>6315</v>
      </c>
    </row>
    <row r="6317" spans="1:47" x14ac:dyDescent="0.2">
      <c r="A6317" s="13">
        <v>6834</v>
      </c>
      <c r="B6317" s="57" t="s">
        <v>45</v>
      </c>
      <c r="C6317" s="57" t="s">
        <v>142</v>
      </c>
      <c r="D6317" s="29"/>
      <c r="E6317" s="57" t="s">
        <v>7124</v>
      </c>
      <c r="F6317" s="31" t="s">
        <v>7125</v>
      </c>
      <c r="G6317" s="47" t="s">
        <v>73</v>
      </c>
      <c r="H6317"/>
      <c r="I6317" s="47" t="b">
        <v>1</v>
      </c>
      <c r="J6317" s="47" t="b">
        <v>1</v>
      </c>
      <c r="K6317" s="47">
        <f>3285*2.2</f>
        <v>7227.0000000000009</v>
      </c>
      <c r="L6317" s="48">
        <v>12</v>
      </c>
      <c r="M6317" s="47"/>
      <c r="N6317" s="47"/>
      <c r="O6317" s="47"/>
      <c r="P6317" s="47"/>
      <c r="Q6317" s="47"/>
      <c r="R6317" s="47"/>
      <c r="S6317" s="48">
        <v>11</v>
      </c>
      <c r="T6317" s="47">
        <v>1</v>
      </c>
      <c r="U6317" s="47">
        <v>0</v>
      </c>
      <c r="V6317" s="47">
        <v>0</v>
      </c>
      <c r="W6317" s="47"/>
      <c r="X6317" s="47"/>
      <c r="Y6317" s="47"/>
      <c r="Z6317" s="31" t="s">
        <v>5406</v>
      </c>
      <c r="AA6317" s="49"/>
      <c r="AB6317" s="49"/>
      <c r="AC6317" s="49"/>
      <c r="AD6317" s="50"/>
      <c r="AE6317" s="31" t="s">
        <v>2470</v>
      </c>
      <c r="AG6317"/>
      <c r="AH6317"/>
      <c r="AI6317"/>
      <c r="AJ6317"/>
      <c r="AK6317">
        <f>11+7+51+9</f>
        <v>78</v>
      </c>
      <c r="AL6317"/>
      <c r="AM6317"/>
      <c r="AN6317"/>
      <c r="AO6317"/>
      <c r="AP6317"/>
      <c r="AQ6317" s="32" t="s">
        <v>7068</v>
      </c>
      <c r="AR6317" s="32" t="s">
        <v>7126</v>
      </c>
      <c r="AU6317">
        <v>6316</v>
      </c>
    </row>
    <row r="6318" spans="1:47" x14ac:dyDescent="0.2">
      <c r="A6318" s="13">
        <v>6834</v>
      </c>
      <c r="B6318" s="57" t="s">
        <v>45</v>
      </c>
      <c r="C6318" s="57" t="s">
        <v>142</v>
      </c>
      <c r="D6318" s="29"/>
      <c r="E6318" s="57" t="s">
        <v>4197</v>
      </c>
      <c r="F6318" s="31" t="s">
        <v>204</v>
      </c>
      <c r="G6318" s="31" t="s">
        <v>205</v>
      </c>
      <c r="I6318" s="47" t="b">
        <v>0</v>
      </c>
      <c r="J6318" s="47" t="b">
        <v>0</v>
      </c>
      <c r="K6318" s="31">
        <v>2343</v>
      </c>
      <c r="S6318" s="33">
        <v>4</v>
      </c>
      <c r="AE6318" s="31" t="s">
        <v>2470</v>
      </c>
      <c r="AF6318" s="47">
        <v>85</v>
      </c>
      <c r="AK6318" s="32">
        <v>32</v>
      </c>
      <c r="AQ6318" s="32" t="s">
        <v>7070</v>
      </c>
      <c r="AU6318">
        <v>6317</v>
      </c>
    </row>
    <row r="6319" spans="1:47" x14ac:dyDescent="0.2">
      <c r="A6319" s="13">
        <v>6834</v>
      </c>
      <c r="B6319" s="57" t="s">
        <v>45</v>
      </c>
      <c r="C6319" s="57" t="s">
        <v>142</v>
      </c>
      <c r="D6319" s="29"/>
      <c r="E6319" s="57" t="s">
        <v>7127</v>
      </c>
      <c r="F6319" s="31" t="s">
        <v>6354</v>
      </c>
      <c r="G6319" s="31" t="s">
        <v>69</v>
      </c>
      <c r="I6319" s="47" t="b">
        <v>0</v>
      </c>
      <c r="J6319" s="47" t="b">
        <v>0</v>
      </c>
      <c r="K6319" s="31">
        <v>3344</v>
      </c>
      <c r="S6319" s="33">
        <v>5</v>
      </c>
      <c r="AE6319" s="31" t="s">
        <v>2470</v>
      </c>
      <c r="AF6319" s="31">
        <v>55</v>
      </c>
      <c r="AK6319" s="32">
        <v>31</v>
      </c>
      <c r="AQ6319" s="32" t="s">
        <v>7070</v>
      </c>
      <c r="AU6319">
        <v>6318</v>
      </c>
    </row>
    <row r="6320" spans="1:47" x14ac:dyDescent="0.2">
      <c r="A6320" s="13">
        <v>6834</v>
      </c>
      <c r="B6320" s="57" t="s">
        <v>45</v>
      </c>
      <c r="C6320" s="57" t="s">
        <v>142</v>
      </c>
      <c r="D6320" s="29"/>
      <c r="E6320" s="57" t="s">
        <v>3876</v>
      </c>
      <c r="F6320" s="31" t="s">
        <v>76</v>
      </c>
      <c r="G6320" s="31" t="s">
        <v>49</v>
      </c>
      <c r="I6320" s="47" t="b">
        <v>0</v>
      </c>
      <c r="J6320" s="47" t="b">
        <v>0</v>
      </c>
      <c r="K6320" s="31">
        <v>770</v>
      </c>
      <c r="S6320" s="33">
        <v>1</v>
      </c>
      <c r="AE6320" s="31" t="s">
        <v>2470</v>
      </c>
      <c r="AF6320" s="31">
        <v>70</v>
      </c>
      <c r="AK6320" s="32">
        <v>7</v>
      </c>
      <c r="AQ6320" s="32" t="s">
        <v>7070</v>
      </c>
      <c r="AU6320">
        <v>6319</v>
      </c>
    </row>
    <row r="6321" spans="1:47" x14ac:dyDescent="0.2">
      <c r="A6321" s="13">
        <v>6834</v>
      </c>
      <c r="B6321" s="57" t="s">
        <v>45</v>
      </c>
      <c r="C6321" s="57" t="s">
        <v>142</v>
      </c>
      <c r="D6321" s="29"/>
      <c r="E6321" s="57" t="s">
        <v>6527</v>
      </c>
      <c r="F6321" s="31" t="s">
        <v>76</v>
      </c>
      <c r="G6321" s="31" t="s">
        <v>49</v>
      </c>
      <c r="I6321" s="47" t="b">
        <v>0</v>
      </c>
      <c r="J6321" s="47" t="b">
        <v>0</v>
      </c>
      <c r="K6321" s="31">
        <v>770</v>
      </c>
      <c r="S6321" s="33">
        <v>1</v>
      </c>
      <c r="AE6321" s="31" t="s">
        <v>2470</v>
      </c>
      <c r="AF6321" s="31">
        <v>105</v>
      </c>
      <c r="AK6321" s="32">
        <v>7</v>
      </c>
      <c r="AQ6321" s="32" t="s">
        <v>7070</v>
      </c>
      <c r="AU6321">
        <v>6320</v>
      </c>
    </row>
    <row r="6322" spans="1:47" x14ac:dyDescent="0.2">
      <c r="A6322" s="13">
        <v>6834</v>
      </c>
      <c r="B6322" s="57" t="s">
        <v>45</v>
      </c>
      <c r="C6322" s="57" t="s">
        <v>4843</v>
      </c>
      <c r="D6322" s="29"/>
      <c r="E6322" s="57" t="s">
        <v>5772</v>
      </c>
      <c r="F6322" s="31" t="s">
        <v>6354</v>
      </c>
      <c r="G6322" s="31" t="s">
        <v>69</v>
      </c>
      <c r="K6322" s="31">
        <v>3531</v>
      </c>
      <c r="S6322" s="33">
        <v>8</v>
      </c>
      <c r="Z6322" s="31" t="s">
        <v>3814</v>
      </c>
      <c r="AE6322" s="31" t="s">
        <v>4411</v>
      </c>
      <c r="AF6322" s="31">
        <v>70</v>
      </c>
      <c r="AK6322" s="32">
        <v>59</v>
      </c>
      <c r="AQ6322" s="32" t="s">
        <v>7070</v>
      </c>
      <c r="AU6322">
        <v>6321</v>
      </c>
    </row>
    <row r="6323" spans="1:47" x14ac:dyDescent="0.2">
      <c r="A6323" s="13">
        <v>6834</v>
      </c>
      <c r="B6323" s="57" t="s">
        <v>45</v>
      </c>
      <c r="C6323" s="57" t="s">
        <v>4843</v>
      </c>
      <c r="D6323" s="29"/>
      <c r="E6323" s="57" t="s">
        <v>7127</v>
      </c>
      <c r="F6323" s="31" t="s">
        <v>6354</v>
      </c>
      <c r="G6323" s="31" t="s">
        <v>69</v>
      </c>
      <c r="K6323" s="31">
        <v>418</v>
      </c>
      <c r="S6323" s="33">
        <v>1</v>
      </c>
      <c r="Z6323" s="31" t="s">
        <v>3814</v>
      </c>
      <c r="AE6323" s="31" t="s">
        <v>4411</v>
      </c>
      <c r="AF6323" s="31">
        <v>60</v>
      </c>
      <c r="AK6323" s="32">
        <v>5</v>
      </c>
      <c r="AQ6323" s="32" t="s">
        <v>7070</v>
      </c>
      <c r="AU6323">
        <v>6322</v>
      </c>
    </row>
    <row r="6324" spans="1:47" x14ac:dyDescent="0.2">
      <c r="A6324" s="13">
        <v>6834</v>
      </c>
      <c r="B6324" s="57" t="s">
        <v>45</v>
      </c>
      <c r="C6324" s="57" t="s">
        <v>4843</v>
      </c>
      <c r="D6324" s="29"/>
      <c r="E6324" s="57" t="s">
        <v>7128</v>
      </c>
      <c r="F6324" s="31" t="s">
        <v>76</v>
      </c>
      <c r="G6324" s="31" t="s">
        <v>49</v>
      </c>
      <c r="K6324" s="31">
        <v>440</v>
      </c>
      <c r="S6324" s="33">
        <v>1</v>
      </c>
      <c r="Z6324" s="31" t="s">
        <v>3814</v>
      </c>
      <c r="AE6324" s="31" t="s">
        <v>4411</v>
      </c>
      <c r="AF6324" s="31">
        <v>95</v>
      </c>
      <c r="AK6324" s="32">
        <v>4</v>
      </c>
      <c r="AQ6324" s="32" t="s">
        <v>7070</v>
      </c>
      <c r="AU6324">
        <v>6323</v>
      </c>
    </row>
    <row r="6325" spans="1:47" x14ac:dyDescent="0.2">
      <c r="A6325" s="13">
        <v>6834</v>
      </c>
      <c r="B6325" s="57" t="s">
        <v>45</v>
      </c>
      <c r="C6325" s="57" t="s">
        <v>4843</v>
      </c>
      <c r="D6325" s="29"/>
      <c r="E6325" s="57" t="s">
        <v>7129</v>
      </c>
      <c r="F6325" s="31" t="s">
        <v>6354</v>
      </c>
      <c r="G6325" s="31" t="s">
        <v>69</v>
      </c>
      <c r="K6325" s="31">
        <v>1122</v>
      </c>
      <c r="S6325" s="33">
        <v>2</v>
      </c>
      <c r="Z6325" s="31" t="s">
        <v>3814</v>
      </c>
      <c r="AE6325" s="31" t="s">
        <v>4411</v>
      </c>
      <c r="AF6325" s="31">
        <v>50</v>
      </c>
      <c r="AK6325" s="32">
        <v>18</v>
      </c>
      <c r="AQ6325" s="32" t="s">
        <v>7070</v>
      </c>
      <c r="AU6325">
        <v>6324</v>
      </c>
    </row>
    <row r="6326" spans="1:47" x14ac:dyDescent="0.2">
      <c r="A6326" s="13">
        <v>6834</v>
      </c>
      <c r="B6326" s="57" t="s">
        <v>45</v>
      </c>
      <c r="C6326" s="57" t="s">
        <v>4843</v>
      </c>
      <c r="D6326" s="29"/>
      <c r="E6326" s="57" t="s">
        <v>4197</v>
      </c>
      <c r="F6326" s="31" t="s">
        <v>204</v>
      </c>
      <c r="G6326" s="31" t="s">
        <v>205</v>
      </c>
      <c r="K6326" s="31">
        <v>1540</v>
      </c>
      <c r="S6326" s="33">
        <v>3</v>
      </c>
      <c r="Z6326" s="31" t="s">
        <v>3814</v>
      </c>
      <c r="AE6326" s="31" t="s">
        <v>4411</v>
      </c>
      <c r="AF6326" s="31">
        <v>95</v>
      </c>
      <c r="AK6326" s="32">
        <v>21</v>
      </c>
      <c r="AQ6326" s="32" t="s">
        <v>7070</v>
      </c>
      <c r="AU6326">
        <v>6325</v>
      </c>
    </row>
    <row r="6327" spans="1:47" x14ac:dyDescent="0.2">
      <c r="A6327" s="13">
        <v>6834</v>
      </c>
      <c r="B6327" s="57" t="s">
        <v>45</v>
      </c>
      <c r="C6327" s="57" t="s">
        <v>4843</v>
      </c>
      <c r="D6327" s="29"/>
      <c r="E6327" s="57" t="s">
        <v>7130</v>
      </c>
      <c r="F6327" s="31" t="s">
        <v>204</v>
      </c>
      <c r="G6327" s="31" t="s">
        <v>205</v>
      </c>
      <c r="K6327" s="31">
        <v>660</v>
      </c>
      <c r="S6327" s="33">
        <v>1</v>
      </c>
      <c r="Z6327" s="31" t="s">
        <v>3814</v>
      </c>
      <c r="AE6327" s="31" t="s">
        <v>4411</v>
      </c>
      <c r="AF6327" s="31">
        <v>65</v>
      </c>
      <c r="AK6327" s="32">
        <v>11</v>
      </c>
      <c r="AQ6327" s="32" t="s">
        <v>7070</v>
      </c>
      <c r="AU6327">
        <v>6326</v>
      </c>
    </row>
    <row r="6328" spans="1:47" x14ac:dyDescent="0.2">
      <c r="A6328" s="13">
        <v>6834</v>
      </c>
      <c r="B6328" s="57" t="s">
        <v>45</v>
      </c>
      <c r="C6328" s="57" t="s">
        <v>4179</v>
      </c>
      <c r="D6328" s="29"/>
      <c r="E6328" s="57" t="s">
        <v>7131</v>
      </c>
      <c r="F6328" s="31" t="s">
        <v>204</v>
      </c>
      <c r="G6328" s="31" t="s">
        <v>205</v>
      </c>
      <c r="K6328" s="31">
        <v>550</v>
      </c>
      <c r="Z6328" s="31" t="s">
        <v>3814</v>
      </c>
      <c r="AK6328" s="32">
        <v>10</v>
      </c>
      <c r="AQ6328" s="32" t="s">
        <v>7132</v>
      </c>
      <c r="AU6328">
        <v>6327</v>
      </c>
    </row>
    <row r="6329" spans="1:47" x14ac:dyDescent="0.2">
      <c r="A6329" s="13">
        <v>6834</v>
      </c>
      <c r="B6329" s="57" t="s">
        <v>45</v>
      </c>
      <c r="C6329" s="57" t="s">
        <v>4179</v>
      </c>
      <c r="D6329" s="29"/>
      <c r="E6329" s="57" t="s">
        <v>7133</v>
      </c>
      <c r="F6329" s="31" t="s">
        <v>204</v>
      </c>
      <c r="G6329" s="31" t="s">
        <v>205</v>
      </c>
      <c r="K6329" s="31">
        <v>660</v>
      </c>
      <c r="Z6329" s="31" t="s">
        <v>3814</v>
      </c>
      <c r="AK6329" s="32">
        <v>9</v>
      </c>
      <c r="AQ6329" s="32" t="s">
        <v>7132</v>
      </c>
      <c r="AU6329">
        <v>6328</v>
      </c>
    </row>
    <row r="6330" spans="1:47" x14ac:dyDescent="0.2">
      <c r="A6330" s="13">
        <v>6834</v>
      </c>
      <c r="B6330" s="57" t="s">
        <v>45</v>
      </c>
      <c r="C6330" s="57" t="s">
        <v>4179</v>
      </c>
      <c r="D6330" s="29"/>
      <c r="E6330" s="57" t="s">
        <v>3949</v>
      </c>
      <c r="K6330" s="31">
        <v>1100</v>
      </c>
      <c r="Z6330" s="31" t="s">
        <v>3814</v>
      </c>
      <c r="AK6330" s="32">
        <v>18</v>
      </c>
      <c r="AQ6330" s="32" t="s">
        <v>7132</v>
      </c>
      <c r="AU6330">
        <v>6329</v>
      </c>
    </row>
    <row r="6331" spans="1:47" x14ac:dyDescent="0.2">
      <c r="A6331" s="13">
        <v>6834</v>
      </c>
      <c r="B6331" s="57" t="s">
        <v>45</v>
      </c>
      <c r="C6331" s="57" t="s">
        <v>4179</v>
      </c>
      <c r="D6331" s="29"/>
      <c r="E6331" s="57" t="s">
        <v>3634</v>
      </c>
      <c r="F6331" s="31" t="s">
        <v>76</v>
      </c>
      <c r="G6331" s="31" t="s">
        <v>49</v>
      </c>
      <c r="K6331" s="31">
        <v>2090</v>
      </c>
      <c r="Z6331" s="31" t="s">
        <v>3814</v>
      </c>
      <c r="AK6331" s="32">
        <v>25</v>
      </c>
      <c r="AQ6331" s="32" t="s">
        <v>7132</v>
      </c>
      <c r="AU6331">
        <v>6330</v>
      </c>
    </row>
    <row r="6332" spans="1:47" x14ac:dyDescent="0.2">
      <c r="A6332" s="13">
        <v>6834</v>
      </c>
      <c r="B6332" s="57" t="s">
        <v>45</v>
      </c>
      <c r="C6332" s="57" t="s">
        <v>4179</v>
      </c>
      <c r="D6332" s="29"/>
      <c r="E6332" s="57" t="s">
        <v>7134</v>
      </c>
      <c r="F6332" s="31" t="s">
        <v>76</v>
      </c>
      <c r="I6332" s="31" t="s">
        <v>7135</v>
      </c>
      <c r="K6332" s="63"/>
      <c r="Z6332" s="31" t="s">
        <v>3814</v>
      </c>
      <c r="AQ6332" s="32" t="s">
        <v>7132</v>
      </c>
      <c r="AU6332">
        <v>6331</v>
      </c>
    </row>
    <row r="6333" spans="1:47" x14ac:dyDescent="0.2">
      <c r="A6333" s="13">
        <v>6834</v>
      </c>
      <c r="B6333" s="57" t="s">
        <v>45</v>
      </c>
      <c r="C6333" s="57" t="s">
        <v>5860</v>
      </c>
      <c r="D6333" s="29"/>
      <c r="E6333" s="57" t="s">
        <v>1397</v>
      </c>
      <c r="F6333" s="31" t="s">
        <v>76</v>
      </c>
      <c r="I6333" s="31" t="s">
        <v>7136</v>
      </c>
      <c r="K6333" s="63"/>
      <c r="AQ6333" s="32" t="s">
        <v>7132</v>
      </c>
      <c r="AU6333">
        <v>6332</v>
      </c>
    </row>
    <row r="6334" spans="1:47" x14ac:dyDescent="0.2">
      <c r="A6334" s="13">
        <v>6834</v>
      </c>
      <c r="B6334" s="57" t="s">
        <v>45</v>
      </c>
      <c r="C6334" s="57" t="s">
        <v>5860</v>
      </c>
      <c r="D6334" s="29"/>
      <c r="E6334" s="57" t="s">
        <v>7137</v>
      </c>
      <c r="F6334" s="31" t="s">
        <v>204</v>
      </c>
      <c r="I6334" s="31" t="s">
        <v>7138</v>
      </c>
      <c r="K6334" s="63"/>
      <c r="AQ6334" s="32" t="s">
        <v>7132</v>
      </c>
      <c r="AU6334">
        <v>6333</v>
      </c>
    </row>
    <row r="6335" spans="1:47" x14ac:dyDescent="0.2">
      <c r="A6335" s="26">
        <v>6834</v>
      </c>
      <c r="B6335" s="27">
        <v>7.3611111111111113E-2</v>
      </c>
      <c r="C6335" s="28"/>
      <c r="D6335" s="29"/>
      <c r="E6335" s="30" t="s">
        <v>5224</v>
      </c>
      <c r="H6335" s="32">
        <v>0</v>
      </c>
      <c r="I6335" s="32" t="s">
        <v>5225</v>
      </c>
      <c r="AG6335" s="32">
        <v>0</v>
      </c>
      <c r="AH6335" s="32">
        <v>0</v>
      </c>
      <c r="AI6335" s="32">
        <v>0</v>
      </c>
      <c r="AK6335" s="32">
        <v>0</v>
      </c>
      <c r="AL6335" s="32">
        <f>36/60</f>
        <v>0.6</v>
      </c>
      <c r="AP6335" s="32">
        <f>36/60</f>
        <v>0.6</v>
      </c>
      <c r="AQ6335" s="32" t="s">
        <v>1101</v>
      </c>
      <c r="AU6335">
        <v>6334</v>
      </c>
    </row>
    <row r="6336" spans="1:47" x14ac:dyDescent="0.2">
      <c r="A6336" s="26">
        <v>6834</v>
      </c>
      <c r="B6336" s="27">
        <v>8.6805555555555566E-2</v>
      </c>
      <c r="C6336" s="28"/>
      <c r="D6336" s="29"/>
      <c r="E6336" s="30" t="s">
        <v>1124</v>
      </c>
      <c r="H6336" s="32">
        <v>1</v>
      </c>
      <c r="I6336" s="32" t="s">
        <v>7139</v>
      </c>
      <c r="AG6336" s="32">
        <v>2</v>
      </c>
      <c r="AH6336" s="32">
        <v>1</v>
      </c>
      <c r="AK6336" s="32">
        <f>5+6</f>
        <v>11</v>
      </c>
      <c r="AL6336" s="32">
        <v>1</v>
      </c>
      <c r="AO6336" s="46" t="s">
        <v>1126</v>
      </c>
      <c r="AP6336" s="32">
        <v>1</v>
      </c>
      <c r="AQ6336" s="32" t="s">
        <v>589</v>
      </c>
      <c r="AU6336">
        <v>6335</v>
      </c>
    </row>
    <row r="6337" spans="1:47" x14ac:dyDescent="0.2">
      <c r="A6337" s="26">
        <v>6834</v>
      </c>
      <c r="B6337" s="27">
        <v>0.1111111111111111</v>
      </c>
      <c r="C6337" s="28"/>
      <c r="D6337" s="29"/>
      <c r="E6337" s="30" t="s">
        <v>3737</v>
      </c>
      <c r="H6337" s="32">
        <v>0</v>
      </c>
      <c r="I6337" s="32" t="s">
        <v>4926</v>
      </c>
      <c r="AG6337" s="32">
        <v>0</v>
      </c>
      <c r="AH6337" s="32">
        <v>0</v>
      </c>
      <c r="AI6337" s="32">
        <v>0</v>
      </c>
      <c r="AK6337" s="32">
        <v>0</v>
      </c>
      <c r="AL6337" s="32">
        <f>80/60</f>
        <v>1.3333333333333333</v>
      </c>
      <c r="AM6337" s="33">
        <f>3125*AL6337</f>
        <v>4166.6666666666661</v>
      </c>
      <c r="AP6337" s="32">
        <f>80/60</f>
        <v>1.3333333333333333</v>
      </c>
      <c r="AQ6337" s="32" t="s">
        <v>1101</v>
      </c>
      <c r="AU6337">
        <v>6336</v>
      </c>
    </row>
    <row r="6338" spans="1:47" x14ac:dyDescent="0.2">
      <c r="A6338" s="26">
        <v>6834</v>
      </c>
      <c r="B6338" s="27">
        <v>0.40486111111111112</v>
      </c>
      <c r="C6338" s="28"/>
      <c r="D6338" s="29"/>
      <c r="E6338" s="30" t="s">
        <v>4709</v>
      </c>
      <c r="H6338" s="32">
        <v>0</v>
      </c>
      <c r="I6338" s="32" t="s">
        <v>7140</v>
      </c>
      <c r="AG6338" s="32">
        <v>0</v>
      </c>
      <c r="AH6338" s="32">
        <v>0</v>
      </c>
      <c r="AI6338" s="32">
        <v>0</v>
      </c>
      <c r="AK6338" s="32">
        <v>0</v>
      </c>
      <c r="AL6338" s="32">
        <f>114/60</f>
        <v>1.9</v>
      </c>
      <c r="AM6338" s="32">
        <f>AL6338*(261300+974800)/18.75</f>
        <v>125258.13333333333</v>
      </c>
      <c r="AP6338" s="32">
        <f>114/60</f>
        <v>1.9</v>
      </c>
      <c r="AQ6338" s="32" t="s">
        <v>589</v>
      </c>
      <c r="AU6338">
        <v>6337</v>
      </c>
    </row>
    <row r="6339" spans="1:47" x14ac:dyDescent="0.2">
      <c r="A6339" s="26">
        <v>6834</v>
      </c>
      <c r="B6339" s="27">
        <v>0.59375</v>
      </c>
      <c r="C6339" s="28"/>
      <c r="D6339" s="29"/>
      <c r="E6339" s="30" t="s">
        <v>631</v>
      </c>
      <c r="H6339" s="32">
        <v>1</v>
      </c>
      <c r="I6339" s="32" t="s">
        <v>7141</v>
      </c>
      <c r="AG6339" s="32">
        <v>0</v>
      </c>
      <c r="AH6339" s="32">
        <v>0</v>
      </c>
      <c r="AK6339" s="32">
        <v>1</v>
      </c>
      <c r="AL6339" s="32">
        <v>1</v>
      </c>
      <c r="AO6339" s="32" t="s">
        <v>633</v>
      </c>
      <c r="AP6339" s="32">
        <v>1</v>
      </c>
      <c r="AQ6339" s="32">
        <v>464</v>
      </c>
      <c r="AU6339">
        <v>6338</v>
      </c>
    </row>
    <row r="6340" spans="1:47" x14ac:dyDescent="0.2">
      <c r="A6340" s="26">
        <v>6834</v>
      </c>
      <c r="B6340" s="27">
        <v>0.60069444444444442</v>
      </c>
      <c r="C6340" s="28"/>
      <c r="D6340" s="29"/>
      <c r="E6340" s="30" t="s">
        <v>3155</v>
      </c>
      <c r="H6340" s="32">
        <v>0</v>
      </c>
      <c r="I6340" s="32" t="s">
        <v>3156</v>
      </c>
      <c r="AG6340" s="32">
        <v>0</v>
      </c>
      <c r="AH6340" s="32">
        <v>0</v>
      </c>
      <c r="AI6340" s="32">
        <v>0</v>
      </c>
      <c r="AK6340" s="32">
        <v>0</v>
      </c>
      <c r="AP6340" s="32">
        <f>95/60</f>
        <v>1.5833333333333333</v>
      </c>
      <c r="AQ6340" s="32" t="s">
        <v>1101</v>
      </c>
      <c r="AU6340">
        <v>6339</v>
      </c>
    </row>
    <row r="6341" spans="1:47" x14ac:dyDescent="0.2">
      <c r="A6341" s="26">
        <v>6834</v>
      </c>
      <c r="B6341" s="27">
        <v>0.87152777777777779</v>
      </c>
      <c r="C6341" s="28"/>
      <c r="D6341" s="29"/>
      <c r="E6341" s="30" t="s">
        <v>4219</v>
      </c>
      <c r="H6341" s="32">
        <v>1</v>
      </c>
      <c r="I6341" s="32" t="s">
        <v>7142</v>
      </c>
      <c r="AL6341" s="32">
        <f>85/60</f>
        <v>1.4166666666666667</v>
      </c>
      <c r="AO6341" s="32" t="s">
        <v>858</v>
      </c>
      <c r="AP6341" s="32">
        <f>85/60</f>
        <v>1.4166666666666667</v>
      </c>
      <c r="AQ6341" s="32" t="s">
        <v>1101</v>
      </c>
      <c r="AU6341">
        <v>6340</v>
      </c>
    </row>
    <row r="6342" spans="1:47" x14ac:dyDescent="0.2">
      <c r="A6342" s="26">
        <v>6834</v>
      </c>
      <c r="B6342" s="27">
        <v>0.87708333333333333</v>
      </c>
      <c r="C6342" s="28"/>
      <c r="D6342" s="29"/>
      <c r="E6342" s="30" t="s">
        <v>3737</v>
      </c>
      <c r="H6342" s="32">
        <v>0</v>
      </c>
      <c r="I6342" s="32" t="s">
        <v>7143</v>
      </c>
      <c r="AG6342" s="32">
        <v>0</v>
      </c>
      <c r="AH6342" s="32">
        <v>0</v>
      </c>
      <c r="AI6342" s="32">
        <v>0</v>
      </c>
      <c r="AK6342" s="32">
        <v>0</v>
      </c>
      <c r="AL6342" s="32">
        <f>162/60</f>
        <v>2.7</v>
      </c>
      <c r="AM6342" s="33">
        <f>3125*AL6342</f>
        <v>8437.5</v>
      </c>
      <c r="AP6342" s="32">
        <f>162/60</f>
        <v>2.7</v>
      </c>
      <c r="AQ6342" s="32" t="s">
        <v>1101</v>
      </c>
      <c r="AU6342">
        <v>6341</v>
      </c>
    </row>
    <row r="6343" spans="1:47" x14ac:dyDescent="0.2">
      <c r="A6343" s="26">
        <v>6834</v>
      </c>
      <c r="B6343" s="27">
        <v>0.87708333333333333</v>
      </c>
      <c r="C6343" s="28"/>
      <c r="D6343" s="29"/>
      <c r="E6343" s="102" t="s">
        <v>1102</v>
      </c>
      <c r="H6343" s="32">
        <v>0</v>
      </c>
      <c r="I6343" s="32" t="s">
        <v>7144</v>
      </c>
      <c r="AG6343" s="32">
        <v>0</v>
      </c>
      <c r="AH6343" s="32">
        <v>0</v>
      </c>
      <c r="AI6343" s="32">
        <v>0</v>
      </c>
      <c r="AK6343" s="32">
        <v>0</v>
      </c>
      <c r="AL6343" s="32">
        <f>17/60</f>
        <v>0.28333333333333333</v>
      </c>
      <c r="AO6343" s="73" t="s">
        <v>1006</v>
      </c>
      <c r="AP6343" s="32">
        <f>17/60</f>
        <v>0.28333333333333333</v>
      </c>
      <c r="AQ6343" s="32" t="s">
        <v>589</v>
      </c>
      <c r="AU6343">
        <v>6342</v>
      </c>
    </row>
    <row r="6344" spans="1:47" x14ac:dyDescent="0.2">
      <c r="A6344" s="26">
        <v>6834</v>
      </c>
      <c r="B6344" s="27">
        <v>0.88194444444444453</v>
      </c>
      <c r="C6344" s="28"/>
      <c r="D6344" s="29"/>
      <c r="E6344" s="30" t="s">
        <v>1282</v>
      </c>
      <c r="H6344" s="32">
        <v>0</v>
      </c>
      <c r="I6344" s="32" t="s">
        <v>7145</v>
      </c>
      <c r="AG6344" s="32">
        <v>0</v>
      </c>
      <c r="AH6344" s="32">
        <v>0</v>
      </c>
      <c r="AI6344" s="32">
        <v>0</v>
      </c>
      <c r="AK6344" s="32">
        <v>0</v>
      </c>
      <c r="AL6344" s="32">
        <f>130/60</f>
        <v>2.1666666666666665</v>
      </c>
      <c r="AP6344" s="32">
        <f>130/60</f>
        <v>2.1666666666666665</v>
      </c>
      <c r="AQ6344" s="32" t="s">
        <v>1101</v>
      </c>
      <c r="AU6344">
        <v>6343</v>
      </c>
    </row>
    <row r="6345" spans="1:47" x14ac:dyDescent="0.2">
      <c r="A6345" s="26">
        <v>6834</v>
      </c>
      <c r="B6345" s="27">
        <v>0.88749999999999996</v>
      </c>
      <c r="C6345" s="28"/>
      <c r="D6345" s="29"/>
      <c r="E6345" s="30" t="s">
        <v>2964</v>
      </c>
      <c r="H6345" s="32">
        <v>0</v>
      </c>
      <c r="I6345" s="32" t="s">
        <v>4158</v>
      </c>
      <c r="AG6345" s="32">
        <v>0</v>
      </c>
      <c r="AH6345" s="32">
        <v>0</v>
      </c>
      <c r="AI6345" s="32">
        <v>0</v>
      </c>
      <c r="AK6345" s="32">
        <v>0</v>
      </c>
      <c r="AL6345" s="32">
        <f>174/60</f>
        <v>2.9</v>
      </c>
      <c r="AP6345" s="32">
        <f>174/60</f>
        <v>2.9</v>
      </c>
      <c r="AQ6345" s="32" t="s">
        <v>1101</v>
      </c>
      <c r="AU6345">
        <v>6344</v>
      </c>
    </row>
    <row r="6346" spans="1:47" x14ac:dyDescent="0.2">
      <c r="A6346" s="26">
        <v>6834</v>
      </c>
      <c r="B6346" s="27">
        <v>0.8965277777777777</v>
      </c>
      <c r="C6346" s="28"/>
      <c r="D6346" s="29"/>
      <c r="E6346" s="30" t="s">
        <v>5224</v>
      </c>
      <c r="H6346" s="32">
        <v>0</v>
      </c>
      <c r="I6346" s="32" t="s">
        <v>5225</v>
      </c>
      <c r="AG6346" s="32">
        <v>0</v>
      </c>
      <c r="AH6346" s="32">
        <v>0</v>
      </c>
      <c r="AI6346" s="32">
        <v>0</v>
      </c>
      <c r="AK6346" s="32">
        <v>0</v>
      </c>
      <c r="AL6346" s="32">
        <f>149/60</f>
        <v>2.4833333333333334</v>
      </c>
      <c r="AP6346" s="32">
        <f>149/60</f>
        <v>2.4833333333333334</v>
      </c>
      <c r="AQ6346" s="32" t="s">
        <v>1101</v>
      </c>
      <c r="AU6346">
        <v>6345</v>
      </c>
    </row>
    <row r="6347" spans="1:47" x14ac:dyDescent="0.2">
      <c r="A6347" s="26">
        <v>6834</v>
      </c>
      <c r="B6347" s="27">
        <v>0.9</v>
      </c>
      <c r="C6347" s="28"/>
      <c r="D6347" s="29"/>
      <c r="E6347" s="30" t="s">
        <v>3155</v>
      </c>
      <c r="H6347" s="32">
        <v>0</v>
      </c>
      <c r="I6347" s="32" t="s">
        <v>3156</v>
      </c>
      <c r="AG6347" s="32">
        <v>0</v>
      </c>
      <c r="AH6347" s="32">
        <v>0</v>
      </c>
      <c r="AI6347" s="32">
        <v>0</v>
      </c>
      <c r="AK6347" s="32">
        <v>0</v>
      </c>
      <c r="AP6347" s="32">
        <f>153/60</f>
        <v>2.5499999999999998</v>
      </c>
      <c r="AQ6347" s="32" t="s">
        <v>1101</v>
      </c>
      <c r="AU6347">
        <v>6346</v>
      </c>
    </row>
    <row r="6348" spans="1:47" x14ac:dyDescent="0.2">
      <c r="A6348" s="26">
        <v>6834</v>
      </c>
      <c r="B6348" s="27">
        <v>0.90069444444444446</v>
      </c>
      <c r="C6348" s="28"/>
      <c r="D6348" s="29"/>
      <c r="E6348" s="30" t="s">
        <v>869</v>
      </c>
      <c r="H6348" s="32">
        <v>0</v>
      </c>
      <c r="I6348" s="32" t="s">
        <v>7146</v>
      </c>
      <c r="AG6348" s="32">
        <v>0</v>
      </c>
      <c r="AH6348" s="32">
        <v>0</v>
      </c>
      <c r="AI6348" s="32">
        <v>0</v>
      </c>
      <c r="AK6348" s="32">
        <v>0</v>
      </c>
      <c r="AL6348" s="32">
        <f>49/60</f>
        <v>0.81666666666666665</v>
      </c>
      <c r="AP6348" s="32">
        <f>49/60</f>
        <v>0.81666666666666665</v>
      </c>
      <c r="AQ6348" s="32" t="s">
        <v>589</v>
      </c>
      <c r="AU6348">
        <v>6347</v>
      </c>
    </row>
    <row r="6349" spans="1:47" x14ac:dyDescent="0.2">
      <c r="A6349" s="26">
        <v>6834</v>
      </c>
      <c r="B6349" s="27">
        <v>0.90416666666666667</v>
      </c>
      <c r="C6349" s="28"/>
      <c r="D6349" s="29"/>
      <c r="E6349" s="30" t="s">
        <v>110</v>
      </c>
      <c r="H6349" s="32">
        <v>1</v>
      </c>
      <c r="I6349" s="32" t="s">
        <v>7147</v>
      </c>
      <c r="AG6349" s="32">
        <v>0</v>
      </c>
      <c r="AH6349" s="32">
        <v>0</v>
      </c>
      <c r="AI6349" s="32">
        <v>55000</v>
      </c>
      <c r="AK6349" s="32">
        <v>1</v>
      </c>
      <c r="AL6349" s="32">
        <f>(85+44)/60</f>
        <v>2.15</v>
      </c>
      <c r="AP6349" s="32">
        <f>(85+44)/60</f>
        <v>2.15</v>
      </c>
      <c r="AQ6349" s="32" t="s">
        <v>4712</v>
      </c>
      <c r="AU6349">
        <v>6348</v>
      </c>
    </row>
    <row r="6350" spans="1:47" x14ac:dyDescent="0.2">
      <c r="A6350" s="26">
        <v>6834</v>
      </c>
      <c r="B6350" s="27">
        <v>0.90833333333333333</v>
      </c>
      <c r="C6350" s="28"/>
      <c r="D6350" s="29"/>
      <c r="E6350" s="102" t="s">
        <v>1102</v>
      </c>
      <c r="H6350" s="32">
        <v>0</v>
      </c>
      <c r="I6350" s="32" t="s">
        <v>7148</v>
      </c>
      <c r="AG6350" s="32">
        <v>0</v>
      </c>
      <c r="AH6350" s="32">
        <v>0</v>
      </c>
      <c r="AI6350" s="32">
        <v>0</v>
      </c>
      <c r="AK6350" s="32">
        <v>0</v>
      </c>
      <c r="AL6350" s="32">
        <f>34/60</f>
        <v>0.56666666666666665</v>
      </c>
      <c r="AO6350" s="73" t="s">
        <v>1006</v>
      </c>
      <c r="AP6350" s="32">
        <f>34/60</f>
        <v>0.56666666666666665</v>
      </c>
      <c r="AQ6350" s="32" t="s">
        <v>589</v>
      </c>
      <c r="AU6350">
        <v>6349</v>
      </c>
    </row>
    <row r="6351" spans="1:47" x14ac:dyDescent="0.2">
      <c r="A6351" s="26">
        <v>6834</v>
      </c>
      <c r="B6351" s="27">
        <v>0.94444444444444453</v>
      </c>
      <c r="C6351" s="28"/>
      <c r="D6351" s="29"/>
      <c r="E6351" s="30" t="s">
        <v>7149</v>
      </c>
      <c r="H6351" s="32">
        <v>1</v>
      </c>
      <c r="I6351" s="32" t="s">
        <v>7150</v>
      </c>
      <c r="AG6351" s="32">
        <v>1</v>
      </c>
      <c r="AH6351" s="32">
        <v>0</v>
      </c>
      <c r="AI6351" s="32">
        <f>10836+1010</f>
        <v>11846</v>
      </c>
      <c r="AK6351" s="32">
        <f>6+2</f>
        <v>8</v>
      </c>
      <c r="AL6351" s="35">
        <f>25/60+2</f>
        <v>2.4166666666666665</v>
      </c>
      <c r="AM6351" s="32">
        <v>100</v>
      </c>
      <c r="AO6351" s="32" t="s">
        <v>1006</v>
      </c>
      <c r="AP6351" s="32">
        <f>25/60</f>
        <v>0.41666666666666669</v>
      </c>
      <c r="AQ6351" s="91">
        <v>424427</v>
      </c>
      <c r="AU6351">
        <v>6350</v>
      </c>
    </row>
    <row r="6352" spans="1:47" x14ac:dyDescent="0.2">
      <c r="A6352" s="26">
        <v>6834</v>
      </c>
      <c r="B6352" s="27">
        <v>0.96527777777777779</v>
      </c>
      <c r="C6352" s="28"/>
      <c r="D6352" s="29"/>
      <c r="E6352" s="102" t="s">
        <v>5200</v>
      </c>
      <c r="H6352" s="32">
        <v>0</v>
      </c>
      <c r="I6352" s="32" t="s">
        <v>5893</v>
      </c>
      <c r="AG6352" s="32">
        <v>0</v>
      </c>
      <c r="AH6352" s="32">
        <v>0</v>
      </c>
      <c r="AI6352" s="32">
        <v>0</v>
      </c>
      <c r="AK6352" s="32">
        <v>0</v>
      </c>
      <c r="AL6352" s="32">
        <f>61/60</f>
        <v>1.0166666666666666</v>
      </c>
      <c r="AO6352" s="73"/>
      <c r="AP6352" s="32">
        <f>61/60</f>
        <v>1.0166666666666666</v>
      </c>
      <c r="AQ6352" s="32" t="s">
        <v>589</v>
      </c>
      <c r="AU6352">
        <v>6351</v>
      </c>
    </row>
    <row r="6353" spans="1:47" x14ac:dyDescent="0.2">
      <c r="A6353" s="26">
        <v>6834</v>
      </c>
      <c r="B6353" s="27" t="s">
        <v>45</v>
      </c>
      <c r="C6353" s="28"/>
      <c r="D6353" s="29"/>
      <c r="E6353" s="72" t="s">
        <v>858</v>
      </c>
      <c r="H6353" s="32">
        <v>1</v>
      </c>
      <c r="I6353" s="32" t="s">
        <v>7151</v>
      </c>
      <c r="AK6353" s="32">
        <v>5</v>
      </c>
      <c r="AO6353" s="73"/>
      <c r="AQ6353" s="32" t="s">
        <v>7152</v>
      </c>
      <c r="AU6353">
        <v>6352</v>
      </c>
    </row>
    <row r="6354" spans="1:47" x14ac:dyDescent="0.2">
      <c r="A6354" s="26">
        <v>6834</v>
      </c>
      <c r="B6354" s="27" t="s">
        <v>45</v>
      </c>
      <c r="C6354" s="28"/>
      <c r="D6354" s="29"/>
      <c r="E6354" s="30" t="s">
        <v>2478</v>
      </c>
      <c r="H6354" s="32">
        <v>1</v>
      </c>
      <c r="I6354" s="32" t="s">
        <v>7153</v>
      </c>
      <c r="AG6354" s="32">
        <v>0</v>
      </c>
      <c r="AH6354" s="32">
        <v>1</v>
      </c>
      <c r="AI6354" s="32">
        <f>30000+25000+14000+300000*55/1342</f>
        <v>81295.081967213118</v>
      </c>
      <c r="AK6354" s="32">
        <v>12</v>
      </c>
      <c r="AQ6354" s="32" t="s">
        <v>2496</v>
      </c>
      <c r="AU6354">
        <v>6353</v>
      </c>
    </row>
    <row r="6355" spans="1:47" x14ac:dyDescent="0.2">
      <c r="A6355" s="203">
        <v>6834</v>
      </c>
      <c r="B6355" s="204" t="s">
        <v>45</v>
      </c>
      <c r="C6355" s="28"/>
      <c r="D6355" s="29"/>
      <c r="E6355" s="30" t="s">
        <v>7123</v>
      </c>
      <c r="H6355" s="32">
        <v>1</v>
      </c>
      <c r="I6355" s="32" t="s">
        <v>7154</v>
      </c>
      <c r="AI6355" s="32">
        <v>22600</v>
      </c>
      <c r="AK6355" s="32">
        <v>4</v>
      </c>
      <c r="AQ6355" s="32">
        <v>445</v>
      </c>
      <c r="AU6355">
        <v>6354</v>
      </c>
    </row>
    <row r="6356" spans="1:47" x14ac:dyDescent="0.2">
      <c r="A6356" s="26">
        <v>6834</v>
      </c>
      <c r="B6356" s="27" t="s">
        <v>45</v>
      </c>
      <c r="C6356" s="28"/>
      <c r="D6356" s="29"/>
      <c r="E6356" s="30" t="s">
        <v>1531</v>
      </c>
      <c r="H6356" s="32">
        <v>0</v>
      </c>
      <c r="I6356" s="32" t="s">
        <v>7155</v>
      </c>
      <c r="AG6356" s="32">
        <v>0</v>
      </c>
      <c r="AH6356" s="32">
        <v>0</v>
      </c>
      <c r="AI6356" s="32">
        <v>0</v>
      </c>
      <c r="AK6356" s="32">
        <v>0</v>
      </c>
      <c r="AM6356" s="32">
        <f>498*94</f>
        <v>46812</v>
      </c>
      <c r="AO6356" s="32" t="s">
        <v>1533</v>
      </c>
      <c r="AQ6356" s="32" t="s">
        <v>1101</v>
      </c>
      <c r="AU6356">
        <v>6355</v>
      </c>
    </row>
    <row r="6357" spans="1:47" x14ac:dyDescent="0.2">
      <c r="A6357" s="26">
        <v>6834</v>
      </c>
      <c r="B6357" s="27" t="s">
        <v>45</v>
      </c>
      <c r="C6357" s="28"/>
      <c r="D6357" s="29"/>
      <c r="E6357" s="150" t="s">
        <v>2286</v>
      </c>
      <c r="H6357" s="32">
        <v>0</v>
      </c>
      <c r="I6357" s="32" t="s">
        <v>1824</v>
      </c>
      <c r="AG6357" s="32">
        <v>0</v>
      </c>
      <c r="AH6357" s="32">
        <v>0</v>
      </c>
      <c r="AI6357" s="32">
        <v>0</v>
      </c>
      <c r="AK6357" s="32">
        <v>0</v>
      </c>
      <c r="AM6357" s="32">
        <v>15000</v>
      </c>
      <c r="AO6357" s="73" t="s">
        <v>75</v>
      </c>
      <c r="AQ6357" s="32" t="s">
        <v>589</v>
      </c>
      <c r="AU6357">
        <v>6356</v>
      </c>
    </row>
    <row r="6358" spans="1:47" x14ac:dyDescent="0.2">
      <c r="A6358" s="26">
        <v>6834</v>
      </c>
      <c r="B6358" s="27"/>
      <c r="C6358" s="28"/>
      <c r="D6358" s="29"/>
      <c r="E6358" s="30" t="s">
        <v>3063</v>
      </c>
      <c r="H6358" s="32">
        <v>1</v>
      </c>
      <c r="I6358" s="32" t="s">
        <v>7156</v>
      </c>
      <c r="AL6358" s="32">
        <v>0.5</v>
      </c>
      <c r="AQ6358" s="32">
        <v>375</v>
      </c>
      <c r="AU6358">
        <v>6357</v>
      </c>
    </row>
    <row r="6359" spans="1:47" x14ac:dyDescent="0.2">
      <c r="A6359" s="26">
        <v>6834</v>
      </c>
      <c r="B6359" s="27"/>
      <c r="C6359" s="28"/>
      <c r="D6359" s="29"/>
      <c r="E6359" s="30" t="s">
        <v>4666</v>
      </c>
      <c r="H6359" s="32">
        <v>1</v>
      </c>
      <c r="I6359" s="32" t="s">
        <v>7157</v>
      </c>
      <c r="AG6359" s="32">
        <v>0</v>
      </c>
      <c r="AH6359" s="32">
        <v>0</v>
      </c>
      <c r="AI6359" s="32">
        <v>0</v>
      </c>
      <c r="AL6359" s="32">
        <v>3.5</v>
      </c>
      <c r="AO6359" s="32" t="s">
        <v>4668</v>
      </c>
      <c r="AP6359" s="32">
        <v>3.5</v>
      </c>
      <c r="AQ6359" s="32">
        <v>411</v>
      </c>
      <c r="AU6359">
        <v>6358</v>
      </c>
    </row>
    <row r="6360" spans="1:47" x14ac:dyDescent="0.2">
      <c r="A6360" s="26">
        <v>6834</v>
      </c>
      <c r="B6360" s="27"/>
      <c r="C6360" s="28"/>
      <c r="D6360" s="29"/>
      <c r="E6360" s="72" t="s">
        <v>872</v>
      </c>
      <c r="H6360" s="32">
        <v>1</v>
      </c>
      <c r="I6360" s="32" t="s">
        <v>7158</v>
      </c>
      <c r="AI6360" s="32">
        <v>17000</v>
      </c>
      <c r="AK6360" s="32">
        <v>5</v>
      </c>
      <c r="AO6360" s="73" t="s">
        <v>858</v>
      </c>
      <c r="AQ6360" s="32">
        <v>440</v>
      </c>
      <c r="AU6360">
        <v>6359</v>
      </c>
    </row>
    <row r="6361" spans="1:47" x14ac:dyDescent="0.2">
      <c r="A6361" s="26">
        <v>6834</v>
      </c>
      <c r="B6361" s="27"/>
      <c r="C6361" s="28"/>
      <c r="D6361" s="29"/>
      <c r="E6361" s="30" t="s">
        <v>3909</v>
      </c>
      <c r="H6361" s="32">
        <v>1</v>
      </c>
      <c r="I6361" s="32" t="s">
        <v>7159</v>
      </c>
      <c r="AG6361" s="32">
        <v>1</v>
      </c>
      <c r="AH6361" s="32">
        <v>8</v>
      </c>
      <c r="AI6361" s="32">
        <v>30000</v>
      </c>
      <c r="AQ6361" s="32" t="s">
        <v>7160</v>
      </c>
      <c r="AU6361">
        <v>6360</v>
      </c>
    </row>
    <row r="6362" spans="1:47" x14ac:dyDescent="0.2">
      <c r="A6362" s="26">
        <v>6834</v>
      </c>
      <c r="B6362" s="27"/>
      <c r="C6362" s="28"/>
      <c r="D6362" s="29"/>
      <c r="E6362" s="30" t="s">
        <v>4469</v>
      </c>
      <c r="H6362" s="32">
        <v>0</v>
      </c>
      <c r="I6362" s="32" t="s">
        <v>7161</v>
      </c>
      <c r="AG6362" s="32">
        <v>0</v>
      </c>
      <c r="AH6362" s="32">
        <v>0</v>
      </c>
      <c r="AI6362" s="32">
        <v>0</v>
      </c>
      <c r="AK6362" s="32">
        <v>0</v>
      </c>
      <c r="AL6362" s="32">
        <f>17/60</f>
        <v>0.28333333333333333</v>
      </c>
      <c r="AO6362" s="32" t="s">
        <v>5210</v>
      </c>
      <c r="AP6362" s="32">
        <f>17/60</f>
        <v>0.28333333333333333</v>
      </c>
      <c r="AQ6362" s="32" t="s">
        <v>5211</v>
      </c>
      <c r="AU6362">
        <v>6361</v>
      </c>
    </row>
    <row r="6363" spans="1:47" x14ac:dyDescent="0.2">
      <c r="A6363" s="26">
        <v>6834</v>
      </c>
      <c r="B6363" s="27"/>
      <c r="C6363" s="28"/>
      <c r="D6363" s="29"/>
      <c r="E6363" s="30" t="s">
        <v>4469</v>
      </c>
      <c r="H6363" s="32">
        <v>0</v>
      </c>
      <c r="I6363" s="32" t="s">
        <v>7162</v>
      </c>
      <c r="AG6363" s="32">
        <v>0</v>
      </c>
      <c r="AH6363" s="32">
        <v>0</v>
      </c>
      <c r="AI6363" s="32">
        <v>0</v>
      </c>
      <c r="AK6363" s="32">
        <v>0</v>
      </c>
      <c r="AL6363" s="32">
        <f>119/60</f>
        <v>1.9833333333333334</v>
      </c>
      <c r="AO6363" s="32" t="s">
        <v>5210</v>
      </c>
      <c r="AP6363" s="32">
        <f>119/60</f>
        <v>1.9833333333333334</v>
      </c>
      <c r="AQ6363" s="32" t="s">
        <v>5211</v>
      </c>
      <c r="AU6363">
        <v>6362</v>
      </c>
    </row>
    <row r="6364" spans="1:47" x14ac:dyDescent="0.2">
      <c r="A6364" s="26">
        <v>6834</v>
      </c>
      <c r="B6364" s="27"/>
      <c r="C6364" s="28"/>
      <c r="D6364" s="29"/>
      <c r="E6364" s="30" t="s">
        <v>5102</v>
      </c>
      <c r="H6364" s="32">
        <v>0</v>
      </c>
      <c r="I6364" s="32" t="s">
        <v>5103</v>
      </c>
      <c r="AG6364" s="32">
        <v>0</v>
      </c>
      <c r="AH6364" s="32">
        <v>0</v>
      </c>
      <c r="AI6364" s="32">
        <v>0</v>
      </c>
      <c r="AK6364" s="32">
        <v>0</v>
      </c>
      <c r="AL6364" s="18">
        <v>1.5</v>
      </c>
      <c r="AM6364" s="18">
        <f>300000/11</f>
        <v>27272.727272727272</v>
      </c>
      <c r="AN6364" s="18"/>
      <c r="AO6364" s="18"/>
      <c r="AP6364" s="18">
        <v>1.5</v>
      </c>
      <c r="AQ6364" s="32" t="s">
        <v>589</v>
      </c>
      <c r="AU6364">
        <v>6363</v>
      </c>
    </row>
    <row r="6365" spans="1:47" x14ac:dyDescent="0.2">
      <c r="A6365" s="26">
        <v>6834</v>
      </c>
      <c r="B6365" s="27"/>
      <c r="C6365" s="28"/>
      <c r="D6365" s="29"/>
      <c r="E6365" s="30" t="s">
        <v>464</v>
      </c>
      <c r="H6365" s="32">
        <v>0</v>
      </c>
      <c r="I6365" s="32" t="s">
        <v>7163</v>
      </c>
      <c r="AG6365" s="32">
        <v>0</v>
      </c>
      <c r="AH6365" s="32">
        <v>0</v>
      </c>
      <c r="AL6365" s="32">
        <f>52/60</f>
        <v>0.8666666666666667</v>
      </c>
      <c r="AO6365" s="32" t="s">
        <v>4067</v>
      </c>
      <c r="AP6365" s="32">
        <f>52/60</f>
        <v>0.8666666666666667</v>
      </c>
      <c r="AQ6365" s="32" t="s">
        <v>1522</v>
      </c>
      <c r="AU6365">
        <v>6364</v>
      </c>
    </row>
    <row r="6366" spans="1:47" x14ac:dyDescent="0.2">
      <c r="A6366" s="13">
        <v>6835</v>
      </c>
      <c r="B6366" s="57" t="s">
        <v>45</v>
      </c>
      <c r="C6366" s="57" t="s">
        <v>4179</v>
      </c>
      <c r="D6366" s="29"/>
      <c r="E6366" s="57" t="s">
        <v>7134</v>
      </c>
      <c r="F6366" s="31" t="s">
        <v>76</v>
      </c>
      <c r="I6366" s="31" t="s">
        <v>7135</v>
      </c>
      <c r="K6366" s="63"/>
      <c r="Z6366" s="31" t="s">
        <v>3814</v>
      </c>
      <c r="AU6366">
        <v>6365</v>
      </c>
    </row>
    <row r="6367" spans="1:47" x14ac:dyDescent="0.2">
      <c r="A6367" s="26">
        <v>6835</v>
      </c>
      <c r="B6367" s="27">
        <v>4.1666666666666666E-3</v>
      </c>
      <c r="C6367" s="28"/>
      <c r="D6367" s="29"/>
      <c r="E6367" s="30" t="s">
        <v>869</v>
      </c>
      <c r="H6367" s="32">
        <v>0</v>
      </c>
      <c r="I6367" s="32" t="s">
        <v>2344</v>
      </c>
      <c r="AG6367" s="32">
        <v>0</v>
      </c>
      <c r="AH6367" s="32">
        <v>0</v>
      </c>
      <c r="AI6367" s="32">
        <v>0</v>
      </c>
      <c r="AK6367" s="32">
        <v>0</v>
      </c>
      <c r="AL6367" s="32">
        <f>23/60</f>
        <v>0.38333333333333336</v>
      </c>
      <c r="AP6367" s="32">
        <f>23/60</f>
        <v>0.38333333333333336</v>
      </c>
      <c r="AQ6367" s="32" t="s">
        <v>589</v>
      </c>
      <c r="AU6367">
        <v>6366</v>
      </c>
    </row>
    <row r="6368" spans="1:47" x14ac:dyDescent="0.2">
      <c r="A6368" s="26">
        <v>6835</v>
      </c>
      <c r="B6368" s="27">
        <v>3.125E-2</v>
      </c>
      <c r="C6368" s="28"/>
      <c r="D6368" s="29"/>
      <c r="E6368" s="30" t="s">
        <v>464</v>
      </c>
      <c r="H6368" s="32">
        <v>0</v>
      </c>
      <c r="I6368" s="32" t="s">
        <v>7164</v>
      </c>
      <c r="AG6368" s="32">
        <v>0</v>
      </c>
      <c r="AH6368" s="32">
        <v>0</v>
      </c>
      <c r="AL6368" s="32">
        <f>65/60</f>
        <v>1.0833333333333333</v>
      </c>
      <c r="AO6368" s="32" t="s">
        <v>4067</v>
      </c>
      <c r="AP6368" s="32">
        <f>65/60</f>
        <v>1.0833333333333333</v>
      </c>
      <c r="AQ6368" s="32" t="s">
        <v>1522</v>
      </c>
      <c r="AU6368">
        <v>6367</v>
      </c>
    </row>
    <row r="6369" spans="1:47" x14ac:dyDescent="0.2">
      <c r="A6369" s="26">
        <v>6835</v>
      </c>
      <c r="B6369" s="27">
        <v>0.28472222222222221</v>
      </c>
      <c r="C6369" s="28"/>
      <c r="D6369" s="29"/>
      <c r="E6369" s="30" t="s">
        <v>464</v>
      </c>
      <c r="H6369" s="32">
        <v>0</v>
      </c>
      <c r="I6369" s="32" t="s">
        <v>4220</v>
      </c>
      <c r="AG6369" s="32">
        <v>0</v>
      </c>
      <c r="AH6369" s="32">
        <v>0</v>
      </c>
      <c r="AL6369" s="32">
        <v>0.33300000000000002</v>
      </c>
      <c r="AO6369" s="32" t="s">
        <v>4067</v>
      </c>
      <c r="AP6369" s="32">
        <v>0.33300000000000002</v>
      </c>
      <c r="AQ6369" s="32" t="s">
        <v>1522</v>
      </c>
      <c r="AU6369">
        <v>6368</v>
      </c>
    </row>
    <row r="6370" spans="1:47" x14ac:dyDescent="0.2">
      <c r="A6370" s="26">
        <v>6835</v>
      </c>
      <c r="B6370" s="27">
        <v>0.50277777777777777</v>
      </c>
      <c r="C6370" s="28"/>
      <c r="D6370" s="29"/>
      <c r="E6370" s="30" t="s">
        <v>4713</v>
      </c>
      <c r="H6370" s="32">
        <v>0</v>
      </c>
      <c r="I6370" s="32" t="s">
        <v>4714</v>
      </c>
      <c r="AG6370" s="32">
        <v>0</v>
      </c>
      <c r="AH6370" s="32">
        <v>0</v>
      </c>
      <c r="AI6370" s="32">
        <v>0</v>
      </c>
      <c r="AK6370" s="32">
        <v>0</v>
      </c>
      <c r="AL6370" s="32">
        <f>16/60</f>
        <v>0.26666666666666666</v>
      </c>
      <c r="AP6370" s="32">
        <f>16/60</f>
        <v>0.26666666666666666</v>
      </c>
      <c r="AQ6370" s="32" t="s">
        <v>1101</v>
      </c>
      <c r="AU6370">
        <v>6369</v>
      </c>
    </row>
    <row r="6371" spans="1:47" x14ac:dyDescent="0.2">
      <c r="A6371" s="26">
        <v>6835</v>
      </c>
      <c r="B6371" s="27">
        <v>0.72916666666666663</v>
      </c>
      <c r="C6371" s="28"/>
      <c r="D6371" s="29"/>
      <c r="E6371" s="102" t="s">
        <v>1102</v>
      </c>
      <c r="H6371" s="32">
        <v>0</v>
      </c>
      <c r="I6371" s="32" t="s">
        <v>1103</v>
      </c>
      <c r="AG6371" s="32">
        <v>0</v>
      </c>
      <c r="AH6371" s="32">
        <v>0</v>
      </c>
      <c r="AI6371" s="32">
        <v>0</v>
      </c>
      <c r="AK6371" s="32">
        <v>0</v>
      </c>
      <c r="AL6371" s="32">
        <f>1/6</f>
        <v>0.16666666666666666</v>
      </c>
      <c r="AO6371" s="73" t="s">
        <v>1006</v>
      </c>
      <c r="AP6371" s="32">
        <f>1/6</f>
        <v>0.16666666666666666</v>
      </c>
      <c r="AQ6371" s="32" t="s">
        <v>589</v>
      </c>
      <c r="AU6371">
        <v>6370</v>
      </c>
    </row>
    <row r="6372" spans="1:47" x14ac:dyDescent="0.2">
      <c r="A6372" s="26">
        <v>6835</v>
      </c>
      <c r="B6372" s="27">
        <v>0.73333333333333339</v>
      </c>
      <c r="C6372" s="28"/>
      <c r="D6372" s="29"/>
      <c r="E6372" s="30" t="s">
        <v>2964</v>
      </c>
      <c r="H6372" s="32">
        <v>0</v>
      </c>
      <c r="I6372" s="32" t="s">
        <v>4158</v>
      </c>
      <c r="AG6372" s="32">
        <v>0</v>
      </c>
      <c r="AH6372" s="32">
        <v>0</v>
      </c>
      <c r="AI6372" s="32">
        <v>0</v>
      </c>
      <c r="AK6372" s="32">
        <v>0</v>
      </c>
      <c r="AL6372" s="32">
        <f>72/60</f>
        <v>1.2</v>
      </c>
      <c r="AP6372" s="32">
        <f>72/60</f>
        <v>1.2</v>
      </c>
      <c r="AQ6372" s="32" t="s">
        <v>1101</v>
      </c>
      <c r="AU6372">
        <v>6371</v>
      </c>
    </row>
    <row r="6373" spans="1:47" x14ac:dyDescent="0.2">
      <c r="A6373" s="26">
        <v>6835</v>
      </c>
      <c r="B6373" s="27">
        <v>0.74375000000000002</v>
      </c>
      <c r="C6373" s="28"/>
      <c r="D6373" s="29"/>
      <c r="E6373" s="30" t="s">
        <v>5224</v>
      </c>
      <c r="H6373" s="32">
        <v>0</v>
      </c>
      <c r="I6373" s="32" t="s">
        <v>5225</v>
      </c>
      <c r="AG6373" s="32">
        <v>0</v>
      </c>
      <c r="AH6373" s="32">
        <v>0</v>
      </c>
      <c r="AI6373" s="32">
        <v>0</v>
      </c>
      <c r="AK6373" s="32">
        <v>0</v>
      </c>
      <c r="AL6373" s="32">
        <f>49/60</f>
        <v>0.81666666666666665</v>
      </c>
      <c r="AP6373" s="32">
        <f>49/60</f>
        <v>0.81666666666666665</v>
      </c>
      <c r="AQ6373" s="32" t="s">
        <v>1101</v>
      </c>
      <c r="AU6373">
        <v>6372</v>
      </c>
    </row>
    <row r="6374" spans="1:47" x14ac:dyDescent="0.2">
      <c r="A6374" s="26">
        <v>6835</v>
      </c>
      <c r="B6374" s="27">
        <v>0.77083333333333337</v>
      </c>
      <c r="C6374" s="28"/>
      <c r="D6374" s="29"/>
      <c r="E6374" s="102" t="s">
        <v>5200</v>
      </c>
      <c r="H6374" s="32">
        <v>0</v>
      </c>
      <c r="I6374" s="32" t="s">
        <v>5893</v>
      </c>
      <c r="AG6374" s="32">
        <v>0</v>
      </c>
      <c r="AH6374" s="32">
        <v>0</v>
      </c>
      <c r="AI6374" s="32">
        <v>0</v>
      </c>
      <c r="AK6374" s="32">
        <v>0</v>
      </c>
      <c r="AL6374" s="32">
        <f>25/60</f>
        <v>0.41666666666666669</v>
      </c>
      <c r="AO6374" s="73"/>
      <c r="AP6374" s="32">
        <f>25/60</f>
        <v>0.41666666666666669</v>
      </c>
      <c r="AQ6374" s="32" t="s">
        <v>589</v>
      </c>
      <c r="AU6374">
        <v>6373</v>
      </c>
    </row>
    <row r="6375" spans="1:47" x14ac:dyDescent="0.2">
      <c r="A6375" s="44">
        <v>6836</v>
      </c>
      <c r="B6375" s="42" t="s">
        <v>85</v>
      </c>
      <c r="C6375" s="43" t="s">
        <v>6997</v>
      </c>
      <c r="D6375" s="29"/>
      <c r="E6375" s="121" t="s">
        <v>7165</v>
      </c>
      <c r="H6375" s="32"/>
      <c r="I6375" s="18" t="s">
        <v>7166</v>
      </c>
      <c r="K6375" s="31">
        <f>15*50*2.2</f>
        <v>1650.0000000000002</v>
      </c>
      <c r="L6375" s="33">
        <v>7</v>
      </c>
      <c r="S6375" s="33">
        <v>5</v>
      </c>
      <c r="W6375" s="31">
        <v>12000</v>
      </c>
      <c r="Y6375" s="31" t="s">
        <v>51</v>
      </c>
      <c r="Z6375" s="47" t="s">
        <v>3618</v>
      </c>
      <c r="AA6375" s="34">
        <v>0.67361111111111116</v>
      </c>
      <c r="AB6375" s="34">
        <v>0.76388888888888884</v>
      </c>
      <c r="AC6375" s="49">
        <f>AVERAGE(AA6375:AB6375)</f>
        <v>0.71875</v>
      </c>
      <c r="AD6375" s="50">
        <f>(AB6375-AA6375)*24</f>
        <v>2.1666666666666643</v>
      </c>
      <c r="AE6375" s="47" t="s">
        <v>5536</v>
      </c>
      <c r="AF6375" s="31">
        <v>75</v>
      </c>
      <c r="AK6375" s="32">
        <v>15</v>
      </c>
      <c r="AO6375" s="73"/>
      <c r="AQ6375" t="s">
        <v>7167</v>
      </c>
      <c r="AU6375">
        <v>6374</v>
      </c>
    </row>
    <row r="6376" spans="1:47" x14ac:dyDescent="0.2">
      <c r="A6376" s="44">
        <v>6836</v>
      </c>
      <c r="B6376" s="42" t="s">
        <v>85</v>
      </c>
      <c r="C6376" s="43" t="s">
        <v>6990</v>
      </c>
      <c r="D6376" s="29"/>
      <c r="E6376" s="121" t="s">
        <v>788</v>
      </c>
      <c r="F6376" s="31" t="s">
        <v>4328</v>
      </c>
      <c r="H6376" s="32"/>
      <c r="I6376" s="32" t="s">
        <v>7168</v>
      </c>
      <c r="L6376" s="33">
        <v>10</v>
      </c>
      <c r="M6376" s="31">
        <v>1</v>
      </c>
      <c r="P6376" s="31">
        <v>6</v>
      </c>
      <c r="S6376" s="33">
        <v>6</v>
      </c>
      <c r="T6376" s="31">
        <v>5</v>
      </c>
      <c r="Z6376" s="47" t="s">
        <v>3618</v>
      </c>
      <c r="AE6376" s="47" t="s">
        <v>5536</v>
      </c>
      <c r="AF6376" s="31">
        <v>70</v>
      </c>
      <c r="AO6376" s="73"/>
      <c r="AU6376">
        <v>6375</v>
      </c>
    </row>
    <row r="6377" spans="1:47" x14ac:dyDescent="0.2">
      <c r="A6377" s="26">
        <v>6836</v>
      </c>
      <c r="B6377" s="27">
        <v>0.8979166666666667</v>
      </c>
      <c r="C6377" s="28"/>
      <c r="D6377" s="29"/>
      <c r="E6377" s="30" t="s">
        <v>464</v>
      </c>
      <c r="H6377" s="32">
        <v>0</v>
      </c>
      <c r="I6377" s="32" t="s">
        <v>7169</v>
      </c>
      <c r="AG6377" s="32">
        <v>0</v>
      </c>
      <c r="AH6377" s="32">
        <v>0</v>
      </c>
      <c r="AL6377" s="32">
        <f>29/60</f>
        <v>0.48333333333333334</v>
      </c>
      <c r="AO6377" s="32" t="s">
        <v>4067</v>
      </c>
      <c r="AP6377" s="32">
        <f>29/60</f>
        <v>0.48333333333333334</v>
      </c>
      <c r="AQ6377" s="32" t="s">
        <v>1522</v>
      </c>
      <c r="AU6377">
        <v>6376</v>
      </c>
    </row>
    <row r="6378" spans="1:47" x14ac:dyDescent="0.2">
      <c r="A6378" s="26">
        <v>6836</v>
      </c>
      <c r="B6378" s="27"/>
      <c r="C6378" s="28"/>
      <c r="D6378" s="29"/>
      <c r="E6378" s="30" t="s">
        <v>4666</v>
      </c>
      <c r="H6378" s="32">
        <v>0</v>
      </c>
      <c r="I6378" s="32" t="s">
        <v>7170</v>
      </c>
      <c r="AG6378" s="32">
        <v>0</v>
      </c>
      <c r="AH6378" s="32">
        <v>0</v>
      </c>
      <c r="AI6378" s="32">
        <v>0</v>
      </c>
      <c r="AK6378" s="32">
        <v>0</v>
      </c>
      <c r="AO6378" s="32" t="s">
        <v>4668</v>
      </c>
      <c r="AQ6378" s="32">
        <v>411</v>
      </c>
      <c r="AU6378">
        <v>6377</v>
      </c>
    </row>
    <row r="6379" spans="1:47" x14ac:dyDescent="0.2">
      <c r="A6379" s="133">
        <v>6837</v>
      </c>
      <c r="B6379" s="39" t="s">
        <v>85</v>
      </c>
      <c r="C6379" s="39" t="s">
        <v>1234</v>
      </c>
      <c r="D6379" s="29" t="b">
        <v>0</v>
      </c>
      <c r="E6379" s="39" t="s">
        <v>7171</v>
      </c>
      <c r="F6379" s="31" t="s">
        <v>246</v>
      </c>
      <c r="H6379" s="32"/>
      <c r="I6379" s="32" t="s">
        <v>7172</v>
      </c>
      <c r="Z6379" s="31" t="s">
        <v>3724</v>
      </c>
      <c r="AE6379" s="31" t="s">
        <v>7173</v>
      </c>
      <c r="AF6379" s="31">
        <v>85</v>
      </c>
      <c r="AU6379">
        <v>6378</v>
      </c>
    </row>
    <row r="6380" spans="1:47" x14ac:dyDescent="0.2">
      <c r="A6380" s="133">
        <v>6837</v>
      </c>
      <c r="B6380" s="39" t="s">
        <v>85</v>
      </c>
      <c r="C6380" s="39" t="s">
        <v>1234</v>
      </c>
      <c r="D6380" s="29"/>
      <c r="E6380" s="39" t="s">
        <v>7174</v>
      </c>
      <c r="H6380" s="32"/>
      <c r="I6380" s="32" t="s">
        <v>1234</v>
      </c>
      <c r="Z6380" s="31" t="s">
        <v>3724</v>
      </c>
      <c r="AE6380" s="31" t="s">
        <v>7173</v>
      </c>
      <c r="AF6380" s="31">
        <v>75</v>
      </c>
      <c r="AU6380">
        <v>6379</v>
      </c>
    </row>
    <row r="6381" spans="1:47" x14ac:dyDescent="0.2">
      <c r="A6381" s="133">
        <v>6838</v>
      </c>
      <c r="B6381" s="39" t="s">
        <v>45</v>
      </c>
      <c r="C6381" s="39">
        <v>97</v>
      </c>
      <c r="D6381" s="29" t="b">
        <v>0</v>
      </c>
      <c r="E6381" s="39" t="s">
        <v>7175</v>
      </c>
      <c r="F6381" s="47" t="s">
        <v>7176</v>
      </c>
      <c r="G6381" s="47" t="s">
        <v>205</v>
      </c>
      <c r="H6381"/>
      <c r="I6381" s="47" t="b">
        <v>1</v>
      </c>
      <c r="J6381" s="47" t="b">
        <v>1</v>
      </c>
      <c r="K6381" s="47">
        <v>14033</v>
      </c>
      <c r="L6381" s="48">
        <v>9</v>
      </c>
      <c r="M6381" s="47">
        <v>0</v>
      </c>
      <c r="N6381" s="47">
        <v>0</v>
      </c>
      <c r="O6381" s="47">
        <v>0</v>
      </c>
      <c r="P6381" s="47">
        <v>0</v>
      </c>
      <c r="Q6381" s="47">
        <v>0</v>
      </c>
      <c r="R6381" s="47">
        <v>0</v>
      </c>
      <c r="S6381" s="48">
        <v>9</v>
      </c>
      <c r="T6381" s="47">
        <v>0</v>
      </c>
      <c r="U6381" s="47">
        <v>0</v>
      </c>
      <c r="V6381" s="47">
        <v>0</v>
      </c>
      <c r="W6381" s="47">
        <v>3700</v>
      </c>
      <c r="X6381" s="47">
        <v>1049</v>
      </c>
      <c r="Y6381" s="47"/>
      <c r="Z6381" s="47" t="s">
        <v>2466</v>
      </c>
      <c r="AA6381" s="49"/>
      <c r="AB6381" s="49"/>
      <c r="AC6381" s="49"/>
      <c r="AD6381" s="50"/>
      <c r="AE6381" s="47"/>
      <c r="AF6381" s="47"/>
      <c r="AG6381"/>
      <c r="AH6381"/>
      <c r="AI6381"/>
      <c r="AJ6381"/>
      <c r="AK6381"/>
      <c r="AL6381"/>
      <c r="AM6381"/>
      <c r="AN6381"/>
      <c r="AO6381"/>
      <c r="AP6381"/>
      <c r="AQ6381" t="s">
        <v>2526</v>
      </c>
      <c r="AU6381">
        <v>6380</v>
      </c>
    </row>
    <row r="6382" spans="1:47" x14ac:dyDescent="0.2">
      <c r="A6382" s="133">
        <v>6838</v>
      </c>
      <c r="B6382" s="39" t="s">
        <v>45</v>
      </c>
      <c r="C6382" s="39">
        <v>97</v>
      </c>
      <c r="D6382" s="29" t="b">
        <v>0</v>
      </c>
      <c r="E6382" s="39" t="s">
        <v>6606</v>
      </c>
      <c r="F6382" s="47" t="s">
        <v>529</v>
      </c>
      <c r="G6382" s="47" t="s">
        <v>205</v>
      </c>
      <c r="H6382"/>
      <c r="I6382" s="47" t="b">
        <v>0</v>
      </c>
      <c r="J6382" s="47" t="b">
        <v>0</v>
      </c>
      <c r="K6382" s="47">
        <v>3018</v>
      </c>
      <c r="L6382" s="48">
        <v>2</v>
      </c>
      <c r="M6382" s="47">
        <v>0</v>
      </c>
      <c r="N6382" s="47">
        <v>0</v>
      </c>
      <c r="O6382" s="47">
        <v>0</v>
      </c>
      <c r="P6382" s="47">
        <v>0</v>
      </c>
      <c r="Q6382" s="47">
        <v>0</v>
      </c>
      <c r="R6382" s="47">
        <v>0</v>
      </c>
      <c r="S6382" s="48">
        <v>2</v>
      </c>
      <c r="T6382" s="47">
        <v>0</v>
      </c>
      <c r="U6382" s="47">
        <v>0</v>
      </c>
      <c r="V6382" s="47">
        <v>0</v>
      </c>
      <c r="W6382" s="47">
        <v>3000</v>
      </c>
      <c r="X6382" s="47">
        <v>1050</v>
      </c>
      <c r="Y6382" s="47"/>
      <c r="Z6382" s="47" t="s">
        <v>2466</v>
      </c>
      <c r="AA6382" s="49"/>
      <c r="AB6382" s="49"/>
      <c r="AC6382" s="49"/>
      <c r="AD6382" s="50"/>
      <c r="AE6382" s="47"/>
      <c r="AF6382" s="47"/>
      <c r="AG6382"/>
      <c r="AH6382"/>
      <c r="AI6382"/>
      <c r="AJ6382"/>
      <c r="AK6382"/>
      <c r="AL6382"/>
      <c r="AM6382"/>
      <c r="AN6382"/>
      <c r="AO6382"/>
      <c r="AP6382"/>
      <c r="AQ6382" t="s">
        <v>2526</v>
      </c>
      <c r="AU6382">
        <v>6381</v>
      </c>
    </row>
    <row r="6383" spans="1:47" x14ac:dyDescent="0.2">
      <c r="A6383" s="133">
        <v>6838</v>
      </c>
      <c r="B6383" s="39" t="s">
        <v>45</v>
      </c>
      <c r="C6383" s="39">
        <v>97</v>
      </c>
      <c r="D6383" s="29" t="b">
        <v>0</v>
      </c>
      <c r="E6383" s="39" t="s">
        <v>5707</v>
      </c>
      <c r="F6383" s="47" t="s">
        <v>529</v>
      </c>
      <c r="G6383" s="47" t="s">
        <v>205</v>
      </c>
      <c r="H6383"/>
      <c r="I6383" s="47" t="b">
        <v>0</v>
      </c>
      <c r="J6383" s="47" t="b">
        <v>0</v>
      </c>
      <c r="K6383" s="47">
        <v>9397</v>
      </c>
      <c r="L6383" s="48">
        <v>6</v>
      </c>
      <c r="M6383" s="47">
        <v>0</v>
      </c>
      <c r="N6383" s="47">
        <v>0</v>
      </c>
      <c r="O6383" s="47">
        <v>0</v>
      </c>
      <c r="P6383" s="47">
        <v>0</v>
      </c>
      <c r="Q6383" s="47">
        <v>0</v>
      </c>
      <c r="R6383" s="47">
        <v>0</v>
      </c>
      <c r="S6383" s="48">
        <v>6</v>
      </c>
      <c r="T6383" s="47">
        <v>0</v>
      </c>
      <c r="U6383" s="47">
        <v>0</v>
      </c>
      <c r="V6383" s="47">
        <v>0</v>
      </c>
      <c r="W6383" s="47">
        <v>3500</v>
      </c>
      <c r="X6383" s="47">
        <v>1051</v>
      </c>
      <c r="Y6383" s="47"/>
      <c r="Z6383" s="47" t="s">
        <v>2466</v>
      </c>
      <c r="AA6383" s="49"/>
      <c r="AB6383" s="49"/>
      <c r="AC6383" s="49"/>
      <c r="AD6383" s="50"/>
      <c r="AE6383" s="47"/>
      <c r="AF6383" s="47"/>
      <c r="AG6383"/>
      <c r="AH6383"/>
      <c r="AI6383"/>
      <c r="AJ6383"/>
      <c r="AK6383"/>
      <c r="AL6383"/>
      <c r="AM6383"/>
      <c r="AN6383"/>
      <c r="AO6383"/>
      <c r="AP6383"/>
      <c r="AQ6383" t="s">
        <v>2526</v>
      </c>
      <c r="AU6383">
        <v>6382</v>
      </c>
    </row>
    <row r="6384" spans="1:47" x14ac:dyDescent="0.2">
      <c r="A6384" s="133">
        <v>6838</v>
      </c>
      <c r="B6384" s="39" t="s">
        <v>45</v>
      </c>
      <c r="C6384" s="39">
        <v>97</v>
      </c>
      <c r="D6384" s="29" t="b">
        <v>0</v>
      </c>
      <c r="E6384" s="39" t="s">
        <v>6637</v>
      </c>
      <c r="F6384" s="47" t="s">
        <v>529</v>
      </c>
      <c r="G6384" s="47" t="s">
        <v>205</v>
      </c>
      <c r="H6384"/>
      <c r="I6384" s="47" t="b">
        <v>0</v>
      </c>
      <c r="J6384" s="47" t="b">
        <v>0</v>
      </c>
      <c r="K6384" s="47">
        <v>50</v>
      </c>
      <c r="L6384" s="48">
        <v>1</v>
      </c>
      <c r="M6384" s="47">
        <v>0</v>
      </c>
      <c r="N6384" s="47">
        <v>0</v>
      </c>
      <c r="O6384" s="47">
        <v>0</v>
      </c>
      <c r="P6384" s="47">
        <v>0</v>
      </c>
      <c r="Q6384" s="47">
        <v>0</v>
      </c>
      <c r="R6384" s="47">
        <v>0</v>
      </c>
      <c r="S6384" s="48">
        <v>1</v>
      </c>
      <c r="T6384" s="47">
        <v>0</v>
      </c>
      <c r="U6384" s="47">
        <v>0</v>
      </c>
      <c r="V6384" s="47">
        <v>0</v>
      </c>
      <c r="W6384" s="47">
        <v>5000</v>
      </c>
      <c r="X6384" s="47">
        <v>1052</v>
      </c>
      <c r="Y6384" s="47"/>
      <c r="Z6384" s="47" t="s">
        <v>2466</v>
      </c>
      <c r="AA6384" s="49"/>
      <c r="AB6384" s="49"/>
      <c r="AC6384" s="49"/>
      <c r="AD6384" s="50"/>
      <c r="AE6384" s="47"/>
      <c r="AF6384" s="47"/>
      <c r="AG6384"/>
      <c r="AH6384"/>
      <c r="AI6384"/>
      <c r="AJ6384"/>
      <c r="AK6384"/>
      <c r="AL6384"/>
      <c r="AM6384"/>
      <c r="AN6384"/>
      <c r="AO6384"/>
      <c r="AP6384"/>
      <c r="AQ6384" t="s">
        <v>2526</v>
      </c>
      <c r="AU6384">
        <v>6383</v>
      </c>
    </row>
    <row r="6385" spans="1:47" x14ac:dyDescent="0.2">
      <c r="A6385" s="133">
        <v>6838</v>
      </c>
      <c r="B6385" s="39" t="s">
        <v>45</v>
      </c>
      <c r="C6385" s="39">
        <v>97</v>
      </c>
      <c r="D6385" s="29" t="b">
        <v>0</v>
      </c>
      <c r="E6385" s="39" t="s">
        <v>720</v>
      </c>
      <c r="F6385" s="47" t="s">
        <v>7177</v>
      </c>
      <c r="G6385" s="47" t="s">
        <v>459</v>
      </c>
      <c r="H6385"/>
      <c r="I6385" s="47" t="b">
        <v>0</v>
      </c>
      <c r="J6385" s="47" t="b">
        <v>0</v>
      </c>
      <c r="K6385" s="47">
        <v>1568</v>
      </c>
      <c r="L6385" s="48">
        <v>1</v>
      </c>
      <c r="M6385" s="47">
        <v>0</v>
      </c>
      <c r="N6385" s="47">
        <v>0</v>
      </c>
      <c r="O6385" s="47">
        <v>0</v>
      </c>
      <c r="P6385" s="47">
        <v>0</v>
      </c>
      <c r="Q6385" s="47">
        <v>0</v>
      </c>
      <c r="R6385" s="47">
        <v>0</v>
      </c>
      <c r="S6385" s="48">
        <v>1</v>
      </c>
      <c r="T6385" s="47">
        <v>0</v>
      </c>
      <c r="U6385" s="47">
        <v>0</v>
      </c>
      <c r="V6385" s="47">
        <v>0</v>
      </c>
      <c r="W6385" s="47">
        <v>5000</v>
      </c>
      <c r="X6385" s="47">
        <v>1053</v>
      </c>
      <c r="Y6385" s="47"/>
      <c r="Z6385" s="47" t="s">
        <v>2466</v>
      </c>
      <c r="AA6385" s="49"/>
      <c r="AB6385" s="49"/>
      <c r="AC6385" s="49"/>
      <c r="AD6385" s="50"/>
      <c r="AE6385" s="47"/>
      <c r="AF6385" s="47"/>
      <c r="AG6385"/>
      <c r="AH6385"/>
      <c r="AI6385"/>
      <c r="AJ6385"/>
      <c r="AK6385"/>
      <c r="AL6385"/>
      <c r="AM6385"/>
      <c r="AN6385"/>
      <c r="AO6385"/>
      <c r="AP6385"/>
      <c r="AQ6385" t="s">
        <v>2526</v>
      </c>
      <c r="AU6385">
        <v>6384</v>
      </c>
    </row>
    <row r="6386" spans="1:47" x14ac:dyDescent="0.2">
      <c r="A6386" s="133">
        <v>6838</v>
      </c>
      <c r="B6386" s="39" t="s">
        <v>45</v>
      </c>
      <c r="C6386" s="39">
        <v>100</v>
      </c>
      <c r="D6386" s="29" t="b">
        <v>0</v>
      </c>
      <c r="E6386" s="39" t="s">
        <v>7178</v>
      </c>
      <c r="F6386" s="47" t="s">
        <v>7179</v>
      </c>
      <c r="G6386" s="47" t="s">
        <v>73</v>
      </c>
      <c r="H6386"/>
      <c r="I6386" s="47" t="b">
        <v>1</v>
      </c>
      <c r="J6386" s="47" t="b">
        <v>1</v>
      </c>
      <c r="K6386" s="47">
        <v>4704</v>
      </c>
      <c r="L6386" s="48">
        <v>4</v>
      </c>
      <c r="M6386" s="47">
        <v>0</v>
      </c>
      <c r="N6386" s="47">
        <v>1</v>
      </c>
      <c r="O6386" s="47">
        <v>0</v>
      </c>
      <c r="P6386" s="47">
        <v>0</v>
      </c>
      <c r="Q6386" s="47">
        <v>0</v>
      </c>
      <c r="R6386" s="47">
        <v>0</v>
      </c>
      <c r="S6386" s="48">
        <v>3</v>
      </c>
      <c r="T6386" s="47">
        <v>0</v>
      </c>
      <c r="U6386" s="47">
        <v>0</v>
      </c>
      <c r="V6386" s="47">
        <v>0</v>
      </c>
      <c r="W6386" s="47">
        <v>5000</v>
      </c>
      <c r="X6386" s="47">
        <v>1054</v>
      </c>
      <c r="Y6386" s="47"/>
      <c r="Z6386" s="47" t="s">
        <v>2466</v>
      </c>
      <c r="AA6386" s="49"/>
      <c r="AB6386" s="49"/>
      <c r="AC6386" s="49"/>
      <c r="AD6386" s="50"/>
      <c r="AE6386" s="47" t="s">
        <v>6445</v>
      </c>
      <c r="AF6386" s="47">
        <v>180</v>
      </c>
      <c r="AG6386"/>
      <c r="AH6386"/>
      <c r="AI6386"/>
      <c r="AJ6386"/>
      <c r="AK6386"/>
      <c r="AL6386"/>
      <c r="AM6386"/>
      <c r="AN6386"/>
      <c r="AO6386"/>
      <c r="AP6386"/>
      <c r="AQ6386" t="s">
        <v>2526</v>
      </c>
      <c r="AU6386">
        <v>6385</v>
      </c>
    </row>
    <row r="6387" spans="1:47" x14ac:dyDescent="0.2">
      <c r="A6387" s="133">
        <v>6838</v>
      </c>
      <c r="B6387" s="39" t="s">
        <v>45</v>
      </c>
      <c r="C6387" s="39">
        <v>100</v>
      </c>
      <c r="D6387" s="29" t="b">
        <v>0</v>
      </c>
      <c r="E6387" s="39" t="s">
        <v>3909</v>
      </c>
      <c r="F6387" s="47" t="s">
        <v>7180</v>
      </c>
      <c r="G6387" s="47" t="s">
        <v>274</v>
      </c>
      <c r="H6387"/>
      <c r="I6387" s="47" t="b">
        <v>0</v>
      </c>
      <c r="J6387" s="47" t="b">
        <v>0</v>
      </c>
      <c r="K6387" s="47">
        <v>1568</v>
      </c>
      <c r="L6387" s="48">
        <v>1</v>
      </c>
      <c r="M6387" s="47">
        <v>0</v>
      </c>
      <c r="N6387" s="47">
        <v>0</v>
      </c>
      <c r="O6387" s="47">
        <v>0</v>
      </c>
      <c r="P6387" s="47">
        <v>0</v>
      </c>
      <c r="Q6387" s="47">
        <v>0</v>
      </c>
      <c r="R6387" s="47">
        <v>0</v>
      </c>
      <c r="S6387" s="48">
        <v>1</v>
      </c>
      <c r="T6387" s="47">
        <v>0</v>
      </c>
      <c r="U6387" s="47">
        <v>0</v>
      </c>
      <c r="V6387" s="47">
        <v>0</v>
      </c>
      <c r="W6387" s="47">
        <v>9000</v>
      </c>
      <c r="X6387" s="47">
        <v>1055</v>
      </c>
      <c r="Y6387" s="47"/>
      <c r="Z6387" s="47" t="s">
        <v>2466</v>
      </c>
      <c r="AA6387" s="49"/>
      <c r="AB6387" s="49"/>
      <c r="AC6387" s="49"/>
      <c r="AD6387" s="50"/>
      <c r="AE6387" s="47" t="s">
        <v>6445</v>
      </c>
      <c r="AF6387" s="47">
        <v>180</v>
      </c>
      <c r="AG6387"/>
      <c r="AH6387"/>
      <c r="AI6387"/>
      <c r="AJ6387"/>
      <c r="AK6387"/>
      <c r="AL6387"/>
      <c r="AM6387"/>
      <c r="AN6387"/>
      <c r="AO6387"/>
      <c r="AP6387"/>
      <c r="AQ6387" t="s">
        <v>2526</v>
      </c>
      <c r="AU6387">
        <v>6386</v>
      </c>
    </row>
    <row r="6388" spans="1:47" x14ac:dyDescent="0.2">
      <c r="A6388" s="133">
        <v>6838</v>
      </c>
      <c r="B6388" s="39" t="s">
        <v>45</v>
      </c>
      <c r="C6388" s="39">
        <v>100</v>
      </c>
      <c r="D6388" s="29" t="b">
        <v>0</v>
      </c>
      <c r="E6388" s="39" t="s">
        <v>720</v>
      </c>
      <c r="F6388" s="47" t="s">
        <v>7181</v>
      </c>
      <c r="G6388" s="47" t="s">
        <v>73</v>
      </c>
      <c r="H6388"/>
      <c r="I6388" s="47" t="b">
        <v>0</v>
      </c>
      <c r="J6388" s="47" t="b">
        <v>0</v>
      </c>
      <c r="K6388" s="47">
        <v>1568</v>
      </c>
      <c r="L6388" s="48">
        <v>1</v>
      </c>
      <c r="M6388" s="47">
        <v>0</v>
      </c>
      <c r="N6388" s="47">
        <v>0</v>
      </c>
      <c r="O6388" s="47">
        <v>0</v>
      </c>
      <c r="P6388" s="47">
        <v>0</v>
      </c>
      <c r="Q6388" s="47">
        <v>0</v>
      </c>
      <c r="R6388" s="47">
        <v>0</v>
      </c>
      <c r="S6388" s="48">
        <v>1</v>
      </c>
      <c r="T6388" s="47">
        <v>0</v>
      </c>
      <c r="U6388" s="47">
        <v>0</v>
      </c>
      <c r="V6388" s="47">
        <v>0</v>
      </c>
      <c r="W6388" s="47">
        <v>3000</v>
      </c>
      <c r="X6388" s="47">
        <v>1056</v>
      </c>
      <c r="Y6388" s="47"/>
      <c r="Z6388" s="47" t="s">
        <v>2466</v>
      </c>
      <c r="AA6388" s="49"/>
      <c r="AB6388" s="49"/>
      <c r="AC6388" s="49"/>
      <c r="AD6388" s="50"/>
      <c r="AE6388" s="47" t="s">
        <v>6445</v>
      </c>
      <c r="AF6388" s="47">
        <v>145</v>
      </c>
      <c r="AG6388"/>
      <c r="AH6388"/>
      <c r="AI6388"/>
      <c r="AJ6388"/>
      <c r="AK6388"/>
      <c r="AL6388"/>
      <c r="AM6388"/>
      <c r="AN6388"/>
      <c r="AO6388"/>
      <c r="AP6388"/>
      <c r="AQ6388" t="s">
        <v>2526</v>
      </c>
      <c r="AU6388">
        <v>6387</v>
      </c>
    </row>
    <row r="6389" spans="1:47" x14ac:dyDescent="0.2">
      <c r="A6389" s="133">
        <v>6838</v>
      </c>
      <c r="B6389" s="39" t="s">
        <v>45</v>
      </c>
      <c r="C6389" s="39">
        <v>100</v>
      </c>
      <c r="D6389" s="29" t="b">
        <v>0</v>
      </c>
      <c r="E6389" s="39" t="s">
        <v>858</v>
      </c>
      <c r="F6389" s="47" t="s">
        <v>7182</v>
      </c>
      <c r="G6389" s="47" t="s">
        <v>481</v>
      </c>
      <c r="H6389"/>
      <c r="I6389" s="47" t="b">
        <v>0</v>
      </c>
      <c r="J6389" s="47" t="b">
        <v>0</v>
      </c>
      <c r="K6389" s="47">
        <v>1568</v>
      </c>
      <c r="L6389" s="48">
        <v>2</v>
      </c>
      <c r="M6389" s="47">
        <v>0</v>
      </c>
      <c r="N6389" s="47">
        <v>1</v>
      </c>
      <c r="O6389" s="47">
        <v>0</v>
      </c>
      <c r="P6389" s="47">
        <v>0</v>
      </c>
      <c r="Q6389" s="47">
        <v>0</v>
      </c>
      <c r="R6389" s="47">
        <v>0</v>
      </c>
      <c r="S6389" s="48">
        <v>1</v>
      </c>
      <c r="T6389" s="47">
        <v>0</v>
      </c>
      <c r="U6389" s="47">
        <v>0</v>
      </c>
      <c r="V6389" s="47">
        <v>0</v>
      </c>
      <c r="W6389" s="47">
        <v>5000</v>
      </c>
      <c r="X6389" s="47">
        <v>1057</v>
      </c>
      <c r="Y6389" s="47"/>
      <c r="Z6389" s="47" t="s">
        <v>2466</v>
      </c>
      <c r="AA6389" s="49"/>
      <c r="AB6389" s="49"/>
      <c r="AC6389" s="49"/>
      <c r="AD6389" s="50"/>
      <c r="AE6389" s="47" t="s">
        <v>6445</v>
      </c>
      <c r="AF6389" s="47">
        <v>95</v>
      </c>
      <c r="AG6389"/>
      <c r="AH6389"/>
      <c r="AI6389"/>
      <c r="AJ6389"/>
      <c r="AK6389"/>
      <c r="AL6389"/>
      <c r="AM6389"/>
      <c r="AN6389"/>
      <c r="AO6389"/>
      <c r="AP6389"/>
      <c r="AQ6389" t="s">
        <v>2526</v>
      </c>
      <c r="AU6389">
        <v>6388</v>
      </c>
    </row>
    <row r="6390" spans="1:47" x14ac:dyDescent="0.2">
      <c r="A6390" s="133">
        <v>6838</v>
      </c>
      <c r="B6390" s="39" t="s">
        <v>45</v>
      </c>
      <c r="C6390" s="39">
        <v>115</v>
      </c>
      <c r="D6390" s="29" t="b">
        <v>0</v>
      </c>
      <c r="E6390" s="39" t="s">
        <v>7183</v>
      </c>
      <c r="F6390" s="47" t="s">
        <v>7184</v>
      </c>
      <c r="G6390" s="47" t="s">
        <v>205</v>
      </c>
      <c r="H6390"/>
      <c r="I6390" s="47" t="b">
        <v>1</v>
      </c>
      <c r="J6390" s="47" t="b">
        <v>1</v>
      </c>
      <c r="K6390" s="47">
        <v>16128</v>
      </c>
      <c r="L6390" s="48">
        <v>10</v>
      </c>
      <c r="M6390" s="47">
        <v>0</v>
      </c>
      <c r="N6390" s="47">
        <v>0</v>
      </c>
      <c r="O6390" s="47">
        <v>0</v>
      </c>
      <c r="P6390" s="47">
        <v>0</v>
      </c>
      <c r="Q6390" s="47">
        <v>0</v>
      </c>
      <c r="R6390" s="47">
        <v>0</v>
      </c>
      <c r="S6390" s="48">
        <v>10</v>
      </c>
      <c r="T6390" s="47">
        <v>1</v>
      </c>
      <c r="U6390" s="47">
        <v>0</v>
      </c>
      <c r="V6390" s="47">
        <v>0</v>
      </c>
      <c r="W6390" s="47">
        <v>5100</v>
      </c>
      <c r="X6390" s="47">
        <v>1058</v>
      </c>
      <c r="Y6390" s="47"/>
      <c r="Z6390" s="47" t="s">
        <v>2466</v>
      </c>
      <c r="AA6390" s="49"/>
      <c r="AB6390" s="49"/>
      <c r="AC6390" s="49"/>
      <c r="AD6390" s="50"/>
      <c r="AE6390" s="47" t="s">
        <v>7118</v>
      </c>
      <c r="AF6390" s="47">
        <v>55</v>
      </c>
      <c r="AG6390"/>
      <c r="AH6390"/>
      <c r="AI6390"/>
      <c r="AJ6390"/>
      <c r="AK6390"/>
      <c r="AL6390"/>
      <c r="AM6390"/>
      <c r="AN6390"/>
      <c r="AO6390"/>
      <c r="AP6390"/>
      <c r="AQ6390" t="s">
        <v>2526</v>
      </c>
      <c r="AR6390" s="32" t="s">
        <v>7119</v>
      </c>
      <c r="AU6390">
        <v>6389</v>
      </c>
    </row>
    <row r="6391" spans="1:47" x14ac:dyDescent="0.2">
      <c r="A6391" s="133">
        <v>6838</v>
      </c>
      <c r="B6391" s="39" t="s">
        <v>45</v>
      </c>
      <c r="C6391" s="39">
        <v>115</v>
      </c>
      <c r="D6391" s="29" t="b">
        <v>0</v>
      </c>
      <c r="E6391" s="39" t="s">
        <v>1551</v>
      </c>
      <c r="F6391" s="47" t="s">
        <v>529</v>
      </c>
      <c r="G6391" s="47" t="s">
        <v>205</v>
      </c>
      <c r="H6391"/>
      <c r="I6391" s="47" t="b">
        <v>0</v>
      </c>
      <c r="J6391" s="47" t="b">
        <v>0</v>
      </c>
      <c r="K6391" s="47">
        <v>15008</v>
      </c>
      <c r="L6391" s="48">
        <v>10</v>
      </c>
      <c r="M6391" s="47">
        <v>0</v>
      </c>
      <c r="N6391" s="47">
        <v>0</v>
      </c>
      <c r="O6391" s="47">
        <v>0</v>
      </c>
      <c r="P6391" s="47">
        <v>0</v>
      </c>
      <c r="Q6391" s="47">
        <v>0</v>
      </c>
      <c r="R6391" s="47">
        <v>0</v>
      </c>
      <c r="S6391" s="48">
        <v>9</v>
      </c>
      <c r="T6391" s="47">
        <v>1</v>
      </c>
      <c r="U6391" s="47">
        <v>0</v>
      </c>
      <c r="V6391" s="47">
        <v>0</v>
      </c>
      <c r="W6391" s="47">
        <v>5000</v>
      </c>
      <c r="X6391" s="47">
        <v>1059</v>
      </c>
      <c r="Y6391" s="47"/>
      <c r="Z6391" s="47" t="s">
        <v>2466</v>
      </c>
      <c r="AA6391" s="49"/>
      <c r="AB6391" s="49"/>
      <c r="AC6391" s="49"/>
      <c r="AD6391" s="50"/>
      <c r="AE6391" s="47" t="s">
        <v>7118</v>
      </c>
      <c r="AF6391" s="47">
        <v>55</v>
      </c>
      <c r="AG6391"/>
      <c r="AH6391"/>
      <c r="AI6391"/>
      <c r="AJ6391"/>
      <c r="AK6391"/>
      <c r="AL6391"/>
      <c r="AM6391"/>
      <c r="AN6391"/>
      <c r="AO6391"/>
      <c r="AP6391"/>
      <c r="AQ6391" t="s">
        <v>2526</v>
      </c>
      <c r="AR6391" s="32" t="s">
        <v>7119</v>
      </c>
      <c r="AU6391">
        <v>6390</v>
      </c>
    </row>
    <row r="6392" spans="1:47" x14ac:dyDescent="0.2">
      <c r="A6392" s="133">
        <v>6838</v>
      </c>
      <c r="B6392" s="39" t="s">
        <v>45</v>
      </c>
      <c r="C6392" s="39">
        <v>115</v>
      </c>
      <c r="D6392" s="29" t="b">
        <v>0</v>
      </c>
      <c r="E6392" s="39" t="s">
        <v>7185</v>
      </c>
      <c r="F6392" s="47" t="s">
        <v>7186</v>
      </c>
      <c r="G6392" s="47" t="s">
        <v>73</v>
      </c>
      <c r="H6392"/>
      <c r="I6392" s="47" t="b">
        <v>0</v>
      </c>
      <c r="J6392" s="47" t="b">
        <v>0</v>
      </c>
      <c r="K6392" s="47">
        <v>1120</v>
      </c>
      <c r="L6392" s="48">
        <v>10</v>
      </c>
      <c r="M6392" s="47">
        <v>0</v>
      </c>
      <c r="N6392" s="47">
        <v>0</v>
      </c>
      <c r="O6392" s="47">
        <v>0</v>
      </c>
      <c r="P6392" s="47">
        <v>0</v>
      </c>
      <c r="Q6392" s="47">
        <v>0</v>
      </c>
      <c r="R6392" s="47">
        <v>0</v>
      </c>
      <c r="S6392" s="48">
        <v>1</v>
      </c>
      <c r="T6392" s="47">
        <v>1</v>
      </c>
      <c r="U6392" s="47">
        <v>0</v>
      </c>
      <c r="V6392" s="47">
        <v>0</v>
      </c>
      <c r="W6392" s="47">
        <v>6000</v>
      </c>
      <c r="X6392" s="47">
        <v>1060</v>
      </c>
      <c r="Y6392" s="47"/>
      <c r="Z6392" s="47" t="s">
        <v>2466</v>
      </c>
      <c r="AA6392" s="49"/>
      <c r="AB6392" s="49"/>
      <c r="AC6392" s="49"/>
      <c r="AD6392" s="50"/>
      <c r="AE6392" s="47" t="s">
        <v>7118</v>
      </c>
      <c r="AF6392" s="47">
        <v>35</v>
      </c>
      <c r="AG6392"/>
      <c r="AH6392"/>
      <c r="AI6392"/>
      <c r="AJ6392"/>
      <c r="AK6392"/>
      <c r="AL6392"/>
      <c r="AM6392"/>
      <c r="AN6392"/>
      <c r="AO6392"/>
      <c r="AP6392"/>
      <c r="AQ6392" t="s">
        <v>2526</v>
      </c>
      <c r="AR6392" s="32" t="s">
        <v>7119</v>
      </c>
      <c r="AU6392">
        <v>6391</v>
      </c>
    </row>
    <row r="6393" spans="1:47" x14ac:dyDescent="0.2">
      <c r="A6393" s="133">
        <v>6838</v>
      </c>
      <c r="B6393" s="39" t="s">
        <v>45</v>
      </c>
      <c r="C6393" s="39">
        <v>215</v>
      </c>
      <c r="D6393" s="29" t="b">
        <v>0</v>
      </c>
      <c r="E6393" s="39" t="s">
        <v>649</v>
      </c>
      <c r="F6393" s="47" t="s">
        <v>529</v>
      </c>
      <c r="G6393" s="47" t="s">
        <v>205</v>
      </c>
      <c r="H6393"/>
      <c r="I6393" s="47" t="b">
        <v>0</v>
      </c>
      <c r="J6393" s="47" t="b">
        <v>1</v>
      </c>
      <c r="K6393" s="47">
        <v>6272</v>
      </c>
      <c r="L6393" s="48">
        <v>4</v>
      </c>
      <c r="M6393" s="47">
        <v>0</v>
      </c>
      <c r="N6393" s="47">
        <v>0</v>
      </c>
      <c r="O6393" s="47">
        <v>0</v>
      </c>
      <c r="P6393" s="47">
        <v>0</v>
      </c>
      <c r="Q6393" s="47">
        <v>0</v>
      </c>
      <c r="R6393" s="47">
        <v>0</v>
      </c>
      <c r="S6393" s="48">
        <v>4</v>
      </c>
      <c r="T6393" s="47">
        <v>1</v>
      </c>
      <c r="U6393" s="47">
        <v>0</v>
      </c>
      <c r="V6393" s="47">
        <v>0</v>
      </c>
      <c r="W6393" s="47">
        <v>1825</v>
      </c>
      <c r="X6393" s="47">
        <v>1061</v>
      </c>
      <c r="Y6393" s="47"/>
      <c r="Z6393" s="47" t="s">
        <v>2466</v>
      </c>
      <c r="AA6393" s="49"/>
      <c r="AB6393" s="49"/>
      <c r="AC6393" s="49"/>
      <c r="AD6393" s="50"/>
      <c r="AE6393" s="47"/>
      <c r="AF6393" s="47"/>
      <c r="AG6393"/>
      <c r="AH6393"/>
      <c r="AI6393"/>
      <c r="AJ6393"/>
      <c r="AK6393"/>
      <c r="AL6393"/>
      <c r="AM6393"/>
      <c r="AN6393"/>
      <c r="AO6393"/>
      <c r="AP6393"/>
      <c r="AQ6393" t="s">
        <v>2526</v>
      </c>
      <c r="AU6393">
        <v>6392</v>
      </c>
    </row>
    <row r="6394" spans="1:47" x14ac:dyDescent="0.2">
      <c r="A6394" s="133">
        <v>6838</v>
      </c>
      <c r="B6394" s="39" t="s">
        <v>45</v>
      </c>
      <c r="C6394" s="39">
        <v>216</v>
      </c>
      <c r="D6394" s="29" t="b">
        <v>0</v>
      </c>
      <c r="E6394" s="39" t="s">
        <v>7187</v>
      </c>
      <c r="F6394" s="47" t="s">
        <v>7188</v>
      </c>
      <c r="G6394" s="47" t="s">
        <v>205</v>
      </c>
      <c r="H6394"/>
      <c r="I6394" s="47" t="b">
        <v>1</v>
      </c>
      <c r="J6394" s="47" t="b">
        <v>1</v>
      </c>
      <c r="K6394" s="47">
        <v>10518</v>
      </c>
      <c r="L6394" s="48">
        <v>9</v>
      </c>
      <c r="M6394" s="47">
        <v>0</v>
      </c>
      <c r="N6394" s="47">
        <v>2</v>
      </c>
      <c r="O6394" s="47">
        <v>0</v>
      </c>
      <c r="P6394" s="47">
        <v>0</v>
      </c>
      <c r="Q6394" s="47">
        <v>0</v>
      </c>
      <c r="R6394" s="47">
        <v>0</v>
      </c>
      <c r="S6394" s="48">
        <v>7</v>
      </c>
      <c r="T6394" s="47">
        <v>0</v>
      </c>
      <c r="U6394" s="47">
        <v>0</v>
      </c>
      <c r="V6394" s="47">
        <v>0</v>
      </c>
      <c r="W6394" s="47">
        <v>5286</v>
      </c>
      <c r="X6394" s="47">
        <v>1062</v>
      </c>
      <c r="Y6394" s="47"/>
      <c r="Z6394" s="47" t="s">
        <v>2466</v>
      </c>
      <c r="AA6394" s="49"/>
      <c r="AB6394" s="49"/>
      <c r="AC6394" s="49"/>
      <c r="AD6394" s="50"/>
      <c r="AE6394" s="47" t="s">
        <v>1312</v>
      </c>
      <c r="AF6394" s="47">
        <v>210</v>
      </c>
      <c r="AG6394"/>
      <c r="AH6394"/>
      <c r="AI6394"/>
      <c r="AJ6394"/>
      <c r="AK6394"/>
      <c r="AL6394"/>
      <c r="AM6394"/>
      <c r="AN6394"/>
      <c r="AO6394"/>
      <c r="AP6394"/>
      <c r="AQ6394" t="s">
        <v>2526</v>
      </c>
      <c r="AU6394">
        <v>6393</v>
      </c>
    </row>
    <row r="6395" spans="1:47" x14ac:dyDescent="0.2">
      <c r="A6395" s="133">
        <v>6838</v>
      </c>
      <c r="B6395" s="39" t="s">
        <v>45</v>
      </c>
      <c r="C6395" s="39">
        <v>216</v>
      </c>
      <c r="D6395" s="29" t="b">
        <v>0</v>
      </c>
      <c r="E6395" s="39" t="s">
        <v>3909</v>
      </c>
      <c r="F6395" s="47" t="s">
        <v>7189</v>
      </c>
      <c r="G6395" s="47" t="s">
        <v>274</v>
      </c>
      <c r="H6395"/>
      <c r="I6395" s="47" t="b">
        <v>0</v>
      </c>
      <c r="J6395" s="47" t="b">
        <v>0</v>
      </c>
      <c r="K6395" s="47">
        <v>1446</v>
      </c>
      <c r="L6395" s="48">
        <v>3</v>
      </c>
      <c r="M6395" s="47">
        <v>0</v>
      </c>
      <c r="N6395" s="47">
        <v>2</v>
      </c>
      <c r="O6395" s="47">
        <v>0</v>
      </c>
      <c r="P6395" s="47">
        <v>0</v>
      </c>
      <c r="Q6395" s="47">
        <v>0</v>
      </c>
      <c r="R6395" s="47">
        <v>0</v>
      </c>
      <c r="S6395" s="48">
        <v>1</v>
      </c>
      <c r="T6395" s="47">
        <v>0</v>
      </c>
      <c r="U6395" s="47">
        <v>0</v>
      </c>
      <c r="V6395" s="47">
        <v>0</v>
      </c>
      <c r="W6395" s="47">
        <v>7000</v>
      </c>
      <c r="X6395" s="47">
        <v>1063</v>
      </c>
      <c r="Y6395" s="47"/>
      <c r="Z6395" s="47" t="s">
        <v>2466</v>
      </c>
      <c r="AA6395" s="49"/>
      <c r="AB6395" s="49"/>
      <c r="AC6395" s="49"/>
      <c r="AD6395" s="50"/>
      <c r="AE6395" s="47" t="s">
        <v>1312</v>
      </c>
      <c r="AF6395" s="47">
        <v>210</v>
      </c>
      <c r="AG6395"/>
      <c r="AH6395"/>
      <c r="AI6395"/>
      <c r="AJ6395"/>
      <c r="AK6395"/>
      <c r="AL6395"/>
      <c r="AM6395"/>
      <c r="AN6395"/>
      <c r="AO6395"/>
      <c r="AP6395"/>
      <c r="AQ6395" t="s">
        <v>2526</v>
      </c>
      <c r="AU6395">
        <v>6394</v>
      </c>
    </row>
    <row r="6396" spans="1:47" x14ac:dyDescent="0.2">
      <c r="A6396" s="133">
        <v>6838</v>
      </c>
      <c r="B6396" s="39" t="s">
        <v>45</v>
      </c>
      <c r="C6396" s="39">
        <v>216</v>
      </c>
      <c r="D6396" s="29" t="b">
        <v>0</v>
      </c>
      <c r="E6396" s="39" t="s">
        <v>649</v>
      </c>
      <c r="F6396" s="47" t="s">
        <v>529</v>
      </c>
      <c r="G6396" s="47" t="s">
        <v>205</v>
      </c>
      <c r="H6396"/>
      <c r="I6396" s="47" t="b">
        <v>0</v>
      </c>
      <c r="J6396" s="47" t="b">
        <v>0</v>
      </c>
      <c r="K6396" s="47">
        <v>9072</v>
      </c>
      <c r="L6396" s="48">
        <v>6</v>
      </c>
      <c r="M6396" s="47">
        <v>0</v>
      </c>
      <c r="N6396" s="47">
        <v>0</v>
      </c>
      <c r="O6396" s="47">
        <v>0</v>
      </c>
      <c r="P6396" s="47">
        <v>0</v>
      </c>
      <c r="Q6396" s="47">
        <v>0</v>
      </c>
      <c r="R6396" s="47">
        <v>0</v>
      </c>
      <c r="S6396" s="48">
        <v>6</v>
      </c>
      <c r="T6396" s="47">
        <v>0</v>
      </c>
      <c r="U6396" s="47">
        <v>0</v>
      </c>
      <c r="V6396" s="47">
        <v>0</v>
      </c>
      <c r="W6396" s="47">
        <v>5000</v>
      </c>
      <c r="X6396" s="47">
        <v>1064</v>
      </c>
      <c r="Y6396" s="47"/>
      <c r="Z6396" s="47" t="s">
        <v>2466</v>
      </c>
      <c r="AA6396" s="49"/>
      <c r="AB6396" s="49"/>
      <c r="AC6396" s="49"/>
      <c r="AD6396" s="50"/>
      <c r="AE6396" s="47" t="s">
        <v>1312</v>
      </c>
      <c r="AF6396" s="31">
        <v>55</v>
      </c>
      <c r="AG6396"/>
      <c r="AH6396"/>
      <c r="AI6396"/>
      <c r="AJ6396"/>
      <c r="AK6396"/>
      <c r="AL6396"/>
      <c r="AM6396"/>
      <c r="AN6396"/>
      <c r="AO6396"/>
      <c r="AP6396"/>
      <c r="AQ6396" t="s">
        <v>2526</v>
      </c>
      <c r="AU6396">
        <v>6395</v>
      </c>
    </row>
    <row r="6397" spans="1:47" x14ac:dyDescent="0.2">
      <c r="A6397" s="13">
        <v>6838</v>
      </c>
      <c r="B6397" s="57" t="s">
        <v>45</v>
      </c>
      <c r="C6397" s="57" t="s">
        <v>142</v>
      </c>
      <c r="D6397" s="29"/>
      <c r="E6397" s="39" t="s">
        <v>7190</v>
      </c>
      <c r="F6397" s="47" t="s">
        <v>6463</v>
      </c>
      <c r="G6397" s="47" t="s">
        <v>49</v>
      </c>
      <c r="H6397"/>
      <c r="I6397" s="47" t="b">
        <v>1</v>
      </c>
      <c r="J6397" s="47" t="b">
        <v>1</v>
      </c>
      <c r="K6397" s="47">
        <f>3615*2.2</f>
        <v>7953.0000000000009</v>
      </c>
      <c r="L6397" s="48">
        <v>17</v>
      </c>
      <c r="M6397" s="47"/>
      <c r="N6397" s="47">
        <v>3</v>
      </c>
      <c r="O6397" s="47"/>
      <c r="P6397" s="47"/>
      <c r="Q6397" s="47"/>
      <c r="R6397" s="47"/>
      <c r="S6397" s="48">
        <v>13</v>
      </c>
      <c r="T6397" s="47">
        <v>1</v>
      </c>
      <c r="U6397" s="47">
        <v>1</v>
      </c>
      <c r="V6397" s="47">
        <v>0</v>
      </c>
      <c r="W6397" s="47"/>
      <c r="X6397" s="47"/>
      <c r="Y6397" s="47"/>
      <c r="Z6397" s="31" t="s">
        <v>5406</v>
      </c>
      <c r="AE6397" s="31" t="s">
        <v>2470</v>
      </c>
      <c r="AF6397" s="47"/>
      <c r="AG6397"/>
      <c r="AH6397"/>
      <c r="AI6397"/>
      <c r="AJ6397"/>
      <c r="AK6397">
        <f>9+5+35+17+16</f>
        <v>82</v>
      </c>
      <c r="AL6397"/>
      <c r="AM6397"/>
      <c r="AN6397"/>
      <c r="AO6397"/>
      <c r="AP6397"/>
      <c r="AQ6397" t="s">
        <v>7068</v>
      </c>
      <c r="AR6397" s="32" t="s">
        <v>7191</v>
      </c>
      <c r="AU6397">
        <v>6396</v>
      </c>
    </row>
    <row r="6398" spans="1:47" x14ac:dyDescent="0.2">
      <c r="A6398" s="13">
        <v>6838</v>
      </c>
      <c r="B6398" s="57" t="s">
        <v>45</v>
      </c>
      <c r="C6398" s="57" t="s">
        <v>142</v>
      </c>
      <c r="D6398" s="29"/>
      <c r="E6398" s="57" t="s">
        <v>3875</v>
      </c>
      <c r="F6398" s="31" t="s">
        <v>76</v>
      </c>
      <c r="G6398" s="31" t="s">
        <v>49</v>
      </c>
      <c r="I6398" s="47" t="b">
        <v>0</v>
      </c>
      <c r="J6398" s="47" t="b">
        <v>0</v>
      </c>
      <c r="K6398" s="31">
        <v>2860</v>
      </c>
      <c r="S6398" s="33">
        <v>5</v>
      </c>
      <c r="AE6398" s="31" t="s">
        <v>2470</v>
      </c>
      <c r="AF6398" s="31">
        <v>55</v>
      </c>
      <c r="AK6398" s="32">
        <v>26</v>
      </c>
      <c r="AQ6398" s="32" t="s">
        <v>7070</v>
      </c>
      <c r="AU6398">
        <v>6397</v>
      </c>
    </row>
    <row r="6399" spans="1:47" x14ac:dyDescent="0.2">
      <c r="A6399" s="13">
        <v>6838</v>
      </c>
      <c r="B6399" s="57" t="s">
        <v>45</v>
      </c>
      <c r="C6399" s="57" t="s">
        <v>142</v>
      </c>
      <c r="D6399" s="29"/>
      <c r="E6399" s="57" t="s">
        <v>7192</v>
      </c>
      <c r="F6399" s="31" t="s">
        <v>204</v>
      </c>
      <c r="G6399" s="31" t="s">
        <v>205</v>
      </c>
      <c r="I6399" s="47" t="b">
        <v>0</v>
      </c>
      <c r="J6399" s="47" t="b">
        <v>0</v>
      </c>
      <c r="K6399" s="31">
        <v>1078</v>
      </c>
      <c r="S6399" s="33">
        <v>2</v>
      </c>
      <c r="AE6399" s="31" t="s">
        <v>2470</v>
      </c>
      <c r="AF6399" s="31">
        <v>80</v>
      </c>
      <c r="AK6399" s="32">
        <v>17</v>
      </c>
      <c r="AQ6399" s="32" t="s">
        <v>7070</v>
      </c>
      <c r="AU6399">
        <v>6398</v>
      </c>
    </row>
    <row r="6400" spans="1:47" x14ac:dyDescent="0.2">
      <c r="A6400" s="13">
        <v>6838</v>
      </c>
      <c r="B6400" s="57" t="s">
        <v>45</v>
      </c>
      <c r="C6400" s="57" t="s">
        <v>142</v>
      </c>
      <c r="D6400" s="29"/>
      <c r="E6400" s="57" t="s">
        <v>5772</v>
      </c>
      <c r="F6400" s="31" t="s">
        <v>6354</v>
      </c>
      <c r="G6400" s="31" t="s">
        <v>69</v>
      </c>
      <c r="I6400" s="47" t="b">
        <v>0</v>
      </c>
      <c r="J6400" s="47" t="b">
        <v>0</v>
      </c>
      <c r="K6400" s="31">
        <v>1320</v>
      </c>
      <c r="S6400" s="33">
        <v>2</v>
      </c>
      <c r="AE6400" s="31" t="s">
        <v>2470</v>
      </c>
      <c r="AF6400" s="31">
        <v>55</v>
      </c>
      <c r="AK6400" s="32">
        <v>12</v>
      </c>
      <c r="AQ6400" s="32" t="s">
        <v>7070</v>
      </c>
      <c r="AU6400">
        <v>6399</v>
      </c>
    </row>
    <row r="6401" spans="1:47" x14ac:dyDescent="0.2">
      <c r="A6401" s="13">
        <v>6838</v>
      </c>
      <c r="B6401" s="57" t="s">
        <v>45</v>
      </c>
      <c r="C6401" s="57" t="s">
        <v>142</v>
      </c>
      <c r="D6401" s="29"/>
      <c r="E6401" s="57" t="s">
        <v>3876</v>
      </c>
      <c r="F6401" s="31" t="s">
        <v>76</v>
      </c>
      <c r="G6401" s="31" t="s">
        <v>49</v>
      </c>
      <c r="I6401" s="47" t="b">
        <v>0</v>
      </c>
      <c r="J6401" s="47" t="b">
        <v>0</v>
      </c>
      <c r="K6401" s="31">
        <v>715</v>
      </c>
      <c r="S6401" s="33">
        <v>1</v>
      </c>
      <c r="AE6401" s="31" t="s">
        <v>2470</v>
      </c>
      <c r="AF6401" s="31">
        <v>70</v>
      </c>
      <c r="AK6401" s="32">
        <v>9</v>
      </c>
      <c r="AQ6401" s="32" t="s">
        <v>7070</v>
      </c>
      <c r="AU6401">
        <v>6400</v>
      </c>
    </row>
    <row r="6402" spans="1:47" x14ac:dyDescent="0.2">
      <c r="A6402" s="13">
        <v>6838</v>
      </c>
      <c r="B6402" s="57" t="s">
        <v>45</v>
      </c>
      <c r="C6402" s="57" t="s">
        <v>142</v>
      </c>
      <c r="D6402" s="29"/>
      <c r="E6402" s="57" t="s">
        <v>1064</v>
      </c>
      <c r="F6402" s="31" t="s">
        <v>76</v>
      </c>
      <c r="G6402" s="31" t="s">
        <v>49</v>
      </c>
      <c r="I6402" s="47" t="b">
        <v>0</v>
      </c>
      <c r="J6402" s="47" t="b">
        <v>0</v>
      </c>
      <c r="K6402" s="31">
        <v>660</v>
      </c>
      <c r="S6402" s="33">
        <v>1</v>
      </c>
      <c r="AE6402" s="31" t="s">
        <v>2470</v>
      </c>
      <c r="AF6402" s="31">
        <v>50</v>
      </c>
      <c r="AK6402" s="32">
        <v>6</v>
      </c>
      <c r="AQ6402" s="32" t="s">
        <v>7070</v>
      </c>
      <c r="AU6402">
        <v>6401</v>
      </c>
    </row>
    <row r="6403" spans="1:47" x14ac:dyDescent="0.2">
      <c r="A6403" s="13">
        <v>6838</v>
      </c>
      <c r="B6403" s="57" t="s">
        <v>45</v>
      </c>
      <c r="C6403" s="57" t="s">
        <v>142</v>
      </c>
      <c r="D6403" s="29"/>
      <c r="E6403" s="57" t="s">
        <v>1078</v>
      </c>
      <c r="F6403" s="31" t="s">
        <v>76</v>
      </c>
      <c r="G6403" s="31" t="s">
        <v>49</v>
      </c>
      <c r="I6403" s="47" t="b">
        <v>0</v>
      </c>
      <c r="J6403" s="47" t="b">
        <v>0</v>
      </c>
      <c r="K6403" s="31">
        <v>660</v>
      </c>
      <c r="S6403" s="33">
        <v>1</v>
      </c>
      <c r="AE6403" s="31" t="s">
        <v>2470</v>
      </c>
      <c r="AF6403" s="31">
        <v>60</v>
      </c>
      <c r="AK6403" s="32">
        <v>6</v>
      </c>
      <c r="AQ6403" s="32" t="s">
        <v>7070</v>
      </c>
      <c r="AU6403">
        <v>6402</v>
      </c>
    </row>
    <row r="6404" spans="1:47" x14ac:dyDescent="0.2">
      <c r="A6404" s="13">
        <v>6838</v>
      </c>
      <c r="B6404" s="57" t="s">
        <v>45</v>
      </c>
      <c r="C6404" s="57" t="s">
        <v>142</v>
      </c>
      <c r="D6404" s="29"/>
      <c r="E6404" s="57" t="s">
        <v>4197</v>
      </c>
      <c r="F6404" s="31" t="s">
        <v>204</v>
      </c>
      <c r="G6404" s="31" t="s">
        <v>205</v>
      </c>
      <c r="I6404" s="47" t="b">
        <v>0</v>
      </c>
      <c r="J6404" s="47" t="b">
        <v>0</v>
      </c>
      <c r="K6404" s="31">
        <v>660</v>
      </c>
      <c r="S6404" s="33">
        <v>1</v>
      </c>
      <c r="AE6404" s="31" t="s">
        <v>2470</v>
      </c>
      <c r="AF6404" s="31">
        <v>85</v>
      </c>
      <c r="AK6404" s="32">
        <v>6</v>
      </c>
      <c r="AQ6404" s="32" t="s">
        <v>7070</v>
      </c>
      <c r="AU6404">
        <v>6403</v>
      </c>
    </row>
    <row r="6405" spans="1:47" x14ac:dyDescent="0.2">
      <c r="A6405" s="13">
        <v>6838</v>
      </c>
      <c r="B6405" s="57" t="s">
        <v>45</v>
      </c>
      <c r="C6405" s="57" t="s">
        <v>1367</v>
      </c>
      <c r="D6405" s="29"/>
      <c r="E6405" s="57" t="s">
        <v>673</v>
      </c>
      <c r="F6405" s="31" t="s">
        <v>204</v>
      </c>
      <c r="G6405" s="31" t="s">
        <v>205</v>
      </c>
      <c r="K6405" s="31">
        <v>3049.2</v>
      </c>
      <c r="AE6405" s="31" t="s">
        <v>4176</v>
      </c>
      <c r="AF6405" s="31">
        <v>110</v>
      </c>
      <c r="AK6405" s="32">
        <v>28</v>
      </c>
      <c r="AQ6405" s="32" t="s">
        <v>7193</v>
      </c>
      <c r="AU6405">
        <v>6404</v>
      </c>
    </row>
    <row r="6406" spans="1:47" x14ac:dyDescent="0.2">
      <c r="A6406" s="13">
        <v>6838</v>
      </c>
      <c r="B6406" s="57" t="s">
        <v>45</v>
      </c>
      <c r="C6406" s="57" t="s">
        <v>1367</v>
      </c>
      <c r="D6406" s="29"/>
      <c r="E6406" s="57" t="s">
        <v>3063</v>
      </c>
      <c r="F6406" s="31" t="s">
        <v>76</v>
      </c>
      <c r="G6406" s="31" t="s">
        <v>49</v>
      </c>
      <c r="K6406" s="31">
        <v>3696</v>
      </c>
      <c r="AE6406" s="31" t="s">
        <v>4176</v>
      </c>
      <c r="AF6406" s="31">
        <v>100</v>
      </c>
      <c r="AK6406" s="32">
        <v>40</v>
      </c>
      <c r="AQ6406" s="32" t="s">
        <v>7193</v>
      </c>
      <c r="AU6406">
        <v>6405</v>
      </c>
    </row>
    <row r="6407" spans="1:47" x14ac:dyDescent="0.2">
      <c r="A6407" s="13">
        <v>6838</v>
      </c>
      <c r="B6407" s="57" t="s">
        <v>45</v>
      </c>
      <c r="C6407" s="57" t="s">
        <v>1367</v>
      </c>
      <c r="D6407" s="29"/>
      <c r="E6407" s="57" t="s">
        <v>3423</v>
      </c>
      <c r="F6407" s="31" t="s">
        <v>204</v>
      </c>
      <c r="G6407" s="31" t="s">
        <v>205</v>
      </c>
      <c r="K6407" s="31">
        <v>7216</v>
      </c>
      <c r="AE6407" s="31" t="s">
        <v>4176</v>
      </c>
      <c r="AF6407" s="31">
        <v>100</v>
      </c>
      <c r="AK6407" s="32">
        <v>72</v>
      </c>
      <c r="AQ6407" s="32" t="s">
        <v>7193</v>
      </c>
      <c r="AU6407">
        <v>6406</v>
      </c>
    </row>
    <row r="6408" spans="1:47" x14ac:dyDescent="0.2">
      <c r="A6408" s="13">
        <v>6838</v>
      </c>
      <c r="B6408" s="57" t="s">
        <v>45</v>
      </c>
      <c r="C6408" s="57" t="s">
        <v>1367</v>
      </c>
      <c r="D6408" s="29"/>
      <c r="E6408" s="57" t="s">
        <v>1404</v>
      </c>
      <c r="F6408" s="31" t="s">
        <v>76</v>
      </c>
      <c r="G6408" s="31" t="s">
        <v>49</v>
      </c>
      <c r="K6408" s="31">
        <v>880</v>
      </c>
      <c r="AE6408" s="31" t="s">
        <v>4176</v>
      </c>
      <c r="AF6408" s="31">
        <v>75</v>
      </c>
      <c r="AK6408" s="32">
        <v>8</v>
      </c>
      <c r="AQ6408" s="32" t="s">
        <v>7193</v>
      </c>
      <c r="AU6408">
        <v>6407</v>
      </c>
    </row>
    <row r="6409" spans="1:47" x14ac:dyDescent="0.2">
      <c r="A6409" s="13">
        <v>6838</v>
      </c>
      <c r="B6409" s="57" t="s">
        <v>45</v>
      </c>
      <c r="C6409" s="57" t="s">
        <v>1367</v>
      </c>
      <c r="D6409" s="29"/>
      <c r="E6409" s="57" t="s">
        <v>788</v>
      </c>
      <c r="F6409" s="31" t="s">
        <v>76</v>
      </c>
      <c r="G6409" s="31" t="s">
        <v>49</v>
      </c>
      <c r="K6409" s="31">
        <v>880</v>
      </c>
      <c r="AE6409" s="31" t="s">
        <v>4176</v>
      </c>
      <c r="AF6409" s="31">
        <v>70</v>
      </c>
      <c r="AK6409" s="32">
        <v>8</v>
      </c>
      <c r="AQ6409" s="32" t="s">
        <v>7193</v>
      </c>
      <c r="AU6409">
        <v>6408</v>
      </c>
    </row>
    <row r="6410" spans="1:47" x14ac:dyDescent="0.2">
      <c r="A6410" s="13">
        <v>6838</v>
      </c>
      <c r="B6410" s="57" t="s">
        <v>45</v>
      </c>
      <c r="C6410" s="57" t="s">
        <v>1367</v>
      </c>
      <c r="D6410" s="29"/>
      <c r="E6410" s="57" t="s">
        <v>2191</v>
      </c>
      <c r="F6410" s="31" t="s">
        <v>76</v>
      </c>
      <c r="G6410" s="31" t="s">
        <v>49</v>
      </c>
      <c r="K6410" s="31">
        <v>1016.4</v>
      </c>
      <c r="AE6410" s="31" t="s">
        <v>4176</v>
      </c>
      <c r="AF6410" s="31">
        <v>80</v>
      </c>
      <c r="AK6410" s="32">
        <v>12</v>
      </c>
      <c r="AQ6410" s="32" t="s">
        <v>7193</v>
      </c>
      <c r="AU6410">
        <v>6409</v>
      </c>
    </row>
    <row r="6411" spans="1:47" x14ac:dyDescent="0.2">
      <c r="A6411" s="13">
        <v>6838</v>
      </c>
      <c r="B6411" s="57" t="s">
        <v>45</v>
      </c>
      <c r="C6411" s="57" t="s">
        <v>4843</v>
      </c>
      <c r="D6411" s="29"/>
      <c r="E6411" s="57" t="s">
        <v>5772</v>
      </c>
      <c r="F6411" s="31" t="s">
        <v>6354</v>
      </c>
      <c r="G6411" s="31" t="s">
        <v>69</v>
      </c>
      <c r="K6411" s="31">
        <v>1496</v>
      </c>
      <c r="S6411" s="33">
        <v>4</v>
      </c>
      <c r="Z6411" s="31" t="s">
        <v>3814</v>
      </c>
      <c r="AE6411" s="31" t="s">
        <v>4411</v>
      </c>
      <c r="AF6411" s="31">
        <v>70</v>
      </c>
      <c r="AK6411" s="32">
        <v>12</v>
      </c>
      <c r="AQ6411" s="32" t="s">
        <v>7070</v>
      </c>
      <c r="AU6411">
        <v>6410</v>
      </c>
    </row>
    <row r="6412" spans="1:47" x14ac:dyDescent="0.2">
      <c r="A6412" s="13">
        <v>6838</v>
      </c>
      <c r="B6412" s="57" t="s">
        <v>45</v>
      </c>
      <c r="C6412" s="57" t="s">
        <v>4843</v>
      </c>
      <c r="D6412" s="29"/>
      <c r="E6412" s="57" t="s">
        <v>7194</v>
      </c>
      <c r="F6412" s="31" t="s">
        <v>6354</v>
      </c>
      <c r="G6412" s="31" t="s">
        <v>69</v>
      </c>
      <c r="K6412" s="31">
        <v>1760</v>
      </c>
      <c r="S6412" s="33">
        <v>5</v>
      </c>
      <c r="Z6412" s="31" t="s">
        <v>3814</v>
      </c>
      <c r="AE6412" s="31" t="s">
        <v>4411</v>
      </c>
      <c r="AF6412" s="31">
        <v>60</v>
      </c>
      <c r="AK6412" s="32">
        <v>20</v>
      </c>
      <c r="AQ6412" s="32" t="s">
        <v>7070</v>
      </c>
      <c r="AU6412">
        <v>6411</v>
      </c>
    </row>
    <row r="6413" spans="1:47" x14ac:dyDescent="0.2">
      <c r="A6413" s="13">
        <v>6838</v>
      </c>
      <c r="B6413" s="57" t="s">
        <v>45</v>
      </c>
      <c r="C6413" s="57" t="s">
        <v>4843</v>
      </c>
      <c r="D6413" s="29"/>
      <c r="E6413" s="57" t="s">
        <v>1078</v>
      </c>
      <c r="F6413" s="31" t="s">
        <v>76</v>
      </c>
      <c r="G6413" s="31" t="s">
        <v>49</v>
      </c>
      <c r="K6413" s="31">
        <v>440</v>
      </c>
      <c r="S6413" s="33">
        <v>1</v>
      </c>
      <c r="Z6413" s="31" t="s">
        <v>3814</v>
      </c>
      <c r="AE6413" s="31" t="s">
        <v>4411</v>
      </c>
      <c r="AF6413" s="31">
        <v>70</v>
      </c>
      <c r="AK6413" s="32">
        <v>4</v>
      </c>
      <c r="AQ6413" s="32" t="s">
        <v>7070</v>
      </c>
      <c r="AU6413">
        <v>6412</v>
      </c>
    </row>
    <row r="6414" spans="1:47" x14ac:dyDescent="0.2">
      <c r="A6414" s="13">
        <v>6838</v>
      </c>
      <c r="B6414" s="57" t="s">
        <v>45</v>
      </c>
      <c r="C6414" s="57" t="s">
        <v>4843</v>
      </c>
      <c r="D6414" s="29"/>
      <c r="E6414" s="57" t="s">
        <v>4197</v>
      </c>
      <c r="F6414" s="31" t="s">
        <v>204</v>
      </c>
      <c r="G6414" s="31" t="s">
        <v>205</v>
      </c>
      <c r="K6414" s="31">
        <v>660</v>
      </c>
      <c r="S6414" s="33">
        <v>1</v>
      </c>
      <c r="Z6414" s="31" t="s">
        <v>3814</v>
      </c>
      <c r="AE6414" s="31" t="s">
        <v>4411</v>
      </c>
      <c r="AF6414" s="31">
        <v>95</v>
      </c>
      <c r="AK6414" s="32">
        <v>14</v>
      </c>
      <c r="AQ6414" s="32" t="s">
        <v>7070</v>
      </c>
      <c r="AU6414">
        <v>6413</v>
      </c>
    </row>
    <row r="6415" spans="1:47" x14ac:dyDescent="0.2">
      <c r="A6415" s="13">
        <v>6838</v>
      </c>
      <c r="B6415" s="57" t="s">
        <v>45</v>
      </c>
      <c r="C6415" s="57" t="s">
        <v>4843</v>
      </c>
      <c r="D6415" s="29"/>
      <c r="E6415" s="57" t="s">
        <v>1064</v>
      </c>
      <c r="F6415" s="31" t="s">
        <v>76</v>
      </c>
      <c r="G6415" s="31" t="s">
        <v>49</v>
      </c>
      <c r="K6415" s="31">
        <v>550</v>
      </c>
      <c r="S6415" s="33">
        <v>1</v>
      </c>
      <c r="Z6415" s="31" t="s">
        <v>3814</v>
      </c>
      <c r="AE6415" s="31" t="s">
        <v>4411</v>
      </c>
      <c r="AF6415" s="31">
        <v>55</v>
      </c>
      <c r="AK6415" s="32">
        <v>5</v>
      </c>
      <c r="AQ6415" s="32" t="s">
        <v>7070</v>
      </c>
      <c r="AU6415">
        <v>6414</v>
      </c>
    </row>
    <row r="6416" spans="1:47" x14ac:dyDescent="0.2">
      <c r="A6416" s="13">
        <v>6838</v>
      </c>
      <c r="B6416" s="57" t="s">
        <v>45</v>
      </c>
      <c r="C6416" s="57" t="s">
        <v>5860</v>
      </c>
      <c r="D6416" s="29"/>
      <c r="E6416" s="57" t="s">
        <v>6709</v>
      </c>
      <c r="F6416" s="31" t="s">
        <v>76</v>
      </c>
      <c r="G6416" s="31" t="s">
        <v>49</v>
      </c>
      <c r="K6416" s="31">
        <v>550</v>
      </c>
      <c r="AK6416" s="32">
        <v>3</v>
      </c>
      <c r="AQ6416" s="32" t="s">
        <v>7132</v>
      </c>
      <c r="AU6416">
        <v>6415</v>
      </c>
    </row>
    <row r="6417" spans="1:47" x14ac:dyDescent="0.2">
      <c r="A6417" s="13">
        <v>6838</v>
      </c>
      <c r="B6417" s="57" t="s">
        <v>45</v>
      </c>
      <c r="C6417" s="57" t="s">
        <v>5860</v>
      </c>
      <c r="D6417" s="29"/>
      <c r="E6417" s="57" t="s">
        <v>1397</v>
      </c>
      <c r="F6417" s="31" t="s">
        <v>76</v>
      </c>
      <c r="I6417" s="31" t="s">
        <v>7136</v>
      </c>
      <c r="K6417" s="63"/>
      <c r="AQ6417" s="32" t="s">
        <v>7132</v>
      </c>
      <c r="AU6417">
        <v>6416</v>
      </c>
    </row>
    <row r="6418" spans="1:47" x14ac:dyDescent="0.2">
      <c r="A6418" s="13">
        <v>6838</v>
      </c>
      <c r="B6418" s="57" t="s">
        <v>45</v>
      </c>
      <c r="C6418" s="57" t="s">
        <v>5860</v>
      </c>
      <c r="D6418" s="29"/>
      <c r="E6418" s="57" t="s">
        <v>7137</v>
      </c>
      <c r="F6418" s="31" t="s">
        <v>204</v>
      </c>
      <c r="I6418" s="31" t="s">
        <v>7138</v>
      </c>
      <c r="K6418" s="63"/>
      <c r="AQ6418" s="32" t="s">
        <v>7132</v>
      </c>
      <c r="AU6418">
        <v>6417</v>
      </c>
    </row>
    <row r="6419" spans="1:47" x14ac:dyDescent="0.2">
      <c r="A6419" s="26">
        <v>6838</v>
      </c>
      <c r="B6419" s="27">
        <v>2.0833333333333332E-2</v>
      </c>
      <c r="C6419" s="28"/>
      <c r="D6419" s="29"/>
      <c r="E6419" s="30" t="s">
        <v>5987</v>
      </c>
      <c r="H6419" s="32">
        <v>1</v>
      </c>
      <c r="I6419" s="32" t="s">
        <v>7195</v>
      </c>
      <c r="AG6419" s="32">
        <v>0</v>
      </c>
      <c r="AH6419" s="32">
        <v>0</v>
      </c>
      <c r="AP6419" s="32">
        <v>1</v>
      </c>
      <c r="AQ6419" s="32">
        <v>490</v>
      </c>
      <c r="AU6419">
        <v>6418</v>
      </c>
    </row>
    <row r="6420" spans="1:47" x14ac:dyDescent="0.2">
      <c r="A6420" s="26">
        <v>6838</v>
      </c>
      <c r="B6420" s="27">
        <v>0.87291666666666667</v>
      </c>
      <c r="C6420" s="28"/>
      <c r="D6420" s="29"/>
      <c r="E6420" s="30" t="s">
        <v>1282</v>
      </c>
      <c r="H6420" s="32">
        <v>0</v>
      </c>
      <c r="I6420" s="32" t="s">
        <v>7196</v>
      </c>
      <c r="AG6420" s="32">
        <v>0</v>
      </c>
      <c r="AH6420" s="32">
        <v>0</v>
      </c>
      <c r="AI6420" s="32">
        <v>0</v>
      </c>
      <c r="AK6420" s="32">
        <v>0</v>
      </c>
      <c r="AL6420" s="32">
        <v>0.25</v>
      </c>
      <c r="AP6420" s="32">
        <v>0.25</v>
      </c>
      <c r="AQ6420" s="32" t="s">
        <v>1101</v>
      </c>
      <c r="AU6420">
        <v>6419</v>
      </c>
    </row>
    <row r="6421" spans="1:47" x14ac:dyDescent="0.2">
      <c r="A6421" s="26">
        <v>6838</v>
      </c>
      <c r="B6421" s="27">
        <v>0.875</v>
      </c>
      <c r="C6421" s="28"/>
      <c r="D6421" s="29"/>
      <c r="E6421" s="30" t="s">
        <v>3737</v>
      </c>
      <c r="H6421" s="32">
        <v>0</v>
      </c>
      <c r="I6421" s="32" t="s">
        <v>4926</v>
      </c>
      <c r="AG6421" s="32">
        <v>0</v>
      </c>
      <c r="AH6421" s="32">
        <v>0</v>
      </c>
      <c r="AI6421" s="32">
        <v>0</v>
      </c>
      <c r="AK6421" s="32">
        <v>0</v>
      </c>
      <c r="AL6421" s="32">
        <f>82/60</f>
        <v>1.3666666666666667</v>
      </c>
      <c r="AM6421" s="33">
        <f>3125*AL6421</f>
        <v>4270.833333333333</v>
      </c>
      <c r="AP6421" s="32">
        <f>82/60</f>
        <v>1.3666666666666667</v>
      </c>
      <c r="AQ6421" s="32" t="s">
        <v>1101</v>
      </c>
      <c r="AU6421">
        <v>6420</v>
      </c>
    </row>
    <row r="6422" spans="1:47" x14ac:dyDescent="0.2">
      <c r="A6422" s="26">
        <v>6838</v>
      </c>
      <c r="B6422" s="27">
        <v>0.88541666666666663</v>
      </c>
      <c r="C6422" s="28"/>
      <c r="D6422" s="29"/>
      <c r="E6422" s="30" t="s">
        <v>1124</v>
      </c>
      <c r="H6422" s="32">
        <v>1</v>
      </c>
      <c r="I6422" s="32" t="s">
        <v>1534</v>
      </c>
      <c r="AG6422" s="32">
        <v>0</v>
      </c>
      <c r="AH6422" s="32">
        <v>0</v>
      </c>
      <c r="AK6422" s="32">
        <v>12</v>
      </c>
      <c r="AL6422" s="32">
        <v>5.25</v>
      </c>
      <c r="AO6422" s="46" t="s">
        <v>1126</v>
      </c>
      <c r="AP6422" s="32">
        <v>5.25</v>
      </c>
      <c r="AQ6422" s="32" t="s">
        <v>589</v>
      </c>
      <c r="AU6422">
        <v>6421</v>
      </c>
    </row>
    <row r="6423" spans="1:47" x14ac:dyDescent="0.2">
      <c r="A6423" s="26">
        <v>6838</v>
      </c>
      <c r="B6423" s="27">
        <v>0.88541666666666663</v>
      </c>
      <c r="C6423" s="28"/>
      <c r="D6423" s="29"/>
      <c r="E6423" s="30" t="s">
        <v>3155</v>
      </c>
      <c r="H6423" s="32">
        <v>0</v>
      </c>
      <c r="I6423" s="32" t="s">
        <v>3156</v>
      </c>
      <c r="AG6423" s="32">
        <v>0</v>
      </c>
      <c r="AH6423" s="32">
        <v>0</v>
      </c>
      <c r="AI6423" s="32">
        <v>0</v>
      </c>
      <c r="AK6423" s="32">
        <v>0</v>
      </c>
      <c r="AP6423" s="32">
        <f>67/60</f>
        <v>1.1166666666666667</v>
      </c>
      <c r="AQ6423" s="32" t="s">
        <v>1101</v>
      </c>
      <c r="AU6423">
        <v>6422</v>
      </c>
    </row>
    <row r="6424" spans="1:47" x14ac:dyDescent="0.2">
      <c r="A6424" s="26">
        <v>6838</v>
      </c>
      <c r="B6424" s="27">
        <v>0.92500000000000004</v>
      </c>
      <c r="C6424" s="28"/>
      <c r="D6424" s="29"/>
      <c r="E6424" s="30" t="s">
        <v>869</v>
      </c>
      <c r="H6424" s="32">
        <v>0</v>
      </c>
      <c r="I6424" s="32" t="s">
        <v>2344</v>
      </c>
      <c r="AG6424" s="32">
        <v>0</v>
      </c>
      <c r="AH6424" s="32">
        <v>0</v>
      </c>
      <c r="AI6424" s="32">
        <v>0</v>
      </c>
      <c r="AK6424" s="32">
        <v>0</v>
      </c>
      <c r="AL6424" s="32">
        <f>23/60</f>
        <v>0.38333333333333336</v>
      </c>
      <c r="AP6424" s="32">
        <f>23/60</f>
        <v>0.38333333333333336</v>
      </c>
      <c r="AQ6424" s="32" t="s">
        <v>589</v>
      </c>
      <c r="AU6424">
        <v>6423</v>
      </c>
    </row>
    <row r="6425" spans="1:47" x14ac:dyDescent="0.2">
      <c r="A6425" s="26">
        <v>6838</v>
      </c>
      <c r="B6425" s="27">
        <v>0.93055555555555547</v>
      </c>
      <c r="C6425" s="28"/>
      <c r="D6425" s="29"/>
      <c r="E6425" s="30" t="s">
        <v>5718</v>
      </c>
      <c r="H6425" s="32">
        <v>1</v>
      </c>
      <c r="I6425" s="32" t="s">
        <v>7197</v>
      </c>
      <c r="AG6425" s="32">
        <v>0</v>
      </c>
      <c r="AH6425" s="32">
        <v>0</v>
      </c>
      <c r="AK6425" s="32">
        <v>5</v>
      </c>
      <c r="AL6425" s="32">
        <v>6</v>
      </c>
      <c r="AO6425" s="32" t="s">
        <v>5720</v>
      </c>
      <c r="AQ6425" s="32">
        <v>381</v>
      </c>
      <c r="AU6425">
        <v>6424</v>
      </c>
    </row>
    <row r="6426" spans="1:47" x14ac:dyDescent="0.2">
      <c r="A6426" s="26">
        <v>6838</v>
      </c>
      <c r="B6426" s="27">
        <v>0.99305555555555547</v>
      </c>
      <c r="C6426" s="28"/>
      <c r="D6426" s="29"/>
      <c r="E6426" s="30" t="s">
        <v>4219</v>
      </c>
      <c r="H6426" s="32">
        <v>1</v>
      </c>
      <c r="I6426" s="32" t="s">
        <v>7198</v>
      </c>
      <c r="AL6426" s="32">
        <f>35/60</f>
        <v>0.58333333333333337</v>
      </c>
      <c r="AO6426" s="32" t="s">
        <v>858</v>
      </c>
      <c r="AP6426" s="32">
        <f>35/60</f>
        <v>0.58333333333333337</v>
      </c>
      <c r="AQ6426" s="32" t="s">
        <v>1101</v>
      </c>
      <c r="AU6426">
        <v>6425</v>
      </c>
    </row>
    <row r="6427" spans="1:47" x14ac:dyDescent="0.2">
      <c r="A6427" s="26">
        <v>6838</v>
      </c>
      <c r="B6427" s="27" t="s">
        <v>45</v>
      </c>
      <c r="C6427" s="28"/>
      <c r="D6427" s="29"/>
      <c r="E6427" s="30" t="s">
        <v>720</v>
      </c>
      <c r="H6427" s="32">
        <v>1</v>
      </c>
      <c r="I6427" s="32" t="s">
        <v>7199</v>
      </c>
      <c r="AG6427" s="32">
        <v>0</v>
      </c>
      <c r="AH6427" s="32">
        <v>4</v>
      </c>
      <c r="AI6427" s="32">
        <v>50000</v>
      </c>
      <c r="AQ6427" s="32" t="s">
        <v>7200</v>
      </c>
      <c r="AU6427">
        <v>6426</v>
      </c>
    </row>
    <row r="6428" spans="1:47" x14ac:dyDescent="0.2">
      <c r="A6428" s="26">
        <v>6838</v>
      </c>
      <c r="B6428" s="27" t="s">
        <v>45</v>
      </c>
      <c r="C6428" s="28"/>
      <c r="D6428" s="29"/>
      <c r="E6428" s="30" t="s">
        <v>5166</v>
      </c>
      <c r="H6428" s="32">
        <v>1</v>
      </c>
      <c r="I6428" s="32" t="s">
        <v>7201</v>
      </c>
      <c r="AG6428" s="32">
        <v>1</v>
      </c>
      <c r="AH6428" s="32">
        <v>3</v>
      </c>
      <c r="AI6428" s="32">
        <v>0</v>
      </c>
      <c r="AK6428" s="32">
        <v>11</v>
      </c>
      <c r="AO6428" s="32" t="s">
        <v>7202</v>
      </c>
      <c r="AQ6428" s="32" t="s">
        <v>7203</v>
      </c>
      <c r="AU6428">
        <v>6427</v>
      </c>
    </row>
    <row r="6429" spans="1:47" x14ac:dyDescent="0.2">
      <c r="A6429" s="26">
        <v>6838</v>
      </c>
      <c r="B6429" s="27" t="s">
        <v>45</v>
      </c>
      <c r="C6429" s="28"/>
      <c r="D6429" s="29"/>
      <c r="E6429" s="30" t="s">
        <v>1531</v>
      </c>
      <c r="H6429" s="32">
        <v>0</v>
      </c>
      <c r="I6429" s="32" t="s">
        <v>1532</v>
      </c>
      <c r="AG6429" s="32">
        <v>0</v>
      </c>
      <c r="AH6429" s="32">
        <v>0</v>
      </c>
      <c r="AI6429" s="32">
        <v>0</v>
      </c>
      <c r="AK6429" s="32">
        <v>0</v>
      </c>
      <c r="AM6429" s="32">
        <f>498*29</f>
        <v>14442</v>
      </c>
      <c r="AO6429" s="32" t="s">
        <v>1533</v>
      </c>
      <c r="AQ6429" s="32" t="s">
        <v>1101</v>
      </c>
      <c r="AU6429">
        <v>6428</v>
      </c>
    </row>
    <row r="6430" spans="1:47" x14ac:dyDescent="0.2">
      <c r="A6430" s="26">
        <v>6838</v>
      </c>
      <c r="B6430" s="27" t="s">
        <v>45</v>
      </c>
      <c r="C6430" s="28"/>
      <c r="D6430" s="29"/>
      <c r="E6430" s="150" t="s">
        <v>2286</v>
      </c>
      <c r="H6430" s="32">
        <v>0</v>
      </c>
      <c r="I6430" s="32" t="s">
        <v>1824</v>
      </c>
      <c r="AG6430" s="32">
        <v>0</v>
      </c>
      <c r="AH6430" s="32">
        <v>0</v>
      </c>
      <c r="AI6430" s="32">
        <v>0</v>
      </c>
      <c r="AK6430" s="32">
        <v>0</v>
      </c>
      <c r="AM6430" s="32">
        <v>5000</v>
      </c>
      <c r="AO6430" s="73" t="s">
        <v>75</v>
      </c>
      <c r="AQ6430" s="32" t="s">
        <v>589</v>
      </c>
      <c r="AU6430">
        <v>6429</v>
      </c>
    </row>
    <row r="6431" spans="1:47" x14ac:dyDescent="0.2">
      <c r="A6431" s="26">
        <v>6838</v>
      </c>
      <c r="B6431" s="27"/>
      <c r="C6431" s="28"/>
      <c r="D6431" s="29"/>
      <c r="E6431" s="30" t="s">
        <v>4666</v>
      </c>
      <c r="H6431" s="32">
        <v>0</v>
      </c>
      <c r="I6431" s="32" t="s">
        <v>7170</v>
      </c>
      <c r="AG6431" s="32">
        <v>0</v>
      </c>
      <c r="AH6431" s="32">
        <v>0</v>
      </c>
      <c r="AI6431" s="32">
        <v>0</v>
      </c>
      <c r="AK6431" s="32">
        <v>0</v>
      </c>
      <c r="AO6431" s="32" t="s">
        <v>4668</v>
      </c>
      <c r="AQ6431" s="32">
        <v>411</v>
      </c>
      <c r="AU6431">
        <v>6430</v>
      </c>
    </row>
    <row r="6432" spans="1:47" x14ac:dyDescent="0.2">
      <c r="A6432" s="26">
        <v>6838</v>
      </c>
      <c r="B6432" s="27"/>
      <c r="C6432" s="28"/>
      <c r="D6432" s="29"/>
      <c r="E6432" s="30" t="s">
        <v>4469</v>
      </c>
      <c r="H6432" s="32">
        <v>0</v>
      </c>
      <c r="I6432" s="32" t="s">
        <v>7204</v>
      </c>
      <c r="AG6432" s="32">
        <v>0</v>
      </c>
      <c r="AH6432" s="32">
        <v>0</v>
      </c>
      <c r="AI6432" s="32">
        <v>0</v>
      </c>
      <c r="AK6432" s="32">
        <v>0</v>
      </c>
      <c r="AL6432" s="32">
        <f>55/60</f>
        <v>0.91666666666666663</v>
      </c>
      <c r="AO6432" s="32" t="s">
        <v>5210</v>
      </c>
      <c r="AP6432" s="32">
        <f>55/60</f>
        <v>0.91666666666666663</v>
      </c>
      <c r="AQ6432" s="32" t="s">
        <v>5211</v>
      </c>
      <c r="AU6432">
        <v>6431</v>
      </c>
    </row>
    <row r="6433" spans="1:47" x14ac:dyDescent="0.2">
      <c r="A6433" s="26">
        <v>6838</v>
      </c>
      <c r="B6433" s="27"/>
      <c r="C6433" s="28"/>
      <c r="D6433" s="29"/>
      <c r="E6433" s="30" t="s">
        <v>464</v>
      </c>
      <c r="H6433" s="32">
        <v>0</v>
      </c>
      <c r="I6433" s="32" t="s">
        <v>4220</v>
      </c>
      <c r="AG6433" s="32">
        <v>0</v>
      </c>
      <c r="AH6433" s="32">
        <v>0</v>
      </c>
      <c r="AL6433" s="32">
        <v>0.5</v>
      </c>
      <c r="AO6433" s="32" t="s">
        <v>4067</v>
      </c>
      <c r="AP6433" s="32">
        <v>0.5</v>
      </c>
      <c r="AQ6433" s="32" t="s">
        <v>1522</v>
      </c>
      <c r="AU6433">
        <v>6432</v>
      </c>
    </row>
    <row r="6434" spans="1:47" x14ac:dyDescent="0.2">
      <c r="A6434" s="133">
        <v>6839</v>
      </c>
      <c r="B6434" s="39" t="s">
        <v>45</v>
      </c>
      <c r="C6434" s="39">
        <v>97</v>
      </c>
      <c r="D6434" s="29" t="b">
        <v>0</v>
      </c>
      <c r="E6434" s="39" t="s">
        <v>6606</v>
      </c>
      <c r="F6434" s="47" t="s">
        <v>529</v>
      </c>
      <c r="G6434" s="47" t="s">
        <v>205</v>
      </c>
      <c r="H6434"/>
      <c r="I6434" s="47" t="b">
        <v>0</v>
      </c>
      <c r="J6434" s="47" t="b">
        <v>1</v>
      </c>
      <c r="K6434" s="47">
        <v>9802</v>
      </c>
      <c r="L6434" s="48">
        <v>6</v>
      </c>
      <c r="M6434" s="47">
        <v>0</v>
      </c>
      <c r="N6434" s="47">
        <v>0</v>
      </c>
      <c r="O6434" s="47">
        <v>0</v>
      </c>
      <c r="P6434" s="47">
        <v>0</v>
      </c>
      <c r="Q6434" s="47">
        <v>0</v>
      </c>
      <c r="R6434" s="47">
        <v>0</v>
      </c>
      <c r="S6434" s="48">
        <v>6</v>
      </c>
      <c r="T6434" s="47">
        <v>0</v>
      </c>
      <c r="U6434" s="47">
        <v>0</v>
      </c>
      <c r="V6434" s="47">
        <v>0</v>
      </c>
      <c r="W6434" s="47">
        <v>3500</v>
      </c>
      <c r="X6434" s="47">
        <v>1065</v>
      </c>
      <c r="Y6434" s="47"/>
      <c r="Z6434" s="47" t="s">
        <v>2466</v>
      </c>
      <c r="AA6434" s="49"/>
      <c r="AB6434" s="49"/>
      <c r="AC6434" s="49"/>
      <c r="AD6434" s="50"/>
      <c r="AE6434" s="47"/>
      <c r="AF6434" s="47"/>
      <c r="AG6434"/>
      <c r="AH6434"/>
      <c r="AI6434"/>
      <c r="AJ6434"/>
      <c r="AK6434"/>
      <c r="AL6434"/>
      <c r="AM6434"/>
      <c r="AN6434"/>
      <c r="AO6434"/>
      <c r="AP6434"/>
      <c r="AQ6434" t="s">
        <v>2526</v>
      </c>
      <c r="AU6434">
        <v>6433</v>
      </c>
    </row>
    <row r="6435" spans="1:47" x14ac:dyDescent="0.2">
      <c r="A6435" s="133">
        <v>6839</v>
      </c>
      <c r="B6435" s="39" t="s">
        <v>45</v>
      </c>
      <c r="C6435" s="39">
        <v>100</v>
      </c>
      <c r="D6435" s="29" t="b">
        <v>0</v>
      </c>
      <c r="E6435" s="39" t="s">
        <v>649</v>
      </c>
      <c r="F6435" s="47" t="s">
        <v>529</v>
      </c>
      <c r="G6435" s="47" t="s">
        <v>205</v>
      </c>
      <c r="H6435"/>
      <c r="I6435" s="47" t="b">
        <v>0</v>
      </c>
      <c r="J6435" s="47" t="b">
        <v>1</v>
      </c>
      <c r="K6435" s="47">
        <v>5376</v>
      </c>
      <c r="L6435" s="48">
        <v>3</v>
      </c>
      <c r="M6435" s="47">
        <v>0</v>
      </c>
      <c r="N6435" s="47">
        <v>0</v>
      </c>
      <c r="O6435" s="47">
        <v>0</v>
      </c>
      <c r="P6435" s="47">
        <v>0</v>
      </c>
      <c r="Q6435" s="47">
        <v>0</v>
      </c>
      <c r="R6435" s="47">
        <v>0</v>
      </c>
      <c r="S6435" s="48">
        <v>3</v>
      </c>
      <c r="T6435" s="47">
        <v>0</v>
      </c>
      <c r="U6435" s="47">
        <v>0</v>
      </c>
      <c r="V6435" s="47">
        <v>0</v>
      </c>
      <c r="W6435" s="47">
        <v>4500</v>
      </c>
      <c r="X6435" s="47">
        <v>1067</v>
      </c>
      <c r="Y6435" s="47"/>
      <c r="Z6435" s="47" t="s">
        <v>2466</v>
      </c>
      <c r="AA6435" s="49"/>
      <c r="AB6435" s="49"/>
      <c r="AC6435" s="49"/>
      <c r="AD6435" s="50"/>
      <c r="AE6435" s="47" t="s">
        <v>6445</v>
      </c>
      <c r="AF6435" s="47">
        <v>80</v>
      </c>
      <c r="AG6435"/>
      <c r="AH6435"/>
      <c r="AI6435"/>
      <c r="AJ6435"/>
      <c r="AK6435"/>
      <c r="AL6435"/>
      <c r="AM6435"/>
      <c r="AN6435"/>
      <c r="AO6435"/>
      <c r="AP6435"/>
      <c r="AQ6435" t="s">
        <v>2526</v>
      </c>
      <c r="AU6435">
        <v>6434</v>
      </c>
    </row>
    <row r="6436" spans="1:47" x14ac:dyDescent="0.2">
      <c r="A6436" s="133">
        <v>6839</v>
      </c>
      <c r="B6436" s="39" t="s">
        <v>45</v>
      </c>
      <c r="C6436" s="39">
        <v>115</v>
      </c>
      <c r="D6436" s="29" t="b">
        <v>0</v>
      </c>
      <c r="E6436" s="39" t="s">
        <v>7205</v>
      </c>
      <c r="F6436" s="47" t="s">
        <v>7206</v>
      </c>
      <c r="G6436" s="47" t="s">
        <v>205</v>
      </c>
      <c r="H6436"/>
      <c r="I6436" s="47" t="b">
        <v>1</v>
      </c>
      <c r="J6436" s="47" t="b">
        <v>1</v>
      </c>
      <c r="K6436" s="47">
        <v>4480</v>
      </c>
      <c r="L6436" s="48">
        <v>4</v>
      </c>
      <c r="M6436" s="47">
        <v>0</v>
      </c>
      <c r="N6436" s="47">
        <v>1</v>
      </c>
      <c r="O6436" s="47">
        <v>0</v>
      </c>
      <c r="P6436" s="47">
        <v>3</v>
      </c>
      <c r="Q6436" s="47">
        <v>0</v>
      </c>
      <c r="R6436" s="47">
        <v>0</v>
      </c>
      <c r="S6436" s="48">
        <v>3</v>
      </c>
      <c r="T6436" s="47">
        <v>0</v>
      </c>
      <c r="U6436" s="47">
        <v>0</v>
      </c>
      <c r="V6436" s="47">
        <v>0</v>
      </c>
      <c r="W6436" s="47">
        <v>4800</v>
      </c>
      <c r="X6436" s="47">
        <v>1066</v>
      </c>
      <c r="Y6436" s="47"/>
      <c r="Z6436" s="47" t="s">
        <v>2466</v>
      </c>
      <c r="AA6436" s="49"/>
      <c r="AB6436" s="49"/>
      <c r="AC6436" s="49"/>
      <c r="AD6436" s="50"/>
      <c r="AE6436" s="47" t="s">
        <v>7118</v>
      </c>
      <c r="AF6436" s="47">
        <v>220</v>
      </c>
      <c r="AG6436"/>
      <c r="AH6436"/>
      <c r="AI6436"/>
      <c r="AJ6436"/>
      <c r="AK6436"/>
      <c r="AL6436"/>
      <c r="AM6436"/>
      <c r="AN6436"/>
      <c r="AO6436"/>
      <c r="AP6436"/>
      <c r="AQ6436" t="s">
        <v>2526</v>
      </c>
      <c r="AR6436" s="32" t="s">
        <v>7119</v>
      </c>
      <c r="AU6436">
        <v>6435</v>
      </c>
    </row>
    <row r="6437" spans="1:47" x14ac:dyDescent="0.2">
      <c r="A6437" s="133">
        <v>6839</v>
      </c>
      <c r="B6437" s="39" t="s">
        <v>45</v>
      </c>
      <c r="C6437" s="39">
        <v>115</v>
      </c>
      <c r="D6437" s="29" t="b">
        <v>0</v>
      </c>
      <c r="E6437" s="39" t="s">
        <v>7207</v>
      </c>
      <c r="F6437" s="47" t="s">
        <v>48</v>
      </c>
      <c r="G6437" s="47" t="s">
        <v>49</v>
      </c>
      <c r="H6437"/>
      <c r="I6437" s="47" t="b">
        <v>0</v>
      </c>
      <c r="J6437" s="47" t="b">
        <v>0</v>
      </c>
      <c r="K6437" s="47">
        <v>1568</v>
      </c>
      <c r="L6437" s="48">
        <v>4</v>
      </c>
      <c r="M6437" s="47">
        <v>0</v>
      </c>
      <c r="N6437" s="47">
        <v>1</v>
      </c>
      <c r="O6437" s="47">
        <v>0</v>
      </c>
      <c r="P6437" s="47">
        <v>3</v>
      </c>
      <c r="Q6437" s="47">
        <v>0</v>
      </c>
      <c r="R6437" s="47">
        <v>0</v>
      </c>
      <c r="S6437" s="48">
        <v>1</v>
      </c>
      <c r="T6437" s="47">
        <v>0</v>
      </c>
      <c r="U6437" s="47">
        <v>0</v>
      </c>
      <c r="V6437" s="47">
        <v>0</v>
      </c>
      <c r="W6437" s="47">
        <v>5000</v>
      </c>
      <c r="X6437" s="47">
        <v>1070</v>
      </c>
      <c r="Y6437" s="47"/>
      <c r="Z6437" s="47" t="s">
        <v>2466</v>
      </c>
      <c r="AA6437" s="49"/>
      <c r="AB6437" s="49"/>
      <c r="AC6437" s="49"/>
      <c r="AD6437" s="50"/>
      <c r="AE6437" s="47" t="s">
        <v>7118</v>
      </c>
      <c r="AF6437" s="47">
        <v>220</v>
      </c>
      <c r="AG6437"/>
      <c r="AH6437"/>
      <c r="AI6437"/>
      <c r="AJ6437"/>
      <c r="AK6437"/>
      <c r="AL6437"/>
      <c r="AM6437"/>
      <c r="AN6437"/>
      <c r="AO6437"/>
      <c r="AP6437"/>
      <c r="AQ6437" t="s">
        <v>2526</v>
      </c>
      <c r="AR6437" s="32" t="s">
        <v>7119</v>
      </c>
      <c r="AU6437">
        <v>6436</v>
      </c>
    </row>
    <row r="6438" spans="1:47" x14ac:dyDescent="0.2">
      <c r="A6438" s="133">
        <v>6839</v>
      </c>
      <c r="B6438" s="39" t="s">
        <v>45</v>
      </c>
      <c r="C6438" s="39">
        <v>115</v>
      </c>
      <c r="D6438" s="29" t="b">
        <v>0</v>
      </c>
      <c r="E6438" s="39" t="s">
        <v>1551</v>
      </c>
      <c r="F6438" s="47" t="s">
        <v>529</v>
      </c>
      <c r="G6438" s="47" t="s">
        <v>205</v>
      </c>
      <c r="H6438"/>
      <c r="I6438" s="47" t="b">
        <v>0</v>
      </c>
      <c r="J6438" s="47" t="b">
        <v>0</v>
      </c>
      <c r="K6438" s="47">
        <v>2912</v>
      </c>
      <c r="L6438" s="48">
        <v>4</v>
      </c>
      <c r="M6438" s="47">
        <v>0</v>
      </c>
      <c r="N6438" s="47">
        <v>1</v>
      </c>
      <c r="O6438" s="47">
        <v>0</v>
      </c>
      <c r="P6438" s="47">
        <v>3</v>
      </c>
      <c r="Q6438" s="47">
        <v>0</v>
      </c>
      <c r="R6438" s="47">
        <v>0</v>
      </c>
      <c r="S6438" s="48">
        <v>2</v>
      </c>
      <c r="T6438" s="47">
        <v>0</v>
      </c>
      <c r="U6438" s="47">
        <v>0</v>
      </c>
      <c r="V6438" s="47">
        <v>0</v>
      </c>
      <c r="W6438" s="47">
        <v>4700</v>
      </c>
      <c r="X6438" s="47">
        <v>1071</v>
      </c>
      <c r="Y6438" s="47"/>
      <c r="Z6438" s="47" t="s">
        <v>2466</v>
      </c>
      <c r="AA6438" s="49"/>
      <c r="AB6438" s="49"/>
      <c r="AC6438" s="49"/>
      <c r="AD6438" s="50"/>
      <c r="AE6438" s="47" t="s">
        <v>7118</v>
      </c>
      <c r="AF6438" s="47">
        <v>55</v>
      </c>
      <c r="AG6438"/>
      <c r="AH6438"/>
      <c r="AI6438"/>
      <c r="AJ6438"/>
      <c r="AK6438"/>
      <c r="AL6438"/>
      <c r="AM6438"/>
      <c r="AN6438"/>
      <c r="AO6438"/>
      <c r="AP6438"/>
      <c r="AQ6438" t="s">
        <v>2526</v>
      </c>
      <c r="AR6438" s="32" t="s">
        <v>7119</v>
      </c>
      <c r="AU6438">
        <v>6437</v>
      </c>
    </row>
    <row r="6439" spans="1:47" x14ac:dyDescent="0.2">
      <c r="A6439" s="133">
        <v>6839</v>
      </c>
      <c r="B6439" s="39" t="s">
        <v>45</v>
      </c>
      <c r="C6439" s="39">
        <v>215</v>
      </c>
      <c r="D6439" s="29" t="b">
        <v>0</v>
      </c>
      <c r="E6439" s="39" t="s">
        <v>2210</v>
      </c>
      <c r="F6439" s="47" t="s">
        <v>1972</v>
      </c>
      <c r="G6439" s="47" t="s">
        <v>481</v>
      </c>
      <c r="H6439"/>
      <c r="I6439" s="47" t="b">
        <v>0</v>
      </c>
      <c r="J6439" s="47" t="b">
        <v>1</v>
      </c>
      <c r="K6439" s="47">
        <v>6126</v>
      </c>
      <c r="L6439" s="48">
        <v>3</v>
      </c>
      <c r="M6439" s="47">
        <v>0</v>
      </c>
      <c r="N6439" s="47">
        <v>0</v>
      </c>
      <c r="O6439" s="47">
        <v>0</v>
      </c>
      <c r="P6439" s="47">
        <v>0</v>
      </c>
      <c r="Q6439" s="47">
        <v>0</v>
      </c>
      <c r="R6439" s="47">
        <v>0</v>
      </c>
      <c r="S6439" s="48">
        <v>3</v>
      </c>
      <c r="T6439" s="47">
        <v>0</v>
      </c>
      <c r="U6439" s="47">
        <v>0</v>
      </c>
      <c r="V6439" s="47">
        <v>0</v>
      </c>
      <c r="W6439" s="47">
        <v>2000</v>
      </c>
      <c r="X6439" s="47">
        <v>1069</v>
      </c>
      <c r="Y6439" s="47"/>
      <c r="Z6439" s="47" t="s">
        <v>2466</v>
      </c>
      <c r="AA6439" s="49"/>
      <c r="AB6439" s="49"/>
      <c r="AC6439" s="49"/>
      <c r="AD6439" s="50"/>
      <c r="AE6439" s="47"/>
      <c r="AF6439" s="47"/>
      <c r="AG6439"/>
      <c r="AH6439"/>
      <c r="AI6439"/>
      <c r="AJ6439"/>
      <c r="AK6439"/>
      <c r="AL6439"/>
      <c r="AM6439"/>
      <c r="AN6439"/>
      <c r="AO6439"/>
      <c r="AP6439"/>
      <c r="AQ6439" t="s">
        <v>2526</v>
      </c>
      <c r="AU6439">
        <v>6438</v>
      </c>
    </row>
    <row r="6440" spans="1:47" x14ac:dyDescent="0.2">
      <c r="A6440" s="133">
        <v>6839</v>
      </c>
      <c r="B6440" s="39" t="s">
        <v>45</v>
      </c>
      <c r="C6440" s="39">
        <v>216</v>
      </c>
      <c r="D6440" s="29" t="b">
        <v>0</v>
      </c>
      <c r="E6440" s="39" t="s">
        <v>1455</v>
      </c>
      <c r="F6440" s="47" t="s">
        <v>7208</v>
      </c>
      <c r="G6440" s="47" t="s">
        <v>481</v>
      </c>
      <c r="H6440"/>
      <c r="I6440" s="47" t="b">
        <v>0</v>
      </c>
      <c r="J6440" s="47" t="b">
        <v>1</v>
      </c>
      <c r="K6440" s="47">
        <v>9174</v>
      </c>
      <c r="L6440" s="48">
        <v>6</v>
      </c>
      <c r="M6440" s="47">
        <v>0</v>
      </c>
      <c r="N6440" s="47">
        <v>0</v>
      </c>
      <c r="O6440" s="47">
        <v>0</v>
      </c>
      <c r="P6440" s="47">
        <v>0</v>
      </c>
      <c r="Q6440" s="47">
        <v>0</v>
      </c>
      <c r="R6440" s="47">
        <v>0</v>
      </c>
      <c r="S6440" s="48">
        <v>6</v>
      </c>
      <c r="T6440" s="47">
        <v>0</v>
      </c>
      <c r="U6440" s="47">
        <v>0</v>
      </c>
      <c r="V6440" s="47">
        <v>0</v>
      </c>
      <c r="W6440" s="47">
        <v>5000</v>
      </c>
      <c r="X6440" s="47">
        <v>1068</v>
      </c>
      <c r="Y6440" s="47"/>
      <c r="Z6440" s="47" t="s">
        <v>2466</v>
      </c>
      <c r="AA6440" s="49"/>
      <c r="AB6440" s="49"/>
      <c r="AC6440" s="49"/>
      <c r="AD6440" s="50"/>
      <c r="AE6440" s="47" t="s">
        <v>1312</v>
      </c>
      <c r="AF6440" s="47">
        <v>75</v>
      </c>
      <c r="AG6440"/>
      <c r="AH6440"/>
      <c r="AI6440"/>
      <c r="AJ6440"/>
      <c r="AK6440"/>
      <c r="AL6440"/>
      <c r="AM6440"/>
      <c r="AN6440"/>
      <c r="AO6440"/>
      <c r="AP6440"/>
      <c r="AQ6440" t="s">
        <v>2526</v>
      </c>
      <c r="AU6440">
        <v>6439</v>
      </c>
    </row>
    <row r="6441" spans="1:47" x14ac:dyDescent="0.2">
      <c r="A6441" s="37">
        <v>6839</v>
      </c>
      <c r="B6441" s="38" t="s">
        <v>45</v>
      </c>
      <c r="C6441" s="39" t="s">
        <v>253</v>
      </c>
      <c r="D6441" s="29"/>
      <c r="E6441" s="38" t="s">
        <v>7209</v>
      </c>
      <c r="F6441" s="32" t="s">
        <v>1969</v>
      </c>
      <c r="G6441" s="47"/>
      <c r="H6441"/>
      <c r="I6441" s="32" t="s">
        <v>3290</v>
      </c>
      <c r="J6441" s="47"/>
      <c r="K6441" s="47"/>
      <c r="L6441" s="48"/>
      <c r="M6441" s="47"/>
      <c r="N6441" s="47"/>
      <c r="O6441" s="47"/>
      <c r="P6441" s="47"/>
      <c r="Q6441" s="47"/>
      <c r="R6441" s="47"/>
      <c r="S6441" s="48"/>
      <c r="T6441" s="47"/>
      <c r="U6441" s="47"/>
      <c r="V6441" s="47"/>
      <c r="W6441" s="47"/>
      <c r="X6441" s="47"/>
      <c r="Y6441" s="47"/>
      <c r="Z6441" s="47"/>
      <c r="AA6441" s="49"/>
      <c r="AB6441" s="49"/>
      <c r="AC6441" s="49"/>
      <c r="AD6441" s="50"/>
      <c r="AE6441" s="47"/>
      <c r="AF6441" s="47"/>
      <c r="AG6441"/>
      <c r="AH6441"/>
      <c r="AI6441"/>
      <c r="AJ6441"/>
      <c r="AK6441"/>
      <c r="AL6441"/>
      <c r="AM6441"/>
      <c r="AN6441"/>
      <c r="AO6441"/>
      <c r="AP6441"/>
      <c r="AQ6441"/>
      <c r="AU6441">
        <v>6440</v>
      </c>
    </row>
    <row r="6442" spans="1:47" x14ac:dyDescent="0.2">
      <c r="A6442" s="37">
        <v>6839</v>
      </c>
      <c r="B6442" s="38" t="s">
        <v>45</v>
      </c>
      <c r="C6442" s="39" t="s">
        <v>253</v>
      </c>
      <c r="D6442" s="29"/>
      <c r="E6442" s="38" t="s">
        <v>7210</v>
      </c>
      <c r="F6442" s="32" t="s">
        <v>246</v>
      </c>
      <c r="G6442" s="47"/>
      <c r="H6442"/>
      <c r="I6442" s="32" t="s">
        <v>7211</v>
      </c>
      <c r="J6442" s="47"/>
      <c r="K6442" s="47"/>
      <c r="L6442" s="48"/>
      <c r="M6442" s="47"/>
      <c r="N6442" s="47"/>
      <c r="O6442" s="47"/>
      <c r="P6442" s="47"/>
      <c r="Q6442" s="47"/>
      <c r="R6442" s="47"/>
      <c r="S6442" s="48"/>
      <c r="T6442" s="47"/>
      <c r="U6442" s="47"/>
      <c r="V6442" s="47"/>
      <c r="W6442" s="47"/>
      <c r="X6442" s="47"/>
      <c r="Y6442" s="47"/>
      <c r="Z6442" s="47"/>
      <c r="AA6442" s="49"/>
      <c r="AB6442" s="49"/>
      <c r="AC6442" s="49"/>
      <c r="AD6442" s="50"/>
      <c r="AE6442" s="47"/>
      <c r="AF6442" s="47"/>
      <c r="AG6442"/>
      <c r="AH6442"/>
      <c r="AI6442"/>
      <c r="AJ6442"/>
      <c r="AK6442"/>
      <c r="AL6442"/>
      <c r="AM6442"/>
      <c r="AN6442"/>
      <c r="AO6442"/>
      <c r="AP6442"/>
      <c r="AQ6442"/>
      <c r="AU6442">
        <v>6441</v>
      </c>
    </row>
    <row r="6443" spans="1:47" x14ac:dyDescent="0.2">
      <c r="A6443" s="13">
        <v>6839</v>
      </c>
      <c r="B6443" s="57" t="s">
        <v>45</v>
      </c>
      <c r="C6443" s="57" t="s">
        <v>4179</v>
      </c>
      <c r="D6443" s="29"/>
      <c r="E6443" s="57" t="s">
        <v>7212</v>
      </c>
      <c r="F6443" s="31" t="s">
        <v>3183</v>
      </c>
      <c r="G6443" s="31" t="s">
        <v>49</v>
      </c>
      <c r="K6443" s="31">
        <v>605</v>
      </c>
      <c r="Z6443" s="31" t="s">
        <v>3814</v>
      </c>
      <c r="AK6443" s="32">
        <v>8</v>
      </c>
      <c r="AQ6443" s="32" t="s">
        <v>7132</v>
      </c>
      <c r="AU6443">
        <v>6442</v>
      </c>
    </row>
    <row r="6444" spans="1:47" x14ac:dyDescent="0.2">
      <c r="A6444" s="13">
        <v>6839</v>
      </c>
      <c r="B6444" s="57" t="s">
        <v>45</v>
      </c>
      <c r="C6444" s="57" t="s">
        <v>4179</v>
      </c>
      <c r="D6444" s="29"/>
      <c r="E6444" s="57" t="s">
        <v>7133</v>
      </c>
      <c r="F6444" s="31" t="s">
        <v>204</v>
      </c>
      <c r="G6444" s="31" t="s">
        <v>205</v>
      </c>
      <c r="K6444" s="31">
        <v>2365</v>
      </c>
      <c r="Z6444" s="31" t="s">
        <v>3814</v>
      </c>
      <c r="AK6444" s="32">
        <v>20</v>
      </c>
      <c r="AQ6444" s="32" t="s">
        <v>7132</v>
      </c>
      <c r="AU6444">
        <v>6443</v>
      </c>
    </row>
    <row r="6445" spans="1:47" x14ac:dyDescent="0.2">
      <c r="A6445" s="13">
        <v>6839</v>
      </c>
      <c r="B6445" s="57" t="s">
        <v>45</v>
      </c>
      <c r="C6445" s="57" t="s">
        <v>4179</v>
      </c>
      <c r="D6445" s="29"/>
      <c r="E6445" s="57" t="s">
        <v>3634</v>
      </c>
      <c r="F6445" s="31" t="s">
        <v>76</v>
      </c>
      <c r="G6445" s="31" t="s">
        <v>49</v>
      </c>
      <c r="K6445" s="31">
        <v>5335</v>
      </c>
      <c r="Z6445" s="31" t="s">
        <v>3814</v>
      </c>
      <c r="AK6445" s="32">
        <v>52</v>
      </c>
      <c r="AQ6445" s="32" t="s">
        <v>7132</v>
      </c>
      <c r="AU6445">
        <v>6444</v>
      </c>
    </row>
    <row r="6446" spans="1:47" x14ac:dyDescent="0.2">
      <c r="A6446" s="26">
        <v>6839</v>
      </c>
      <c r="B6446" s="27">
        <v>4.9305555555555554E-2</v>
      </c>
      <c r="C6446" s="28"/>
      <c r="D6446" s="29"/>
      <c r="E6446" s="30" t="s">
        <v>869</v>
      </c>
      <c r="H6446" s="32">
        <v>0</v>
      </c>
      <c r="I6446" s="32" t="s">
        <v>2344</v>
      </c>
      <c r="AG6446" s="32">
        <v>0</v>
      </c>
      <c r="AH6446" s="32">
        <v>0</v>
      </c>
      <c r="AI6446" s="32">
        <v>0</v>
      </c>
      <c r="AK6446" s="32">
        <v>0</v>
      </c>
      <c r="AL6446" s="32">
        <f>11/60</f>
        <v>0.18333333333333332</v>
      </c>
      <c r="AP6446" s="32">
        <f>11/60</f>
        <v>0.18333333333333332</v>
      </c>
      <c r="AQ6446" s="32" t="s">
        <v>589</v>
      </c>
      <c r="AU6446">
        <v>6445</v>
      </c>
    </row>
    <row r="6447" spans="1:47" x14ac:dyDescent="0.2">
      <c r="A6447" s="26">
        <v>6839</v>
      </c>
      <c r="B6447" s="27">
        <v>8.3333333333333329E-2</v>
      </c>
      <c r="C6447" s="28"/>
      <c r="D6447" s="29"/>
      <c r="E6447" s="30" t="s">
        <v>6591</v>
      </c>
      <c r="H6447" s="32">
        <v>1</v>
      </c>
      <c r="I6447" s="32"/>
      <c r="AG6447" s="32">
        <v>0</v>
      </c>
      <c r="AH6447" s="32">
        <v>0</v>
      </c>
      <c r="AI6447" s="32">
        <v>0</v>
      </c>
      <c r="AK6447" s="32">
        <v>13</v>
      </c>
      <c r="AQ6447" s="32">
        <v>448</v>
      </c>
      <c r="AU6447">
        <v>6446</v>
      </c>
    </row>
    <row r="6448" spans="1:47" x14ac:dyDescent="0.2">
      <c r="A6448" s="26">
        <v>6839</v>
      </c>
      <c r="B6448" s="27">
        <v>0.1277777777777778</v>
      </c>
      <c r="C6448" s="28"/>
      <c r="D6448" s="29"/>
      <c r="E6448" s="30" t="s">
        <v>3737</v>
      </c>
      <c r="H6448" s="32">
        <v>0</v>
      </c>
      <c r="I6448" s="32" t="s">
        <v>4926</v>
      </c>
      <c r="AG6448" s="32">
        <v>0</v>
      </c>
      <c r="AH6448" s="32">
        <v>0</v>
      </c>
      <c r="AI6448" s="32">
        <v>0</v>
      </c>
      <c r="AK6448" s="32">
        <v>0</v>
      </c>
      <c r="AM6448" s="74"/>
      <c r="AQ6448" s="32" t="s">
        <v>1101</v>
      </c>
      <c r="AU6448">
        <v>6447</v>
      </c>
    </row>
    <row r="6449" spans="1:47" x14ac:dyDescent="0.2">
      <c r="A6449" s="26">
        <v>6839</v>
      </c>
      <c r="B6449" s="27">
        <v>0.88888888888888884</v>
      </c>
      <c r="C6449" s="28"/>
      <c r="D6449" s="29"/>
      <c r="E6449" s="30" t="s">
        <v>631</v>
      </c>
      <c r="H6449" s="32">
        <v>0</v>
      </c>
      <c r="I6449" s="32" t="s">
        <v>837</v>
      </c>
      <c r="AG6449" s="32">
        <v>0</v>
      </c>
      <c r="AH6449" s="32">
        <v>0</v>
      </c>
      <c r="AI6449" s="32">
        <v>0</v>
      </c>
      <c r="AK6449" s="32">
        <v>0</v>
      </c>
      <c r="AL6449" s="32">
        <v>1</v>
      </c>
      <c r="AP6449" s="32">
        <v>1</v>
      </c>
      <c r="AQ6449" s="32">
        <v>465</v>
      </c>
      <c r="AU6449">
        <v>6448</v>
      </c>
    </row>
    <row r="6450" spans="1:47" x14ac:dyDescent="0.2">
      <c r="A6450" s="26">
        <v>6839</v>
      </c>
      <c r="B6450" s="27">
        <v>0.96875</v>
      </c>
      <c r="C6450" s="28"/>
      <c r="D6450" s="29"/>
      <c r="E6450" s="30" t="s">
        <v>5718</v>
      </c>
      <c r="H6450" s="32">
        <v>1</v>
      </c>
      <c r="I6450" s="32" t="s">
        <v>7213</v>
      </c>
      <c r="AG6450" s="32">
        <v>0</v>
      </c>
      <c r="AH6450" s="32">
        <v>0</v>
      </c>
      <c r="AI6450" s="32">
        <v>0</v>
      </c>
      <c r="AJ6450" s="32">
        <v>0</v>
      </c>
      <c r="AK6450" s="32">
        <v>16</v>
      </c>
      <c r="AL6450" s="32">
        <v>0</v>
      </c>
      <c r="AM6450" s="32">
        <v>0</v>
      </c>
      <c r="AO6450" s="32" t="s">
        <v>5720</v>
      </c>
      <c r="AQ6450" s="32">
        <v>381</v>
      </c>
      <c r="AU6450">
        <v>6449</v>
      </c>
    </row>
    <row r="6451" spans="1:47" x14ac:dyDescent="0.2">
      <c r="A6451" s="26">
        <v>6839</v>
      </c>
      <c r="B6451" s="27" t="s">
        <v>45</v>
      </c>
      <c r="C6451" s="28"/>
      <c r="D6451" s="29"/>
      <c r="E6451" s="30" t="s">
        <v>1531</v>
      </c>
      <c r="H6451" s="32">
        <v>0</v>
      </c>
      <c r="I6451" s="32" t="s">
        <v>1532</v>
      </c>
      <c r="AG6451" s="32">
        <v>0</v>
      </c>
      <c r="AH6451" s="32">
        <v>0</v>
      </c>
      <c r="AI6451" s="32">
        <v>0</v>
      </c>
      <c r="AK6451" s="32">
        <v>0</v>
      </c>
      <c r="AM6451" s="32">
        <f>498*28</f>
        <v>13944</v>
      </c>
      <c r="AO6451" s="32" t="s">
        <v>1533</v>
      </c>
      <c r="AQ6451" s="32" t="s">
        <v>1101</v>
      </c>
      <c r="AU6451">
        <v>6450</v>
      </c>
    </row>
    <row r="6452" spans="1:47" x14ac:dyDescent="0.2">
      <c r="A6452" s="26">
        <v>6840</v>
      </c>
      <c r="B6452" s="27">
        <v>7.6388888888888895E-2</v>
      </c>
      <c r="C6452" s="28"/>
      <c r="D6452" s="29"/>
      <c r="E6452" s="30" t="s">
        <v>464</v>
      </c>
      <c r="H6452" s="32">
        <v>0</v>
      </c>
      <c r="I6452" s="32" t="s">
        <v>7214</v>
      </c>
      <c r="AG6452" s="32">
        <v>0</v>
      </c>
      <c r="AH6452" s="32">
        <v>0</v>
      </c>
      <c r="AL6452" s="32">
        <v>1.333</v>
      </c>
      <c r="AO6452" s="32" t="s">
        <v>4067</v>
      </c>
      <c r="AP6452" s="32">
        <v>1.333</v>
      </c>
      <c r="AQ6452" s="32" t="s">
        <v>1522</v>
      </c>
      <c r="AU6452">
        <v>6451</v>
      </c>
    </row>
    <row r="6453" spans="1:47" x14ac:dyDescent="0.2">
      <c r="A6453" s="26">
        <v>6840</v>
      </c>
      <c r="B6453" s="27">
        <v>7.9861111111111105E-2</v>
      </c>
      <c r="C6453" s="28"/>
      <c r="D6453" s="29"/>
      <c r="E6453" s="30" t="s">
        <v>1282</v>
      </c>
      <c r="H6453" s="32">
        <v>0</v>
      </c>
      <c r="I6453" s="32" t="s">
        <v>7215</v>
      </c>
      <c r="AG6453" s="32">
        <v>0</v>
      </c>
      <c r="AH6453" s="32">
        <v>0</v>
      </c>
      <c r="AI6453" s="32">
        <v>0</v>
      </c>
      <c r="AK6453" s="32">
        <v>0</v>
      </c>
      <c r="AL6453" s="32">
        <f>1+25/60</f>
        <v>1.4166666666666667</v>
      </c>
      <c r="AP6453" s="32">
        <f>1+25/60</f>
        <v>1.4166666666666667</v>
      </c>
      <c r="AQ6453" s="32" t="s">
        <v>1101</v>
      </c>
      <c r="AU6453">
        <v>6452</v>
      </c>
    </row>
    <row r="6454" spans="1:47" x14ac:dyDescent="0.2">
      <c r="A6454" s="26">
        <v>6840</v>
      </c>
      <c r="B6454" s="27">
        <v>8.3333333333333329E-2</v>
      </c>
      <c r="C6454" s="28"/>
      <c r="D6454" s="29"/>
      <c r="E6454" s="30" t="s">
        <v>6003</v>
      </c>
      <c r="H6454" s="32">
        <v>1</v>
      </c>
      <c r="I6454" s="32" t="s">
        <v>7216</v>
      </c>
      <c r="AI6454" s="32">
        <v>15000</v>
      </c>
      <c r="AK6454" s="32">
        <v>10</v>
      </c>
      <c r="AO6454" s="32" t="s">
        <v>6005</v>
      </c>
      <c r="AQ6454" s="32" t="s">
        <v>7217</v>
      </c>
      <c r="AU6454">
        <v>6453</v>
      </c>
    </row>
    <row r="6455" spans="1:47" x14ac:dyDescent="0.2">
      <c r="A6455" s="26">
        <v>6840</v>
      </c>
      <c r="B6455" s="27">
        <v>8.5416666666666655E-2</v>
      </c>
      <c r="C6455" s="28"/>
      <c r="D6455" s="29"/>
      <c r="E6455" s="30" t="s">
        <v>3737</v>
      </c>
      <c r="H6455" s="32">
        <v>0</v>
      </c>
      <c r="I6455" s="32" t="s">
        <v>4926</v>
      </c>
      <c r="AG6455" s="32">
        <v>0</v>
      </c>
      <c r="AH6455" s="32">
        <v>0</v>
      </c>
      <c r="AI6455" s="32">
        <v>0</v>
      </c>
      <c r="AK6455" s="32">
        <v>0</v>
      </c>
      <c r="AL6455" s="32">
        <f>7/60</f>
        <v>0.11666666666666667</v>
      </c>
      <c r="AM6455" s="33">
        <f>3125*AL6455</f>
        <v>364.58333333333331</v>
      </c>
      <c r="AP6455" s="32">
        <f>7/60</f>
        <v>0.11666666666666667</v>
      </c>
      <c r="AQ6455" s="32" t="s">
        <v>1101</v>
      </c>
      <c r="AU6455">
        <v>6454</v>
      </c>
    </row>
    <row r="6456" spans="1:47" x14ac:dyDescent="0.2">
      <c r="A6456" s="26">
        <v>6840</v>
      </c>
      <c r="B6456" s="27">
        <v>0.10069444444444443</v>
      </c>
      <c r="C6456" s="28"/>
      <c r="D6456" s="29"/>
      <c r="E6456" s="30" t="s">
        <v>4219</v>
      </c>
      <c r="H6456" s="32">
        <v>1</v>
      </c>
      <c r="I6456" s="32"/>
      <c r="AL6456" s="32">
        <v>0.25</v>
      </c>
      <c r="AO6456" s="32" t="s">
        <v>858</v>
      </c>
      <c r="AP6456" s="32">
        <v>0.25</v>
      </c>
      <c r="AQ6456" s="32" t="s">
        <v>1101</v>
      </c>
      <c r="AU6456">
        <v>6455</v>
      </c>
    </row>
    <row r="6457" spans="1:47" x14ac:dyDescent="0.2">
      <c r="A6457" s="26">
        <v>6840</v>
      </c>
      <c r="B6457" s="27">
        <v>0.125</v>
      </c>
      <c r="C6457" s="28"/>
      <c r="D6457" s="29"/>
      <c r="E6457" s="30" t="s">
        <v>2023</v>
      </c>
      <c r="H6457" s="32">
        <v>1</v>
      </c>
      <c r="I6457" s="32" t="s">
        <v>2024</v>
      </c>
      <c r="AI6457" s="32">
        <v>0</v>
      </c>
      <c r="AK6457" s="32">
        <v>4</v>
      </c>
      <c r="AM6457" s="32">
        <f>11*500</f>
        <v>5500</v>
      </c>
      <c r="AO6457" s="32" t="s">
        <v>2025</v>
      </c>
      <c r="AQ6457" s="32">
        <v>416</v>
      </c>
      <c r="AU6457">
        <v>6456</v>
      </c>
    </row>
    <row r="6458" spans="1:47" x14ac:dyDescent="0.2">
      <c r="A6458" s="26">
        <v>6840</v>
      </c>
      <c r="B6458" s="27">
        <v>0.43888888888888888</v>
      </c>
      <c r="C6458" s="28"/>
      <c r="D6458" s="29"/>
      <c r="E6458" s="30" t="s">
        <v>3737</v>
      </c>
      <c r="H6458" s="32">
        <v>0</v>
      </c>
      <c r="I6458" s="32" t="s">
        <v>4926</v>
      </c>
      <c r="AG6458" s="32">
        <v>0</v>
      </c>
      <c r="AH6458" s="32">
        <v>0</v>
      </c>
      <c r="AI6458" s="32">
        <v>0</v>
      </c>
      <c r="AK6458" s="32">
        <v>0</v>
      </c>
      <c r="AM6458" s="74"/>
      <c r="AQ6458" s="32" t="s">
        <v>1101</v>
      </c>
      <c r="AU6458">
        <v>6457</v>
      </c>
    </row>
    <row r="6459" spans="1:47" x14ac:dyDescent="0.2">
      <c r="A6459" s="13">
        <v>6842</v>
      </c>
      <c r="B6459" s="57" t="s">
        <v>45</v>
      </c>
      <c r="C6459" s="57" t="s">
        <v>4843</v>
      </c>
      <c r="D6459" s="29"/>
      <c r="E6459" s="57" t="s">
        <v>1088</v>
      </c>
      <c r="F6459" s="31" t="s">
        <v>76</v>
      </c>
      <c r="G6459" s="31" t="s">
        <v>49</v>
      </c>
      <c r="K6459" s="31">
        <v>770</v>
      </c>
      <c r="S6459" s="33">
        <v>1</v>
      </c>
      <c r="Z6459" s="31" t="s">
        <v>3814</v>
      </c>
      <c r="AE6459" s="31" t="s">
        <v>4411</v>
      </c>
      <c r="AF6459" s="31">
        <v>60</v>
      </c>
      <c r="AK6459" s="32">
        <v>7</v>
      </c>
      <c r="AQ6459" s="32" t="s">
        <v>7070</v>
      </c>
      <c r="AU6459">
        <v>6458</v>
      </c>
    </row>
    <row r="6460" spans="1:47" x14ac:dyDescent="0.2">
      <c r="A6460" s="13">
        <v>6842</v>
      </c>
      <c r="B6460" s="57" t="s">
        <v>45</v>
      </c>
      <c r="C6460" s="57" t="s">
        <v>1367</v>
      </c>
      <c r="D6460" s="29"/>
      <c r="E6460" s="57" t="s">
        <v>788</v>
      </c>
      <c r="F6460" s="31" t="s">
        <v>76</v>
      </c>
      <c r="G6460" s="31" t="s">
        <v>49</v>
      </c>
      <c r="K6460" s="31">
        <v>1016.4</v>
      </c>
      <c r="AE6460" s="31" t="s">
        <v>4176</v>
      </c>
      <c r="AF6460" s="31">
        <v>70</v>
      </c>
      <c r="AK6460" s="32">
        <v>11</v>
      </c>
      <c r="AQ6460" s="32" t="s">
        <v>7193</v>
      </c>
      <c r="AU6460">
        <v>6459</v>
      </c>
    </row>
    <row r="6461" spans="1:47" x14ac:dyDescent="0.2">
      <c r="A6461" s="13">
        <v>6842</v>
      </c>
      <c r="B6461" s="57" t="s">
        <v>45</v>
      </c>
      <c r="C6461" s="57" t="s">
        <v>1367</v>
      </c>
      <c r="D6461" s="29"/>
      <c r="E6461" s="57" t="s">
        <v>3063</v>
      </c>
      <c r="F6461" s="31" t="s">
        <v>76</v>
      </c>
      <c r="G6461" s="31" t="s">
        <v>49</v>
      </c>
      <c r="K6461" s="31">
        <v>3049.2</v>
      </c>
      <c r="AE6461" s="31" t="s">
        <v>4176</v>
      </c>
      <c r="AF6461" s="31">
        <v>100</v>
      </c>
      <c r="AK6461" s="32">
        <v>30</v>
      </c>
      <c r="AQ6461" s="32" t="s">
        <v>7193</v>
      </c>
      <c r="AU6461">
        <v>6460</v>
      </c>
    </row>
    <row r="6462" spans="1:47" x14ac:dyDescent="0.2">
      <c r="A6462" s="13">
        <v>6842</v>
      </c>
      <c r="B6462" s="57" t="s">
        <v>45</v>
      </c>
      <c r="C6462" s="57" t="s">
        <v>1367</v>
      </c>
      <c r="D6462" s="29"/>
      <c r="E6462" s="57" t="s">
        <v>2191</v>
      </c>
      <c r="F6462" s="31" t="s">
        <v>76</v>
      </c>
      <c r="G6462" s="31" t="s">
        <v>49</v>
      </c>
      <c r="K6462" s="31">
        <v>4576</v>
      </c>
      <c r="AE6462" s="31" t="s">
        <v>4176</v>
      </c>
      <c r="AF6462" s="31">
        <v>80</v>
      </c>
      <c r="AK6462" s="32">
        <v>48</v>
      </c>
      <c r="AQ6462" s="32" t="s">
        <v>7193</v>
      </c>
      <c r="AU6462">
        <v>6461</v>
      </c>
    </row>
    <row r="6463" spans="1:47" x14ac:dyDescent="0.2">
      <c r="A6463" s="26">
        <v>6842</v>
      </c>
      <c r="B6463" s="27" t="s">
        <v>45</v>
      </c>
      <c r="C6463" s="28"/>
      <c r="D6463" s="29"/>
      <c r="E6463" s="30" t="s">
        <v>1531</v>
      </c>
      <c r="H6463" s="32">
        <v>0</v>
      </c>
      <c r="I6463" s="32" t="s">
        <v>1532</v>
      </c>
      <c r="AG6463" s="32">
        <v>0</v>
      </c>
      <c r="AH6463" s="32">
        <v>0</v>
      </c>
      <c r="AI6463" s="32">
        <v>0</v>
      </c>
      <c r="AK6463" s="32">
        <v>0</v>
      </c>
      <c r="AM6463" s="32">
        <f>498*17</f>
        <v>8466</v>
      </c>
      <c r="AO6463" s="32" t="s">
        <v>1533</v>
      </c>
      <c r="AQ6463" s="32" t="s">
        <v>1101</v>
      </c>
      <c r="AU6463">
        <v>6462</v>
      </c>
    </row>
    <row r="6464" spans="1:47" x14ac:dyDescent="0.2">
      <c r="A6464" s="26">
        <v>6842</v>
      </c>
      <c r="B6464" s="27" t="s">
        <v>45</v>
      </c>
      <c r="C6464" s="28"/>
      <c r="D6464" s="29"/>
      <c r="E6464" s="150" t="s">
        <v>2286</v>
      </c>
      <c r="H6464" s="32">
        <v>0</v>
      </c>
      <c r="I6464" s="32" t="s">
        <v>1824</v>
      </c>
      <c r="AG6464" s="32">
        <v>0</v>
      </c>
      <c r="AH6464" s="32">
        <v>0</v>
      </c>
      <c r="AI6464" s="32">
        <v>0</v>
      </c>
      <c r="AK6464" s="32">
        <v>0</v>
      </c>
      <c r="AM6464" s="32">
        <v>3000</v>
      </c>
      <c r="AO6464" s="73" t="s">
        <v>75</v>
      </c>
      <c r="AQ6464" s="32" t="s">
        <v>589</v>
      </c>
      <c r="AU6464">
        <v>6463</v>
      </c>
    </row>
    <row r="6465" spans="1:47" x14ac:dyDescent="0.2">
      <c r="A6465" s="26">
        <v>6842</v>
      </c>
      <c r="B6465" s="27"/>
      <c r="C6465" s="28"/>
      <c r="D6465" s="29"/>
      <c r="E6465" s="30" t="s">
        <v>4666</v>
      </c>
      <c r="H6465" s="32">
        <v>0</v>
      </c>
      <c r="I6465" s="32" t="s">
        <v>7170</v>
      </c>
      <c r="AG6465" s="32">
        <v>0</v>
      </c>
      <c r="AH6465" s="32">
        <v>0</v>
      </c>
      <c r="AI6465" s="32">
        <v>0</v>
      </c>
      <c r="AK6465" s="32">
        <v>0</v>
      </c>
      <c r="AO6465" s="32" t="s">
        <v>4668</v>
      </c>
      <c r="AQ6465" s="32">
        <v>411</v>
      </c>
      <c r="AU6465">
        <v>6464</v>
      </c>
    </row>
    <row r="6466" spans="1:47" x14ac:dyDescent="0.2">
      <c r="A6466" s="26">
        <v>6842</v>
      </c>
      <c r="B6466" s="27"/>
      <c r="C6466" s="28"/>
      <c r="D6466" s="29"/>
      <c r="E6466" s="30" t="s">
        <v>4469</v>
      </c>
      <c r="H6466" s="32">
        <v>0</v>
      </c>
      <c r="I6466" s="32" t="s">
        <v>7218</v>
      </c>
      <c r="AG6466" s="32">
        <v>0</v>
      </c>
      <c r="AH6466" s="32">
        <v>0</v>
      </c>
      <c r="AI6466" s="32">
        <v>0</v>
      </c>
      <c r="AK6466" s="32">
        <v>0</v>
      </c>
      <c r="AL6466" s="32">
        <f>19/60</f>
        <v>0.31666666666666665</v>
      </c>
      <c r="AO6466" s="32" t="s">
        <v>5210</v>
      </c>
      <c r="AP6466" s="32">
        <f>19/60</f>
        <v>0.31666666666666665</v>
      </c>
      <c r="AQ6466" s="32" t="s">
        <v>5211</v>
      </c>
      <c r="AU6466">
        <v>6465</v>
      </c>
    </row>
    <row r="6467" spans="1:47" x14ac:dyDescent="0.2">
      <c r="A6467" s="26">
        <v>6842</v>
      </c>
      <c r="B6467" s="27"/>
      <c r="C6467" s="28"/>
      <c r="D6467" s="29"/>
      <c r="E6467" s="30" t="s">
        <v>4469</v>
      </c>
      <c r="H6467" s="32">
        <v>0</v>
      </c>
      <c r="I6467" s="32" t="s">
        <v>7219</v>
      </c>
      <c r="AG6467" s="32">
        <v>0</v>
      </c>
      <c r="AH6467" s="32">
        <v>0</v>
      </c>
      <c r="AI6467" s="32">
        <v>0</v>
      </c>
      <c r="AK6467" s="32">
        <v>0</v>
      </c>
      <c r="AL6467" s="32">
        <f>5/6</f>
        <v>0.83333333333333337</v>
      </c>
      <c r="AO6467" s="32" t="s">
        <v>5210</v>
      </c>
      <c r="AP6467" s="32">
        <f>5/6</f>
        <v>0.83333333333333337</v>
      </c>
      <c r="AQ6467" s="32" t="s">
        <v>5211</v>
      </c>
      <c r="AU6467">
        <v>6466</v>
      </c>
    </row>
    <row r="6468" spans="1:47" x14ac:dyDescent="0.2">
      <c r="A6468" s="133">
        <v>6843</v>
      </c>
      <c r="B6468" s="39" t="s">
        <v>85</v>
      </c>
      <c r="C6468" s="39">
        <v>55</v>
      </c>
      <c r="D6468" s="29" t="b">
        <v>0</v>
      </c>
      <c r="E6468" s="39" t="s">
        <v>7220</v>
      </c>
      <c r="F6468" s="47" t="s">
        <v>5659</v>
      </c>
      <c r="G6468" s="47" t="s">
        <v>274</v>
      </c>
      <c r="H6468"/>
      <c r="I6468" s="47" t="b">
        <v>0</v>
      </c>
      <c r="J6468" s="47" t="b">
        <v>1</v>
      </c>
      <c r="K6468" s="47">
        <v>2742</v>
      </c>
      <c r="L6468" s="48">
        <v>12</v>
      </c>
      <c r="M6468" s="47">
        <v>0</v>
      </c>
      <c r="N6468" s="47">
        <v>0</v>
      </c>
      <c r="O6468" s="47">
        <v>0</v>
      </c>
      <c r="P6468" s="47">
        <v>0</v>
      </c>
      <c r="Q6468" s="47">
        <v>0</v>
      </c>
      <c r="R6468" s="47">
        <v>0</v>
      </c>
      <c r="S6468" s="48">
        <v>12</v>
      </c>
      <c r="T6468" s="47">
        <v>3</v>
      </c>
      <c r="U6468" s="47">
        <v>0</v>
      </c>
      <c r="V6468" s="47">
        <v>0</v>
      </c>
      <c r="W6468" s="47">
        <v>15000</v>
      </c>
      <c r="X6468" s="47">
        <v>1075</v>
      </c>
      <c r="Y6468" s="47" t="s">
        <v>120</v>
      </c>
      <c r="Z6468" s="47" t="s">
        <v>3618</v>
      </c>
      <c r="AA6468" s="49">
        <v>0.34375</v>
      </c>
      <c r="AB6468" s="49">
        <v>0.52083333333333337</v>
      </c>
      <c r="AC6468" s="49">
        <v>0.4236111111111111</v>
      </c>
      <c r="AD6468" s="50">
        <f>(AB6468-AA6468)*24</f>
        <v>4.2500000000000009</v>
      </c>
      <c r="AE6468" s="47" t="s">
        <v>5433</v>
      </c>
      <c r="AF6468" s="47">
        <v>145</v>
      </c>
      <c r="AG6468"/>
      <c r="AH6468"/>
      <c r="AI6468"/>
      <c r="AJ6468"/>
      <c r="AK6468">
        <v>15</v>
      </c>
      <c r="AL6468"/>
      <c r="AM6468"/>
      <c r="AN6468"/>
      <c r="AO6468"/>
      <c r="AP6468"/>
      <c r="AQ6468" t="s">
        <v>5434</v>
      </c>
      <c r="AU6468">
        <v>6467</v>
      </c>
    </row>
    <row r="6469" spans="1:47" x14ac:dyDescent="0.2">
      <c r="A6469" s="133">
        <v>6843</v>
      </c>
      <c r="B6469" s="39" t="s">
        <v>85</v>
      </c>
      <c r="C6469" s="39">
        <v>99</v>
      </c>
      <c r="D6469" s="29" t="b">
        <v>0</v>
      </c>
      <c r="E6469" s="39" t="s">
        <v>3575</v>
      </c>
      <c r="F6469" s="47" t="s">
        <v>529</v>
      </c>
      <c r="G6469" s="47" t="s">
        <v>205</v>
      </c>
      <c r="H6469"/>
      <c r="I6469" s="47" t="b">
        <v>0</v>
      </c>
      <c r="J6469" s="47" t="b">
        <v>1</v>
      </c>
      <c r="K6469" s="47">
        <v>1362</v>
      </c>
      <c r="L6469" s="48">
        <v>5</v>
      </c>
      <c r="M6469" s="47">
        <v>0</v>
      </c>
      <c r="N6469" s="47">
        <v>0</v>
      </c>
      <c r="O6469" s="47">
        <v>0</v>
      </c>
      <c r="P6469" s="47">
        <v>0</v>
      </c>
      <c r="Q6469" s="47">
        <v>0</v>
      </c>
      <c r="R6469" s="47">
        <v>0</v>
      </c>
      <c r="S6469" s="48">
        <v>5</v>
      </c>
      <c r="T6469" s="47">
        <v>1</v>
      </c>
      <c r="U6469" s="47">
        <v>0</v>
      </c>
      <c r="V6469" s="47">
        <v>0</v>
      </c>
      <c r="W6469" s="47">
        <v>11000</v>
      </c>
      <c r="X6469" s="47">
        <v>1073</v>
      </c>
      <c r="Y6469" s="47" t="s">
        <v>120</v>
      </c>
      <c r="Z6469" s="47" t="s">
        <v>5139</v>
      </c>
      <c r="AA6469" s="49">
        <v>0.34722222222222227</v>
      </c>
      <c r="AB6469" s="49">
        <v>0.44097222222222227</v>
      </c>
      <c r="AC6469" s="49">
        <f>AVERAGE(AA6469:AB6469)</f>
        <v>0.39409722222222227</v>
      </c>
      <c r="AD6469" s="50">
        <f>(AB6469-AA6469)*24</f>
        <v>2.25</v>
      </c>
      <c r="AE6469" s="47" t="s">
        <v>5433</v>
      </c>
      <c r="AF6469" s="47">
        <v>140</v>
      </c>
      <c r="AG6469"/>
      <c r="AH6469"/>
      <c r="AI6469"/>
      <c r="AJ6469"/>
      <c r="AK6469">
        <v>9</v>
      </c>
      <c r="AL6469"/>
      <c r="AM6469"/>
      <c r="AN6469"/>
      <c r="AO6469"/>
      <c r="AP6469"/>
      <c r="AQ6469" t="s">
        <v>2526</v>
      </c>
      <c r="AU6469">
        <v>6468</v>
      </c>
    </row>
    <row r="6470" spans="1:47" x14ac:dyDescent="0.2">
      <c r="A6470" s="133">
        <v>6843</v>
      </c>
      <c r="B6470" s="39" t="s">
        <v>85</v>
      </c>
      <c r="C6470" s="39">
        <v>104</v>
      </c>
      <c r="D6470" s="29" t="b">
        <v>0</v>
      </c>
      <c r="E6470" s="39" t="s">
        <v>3575</v>
      </c>
      <c r="F6470" s="47" t="s">
        <v>529</v>
      </c>
      <c r="G6470" s="47" t="s">
        <v>205</v>
      </c>
      <c r="H6470"/>
      <c r="I6470" s="47" t="b">
        <v>0</v>
      </c>
      <c r="J6470" s="47" t="b">
        <v>1</v>
      </c>
      <c r="K6470" s="47">
        <v>1532</v>
      </c>
      <c r="L6470" s="48">
        <v>7</v>
      </c>
      <c r="M6470" s="47">
        <v>0</v>
      </c>
      <c r="N6470" s="47">
        <v>0</v>
      </c>
      <c r="O6470" s="47">
        <v>0</v>
      </c>
      <c r="P6470" s="47">
        <v>0</v>
      </c>
      <c r="Q6470" s="47">
        <v>0</v>
      </c>
      <c r="R6470" s="47">
        <v>0</v>
      </c>
      <c r="S6470" s="48">
        <v>7</v>
      </c>
      <c r="T6470" s="47">
        <v>0</v>
      </c>
      <c r="U6470" s="47">
        <v>0</v>
      </c>
      <c r="V6470" s="47">
        <v>0</v>
      </c>
      <c r="W6470" s="47">
        <v>12000</v>
      </c>
      <c r="X6470" s="47">
        <v>1074</v>
      </c>
      <c r="Y6470" s="47" t="s">
        <v>51</v>
      </c>
      <c r="Z6470" s="47" t="s">
        <v>5139</v>
      </c>
      <c r="AA6470" s="49">
        <v>0.34027777777777773</v>
      </c>
      <c r="AB6470" s="49">
        <v>0.4375</v>
      </c>
      <c r="AC6470" s="49">
        <v>0.40972222222222227</v>
      </c>
      <c r="AD6470" s="50">
        <f>(AB6470-AA6470)*24</f>
        <v>2.3333333333333344</v>
      </c>
      <c r="AE6470" s="47" t="s">
        <v>5433</v>
      </c>
      <c r="AF6470" s="47">
        <v>140</v>
      </c>
      <c r="AG6470"/>
      <c r="AH6470"/>
      <c r="AI6470"/>
      <c r="AJ6470"/>
      <c r="AK6470">
        <v>24</v>
      </c>
      <c r="AL6470"/>
      <c r="AM6470"/>
      <c r="AN6470"/>
      <c r="AO6470"/>
      <c r="AP6470"/>
      <c r="AQ6470" t="s">
        <v>5485</v>
      </c>
      <c r="AU6470">
        <v>6469</v>
      </c>
    </row>
    <row r="6471" spans="1:47" x14ac:dyDescent="0.2">
      <c r="A6471" s="133">
        <v>6843</v>
      </c>
      <c r="B6471" s="39" t="s">
        <v>85</v>
      </c>
      <c r="C6471" s="39">
        <v>110</v>
      </c>
      <c r="D6471" s="29" t="b">
        <v>0</v>
      </c>
      <c r="E6471" s="39" t="s">
        <v>3542</v>
      </c>
      <c r="F6471" s="47" t="s">
        <v>7221</v>
      </c>
      <c r="G6471" s="47" t="s">
        <v>274</v>
      </c>
      <c r="H6471"/>
      <c r="I6471" s="47" t="b">
        <v>0</v>
      </c>
      <c r="J6471" s="47" t="b">
        <v>1</v>
      </c>
      <c r="K6471" s="47">
        <v>3378</v>
      </c>
      <c r="L6471" s="48">
        <v>11</v>
      </c>
      <c r="M6471" s="47">
        <v>0</v>
      </c>
      <c r="N6471" s="47">
        <v>0</v>
      </c>
      <c r="O6471" s="47">
        <v>0</v>
      </c>
      <c r="P6471" s="47">
        <v>0</v>
      </c>
      <c r="Q6471" s="47">
        <v>0</v>
      </c>
      <c r="R6471" s="47">
        <v>0</v>
      </c>
      <c r="S6471" s="48">
        <v>11</v>
      </c>
      <c r="T6471" s="47">
        <v>4</v>
      </c>
      <c r="U6471" s="47">
        <v>1</v>
      </c>
      <c r="V6471" s="47">
        <v>0</v>
      </c>
      <c r="W6471" s="47">
        <v>17000</v>
      </c>
      <c r="X6471" s="47">
        <v>1072</v>
      </c>
      <c r="Y6471" s="47" t="s">
        <v>120</v>
      </c>
      <c r="Z6471" s="47" t="s">
        <v>6984</v>
      </c>
      <c r="AA6471" s="49">
        <v>0.41319444444444442</v>
      </c>
      <c r="AB6471" s="49"/>
      <c r="AC6471" s="49">
        <v>0.52777777777777779</v>
      </c>
      <c r="AD6471" s="50"/>
      <c r="AE6471" s="47" t="s">
        <v>6985</v>
      </c>
      <c r="AF6471" s="47">
        <v>250</v>
      </c>
      <c r="AG6471"/>
      <c r="AH6471"/>
      <c r="AI6471"/>
      <c r="AJ6471"/>
      <c r="AK6471">
        <v>27</v>
      </c>
      <c r="AL6471"/>
      <c r="AM6471"/>
      <c r="AN6471"/>
      <c r="AO6471"/>
      <c r="AP6471"/>
      <c r="AQ6471" t="s">
        <v>5485</v>
      </c>
      <c r="AU6471">
        <v>6470</v>
      </c>
    </row>
    <row r="6472" spans="1:47" x14ac:dyDescent="0.2">
      <c r="A6472" s="37">
        <v>6843</v>
      </c>
      <c r="B6472" s="38" t="s">
        <v>45</v>
      </c>
      <c r="C6472" s="39" t="s">
        <v>7222</v>
      </c>
      <c r="D6472" s="29"/>
      <c r="E6472" s="38" t="s">
        <v>5781</v>
      </c>
      <c r="F6472" s="32" t="s">
        <v>48</v>
      </c>
      <c r="G6472" s="47" t="s">
        <v>49</v>
      </c>
      <c r="H6472"/>
      <c r="I6472" s="32" t="s">
        <v>7223</v>
      </c>
      <c r="J6472" s="47"/>
      <c r="K6472" s="47">
        <f>300*2.2</f>
        <v>660</v>
      </c>
      <c r="L6472" s="48">
        <v>1</v>
      </c>
      <c r="M6472" s="47"/>
      <c r="N6472" s="47"/>
      <c r="O6472" s="47"/>
      <c r="P6472" s="47"/>
      <c r="Q6472" s="47"/>
      <c r="R6472" s="47"/>
      <c r="S6472" s="48">
        <v>1</v>
      </c>
      <c r="T6472" s="47">
        <v>1</v>
      </c>
      <c r="U6472" s="47"/>
      <c r="V6472" s="47"/>
      <c r="W6472" s="47"/>
      <c r="X6472" s="47"/>
      <c r="Y6472" s="47"/>
      <c r="Z6472" s="47"/>
      <c r="AA6472" s="49"/>
      <c r="AB6472" s="49"/>
      <c r="AC6472" s="49"/>
      <c r="AD6472" s="50"/>
      <c r="AE6472" s="47"/>
      <c r="AF6472" s="47"/>
      <c r="AG6472"/>
      <c r="AH6472"/>
      <c r="AI6472"/>
      <c r="AJ6472"/>
      <c r="AK6472"/>
      <c r="AL6472"/>
      <c r="AM6472"/>
      <c r="AN6472"/>
      <c r="AO6472"/>
      <c r="AP6472"/>
      <c r="AQ6472"/>
      <c r="AU6472">
        <v>6471</v>
      </c>
    </row>
    <row r="6473" spans="1:47" x14ac:dyDescent="0.2">
      <c r="A6473" s="13">
        <v>6843</v>
      </c>
      <c r="B6473" s="57" t="s">
        <v>45</v>
      </c>
      <c r="C6473" s="57" t="s">
        <v>142</v>
      </c>
      <c r="D6473" s="45"/>
      <c r="E6473" s="57" t="s">
        <v>7224</v>
      </c>
      <c r="F6473" s="31" t="s">
        <v>409</v>
      </c>
      <c r="G6473" s="47" t="s">
        <v>49</v>
      </c>
      <c r="I6473" s="47" t="b">
        <v>1</v>
      </c>
      <c r="J6473" s="47" t="b">
        <v>1</v>
      </c>
      <c r="K6473" s="31">
        <f>1690*2.2</f>
        <v>3718.0000000000005</v>
      </c>
      <c r="L6473" s="33">
        <v>7</v>
      </c>
      <c r="M6473" s="31">
        <v>1</v>
      </c>
      <c r="N6473" s="31">
        <v>1</v>
      </c>
      <c r="S6473" s="33">
        <v>4</v>
      </c>
      <c r="T6473" s="31">
        <v>1</v>
      </c>
      <c r="U6473" s="31">
        <v>0</v>
      </c>
      <c r="V6473" s="31">
        <v>0</v>
      </c>
      <c r="Z6473" s="31" t="s">
        <v>5406</v>
      </c>
      <c r="AE6473" s="31" t="s">
        <v>2470</v>
      </c>
      <c r="AK6473" s="32">
        <f>9+6+20+9</f>
        <v>44</v>
      </c>
      <c r="AQ6473" s="32" t="s">
        <v>7225</v>
      </c>
      <c r="AR6473" s="32" t="s">
        <v>7226</v>
      </c>
      <c r="AU6473">
        <v>6472</v>
      </c>
    </row>
    <row r="6474" spans="1:47" x14ac:dyDescent="0.2">
      <c r="A6474" s="13">
        <v>6843</v>
      </c>
      <c r="B6474" s="57" t="s">
        <v>45</v>
      </c>
      <c r="C6474" s="57" t="s">
        <v>142</v>
      </c>
      <c r="D6474" s="29"/>
      <c r="E6474" s="57" t="s">
        <v>1064</v>
      </c>
      <c r="F6474" s="31" t="s">
        <v>76</v>
      </c>
      <c r="G6474" s="47" t="s">
        <v>49</v>
      </c>
      <c r="I6474" s="47" t="b">
        <v>0</v>
      </c>
      <c r="J6474" s="47" t="b">
        <v>0</v>
      </c>
      <c r="K6474" s="31">
        <v>1298</v>
      </c>
      <c r="S6474" s="33">
        <v>1</v>
      </c>
      <c r="AE6474" s="31" t="s">
        <v>2470</v>
      </c>
      <c r="AF6474" s="31">
        <v>50</v>
      </c>
      <c r="AK6474" s="32">
        <v>19</v>
      </c>
      <c r="AQ6474" s="32" t="s">
        <v>7070</v>
      </c>
      <c r="AU6474">
        <v>6473</v>
      </c>
    </row>
    <row r="6475" spans="1:47" x14ac:dyDescent="0.2">
      <c r="A6475" s="13">
        <v>6843</v>
      </c>
      <c r="B6475" s="57" t="s">
        <v>45</v>
      </c>
      <c r="C6475" s="57" t="s">
        <v>142</v>
      </c>
      <c r="D6475" s="29"/>
      <c r="E6475" s="57" t="s">
        <v>3936</v>
      </c>
      <c r="F6475" s="31" t="s">
        <v>76</v>
      </c>
      <c r="G6475" s="47" t="s">
        <v>49</v>
      </c>
      <c r="I6475" s="47" t="b">
        <v>0</v>
      </c>
      <c r="J6475" s="47" t="b">
        <v>0</v>
      </c>
      <c r="K6475" s="31">
        <v>880</v>
      </c>
      <c r="S6475" s="33">
        <v>1</v>
      </c>
      <c r="AE6475" s="31" t="s">
        <v>2470</v>
      </c>
      <c r="AF6475" s="31">
        <v>55</v>
      </c>
      <c r="AK6475" s="32">
        <v>8</v>
      </c>
      <c r="AQ6475" s="32" t="s">
        <v>7070</v>
      </c>
      <c r="AU6475">
        <v>6474</v>
      </c>
    </row>
    <row r="6476" spans="1:47" x14ac:dyDescent="0.2">
      <c r="A6476" s="13">
        <v>6843</v>
      </c>
      <c r="B6476" s="57" t="s">
        <v>45</v>
      </c>
      <c r="C6476" s="57" t="s">
        <v>142</v>
      </c>
      <c r="D6476" s="29"/>
      <c r="E6476" s="57" t="s">
        <v>3875</v>
      </c>
      <c r="F6476" s="31" t="s">
        <v>76</v>
      </c>
      <c r="G6476" s="47" t="s">
        <v>49</v>
      </c>
      <c r="I6476" s="47" t="b">
        <v>0</v>
      </c>
      <c r="J6476" s="47" t="b">
        <v>0</v>
      </c>
      <c r="K6476" s="31">
        <v>880</v>
      </c>
      <c r="S6476" s="33">
        <v>1</v>
      </c>
      <c r="AE6476" s="31" t="s">
        <v>2470</v>
      </c>
      <c r="AF6476" s="31">
        <v>55</v>
      </c>
      <c r="AK6476" s="32">
        <v>8</v>
      </c>
      <c r="AQ6476" s="32" t="s">
        <v>7070</v>
      </c>
      <c r="AU6476">
        <v>6475</v>
      </c>
    </row>
    <row r="6477" spans="1:47" x14ac:dyDescent="0.2">
      <c r="A6477" s="13">
        <v>6843</v>
      </c>
      <c r="B6477" s="57" t="s">
        <v>45</v>
      </c>
      <c r="C6477" s="57" t="s">
        <v>142</v>
      </c>
      <c r="D6477" s="29"/>
      <c r="E6477" s="57" t="s">
        <v>7227</v>
      </c>
      <c r="F6477" s="31" t="s">
        <v>76</v>
      </c>
      <c r="G6477" s="47" t="s">
        <v>49</v>
      </c>
      <c r="I6477" s="47" t="b">
        <v>0</v>
      </c>
      <c r="J6477" s="47" t="b">
        <v>0</v>
      </c>
      <c r="K6477" s="31">
        <v>660</v>
      </c>
      <c r="S6477" s="33">
        <v>1</v>
      </c>
      <c r="AE6477" s="31" t="s">
        <v>2470</v>
      </c>
      <c r="AK6477" s="32">
        <v>9</v>
      </c>
      <c r="AQ6477" s="32" t="s">
        <v>7070</v>
      </c>
      <c r="AU6477">
        <v>6476</v>
      </c>
    </row>
    <row r="6478" spans="1:47" x14ac:dyDescent="0.2">
      <c r="A6478" s="37">
        <v>6843</v>
      </c>
      <c r="B6478" s="38" t="s">
        <v>45</v>
      </c>
      <c r="C6478" s="39" t="s">
        <v>7228</v>
      </c>
      <c r="D6478" s="29"/>
      <c r="E6478" s="38" t="s">
        <v>7229</v>
      </c>
      <c r="F6478" s="32" t="s">
        <v>7230</v>
      </c>
      <c r="G6478" s="47" t="s">
        <v>205</v>
      </c>
      <c r="H6478"/>
      <c r="I6478" s="32" t="s">
        <v>7231</v>
      </c>
      <c r="J6478" s="47"/>
      <c r="K6478" s="47"/>
      <c r="L6478" s="48"/>
      <c r="M6478" s="47"/>
      <c r="N6478" s="47"/>
      <c r="O6478" s="47"/>
      <c r="P6478" s="47"/>
      <c r="Q6478" s="47"/>
      <c r="R6478" s="47"/>
      <c r="S6478" s="48"/>
      <c r="T6478" s="47"/>
      <c r="U6478" s="47"/>
      <c r="V6478" s="47"/>
      <c r="W6478" s="47">
        <f>600*39.37/12</f>
        <v>1968.5</v>
      </c>
      <c r="X6478" s="47"/>
      <c r="Y6478" s="47"/>
      <c r="Z6478" s="47" t="s">
        <v>7232</v>
      </c>
      <c r="AA6478" s="49"/>
      <c r="AB6478" s="49"/>
      <c r="AC6478" s="49">
        <v>3.125E-2</v>
      </c>
      <c r="AD6478" s="50"/>
      <c r="AE6478" s="47" t="s">
        <v>7233</v>
      </c>
      <c r="AF6478" s="47">
        <v>90</v>
      </c>
      <c r="AG6478"/>
      <c r="AH6478"/>
      <c r="AI6478"/>
      <c r="AJ6478"/>
      <c r="AK6478"/>
      <c r="AL6478"/>
      <c r="AM6478"/>
      <c r="AN6478"/>
      <c r="AO6478"/>
      <c r="AP6478"/>
      <c r="AQ6478" t="s">
        <v>7234</v>
      </c>
      <c r="AU6478">
        <v>6477</v>
      </c>
    </row>
    <row r="6479" spans="1:47" x14ac:dyDescent="0.2">
      <c r="A6479" s="13">
        <v>6843</v>
      </c>
      <c r="B6479" s="57" t="s">
        <v>45</v>
      </c>
      <c r="C6479" s="57" t="s">
        <v>4843</v>
      </c>
      <c r="D6479" s="29"/>
      <c r="E6479" s="57" t="s">
        <v>3876</v>
      </c>
      <c r="F6479" s="31" t="s">
        <v>76</v>
      </c>
      <c r="G6479" s="47" t="s">
        <v>49</v>
      </c>
      <c r="K6479" s="31">
        <v>1958</v>
      </c>
      <c r="S6479" s="33">
        <v>5</v>
      </c>
      <c r="Z6479" s="31" t="s">
        <v>3814</v>
      </c>
      <c r="AE6479" s="31" t="s">
        <v>4411</v>
      </c>
      <c r="AF6479" s="31">
        <v>70</v>
      </c>
      <c r="AK6479" s="32">
        <v>16</v>
      </c>
      <c r="AQ6479" s="32" t="s">
        <v>7070</v>
      </c>
      <c r="AU6479">
        <v>6478</v>
      </c>
    </row>
    <row r="6480" spans="1:47" x14ac:dyDescent="0.2">
      <c r="A6480" s="13">
        <v>6843</v>
      </c>
      <c r="B6480" s="57" t="s">
        <v>45</v>
      </c>
      <c r="C6480" s="57" t="s">
        <v>4843</v>
      </c>
      <c r="D6480" s="29"/>
      <c r="E6480" s="57" t="s">
        <v>1064</v>
      </c>
      <c r="F6480" s="31" t="s">
        <v>76</v>
      </c>
      <c r="G6480" s="47" t="s">
        <v>49</v>
      </c>
      <c r="K6480" s="31">
        <v>1320</v>
      </c>
      <c r="S6480" s="33">
        <v>2</v>
      </c>
      <c r="Z6480" s="31" t="s">
        <v>3814</v>
      </c>
      <c r="AE6480" s="31" t="s">
        <v>4411</v>
      </c>
      <c r="AF6480" s="31">
        <v>55</v>
      </c>
      <c r="AK6480" s="32">
        <v>20</v>
      </c>
      <c r="AQ6480" s="32" t="s">
        <v>7070</v>
      </c>
      <c r="AU6480">
        <v>6479</v>
      </c>
    </row>
    <row r="6481" spans="1:47" x14ac:dyDescent="0.2">
      <c r="A6481" s="13">
        <v>6843</v>
      </c>
      <c r="B6481" s="57" t="s">
        <v>45</v>
      </c>
      <c r="C6481" s="57" t="s">
        <v>4843</v>
      </c>
      <c r="D6481" s="29"/>
      <c r="E6481" s="57" t="s">
        <v>7235</v>
      </c>
      <c r="F6481" s="31" t="s">
        <v>76</v>
      </c>
      <c r="G6481" s="47" t="s">
        <v>49</v>
      </c>
      <c r="K6481" s="31">
        <v>1320</v>
      </c>
      <c r="S6481" s="33">
        <v>2</v>
      </c>
      <c r="Z6481" s="31" t="s">
        <v>3814</v>
      </c>
      <c r="AE6481" s="31" t="s">
        <v>4411</v>
      </c>
      <c r="AF6481" s="31">
        <v>55</v>
      </c>
      <c r="AK6481" s="32">
        <v>28</v>
      </c>
      <c r="AQ6481" s="32" t="s">
        <v>7070</v>
      </c>
      <c r="AU6481">
        <v>6480</v>
      </c>
    </row>
    <row r="6482" spans="1:47" x14ac:dyDescent="0.2">
      <c r="A6482" s="13">
        <v>6843</v>
      </c>
      <c r="B6482" s="57" t="s">
        <v>45</v>
      </c>
      <c r="C6482" s="57" t="s">
        <v>4843</v>
      </c>
      <c r="D6482" s="29"/>
      <c r="E6482" s="57" t="s">
        <v>7236</v>
      </c>
      <c r="F6482" s="31" t="s">
        <v>3183</v>
      </c>
      <c r="G6482" s="47" t="s">
        <v>49</v>
      </c>
      <c r="K6482" s="31">
        <v>1320</v>
      </c>
      <c r="S6482" s="33">
        <v>2</v>
      </c>
      <c r="Z6482" s="31" t="s">
        <v>3814</v>
      </c>
      <c r="AE6482" s="31" t="s">
        <v>4411</v>
      </c>
      <c r="AK6482" s="32">
        <v>12</v>
      </c>
      <c r="AQ6482" s="32" t="s">
        <v>7070</v>
      </c>
      <c r="AU6482">
        <v>6481</v>
      </c>
    </row>
    <row r="6483" spans="1:47" x14ac:dyDescent="0.2">
      <c r="A6483" s="13">
        <v>6843</v>
      </c>
      <c r="B6483" s="57" t="s">
        <v>45</v>
      </c>
      <c r="C6483" s="57" t="s">
        <v>4843</v>
      </c>
      <c r="D6483" s="29"/>
      <c r="E6483" s="57" t="s">
        <v>5194</v>
      </c>
      <c r="F6483" s="31" t="s">
        <v>204</v>
      </c>
      <c r="G6483" s="47" t="s">
        <v>205</v>
      </c>
      <c r="K6483" s="31">
        <v>660</v>
      </c>
      <c r="S6483" s="33">
        <v>1</v>
      </c>
      <c r="Z6483" s="31" t="s">
        <v>3814</v>
      </c>
      <c r="AE6483" s="31" t="s">
        <v>4411</v>
      </c>
      <c r="AF6483" s="31">
        <v>65</v>
      </c>
      <c r="AK6483" s="32">
        <v>14</v>
      </c>
      <c r="AQ6483" s="32" t="s">
        <v>7070</v>
      </c>
      <c r="AU6483">
        <v>6482</v>
      </c>
    </row>
    <row r="6484" spans="1:47" x14ac:dyDescent="0.2">
      <c r="A6484" s="13">
        <v>6843</v>
      </c>
      <c r="B6484" s="57" t="s">
        <v>45</v>
      </c>
      <c r="C6484" s="57" t="s">
        <v>4843</v>
      </c>
      <c r="D6484" s="29"/>
      <c r="E6484" s="57" t="s">
        <v>7237</v>
      </c>
      <c r="F6484" s="31" t="s">
        <v>204</v>
      </c>
      <c r="G6484" s="47" t="s">
        <v>205</v>
      </c>
      <c r="K6484" s="31">
        <v>616</v>
      </c>
      <c r="S6484" s="33">
        <v>1</v>
      </c>
      <c r="Z6484" s="31" t="s">
        <v>3814</v>
      </c>
      <c r="AE6484" s="31" t="s">
        <v>4411</v>
      </c>
      <c r="AF6484" s="31">
        <v>55</v>
      </c>
      <c r="AK6484" s="32">
        <v>12</v>
      </c>
      <c r="AQ6484" s="32" t="s">
        <v>7070</v>
      </c>
      <c r="AU6484">
        <v>6483</v>
      </c>
    </row>
    <row r="6485" spans="1:47" x14ac:dyDescent="0.2">
      <c r="A6485" s="13">
        <v>6843</v>
      </c>
      <c r="B6485" s="57" t="s">
        <v>45</v>
      </c>
      <c r="C6485" s="57" t="s">
        <v>4179</v>
      </c>
      <c r="D6485" s="29"/>
      <c r="E6485" s="57" t="s">
        <v>7238</v>
      </c>
      <c r="F6485" s="31" t="s">
        <v>3183</v>
      </c>
      <c r="G6485" s="47" t="s">
        <v>49</v>
      </c>
      <c r="K6485" s="31">
        <v>8250</v>
      </c>
      <c r="Z6485" s="31" t="s">
        <v>3814</v>
      </c>
      <c r="AE6485" s="31" t="s">
        <v>5034</v>
      </c>
      <c r="AF6485" s="31">
        <v>110</v>
      </c>
      <c r="AK6485" s="32">
        <v>80</v>
      </c>
      <c r="AQ6485" s="32" t="s">
        <v>7132</v>
      </c>
      <c r="AU6485">
        <v>6484</v>
      </c>
    </row>
    <row r="6486" spans="1:47" x14ac:dyDescent="0.2">
      <c r="A6486" s="13">
        <v>6843</v>
      </c>
      <c r="B6486" s="57" t="s">
        <v>45</v>
      </c>
      <c r="C6486" s="57" t="s">
        <v>4179</v>
      </c>
      <c r="D6486" s="29"/>
      <c r="E6486" s="57" t="s">
        <v>3884</v>
      </c>
      <c r="F6486" s="31" t="s">
        <v>76</v>
      </c>
      <c r="G6486" s="47" t="s">
        <v>49</v>
      </c>
      <c r="K6486" s="31">
        <v>4290</v>
      </c>
      <c r="Z6486" s="31" t="s">
        <v>3814</v>
      </c>
      <c r="AE6486" s="31" t="s">
        <v>5034</v>
      </c>
      <c r="AF6486" s="31">
        <v>125</v>
      </c>
      <c r="AK6486" s="32">
        <v>42</v>
      </c>
      <c r="AQ6486" s="32" t="s">
        <v>7132</v>
      </c>
      <c r="AU6486">
        <v>6485</v>
      </c>
    </row>
    <row r="6487" spans="1:47" x14ac:dyDescent="0.2">
      <c r="A6487" s="13">
        <v>6843</v>
      </c>
      <c r="B6487" s="57" t="s">
        <v>45</v>
      </c>
      <c r="C6487" s="57" t="s">
        <v>4179</v>
      </c>
      <c r="D6487" s="29"/>
      <c r="E6487" s="57" t="s">
        <v>7239</v>
      </c>
      <c r="F6487" s="31" t="s">
        <v>83</v>
      </c>
      <c r="G6487" s="47" t="s">
        <v>69</v>
      </c>
      <c r="K6487" s="31">
        <v>1100</v>
      </c>
      <c r="Z6487" s="31" t="s">
        <v>3814</v>
      </c>
      <c r="AE6487" s="31" t="s">
        <v>5034</v>
      </c>
      <c r="AF6487" s="31">
        <v>110</v>
      </c>
      <c r="AK6487" s="32">
        <v>10</v>
      </c>
      <c r="AQ6487" s="32" t="s">
        <v>7132</v>
      </c>
      <c r="AU6487">
        <v>6486</v>
      </c>
    </row>
    <row r="6488" spans="1:47" x14ac:dyDescent="0.2">
      <c r="A6488" s="13">
        <v>6843</v>
      </c>
      <c r="B6488" s="57" t="s">
        <v>45</v>
      </c>
      <c r="C6488" s="57" t="s">
        <v>5860</v>
      </c>
      <c r="D6488" s="29"/>
      <c r="E6488" s="57" t="s">
        <v>7240</v>
      </c>
      <c r="F6488" s="31" t="s">
        <v>3637</v>
      </c>
      <c r="G6488" s="47" t="s">
        <v>69</v>
      </c>
      <c r="K6488" s="31">
        <v>3047</v>
      </c>
      <c r="AE6488" s="31" t="s">
        <v>7241</v>
      </c>
      <c r="AF6488" s="31">
        <v>65</v>
      </c>
      <c r="AK6488" s="32">
        <v>30</v>
      </c>
      <c r="AQ6488" s="32" t="s">
        <v>7132</v>
      </c>
      <c r="AU6488">
        <v>6487</v>
      </c>
    </row>
    <row r="6489" spans="1:47" x14ac:dyDescent="0.2">
      <c r="A6489" s="13">
        <v>6843</v>
      </c>
      <c r="B6489" s="57" t="s">
        <v>45</v>
      </c>
      <c r="C6489" s="57" t="s">
        <v>5860</v>
      </c>
      <c r="D6489" s="29"/>
      <c r="E6489" s="57" t="s">
        <v>3635</v>
      </c>
      <c r="F6489" s="31" t="s">
        <v>76</v>
      </c>
      <c r="G6489" s="47" t="s">
        <v>49</v>
      </c>
      <c r="K6489" s="31">
        <v>1210</v>
      </c>
      <c r="AE6489" s="31" t="s">
        <v>7241</v>
      </c>
      <c r="AK6489" s="32">
        <v>7</v>
      </c>
      <c r="AQ6489" s="32" t="s">
        <v>7132</v>
      </c>
      <c r="AU6489">
        <v>6488</v>
      </c>
    </row>
    <row r="6490" spans="1:47" x14ac:dyDescent="0.2">
      <c r="A6490" s="13">
        <v>6843</v>
      </c>
      <c r="B6490" s="57" t="s">
        <v>45</v>
      </c>
      <c r="C6490" s="57" t="s">
        <v>5860</v>
      </c>
      <c r="D6490" s="29"/>
      <c r="E6490" s="57" t="s">
        <v>3816</v>
      </c>
      <c r="F6490" s="31" t="s">
        <v>76</v>
      </c>
      <c r="G6490" s="47" t="s">
        <v>49</v>
      </c>
      <c r="K6490" s="31">
        <v>550</v>
      </c>
      <c r="AE6490" s="31" t="s">
        <v>7241</v>
      </c>
      <c r="AF6490" s="31">
        <v>115</v>
      </c>
      <c r="AK6490" s="32">
        <v>3</v>
      </c>
      <c r="AQ6490" s="32" t="s">
        <v>7132</v>
      </c>
      <c r="AU6490">
        <v>6489</v>
      </c>
    </row>
    <row r="6491" spans="1:47" x14ac:dyDescent="0.2">
      <c r="A6491" s="13">
        <v>6843</v>
      </c>
      <c r="B6491" s="57" t="s">
        <v>45</v>
      </c>
      <c r="C6491" s="57" t="s">
        <v>5860</v>
      </c>
      <c r="D6491" s="29"/>
      <c r="E6491" s="57" t="s">
        <v>3950</v>
      </c>
      <c r="F6491" s="31" t="s">
        <v>3183</v>
      </c>
      <c r="G6491" s="47" t="s">
        <v>49</v>
      </c>
      <c r="K6491" s="31">
        <v>550</v>
      </c>
      <c r="AE6491" s="31" t="s">
        <v>7241</v>
      </c>
      <c r="AK6491" s="32">
        <v>3</v>
      </c>
      <c r="AQ6491" s="32" t="s">
        <v>7132</v>
      </c>
      <c r="AU6491">
        <v>6490</v>
      </c>
    </row>
    <row r="6492" spans="1:47" x14ac:dyDescent="0.2">
      <c r="A6492" s="13">
        <v>6843</v>
      </c>
      <c r="B6492" s="57" t="s">
        <v>45</v>
      </c>
      <c r="C6492" s="57" t="s">
        <v>5860</v>
      </c>
      <c r="D6492" s="29"/>
      <c r="E6492" s="57" t="s">
        <v>3949</v>
      </c>
      <c r="K6492" s="31">
        <v>440</v>
      </c>
      <c r="AE6492" s="31" t="s">
        <v>7241</v>
      </c>
      <c r="AF6492" s="31">
        <v>75</v>
      </c>
      <c r="AK6492" s="32">
        <v>4</v>
      </c>
      <c r="AQ6492" s="32" t="s">
        <v>7132</v>
      </c>
      <c r="AU6492">
        <v>6491</v>
      </c>
    </row>
    <row r="6493" spans="1:47" x14ac:dyDescent="0.2">
      <c r="A6493" s="13">
        <v>6843</v>
      </c>
      <c r="B6493" s="57" t="s">
        <v>45</v>
      </c>
      <c r="C6493" s="57" t="s">
        <v>5860</v>
      </c>
      <c r="D6493" s="29"/>
      <c r="E6493" s="57" t="s">
        <v>1397</v>
      </c>
      <c r="F6493" s="31" t="s">
        <v>76</v>
      </c>
      <c r="I6493" s="31" t="s">
        <v>7136</v>
      </c>
      <c r="K6493" s="63"/>
      <c r="AE6493" s="31" t="s">
        <v>7241</v>
      </c>
      <c r="AF6493" s="31">
        <v>65</v>
      </c>
      <c r="AQ6493" s="32" t="s">
        <v>7132</v>
      </c>
      <c r="AU6493">
        <v>6492</v>
      </c>
    </row>
    <row r="6494" spans="1:47" x14ac:dyDescent="0.2">
      <c r="A6494" s="13">
        <v>6843</v>
      </c>
      <c r="B6494" s="57" t="s">
        <v>45</v>
      </c>
      <c r="C6494" s="57" t="s">
        <v>5860</v>
      </c>
      <c r="D6494" s="29"/>
      <c r="E6494" s="57" t="s">
        <v>4182</v>
      </c>
      <c r="F6494" s="31" t="s">
        <v>76</v>
      </c>
      <c r="I6494" s="31" t="s">
        <v>7242</v>
      </c>
      <c r="K6494" s="63"/>
      <c r="AE6494" s="31" t="s">
        <v>7241</v>
      </c>
      <c r="AF6494" s="31">
        <v>85</v>
      </c>
      <c r="AQ6494" s="32" t="s">
        <v>7132</v>
      </c>
      <c r="AU6494">
        <v>6493</v>
      </c>
    </row>
    <row r="6495" spans="1:47" x14ac:dyDescent="0.2">
      <c r="A6495" s="13">
        <v>6843</v>
      </c>
      <c r="B6495" s="57" t="s">
        <v>45</v>
      </c>
      <c r="C6495" s="57" t="s">
        <v>7243</v>
      </c>
      <c r="D6495" s="29"/>
      <c r="E6495" s="57" t="s">
        <v>3936</v>
      </c>
      <c r="F6495" s="31" t="s">
        <v>76</v>
      </c>
      <c r="G6495" s="31" t="s">
        <v>49</v>
      </c>
      <c r="K6495" s="31">
        <v>3256</v>
      </c>
      <c r="S6495" s="33">
        <v>5</v>
      </c>
      <c r="Z6495" s="31" t="s">
        <v>3855</v>
      </c>
      <c r="AE6495" s="31" t="s">
        <v>4217</v>
      </c>
      <c r="AF6495" s="31">
        <v>65</v>
      </c>
      <c r="AK6495" s="32">
        <v>24</v>
      </c>
      <c r="AQ6495" s="32" t="s">
        <v>7070</v>
      </c>
      <c r="AU6495">
        <v>6494</v>
      </c>
    </row>
    <row r="6496" spans="1:47" x14ac:dyDescent="0.2">
      <c r="A6496" s="13">
        <v>6843</v>
      </c>
      <c r="B6496" s="57" t="s">
        <v>45</v>
      </c>
      <c r="C6496" s="57" t="s">
        <v>7243</v>
      </c>
      <c r="D6496" s="29"/>
      <c r="E6496" s="57" t="s">
        <v>3875</v>
      </c>
      <c r="F6496" s="31" t="s">
        <v>76</v>
      </c>
      <c r="G6496" s="31" t="s">
        <v>49</v>
      </c>
      <c r="K6496" s="31">
        <v>660</v>
      </c>
      <c r="S6496" s="33">
        <v>1</v>
      </c>
      <c r="Z6496" s="31" t="s">
        <v>3855</v>
      </c>
      <c r="AE6496" s="31" t="s">
        <v>4217</v>
      </c>
      <c r="AF6496" s="31">
        <v>60</v>
      </c>
      <c r="AK6496" s="32">
        <v>6</v>
      </c>
      <c r="AQ6496" s="32" t="s">
        <v>7070</v>
      </c>
      <c r="AU6496">
        <v>6495</v>
      </c>
    </row>
    <row r="6497" spans="1:47" x14ac:dyDescent="0.2">
      <c r="A6497" s="26">
        <v>6843</v>
      </c>
      <c r="B6497" s="27">
        <v>0.19791666666666666</v>
      </c>
      <c r="C6497" s="28"/>
      <c r="D6497" s="29"/>
      <c r="E6497" s="30" t="s">
        <v>4219</v>
      </c>
      <c r="H6497" s="32">
        <v>0</v>
      </c>
      <c r="I6497" s="32" t="s">
        <v>7244</v>
      </c>
      <c r="AG6497" s="32">
        <v>0</v>
      </c>
      <c r="AH6497" s="32">
        <v>0</v>
      </c>
      <c r="AI6497" s="32">
        <v>0</v>
      </c>
      <c r="AK6497" s="32">
        <v>0</v>
      </c>
      <c r="AL6497" s="32">
        <v>0.33300000000000002</v>
      </c>
      <c r="AO6497" s="32" t="s">
        <v>858</v>
      </c>
      <c r="AP6497" s="32">
        <v>0.33300000000000002</v>
      </c>
      <c r="AQ6497" s="32" t="s">
        <v>1101</v>
      </c>
      <c r="AU6497">
        <v>6496</v>
      </c>
    </row>
    <row r="6498" spans="1:47" x14ac:dyDescent="0.2">
      <c r="A6498" s="26">
        <v>6843</v>
      </c>
      <c r="B6498" s="27">
        <v>0.42083333333333334</v>
      </c>
      <c r="C6498" s="28"/>
      <c r="D6498" s="29"/>
      <c r="E6498" s="30" t="s">
        <v>3737</v>
      </c>
      <c r="H6498" s="32">
        <v>1</v>
      </c>
      <c r="I6498" s="32" t="s">
        <v>7245</v>
      </c>
      <c r="AG6498" s="32">
        <v>0</v>
      </c>
      <c r="AH6498" s="32">
        <v>2</v>
      </c>
      <c r="AI6498" s="32">
        <v>75545</v>
      </c>
      <c r="AK6498" s="32">
        <v>11</v>
      </c>
      <c r="AL6498" s="32">
        <f>39/60</f>
        <v>0.65</v>
      </c>
      <c r="AP6498" s="32">
        <f>39/60</f>
        <v>0.65</v>
      </c>
      <c r="AQ6498" s="32" t="s">
        <v>7246</v>
      </c>
      <c r="AU6498">
        <v>6497</v>
      </c>
    </row>
    <row r="6499" spans="1:47" x14ac:dyDescent="0.2">
      <c r="A6499" s="26">
        <v>6843</v>
      </c>
      <c r="B6499" s="27">
        <v>0.4236111111111111</v>
      </c>
      <c r="C6499" s="28"/>
      <c r="D6499" s="29"/>
      <c r="E6499" s="30" t="s">
        <v>869</v>
      </c>
      <c r="H6499" s="32">
        <v>0</v>
      </c>
      <c r="I6499" s="32" t="s">
        <v>7247</v>
      </c>
      <c r="AG6499" s="32">
        <v>0</v>
      </c>
      <c r="AH6499" s="32">
        <v>0</v>
      </c>
      <c r="AI6499" s="32">
        <v>0</v>
      </c>
      <c r="AK6499" s="32">
        <v>0</v>
      </c>
      <c r="AL6499" s="32">
        <f>63/60</f>
        <v>1.05</v>
      </c>
      <c r="AP6499" s="32">
        <f>63/60</f>
        <v>1.05</v>
      </c>
      <c r="AQ6499" s="32" t="s">
        <v>589</v>
      </c>
      <c r="AU6499">
        <v>6498</v>
      </c>
    </row>
    <row r="6500" spans="1:47" x14ac:dyDescent="0.2">
      <c r="A6500" s="26">
        <v>6843</v>
      </c>
      <c r="B6500" s="27">
        <v>0.43125000000000002</v>
      </c>
      <c r="C6500" s="28"/>
      <c r="D6500" s="29"/>
      <c r="E6500" s="30" t="s">
        <v>3155</v>
      </c>
      <c r="H6500" s="32">
        <v>0</v>
      </c>
      <c r="I6500" s="32" t="s">
        <v>3156</v>
      </c>
      <c r="AG6500" s="32">
        <v>0</v>
      </c>
      <c r="AH6500" s="32">
        <v>0</v>
      </c>
      <c r="AI6500" s="32">
        <v>0</v>
      </c>
      <c r="AK6500" s="32">
        <v>0</v>
      </c>
      <c r="AP6500" s="32">
        <f>153/60</f>
        <v>2.5499999999999998</v>
      </c>
      <c r="AQ6500" s="32" t="s">
        <v>1101</v>
      </c>
      <c r="AU6500">
        <v>6499</v>
      </c>
    </row>
    <row r="6501" spans="1:47" x14ac:dyDescent="0.2">
      <c r="A6501" s="26">
        <v>6843</v>
      </c>
      <c r="B6501" s="27">
        <v>0.45416666666666666</v>
      </c>
      <c r="C6501" s="28"/>
      <c r="D6501" s="29"/>
      <c r="E6501" s="30" t="s">
        <v>3737</v>
      </c>
      <c r="H6501" s="32">
        <v>0</v>
      </c>
      <c r="I6501" s="32" t="s">
        <v>7248</v>
      </c>
      <c r="AG6501" s="32">
        <v>0</v>
      </c>
      <c r="AH6501" s="32">
        <v>0</v>
      </c>
      <c r="AI6501" s="32">
        <v>0</v>
      </c>
      <c r="AK6501" s="32">
        <v>0</v>
      </c>
      <c r="AL6501" s="32">
        <f>81/60</f>
        <v>1.35</v>
      </c>
      <c r="AM6501" s="33">
        <f>(3125+3691)*AL6501</f>
        <v>9201.6</v>
      </c>
      <c r="AP6501" s="32">
        <f>81/60</f>
        <v>1.35</v>
      </c>
      <c r="AQ6501" s="32" t="s">
        <v>1101</v>
      </c>
      <c r="AU6501">
        <v>6500</v>
      </c>
    </row>
    <row r="6502" spans="1:47" x14ac:dyDescent="0.2">
      <c r="A6502" s="26">
        <v>6843</v>
      </c>
      <c r="B6502" s="27">
        <v>0.88680555555555562</v>
      </c>
      <c r="C6502" s="28"/>
      <c r="D6502" s="29"/>
      <c r="E6502" s="30" t="s">
        <v>464</v>
      </c>
      <c r="H6502" s="32">
        <v>0</v>
      </c>
      <c r="I6502" s="32" t="s">
        <v>7249</v>
      </c>
      <c r="AG6502" s="32">
        <v>0</v>
      </c>
      <c r="AH6502" s="32">
        <v>0</v>
      </c>
      <c r="AL6502" s="32">
        <f>108/60</f>
        <v>1.8</v>
      </c>
      <c r="AO6502" s="32" t="s">
        <v>4067</v>
      </c>
      <c r="AP6502" s="32">
        <f>108/60</f>
        <v>1.8</v>
      </c>
      <c r="AQ6502" s="32" t="s">
        <v>1522</v>
      </c>
      <c r="AU6502">
        <v>6501</v>
      </c>
    </row>
    <row r="6503" spans="1:47" x14ac:dyDescent="0.2">
      <c r="A6503" s="26">
        <v>6843</v>
      </c>
      <c r="B6503" s="27">
        <v>0.98958333333333337</v>
      </c>
      <c r="C6503" s="28"/>
      <c r="D6503" s="29"/>
      <c r="E6503" s="30" t="s">
        <v>631</v>
      </c>
      <c r="H6503" s="32">
        <v>0</v>
      </c>
      <c r="I6503" s="32" t="s">
        <v>7250</v>
      </c>
      <c r="AG6503" s="32">
        <v>0</v>
      </c>
      <c r="AH6503" s="32">
        <v>0</v>
      </c>
      <c r="AI6503" s="32">
        <v>0</v>
      </c>
      <c r="AK6503" s="32">
        <v>0</v>
      </c>
      <c r="AL6503" s="32">
        <f>58/60</f>
        <v>0.96666666666666667</v>
      </c>
      <c r="AP6503" s="32">
        <f>58/60</f>
        <v>0.96666666666666667</v>
      </c>
      <c r="AQ6503" s="32">
        <v>465</v>
      </c>
      <c r="AU6503">
        <v>6502</v>
      </c>
    </row>
    <row r="6504" spans="1:47" x14ac:dyDescent="0.2">
      <c r="A6504" s="26">
        <v>6843</v>
      </c>
      <c r="B6504" s="27" t="s">
        <v>85</v>
      </c>
      <c r="C6504" s="28"/>
      <c r="D6504" s="29"/>
      <c r="E6504" s="30" t="s">
        <v>2478</v>
      </c>
      <c r="H6504" s="32">
        <v>1</v>
      </c>
      <c r="I6504" s="32" t="s">
        <v>7251</v>
      </c>
      <c r="AG6504" s="32">
        <v>1</v>
      </c>
      <c r="AH6504" s="32">
        <v>7</v>
      </c>
      <c r="AI6504" s="32">
        <f>200000+120000+86000+300000*320/1342</f>
        <v>477535.02235469449</v>
      </c>
      <c r="AK6504" s="32">
        <v>16</v>
      </c>
      <c r="AQ6504" s="32" t="s">
        <v>2496</v>
      </c>
      <c r="AU6504">
        <v>6503</v>
      </c>
    </row>
    <row r="6505" spans="1:47" x14ac:dyDescent="0.2">
      <c r="A6505" s="133">
        <v>6844</v>
      </c>
      <c r="B6505" s="39" t="s">
        <v>85</v>
      </c>
      <c r="C6505" s="39">
        <v>55</v>
      </c>
      <c r="D6505" s="29" t="b">
        <v>0</v>
      </c>
      <c r="E6505" s="39" t="s">
        <v>4027</v>
      </c>
      <c r="F6505" s="47" t="s">
        <v>2398</v>
      </c>
      <c r="G6505" s="47" t="s">
        <v>49</v>
      </c>
      <c r="H6505"/>
      <c r="I6505" s="47" t="b">
        <v>0</v>
      </c>
      <c r="J6505" s="47" t="b">
        <v>1</v>
      </c>
      <c r="K6505" s="47">
        <v>1374</v>
      </c>
      <c r="L6505" s="48">
        <v>12</v>
      </c>
      <c r="M6505" s="47">
        <v>0</v>
      </c>
      <c r="N6505" s="47">
        <v>6</v>
      </c>
      <c r="O6505" s="47">
        <v>0</v>
      </c>
      <c r="P6505" s="47">
        <v>0</v>
      </c>
      <c r="Q6505" s="47">
        <v>0</v>
      </c>
      <c r="R6505" s="47">
        <v>0</v>
      </c>
      <c r="S6505" s="48">
        <v>6</v>
      </c>
      <c r="T6505" s="47">
        <v>0</v>
      </c>
      <c r="U6505" s="47">
        <v>0</v>
      </c>
      <c r="V6505" s="47">
        <v>0</v>
      </c>
      <c r="W6505" s="47">
        <v>15000</v>
      </c>
      <c r="X6505" s="47">
        <v>1078</v>
      </c>
      <c r="Y6505" s="47" t="s">
        <v>51</v>
      </c>
      <c r="Z6505" s="47" t="s">
        <v>3618</v>
      </c>
      <c r="AA6505" s="49">
        <v>0.60416666666666663</v>
      </c>
      <c r="AB6505" s="49">
        <v>0.72222222222222221</v>
      </c>
      <c r="AC6505" s="49">
        <v>0.6875</v>
      </c>
      <c r="AD6505" s="50">
        <f>(AB6505-AA6505)*24</f>
        <v>2.8333333333333339</v>
      </c>
      <c r="AE6505" s="47" t="s">
        <v>5433</v>
      </c>
      <c r="AF6505" s="47">
        <v>90</v>
      </c>
      <c r="AG6505"/>
      <c r="AH6505"/>
      <c r="AI6505"/>
      <c r="AJ6505"/>
      <c r="AK6505">
        <v>7</v>
      </c>
      <c r="AL6505"/>
      <c r="AM6505"/>
      <c r="AN6505"/>
      <c r="AO6505"/>
      <c r="AP6505"/>
      <c r="AQ6505" t="s">
        <v>5434</v>
      </c>
      <c r="AU6505">
        <v>6504</v>
      </c>
    </row>
    <row r="6506" spans="1:47" x14ac:dyDescent="0.2">
      <c r="A6506" s="133">
        <v>6844</v>
      </c>
      <c r="B6506" s="39" t="s">
        <v>85</v>
      </c>
      <c r="C6506" s="39">
        <v>99</v>
      </c>
      <c r="D6506" s="29" t="b">
        <v>0</v>
      </c>
      <c r="E6506" s="39" t="s">
        <v>1168</v>
      </c>
      <c r="F6506" s="47" t="s">
        <v>2398</v>
      </c>
      <c r="G6506" s="47" t="s">
        <v>49</v>
      </c>
      <c r="H6506"/>
      <c r="I6506" s="47" t="b">
        <v>0</v>
      </c>
      <c r="J6506" s="47" t="b">
        <v>1</v>
      </c>
      <c r="K6506" s="47">
        <v>1362</v>
      </c>
      <c r="L6506" s="48">
        <v>10</v>
      </c>
      <c r="M6506" s="47">
        <v>0</v>
      </c>
      <c r="N6506" s="47">
        <v>2</v>
      </c>
      <c r="O6506" s="47">
        <v>1</v>
      </c>
      <c r="P6506" s="47">
        <v>0</v>
      </c>
      <c r="Q6506" s="47">
        <v>7</v>
      </c>
      <c r="R6506" s="47">
        <v>0</v>
      </c>
      <c r="S6506" s="48">
        <v>6</v>
      </c>
      <c r="T6506" s="47">
        <v>5</v>
      </c>
      <c r="U6506" s="47">
        <v>0</v>
      </c>
      <c r="V6506" s="47">
        <v>0</v>
      </c>
      <c r="W6506" s="47">
        <v>11000</v>
      </c>
      <c r="X6506" s="47">
        <v>1085</v>
      </c>
      <c r="Y6506" s="47" t="s">
        <v>120</v>
      </c>
      <c r="Z6506" s="47" t="s">
        <v>5139</v>
      </c>
      <c r="AA6506" s="49">
        <v>0.62847222222222221</v>
      </c>
      <c r="AB6506" s="49">
        <v>0.73611111111111116</v>
      </c>
      <c r="AC6506" s="49">
        <f>AVERAGE(AA6506:AB6506)</f>
        <v>0.68229166666666674</v>
      </c>
      <c r="AD6506" s="50">
        <f>(AB6506-AA6506)*24</f>
        <v>2.5833333333333348</v>
      </c>
      <c r="AE6506" s="47" t="s">
        <v>5433</v>
      </c>
      <c r="AF6506" s="47">
        <v>55</v>
      </c>
      <c r="AG6506"/>
      <c r="AH6506"/>
      <c r="AI6506"/>
      <c r="AJ6506"/>
      <c r="AK6506"/>
      <c r="AL6506"/>
      <c r="AM6506"/>
      <c r="AN6506"/>
      <c r="AO6506"/>
      <c r="AP6506"/>
      <c r="AQ6506" t="s">
        <v>2526</v>
      </c>
      <c r="AU6506">
        <v>6505</v>
      </c>
    </row>
    <row r="6507" spans="1:47" x14ac:dyDescent="0.2">
      <c r="A6507" s="133">
        <v>6844</v>
      </c>
      <c r="B6507" s="39" t="s">
        <v>85</v>
      </c>
      <c r="C6507" s="39">
        <v>104</v>
      </c>
      <c r="D6507" s="29" t="b">
        <v>0</v>
      </c>
      <c r="E6507" s="39" t="s">
        <v>1168</v>
      </c>
      <c r="F6507" s="47" t="s">
        <v>2398</v>
      </c>
      <c r="G6507" s="47" t="s">
        <v>49</v>
      </c>
      <c r="H6507"/>
      <c r="I6507" s="47" t="b">
        <v>0</v>
      </c>
      <c r="J6507" s="47" t="b">
        <v>1</v>
      </c>
      <c r="K6507" s="47">
        <v>2210</v>
      </c>
      <c r="L6507" s="48">
        <v>12</v>
      </c>
      <c r="M6507" s="47">
        <v>0</v>
      </c>
      <c r="N6507" s="47">
        <v>2</v>
      </c>
      <c r="O6507" s="47">
        <v>0</v>
      </c>
      <c r="P6507" s="47">
        <v>0</v>
      </c>
      <c r="Q6507" s="47">
        <v>0</v>
      </c>
      <c r="R6507" s="47">
        <v>0</v>
      </c>
      <c r="S6507" s="48">
        <v>9</v>
      </c>
      <c r="T6507" s="47">
        <v>1</v>
      </c>
      <c r="U6507" s="47">
        <v>0</v>
      </c>
      <c r="V6507" s="47">
        <v>0</v>
      </c>
      <c r="W6507" s="47">
        <v>11000</v>
      </c>
      <c r="X6507" s="47">
        <v>1080</v>
      </c>
      <c r="Y6507" s="47" t="s">
        <v>120</v>
      </c>
      <c r="Z6507" s="47" t="s">
        <v>5139</v>
      </c>
      <c r="AA6507" s="49">
        <v>0.59722222222222221</v>
      </c>
      <c r="AB6507" s="49">
        <v>0.69444444444444453</v>
      </c>
      <c r="AC6507" s="49">
        <v>0.66666666666666663</v>
      </c>
      <c r="AD6507" s="50">
        <f>(AB6507-AA6507)*24</f>
        <v>2.3333333333333357</v>
      </c>
      <c r="AE6507" s="47" t="s">
        <v>5433</v>
      </c>
      <c r="AF6507" s="47">
        <v>55</v>
      </c>
      <c r="AG6507"/>
      <c r="AH6507"/>
      <c r="AI6507"/>
      <c r="AJ6507"/>
      <c r="AK6507">
        <v>24</v>
      </c>
      <c r="AL6507"/>
      <c r="AM6507"/>
      <c r="AN6507"/>
      <c r="AO6507"/>
      <c r="AP6507"/>
      <c r="AQ6507" t="s">
        <v>5485</v>
      </c>
      <c r="AU6507">
        <v>6506</v>
      </c>
    </row>
    <row r="6508" spans="1:47" x14ac:dyDescent="0.2">
      <c r="A6508" s="37">
        <v>6844</v>
      </c>
      <c r="B6508" s="38" t="s">
        <v>85</v>
      </c>
      <c r="C6508" s="39" t="s">
        <v>5626</v>
      </c>
      <c r="D6508" s="45"/>
      <c r="E6508" s="144" t="s">
        <v>7252</v>
      </c>
      <c r="F6508" s="31" t="s">
        <v>6949</v>
      </c>
      <c r="G6508" s="47" t="s">
        <v>69</v>
      </c>
      <c r="I6508" s="31" t="s">
        <v>7253</v>
      </c>
      <c r="K6508" s="19"/>
      <c r="T6508" s="31">
        <v>0</v>
      </c>
      <c r="W6508" s="47">
        <f>1000*39.37/12</f>
        <v>3280.8333333333335</v>
      </c>
      <c r="Y6508" s="31" t="s">
        <v>120</v>
      </c>
      <c r="Z6508" s="31" t="s">
        <v>3724</v>
      </c>
      <c r="AA6508" s="34">
        <v>0.54166666666666663</v>
      </c>
      <c r="AC6508" s="205">
        <v>0.58333333333333337</v>
      </c>
      <c r="AD6508" s="31"/>
      <c r="AE6508" s="47" t="s">
        <v>7233</v>
      </c>
      <c r="AQ6508" t="s">
        <v>7254</v>
      </c>
      <c r="AU6508">
        <v>6507</v>
      </c>
    </row>
    <row r="6509" spans="1:47" x14ac:dyDescent="0.2">
      <c r="A6509" s="37">
        <v>6844</v>
      </c>
      <c r="B6509" s="38" t="s">
        <v>85</v>
      </c>
      <c r="C6509" s="39" t="s">
        <v>7255</v>
      </c>
      <c r="D6509" s="29"/>
      <c r="E6509" s="38" t="s">
        <v>7256</v>
      </c>
      <c r="F6509" s="137" t="s">
        <v>7257</v>
      </c>
      <c r="G6509" s="47" t="s">
        <v>69</v>
      </c>
      <c r="H6509"/>
      <c r="I6509" s="31" t="s">
        <v>7258</v>
      </c>
      <c r="J6509" s="47"/>
      <c r="K6509" s="47"/>
      <c r="L6509" s="48"/>
      <c r="M6509" s="47"/>
      <c r="N6509" s="47"/>
      <c r="O6509" s="47"/>
      <c r="P6509" s="47"/>
      <c r="Q6509" s="47"/>
      <c r="R6509" s="47"/>
      <c r="S6509" s="48"/>
      <c r="T6509" s="31">
        <v>0</v>
      </c>
      <c r="W6509" s="47">
        <f>1500*39.37/12</f>
        <v>4921.2499999999991</v>
      </c>
      <c r="Y6509" s="31" t="s">
        <v>120</v>
      </c>
      <c r="Z6509" s="31" t="s">
        <v>3724</v>
      </c>
      <c r="AA6509" s="34">
        <v>0.54166666666666663</v>
      </c>
      <c r="AB6509" s="49"/>
      <c r="AC6509" s="205">
        <v>0.58333333333333337</v>
      </c>
      <c r="AD6509" s="50"/>
      <c r="AE6509" s="47" t="s">
        <v>7259</v>
      </c>
      <c r="AF6509" s="47">
        <v>70</v>
      </c>
      <c r="AG6509"/>
      <c r="AH6509"/>
      <c r="AI6509"/>
      <c r="AJ6509"/>
      <c r="AK6509"/>
      <c r="AL6509"/>
      <c r="AM6509"/>
      <c r="AN6509"/>
      <c r="AO6509"/>
      <c r="AP6509"/>
      <c r="AQ6509" t="s">
        <v>7254</v>
      </c>
      <c r="AU6509">
        <v>6508</v>
      </c>
    </row>
    <row r="6510" spans="1:47" x14ac:dyDescent="0.2">
      <c r="A6510" s="37">
        <v>6844</v>
      </c>
      <c r="B6510" s="38" t="s">
        <v>85</v>
      </c>
      <c r="C6510" s="206" t="s">
        <v>7260</v>
      </c>
      <c r="D6510" s="29"/>
      <c r="E6510" s="38" t="s">
        <v>1347</v>
      </c>
      <c r="F6510" s="32"/>
      <c r="G6510" s="47"/>
      <c r="H6510"/>
      <c r="I6510" s="32" t="s">
        <v>7261</v>
      </c>
      <c r="J6510" s="47"/>
      <c r="K6510" s="47">
        <f>56*50*2.2</f>
        <v>6160.0000000000009</v>
      </c>
      <c r="L6510" s="48">
        <v>16</v>
      </c>
      <c r="M6510" s="47"/>
      <c r="N6510" s="47"/>
      <c r="O6510" s="47"/>
      <c r="P6510" s="47"/>
      <c r="Q6510" s="47"/>
      <c r="R6510" s="47"/>
      <c r="S6510" s="48">
        <v>14</v>
      </c>
      <c r="T6510" s="47">
        <v>5</v>
      </c>
      <c r="U6510" s="47"/>
      <c r="V6510" s="47"/>
      <c r="W6510" s="47">
        <v>14000</v>
      </c>
      <c r="X6510" s="47"/>
      <c r="Y6510" s="47" t="s">
        <v>120</v>
      </c>
      <c r="Z6510" s="47" t="s">
        <v>7262</v>
      </c>
      <c r="AA6510" s="49">
        <v>0.36805555555555558</v>
      </c>
      <c r="AB6510" s="49">
        <v>0.46527777777777773</v>
      </c>
      <c r="AC6510" s="49">
        <f>AVERAGE(AA6510:AB6510)</f>
        <v>0.41666666666666663</v>
      </c>
      <c r="AD6510" s="50">
        <f>(AB6510-AA6510)*24</f>
        <v>2.3333333333333317</v>
      </c>
      <c r="AE6510" s="47" t="s">
        <v>2743</v>
      </c>
      <c r="AF6510" s="47">
        <v>80</v>
      </c>
      <c r="AG6510"/>
      <c r="AH6510"/>
      <c r="AI6510"/>
      <c r="AJ6510"/>
      <c r="AK6510">
        <v>56</v>
      </c>
      <c r="AL6510"/>
      <c r="AM6510"/>
      <c r="AN6510"/>
      <c r="AO6510"/>
      <c r="AP6510"/>
      <c r="AQ6510" t="s">
        <v>7167</v>
      </c>
      <c r="AU6510">
        <v>6509</v>
      </c>
    </row>
    <row r="6511" spans="1:47" x14ac:dyDescent="0.2">
      <c r="A6511" s="37">
        <v>6844</v>
      </c>
      <c r="B6511" s="38" t="s">
        <v>85</v>
      </c>
      <c r="C6511" s="206" t="s">
        <v>7263</v>
      </c>
      <c r="D6511" s="29"/>
      <c r="E6511" s="38" t="s">
        <v>1404</v>
      </c>
      <c r="F6511" s="32"/>
      <c r="G6511" s="47"/>
      <c r="H6511"/>
      <c r="I6511" s="52" t="s">
        <v>7264</v>
      </c>
      <c r="J6511" s="47"/>
      <c r="K6511" s="47">
        <f>(16*50+1200)*2.2</f>
        <v>4400</v>
      </c>
      <c r="L6511" s="48">
        <f>8+6</f>
        <v>14</v>
      </c>
      <c r="M6511" s="47"/>
      <c r="N6511" s="47"/>
      <c r="O6511" s="47"/>
      <c r="P6511" s="47"/>
      <c r="Q6511" s="47"/>
      <c r="R6511" s="47"/>
      <c r="S6511" s="48">
        <f>8+6</f>
        <v>14</v>
      </c>
      <c r="T6511" s="47"/>
      <c r="U6511" s="47"/>
      <c r="V6511" s="47"/>
      <c r="W6511" s="47">
        <v>13000</v>
      </c>
      <c r="X6511" s="47"/>
      <c r="Y6511" s="47" t="s">
        <v>51</v>
      </c>
      <c r="Z6511" s="47" t="s">
        <v>3618</v>
      </c>
      <c r="AA6511" s="49">
        <v>0.64930555555555558</v>
      </c>
      <c r="AB6511" s="49">
        <v>0.72222222222222221</v>
      </c>
      <c r="AC6511" s="49">
        <f>AVERAGE(AA6511:AB6511)</f>
        <v>0.68576388888888884</v>
      </c>
      <c r="AD6511" s="50">
        <f>(AB6511-AA6511)*24</f>
        <v>1.7499999999999991</v>
      </c>
      <c r="AE6511" s="47" t="s">
        <v>2743</v>
      </c>
      <c r="AF6511" s="47">
        <v>65</v>
      </c>
      <c r="AG6511"/>
      <c r="AH6511"/>
      <c r="AI6511"/>
      <c r="AJ6511"/>
      <c r="AK6511">
        <v>24</v>
      </c>
      <c r="AL6511"/>
      <c r="AM6511"/>
      <c r="AN6511"/>
      <c r="AO6511"/>
      <c r="AP6511"/>
      <c r="AQ6511" t="s">
        <v>7167</v>
      </c>
      <c r="AU6511">
        <v>6510</v>
      </c>
    </row>
    <row r="6512" spans="1:47" x14ac:dyDescent="0.2">
      <c r="A6512" s="133">
        <v>6844</v>
      </c>
      <c r="B6512" s="39" t="s">
        <v>45</v>
      </c>
      <c r="C6512" s="39">
        <v>97</v>
      </c>
      <c r="D6512" s="29" t="b">
        <v>0</v>
      </c>
      <c r="E6512" s="39" t="s">
        <v>7265</v>
      </c>
      <c r="F6512" s="47" t="s">
        <v>2398</v>
      </c>
      <c r="G6512" s="47" t="s">
        <v>49</v>
      </c>
      <c r="H6512"/>
      <c r="I6512" s="47" t="b">
        <v>1</v>
      </c>
      <c r="J6512" s="47" t="b">
        <v>1</v>
      </c>
      <c r="K6512" s="47">
        <v>7355</v>
      </c>
      <c r="L6512" s="48">
        <v>6</v>
      </c>
      <c r="M6512" s="47">
        <v>0</v>
      </c>
      <c r="N6512" s="47">
        <v>1</v>
      </c>
      <c r="O6512" s="47">
        <v>0</v>
      </c>
      <c r="P6512" s="47">
        <v>0</v>
      </c>
      <c r="Q6512" s="47">
        <v>0</v>
      </c>
      <c r="R6512" s="47">
        <v>0</v>
      </c>
      <c r="S6512" s="48">
        <v>5</v>
      </c>
      <c r="T6512" s="47">
        <v>0</v>
      </c>
      <c r="U6512" s="47">
        <v>0</v>
      </c>
      <c r="V6512" s="47">
        <v>0</v>
      </c>
      <c r="W6512" s="47">
        <v>5000</v>
      </c>
      <c r="X6512" s="47">
        <v>1086</v>
      </c>
      <c r="Y6512" s="47"/>
      <c r="Z6512" s="47" t="s">
        <v>2466</v>
      </c>
      <c r="AA6512" s="49"/>
      <c r="AB6512" s="49"/>
      <c r="AC6512" s="49"/>
      <c r="AD6512" s="50"/>
      <c r="AE6512" s="47"/>
      <c r="AF6512" s="47"/>
      <c r="AG6512"/>
      <c r="AH6512"/>
      <c r="AI6512"/>
      <c r="AJ6512"/>
      <c r="AK6512"/>
      <c r="AL6512"/>
      <c r="AM6512"/>
      <c r="AN6512"/>
      <c r="AO6512"/>
      <c r="AP6512"/>
      <c r="AQ6512" t="s">
        <v>2526</v>
      </c>
      <c r="AU6512">
        <v>6511</v>
      </c>
    </row>
    <row r="6513" spans="1:47" x14ac:dyDescent="0.2">
      <c r="A6513" s="133">
        <v>6844</v>
      </c>
      <c r="B6513" s="39" t="s">
        <v>45</v>
      </c>
      <c r="C6513" s="39">
        <v>97</v>
      </c>
      <c r="D6513" s="29" t="b">
        <v>0</v>
      </c>
      <c r="E6513" s="39" t="s">
        <v>4823</v>
      </c>
      <c r="F6513" s="47" t="s">
        <v>2398</v>
      </c>
      <c r="G6513" s="47" t="s">
        <v>49</v>
      </c>
      <c r="H6513"/>
      <c r="I6513" s="47" t="b">
        <v>0</v>
      </c>
      <c r="J6513" s="47" t="b">
        <v>0</v>
      </c>
      <c r="K6513" s="47">
        <v>1618</v>
      </c>
      <c r="L6513" s="48">
        <v>6</v>
      </c>
      <c r="M6513" s="47">
        <v>0</v>
      </c>
      <c r="N6513" s="47">
        <v>1</v>
      </c>
      <c r="O6513" s="47">
        <v>0</v>
      </c>
      <c r="P6513" s="47">
        <v>0</v>
      </c>
      <c r="Q6513" s="47">
        <v>0</v>
      </c>
      <c r="R6513" s="47">
        <v>0</v>
      </c>
      <c r="S6513" s="48">
        <v>1</v>
      </c>
      <c r="T6513" s="47">
        <v>0</v>
      </c>
      <c r="U6513" s="47">
        <v>0</v>
      </c>
      <c r="V6513" s="47">
        <v>0</v>
      </c>
      <c r="W6513" s="47">
        <v>5000</v>
      </c>
      <c r="X6513" s="47">
        <v>1082</v>
      </c>
      <c r="Y6513" s="47"/>
      <c r="Z6513" s="47" t="s">
        <v>2466</v>
      </c>
      <c r="AA6513" s="49"/>
      <c r="AB6513" s="49"/>
      <c r="AC6513" s="49"/>
      <c r="AD6513" s="50"/>
      <c r="AE6513" s="47"/>
      <c r="AF6513" s="47"/>
      <c r="AG6513"/>
      <c r="AH6513"/>
      <c r="AI6513"/>
      <c r="AJ6513"/>
      <c r="AK6513"/>
      <c r="AL6513"/>
      <c r="AM6513"/>
      <c r="AN6513"/>
      <c r="AO6513"/>
      <c r="AP6513"/>
      <c r="AQ6513" t="s">
        <v>2526</v>
      </c>
      <c r="AU6513">
        <v>6512</v>
      </c>
    </row>
    <row r="6514" spans="1:47" x14ac:dyDescent="0.2">
      <c r="A6514" s="133">
        <v>6844</v>
      </c>
      <c r="B6514" s="39" t="s">
        <v>45</v>
      </c>
      <c r="C6514" s="39">
        <v>97</v>
      </c>
      <c r="D6514" s="29" t="b">
        <v>0</v>
      </c>
      <c r="E6514" s="39" t="s">
        <v>5670</v>
      </c>
      <c r="F6514" s="47" t="s">
        <v>7266</v>
      </c>
      <c r="G6514" s="47" t="s">
        <v>49</v>
      </c>
      <c r="H6514"/>
      <c r="I6514" s="47" t="b">
        <v>0</v>
      </c>
      <c r="J6514" s="47" t="b">
        <v>0</v>
      </c>
      <c r="K6514" s="47">
        <v>1344</v>
      </c>
      <c r="L6514" s="48">
        <v>6</v>
      </c>
      <c r="M6514" s="47">
        <v>0</v>
      </c>
      <c r="N6514" s="47">
        <v>1</v>
      </c>
      <c r="O6514" s="47">
        <v>0</v>
      </c>
      <c r="P6514" s="47">
        <v>0</v>
      </c>
      <c r="Q6514" s="47">
        <v>0</v>
      </c>
      <c r="R6514" s="47">
        <v>0</v>
      </c>
      <c r="S6514" s="48">
        <v>3</v>
      </c>
      <c r="T6514" s="47">
        <v>0</v>
      </c>
      <c r="U6514" s="47">
        <v>0</v>
      </c>
      <c r="V6514" s="47">
        <v>0</v>
      </c>
      <c r="W6514" s="47">
        <v>5000</v>
      </c>
      <c r="X6514" s="47">
        <v>1084</v>
      </c>
      <c r="Y6514" s="47"/>
      <c r="Z6514" s="47" t="s">
        <v>2466</v>
      </c>
      <c r="AA6514" s="49"/>
      <c r="AB6514" s="49"/>
      <c r="AC6514" s="49"/>
      <c r="AD6514" s="50"/>
      <c r="AE6514" s="47"/>
      <c r="AF6514" s="47"/>
      <c r="AG6514"/>
      <c r="AH6514"/>
      <c r="AI6514"/>
      <c r="AJ6514"/>
      <c r="AK6514"/>
      <c r="AL6514"/>
      <c r="AM6514"/>
      <c r="AN6514"/>
      <c r="AO6514"/>
      <c r="AP6514"/>
      <c r="AQ6514" t="s">
        <v>2526</v>
      </c>
      <c r="AU6514">
        <v>6513</v>
      </c>
    </row>
    <row r="6515" spans="1:47" x14ac:dyDescent="0.2">
      <c r="A6515" s="133">
        <v>6844</v>
      </c>
      <c r="B6515" s="39" t="s">
        <v>45</v>
      </c>
      <c r="C6515" s="39">
        <v>97</v>
      </c>
      <c r="D6515" s="29" t="b">
        <v>0</v>
      </c>
      <c r="E6515" s="39" t="s">
        <v>1168</v>
      </c>
      <c r="F6515" s="47" t="s">
        <v>2398</v>
      </c>
      <c r="G6515" s="47" t="s">
        <v>49</v>
      </c>
      <c r="H6515"/>
      <c r="I6515" s="47" t="b">
        <v>0</v>
      </c>
      <c r="J6515" s="47" t="b">
        <v>0</v>
      </c>
      <c r="K6515" s="47">
        <v>4393</v>
      </c>
      <c r="L6515" s="48">
        <v>6</v>
      </c>
      <c r="M6515" s="47">
        <v>0</v>
      </c>
      <c r="N6515" s="47">
        <v>1</v>
      </c>
      <c r="O6515" s="47">
        <v>0</v>
      </c>
      <c r="P6515" s="47">
        <v>0</v>
      </c>
      <c r="Q6515" s="47">
        <v>0</v>
      </c>
      <c r="R6515" s="47">
        <v>0</v>
      </c>
      <c r="S6515" s="48">
        <v>3</v>
      </c>
      <c r="T6515" s="47">
        <v>0</v>
      </c>
      <c r="U6515" s="47">
        <v>0</v>
      </c>
      <c r="V6515" s="47">
        <v>0</v>
      </c>
      <c r="W6515" s="47">
        <v>5000</v>
      </c>
      <c r="X6515" s="47">
        <v>1087</v>
      </c>
      <c r="Y6515" s="47"/>
      <c r="Z6515" s="47" t="s">
        <v>2466</v>
      </c>
      <c r="AA6515" s="49"/>
      <c r="AB6515" s="49"/>
      <c r="AC6515" s="49"/>
      <c r="AD6515" s="50"/>
      <c r="AE6515" s="47"/>
      <c r="AF6515" s="47"/>
      <c r="AG6515"/>
      <c r="AH6515"/>
      <c r="AI6515"/>
      <c r="AJ6515"/>
      <c r="AK6515"/>
      <c r="AL6515"/>
      <c r="AM6515"/>
      <c r="AN6515"/>
      <c r="AO6515"/>
      <c r="AP6515"/>
      <c r="AQ6515" t="s">
        <v>2526</v>
      </c>
      <c r="AU6515">
        <v>6514</v>
      </c>
    </row>
    <row r="6516" spans="1:47" x14ac:dyDescent="0.2">
      <c r="A6516" s="133">
        <v>6844</v>
      </c>
      <c r="B6516" s="39" t="s">
        <v>45</v>
      </c>
      <c r="C6516" s="39">
        <v>100</v>
      </c>
      <c r="D6516" s="29" t="b">
        <v>0</v>
      </c>
      <c r="E6516" s="39" t="s">
        <v>5116</v>
      </c>
      <c r="F6516" s="47" t="s">
        <v>7267</v>
      </c>
      <c r="G6516" s="47" t="s">
        <v>49</v>
      </c>
      <c r="H6516"/>
      <c r="I6516" s="47" t="b">
        <v>1</v>
      </c>
      <c r="J6516" s="47" t="b">
        <v>1</v>
      </c>
      <c r="K6516" s="47">
        <v>3238</v>
      </c>
      <c r="L6516" s="48">
        <v>2</v>
      </c>
      <c r="M6516" s="47">
        <v>0</v>
      </c>
      <c r="N6516" s="47">
        <v>0</v>
      </c>
      <c r="O6516" s="47">
        <v>0</v>
      </c>
      <c r="P6516" s="47">
        <v>0</v>
      </c>
      <c r="Q6516" s="47">
        <v>0</v>
      </c>
      <c r="R6516" s="47">
        <v>0</v>
      </c>
      <c r="S6516" s="48">
        <v>2</v>
      </c>
      <c r="T6516" s="47">
        <v>0</v>
      </c>
      <c r="U6516" s="47">
        <v>0</v>
      </c>
      <c r="V6516" s="47">
        <v>0</v>
      </c>
      <c r="W6516" s="47">
        <v>4700</v>
      </c>
      <c r="X6516" s="47">
        <v>1096</v>
      </c>
      <c r="Y6516" s="47"/>
      <c r="Z6516" s="47" t="s">
        <v>2466</v>
      </c>
      <c r="AA6516" s="49"/>
      <c r="AB6516" s="49"/>
      <c r="AC6516" s="49"/>
      <c r="AD6516" s="50"/>
      <c r="AE6516" s="47" t="s">
        <v>6445</v>
      </c>
      <c r="AF6516" s="47">
        <v>105</v>
      </c>
      <c r="AG6516"/>
      <c r="AH6516"/>
      <c r="AI6516"/>
      <c r="AJ6516"/>
      <c r="AK6516"/>
      <c r="AL6516"/>
      <c r="AM6516"/>
      <c r="AN6516"/>
      <c r="AO6516"/>
      <c r="AP6516"/>
      <c r="AQ6516" t="s">
        <v>2526</v>
      </c>
      <c r="AU6516">
        <v>6515</v>
      </c>
    </row>
    <row r="6517" spans="1:47" x14ac:dyDescent="0.2">
      <c r="A6517" s="133">
        <v>6844</v>
      </c>
      <c r="B6517" s="39" t="s">
        <v>45</v>
      </c>
      <c r="C6517" s="39">
        <v>100</v>
      </c>
      <c r="D6517" s="29" t="b">
        <v>0</v>
      </c>
      <c r="E6517" s="39" t="s">
        <v>1764</v>
      </c>
      <c r="F6517" s="47" t="s">
        <v>7266</v>
      </c>
      <c r="G6517" s="47" t="s">
        <v>49</v>
      </c>
      <c r="H6517"/>
      <c r="I6517" s="47" t="b">
        <v>0</v>
      </c>
      <c r="J6517" s="47" t="b">
        <v>0</v>
      </c>
      <c r="K6517" s="47">
        <v>1446</v>
      </c>
      <c r="L6517" s="48">
        <v>1</v>
      </c>
      <c r="M6517" s="47">
        <v>0</v>
      </c>
      <c r="N6517" s="47">
        <v>0</v>
      </c>
      <c r="O6517" s="47">
        <v>0</v>
      </c>
      <c r="P6517" s="47">
        <v>0</v>
      </c>
      <c r="Q6517" s="47">
        <v>0</v>
      </c>
      <c r="R6517" s="47">
        <v>0</v>
      </c>
      <c r="S6517" s="48">
        <v>1</v>
      </c>
      <c r="T6517" s="47">
        <v>0</v>
      </c>
      <c r="U6517" s="47">
        <v>0</v>
      </c>
      <c r="V6517" s="47">
        <v>0</v>
      </c>
      <c r="W6517" s="47">
        <v>4700</v>
      </c>
      <c r="X6517" s="47">
        <v>1077</v>
      </c>
      <c r="Y6517" s="47"/>
      <c r="Z6517" s="47" t="s">
        <v>2466</v>
      </c>
      <c r="AA6517" s="49"/>
      <c r="AB6517" s="49"/>
      <c r="AC6517" s="49"/>
      <c r="AD6517" s="50"/>
      <c r="AE6517" s="47" t="s">
        <v>6445</v>
      </c>
      <c r="AF6517" s="47">
        <v>105</v>
      </c>
      <c r="AG6517"/>
      <c r="AH6517"/>
      <c r="AI6517"/>
      <c r="AJ6517"/>
      <c r="AK6517"/>
      <c r="AL6517"/>
      <c r="AM6517"/>
      <c r="AN6517"/>
      <c r="AO6517"/>
      <c r="AP6517"/>
      <c r="AQ6517" t="s">
        <v>2526</v>
      </c>
      <c r="AU6517">
        <v>6516</v>
      </c>
    </row>
    <row r="6518" spans="1:47" x14ac:dyDescent="0.2">
      <c r="A6518" s="133">
        <v>6844</v>
      </c>
      <c r="B6518" s="39" t="s">
        <v>45</v>
      </c>
      <c r="C6518" s="39">
        <v>100</v>
      </c>
      <c r="D6518" s="29" t="b">
        <v>0</v>
      </c>
      <c r="E6518" s="39" t="s">
        <v>1168</v>
      </c>
      <c r="F6518" s="47" t="s">
        <v>2398</v>
      </c>
      <c r="G6518" s="47" t="s">
        <v>49</v>
      </c>
      <c r="H6518"/>
      <c r="I6518" s="47" t="b">
        <v>0</v>
      </c>
      <c r="J6518" s="47" t="b">
        <v>0</v>
      </c>
      <c r="K6518" s="47">
        <v>1792</v>
      </c>
      <c r="L6518" s="48">
        <v>1</v>
      </c>
      <c r="M6518" s="47">
        <v>0</v>
      </c>
      <c r="N6518" s="47">
        <v>0</v>
      </c>
      <c r="O6518" s="47">
        <v>0</v>
      </c>
      <c r="P6518" s="47">
        <v>0</v>
      </c>
      <c r="Q6518" s="47">
        <v>0</v>
      </c>
      <c r="R6518" s="47">
        <v>0</v>
      </c>
      <c r="S6518" s="48">
        <v>1</v>
      </c>
      <c r="T6518" s="47">
        <v>0</v>
      </c>
      <c r="U6518" s="47">
        <v>0</v>
      </c>
      <c r="V6518" s="47">
        <v>0</v>
      </c>
      <c r="W6518" s="47">
        <v>4700</v>
      </c>
      <c r="X6518" s="47">
        <v>1079</v>
      </c>
      <c r="Y6518" s="47"/>
      <c r="Z6518" s="47" t="s">
        <v>2466</v>
      </c>
      <c r="AA6518" s="49"/>
      <c r="AB6518" s="49"/>
      <c r="AC6518" s="49"/>
      <c r="AD6518" s="50"/>
      <c r="AE6518" s="47" t="s">
        <v>6445</v>
      </c>
      <c r="AF6518" s="47">
        <v>80</v>
      </c>
      <c r="AG6518"/>
      <c r="AH6518"/>
      <c r="AI6518"/>
      <c r="AJ6518"/>
      <c r="AK6518"/>
      <c r="AL6518"/>
      <c r="AM6518"/>
      <c r="AN6518"/>
      <c r="AO6518"/>
      <c r="AP6518"/>
      <c r="AQ6518" t="s">
        <v>2526</v>
      </c>
      <c r="AU6518">
        <v>6517</v>
      </c>
    </row>
    <row r="6519" spans="1:47" x14ac:dyDescent="0.2">
      <c r="A6519" s="133">
        <v>6844</v>
      </c>
      <c r="B6519" s="39" t="s">
        <v>45</v>
      </c>
      <c r="C6519" s="39">
        <v>115</v>
      </c>
      <c r="D6519" s="29" t="b">
        <v>0</v>
      </c>
      <c r="E6519" s="39" t="s">
        <v>7268</v>
      </c>
      <c r="F6519" s="47" t="s">
        <v>7269</v>
      </c>
      <c r="G6519" s="47" t="s">
        <v>49</v>
      </c>
      <c r="H6519"/>
      <c r="I6519" s="47" t="b">
        <v>1</v>
      </c>
      <c r="J6519" s="47" t="b">
        <v>1</v>
      </c>
      <c r="K6519" s="47">
        <v>3136</v>
      </c>
      <c r="L6519" s="48">
        <v>4</v>
      </c>
      <c r="M6519" s="47">
        <v>1</v>
      </c>
      <c r="N6519" s="47">
        <v>1</v>
      </c>
      <c r="O6519" s="47">
        <v>0</v>
      </c>
      <c r="P6519" s="47">
        <v>0</v>
      </c>
      <c r="Q6519" s="47">
        <v>0</v>
      </c>
      <c r="R6519" s="47">
        <v>0</v>
      </c>
      <c r="S6519" s="48">
        <v>2</v>
      </c>
      <c r="T6519" s="47">
        <v>0</v>
      </c>
      <c r="U6519" s="47">
        <v>0</v>
      </c>
      <c r="V6519" s="47">
        <v>0</v>
      </c>
      <c r="W6519" s="47">
        <v>5500</v>
      </c>
      <c r="X6519" s="47">
        <v>1081</v>
      </c>
      <c r="Y6519" s="47"/>
      <c r="Z6519" s="47" t="s">
        <v>2466</v>
      </c>
      <c r="AA6519" s="49"/>
      <c r="AB6519" s="49"/>
      <c r="AC6519" s="49"/>
      <c r="AD6519" s="50"/>
      <c r="AE6519" s="47" t="s">
        <v>7118</v>
      </c>
      <c r="AF6519" s="47">
        <v>95</v>
      </c>
      <c r="AG6519"/>
      <c r="AH6519"/>
      <c r="AI6519"/>
      <c r="AJ6519"/>
      <c r="AK6519"/>
      <c r="AL6519"/>
      <c r="AM6519"/>
      <c r="AN6519"/>
      <c r="AO6519"/>
      <c r="AP6519"/>
      <c r="AQ6519" t="s">
        <v>2526</v>
      </c>
      <c r="AR6519" s="32" t="s">
        <v>7119</v>
      </c>
      <c r="AU6519">
        <v>6518</v>
      </c>
    </row>
    <row r="6520" spans="1:47" x14ac:dyDescent="0.2">
      <c r="A6520" s="133">
        <v>6844</v>
      </c>
      <c r="B6520" s="39" t="s">
        <v>45</v>
      </c>
      <c r="C6520" s="39">
        <v>115</v>
      </c>
      <c r="D6520" s="29" t="b">
        <v>0</v>
      </c>
      <c r="E6520" s="39" t="s">
        <v>1764</v>
      </c>
      <c r="F6520" s="47" t="s">
        <v>7186</v>
      </c>
      <c r="G6520" s="47" t="s">
        <v>73</v>
      </c>
      <c r="H6520"/>
      <c r="I6520" s="47" t="b">
        <v>0</v>
      </c>
      <c r="J6520" s="47" t="b">
        <v>0</v>
      </c>
      <c r="K6520" s="47">
        <v>112</v>
      </c>
      <c r="L6520" s="48">
        <v>4</v>
      </c>
      <c r="M6520" s="47">
        <v>1</v>
      </c>
      <c r="N6520" s="47">
        <v>1</v>
      </c>
      <c r="O6520" s="47">
        <v>0</v>
      </c>
      <c r="P6520" s="47">
        <v>0</v>
      </c>
      <c r="Q6520" s="47">
        <v>0</v>
      </c>
      <c r="R6520" s="47">
        <v>0</v>
      </c>
      <c r="S6520" s="48">
        <v>1</v>
      </c>
      <c r="T6520" s="47">
        <v>0</v>
      </c>
      <c r="U6520" s="47">
        <v>0</v>
      </c>
      <c r="V6520" s="47">
        <v>0</v>
      </c>
      <c r="W6520" s="47">
        <v>7000</v>
      </c>
      <c r="X6520" s="47">
        <v>1083</v>
      </c>
      <c r="Y6520" s="47"/>
      <c r="Z6520" s="47" t="s">
        <v>2466</v>
      </c>
      <c r="AA6520" s="49"/>
      <c r="AB6520" s="49"/>
      <c r="AC6520" s="49"/>
      <c r="AD6520" s="50"/>
      <c r="AE6520" s="47" t="s">
        <v>7118</v>
      </c>
      <c r="AF6520" s="47">
        <v>95</v>
      </c>
      <c r="AG6520"/>
      <c r="AH6520"/>
      <c r="AI6520"/>
      <c r="AJ6520"/>
      <c r="AK6520"/>
      <c r="AL6520"/>
      <c r="AM6520"/>
      <c r="AN6520"/>
      <c r="AO6520"/>
      <c r="AP6520"/>
      <c r="AQ6520" t="s">
        <v>2526</v>
      </c>
      <c r="AR6520" s="32" t="s">
        <v>7119</v>
      </c>
      <c r="AU6520">
        <v>6519</v>
      </c>
    </row>
    <row r="6521" spans="1:47" x14ac:dyDescent="0.2">
      <c r="A6521" s="133">
        <v>6844</v>
      </c>
      <c r="B6521" s="39" t="s">
        <v>45</v>
      </c>
      <c r="C6521" s="39">
        <v>115</v>
      </c>
      <c r="D6521" s="29" t="b">
        <v>0</v>
      </c>
      <c r="E6521" s="39" t="s">
        <v>7270</v>
      </c>
      <c r="F6521" s="47" t="s">
        <v>7271</v>
      </c>
      <c r="G6521" s="47" t="s">
        <v>205</v>
      </c>
      <c r="H6521"/>
      <c r="I6521" s="47" t="b">
        <v>0</v>
      </c>
      <c r="J6521" s="47" t="b">
        <v>0</v>
      </c>
      <c r="K6521" s="47">
        <v>224</v>
      </c>
      <c r="L6521" s="48">
        <v>4</v>
      </c>
      <c r="M6521" s="47">
        <v>1</v>
      </c>
      <c r="N6521" s="47">
        <v>1</v>
      </c>
      <c r="O6521" s="47">
        <v>0</v>
      </c>
      <c r="P6521" s="47">
        <v>0</v>
      </c>
      <c r="Q6521" s="47">
        <v>0</v>
      </c>
      <c r="R6521" s="47">
        <v>0</v>
      </c>
      <c r="S6521" s="48">
        <v>1</v>
      </c>
      <c r="T6521" s="47">
        <v>0</v>
      </c>
      <c r="U6521" s="47">
        <v>0</v>
      </c>
      <c r="V6521" s="47">
        <v>0</v>
      </c>
      <c r="W6521" s="47">
        <v>4000</v>
      </c>
      <c r="X6521" s="47">
        <v>1089</v>
      </c>
      <c r="Y6521" s="47"/>
      <c r="Z6521" s="47" t="s">
        <v>2466</v>
      </c>
      <c r="AA6521" s="49"/>
      <c r="AB6521" s="49"/>
      <c r="AC6521" s="49"/>
      <c r="AD6521" s="50"/>
      <c r="AE6521" s="47" t="s">
        <v>7118</v>
      </c>
      <c r="AF6521" s="47">
        <v>75</v>
      </c>
      <c r="AG6521"/>
      <c r="AH6521"/>
      <c r="AI6521"/>
      <c r="AJ6521"/>
      <c r="AK6521"/>
      <c r="AL6521"/>
      <c r="AM6521"/>
      <c r="AN6521"/>
      <c r="AO6521"/>
      <c r="AP6521"/>
      <c r="AQ6521" t="s">
        <v>2526</v>
      </c>
      <c r="AR6521" s="32" t="s">
        <v>7119</v>
      </c>
      <c r="AU6521">
        <v>6520</v>
      </c>
    </row>
    <row r="6522" spans="1:47" x14ac:dyDescent="0.2">
      <c r="A6522" s="133">
        <v>6844</v>
      </c>
      <c r="B6522" s="39" t="s">
        <v>45</v>
      </c>
      <c r="C6522" s="39">
        <v>115</v>
      </c>
      <c r="D6522" s="29" t="b">
        <v>0</v>
      </c>
      <c r="E6522" s="39" t="s">
        <v>1764</v>
      </c>
      <c r="F6522" s="47" t="s">
        <v>2398</v>
      </c>
      <c r="G6522" s="47" t="s">
        <v>49</v>
      </c>
      <c r="H6522"/>
      <c r="I6522" s="47" t="b">
        <v>0</v>
      </c>
      <c r="J6522" s="47" t="b">
        <v>0</v>
      </c>
      <c r="K6522" s="47">
        <v>1456</v>
      </c>
      <c r="L6522" s="48">
        <v>4</v>
      </c>
      <c r="M6522" s="47">
        <v>1</v>
      </c>
      <c r="N6522" s="47">
        <v>1</v>
      </c>
      <c r="O6522" s="47">
        <v>0</v>
      </c>
      <c r="P6522" s="47">
        <v>0</v>
      </c>
      <c r="Q6522" s="47">
        <v>0</v>
      </c>
      <c r="R6522" s="47">
        <v>0</v>
      </c>
      <c r="S6522" s="48">
        <v>1</v>
      </c>
      <c r="T6522" s="47">
        <v>0</v>
      </c>
      <c r="U6522" s="47">
        <v>0</v>
      </c>
      <c r="V6522" s="47">
        <v>0</v>
      </c>
      <c r="W6522" s="47">
        <v>7000</v>
      </c>
      <c r="X6522" s="47">
        <v>1094</v>
      </c>
      <c r="Y6522" s="47"/>
      <c r="Z6522" s="47" t="s">
        <v>2466</v>
      </c>
      <c r="AA6522" s="49"/>
      <c r="AB6522" s="49"/>
      <c r="AC6522" s="49"/>
      <c r="AD6522" s="50"/>
      <c r="AE6522" s="47" t="s">
        <v>7118</v>
      </c>
      <c r="AF6522" s="47">
        <v>95</v>
      </c>
      <c r="AG6522"/>
      <c r="AH6522"/>
      <c r="AI6522"/>
      <c r="AJ6522"/>
      <c r="AK6522"/>
      <c r="AL6522"/>
      <c r="AM6522"/>
      <c r="AN6522"/>
      <c r="AO6522"/>
      <c r="AP6522"/>
      <c r="AQ6522" t="s">
        <v>2526</v>
      </c>
      <c r="AR6522" s="32" t="s">
        <v>7119</v>
      </c>
      <c r="AU6522">
        <v>6521</v>
      </c>
    </row>
    <row r="6523" spans="1:47" x14ac:dyDescent="0.2">
      <c r="A6523" s="133">
        <v>6844</v>
      </c>
      <c r="B6523" s="39" t="s">
        <v>45</v>
      </c>
      <c r="C6523" s="39">
        <v>115</v>
      </c>
      <c r="D6523" s="29" t="b">
        <v>0</v>
      </c>
      <c r="E6523" s="39" t="s">
        <v>1168</v>
      </c>
      <c r="F6523" s="47" t="s">
        <v>2398</v>
      </c>
      <c r="G6523" s="47" t="s">
        <v>49</v>
      </c>
      <c r="H6523"/>
      <c r="I6523" s="47" t="b">
        <v>0</v>
      </c>
      <c r="J6523" s="47" t="b">
        <v>0</v>
      </c>
      <c r="K6523" s="47">
        <v>1334</v>
      </c>
      <c r="L6523" s="48">
        <v>4</v>
      </c>
      <c r="M6523" s="47">
        <v>1</v>
      </c>
      <c r="N6523" s="47">
        <v>1</v>
      </c>
      <c r="O6523" s="47">
        <v>0</v>
      </c>
      <c r="P6523" s="47">
        <v>0</v>
      </c>
      <c r="Q6523" s="47">
        <v>0</v>
      </c>
      <c r="R6523" s="47">
        <v>0</v>
      </c>
      <c r="S6523" s="48">
        <v>1</v>
      </c>
      <c r="T6523" s="47">
        <v>0</v>
      </c>
      <c r="U6523" s="47">
        <v>0</v>
      </c>
      <c r="V6523" s="47">
        <v>0</v>
      </c>
      <c r="W6523" s="47">
        <v>4000</v>
      </c>
      <c r="X6523" s="47">
        <v>1095</v>
      </c>
      <c r="Y6523" s="47"/>
      <c r="Z6523" s="47" t="s">
        <v>2466</v>
      </c>
      <c r="AA6523" s="49"/>
      <c r="AB6523" s="49"/>
      <c r="AC6523" s="49"/>
      <c r="AD6523" s="50"/>
      <c r="AE6523" s="47" t="s">
        <v>7118</v>
      </c>
      <c r="AF6523" s="47">
        <v>70</v>
      </c>
      <c r="AG6523"/>
      <c r="AH6523"/>
      <c r="AI6523"/>
      <c r="AJ6523"/>
      <c r="AK6523"/>
      <c r="AL6523"/>
      <c r="AM6523"/>
      <c r="AN6523"/>
      <c r="AO6523"/>
      <c r="AP6523"/>
      <c r="AQ6523" t="s">
        <v>2526</v>
      </c>
      <c r="AR6523" s="32" t="s">
        <v>7119</v>
      </c>
      <c r="AU6523">
        <v>6522</v>
      </c>
    </row>
    <row r="6524" spans="1:47" x14ac:dyDescent="0.2">
      <c r="A6524" s="133">
        <v>6844</v>
      </c>
      <c r="B6524" s="39" t="s">
        <v>45</v>
      </c>
      <c r="C6524" s="39">
        <v>215</v>
      </c>
      <c r="D6524" s="29" t="b">
        <v>0</v>
      </c>
      <c r="E6524" s="39" t="s">
        <v>7272</v>
      </c>
      <c r="F6524" s="47" t="s">
        <v>7011</v>
      </c>
      <c r="G6524" s="47" t="s">
        <v>49</v>
      </c>
      <c r="H6524"/>
      <c r="I6524" s="47" t="b">
        <v>1</v>
      </c>
      <c r="J6524" s="47" t="b">
        <v>1</v>
      </c>
      <c r="K6524" s="47">
        <v>6126</v>
      </c>
      <c r="L6524" s="48">
        <v>6</v>
      </c>
      <c r="M6524" s="47">
        <v>2</v>
      </c>
      <c r="N6524" s="47">
        <v>1</v>
      </c>
      <c r="O6524" s="47">
        <v>0</v>
      </c>
      <c r="P6524" s="47">
        <v>0</v>
      </c>
      <c r="Q6524" s="47">
        <v>0</v>
      </c>
      <c r="R6524" s="47">
        <v>0</v>
      </c>
      <c r="S6524" s="48">
        <v>3</v>
      </c>
      <c r="T6524" s="47">
        <v>1</v>
      </c>
      <c r="U6524" s="47">
        <v>0</v>
      </c>
      <c r="V6524" s="47">
        <v>0</v>
      </c>
      <c r="W6524" s="47">
        <v>3700</v>
      </c>
      <c r="X6524" s="47">
        <v>1090</v>
      </c>
      <c r="Y6524" s="47"/>
      <c r="Z6524" s="47" t="s">
        <v>2466</v>
      </c>
      <c r="AA6524" s="49"/>
      <c r="AB6524" s="49"/>
      <c r="AC6524" s="49"/>
      <c r="AD6524" s="50"/>
      <c r="AE6524" s="47"/>
      <c r="AF6524" s="47"/>
      <c r="AG6524"/>
      <c r="AH6524"/>
      <c r="AI6524"/>
      <c r="AJ6524"/>
      <c r="AK6524"/>
      <c r="AL6524"/>
      <c r="AM6524"/>
      <c r="AN6524"/>
      <c r="AO6524"/>
      <c r="AP6524"/>
      <c r="AQ6524" t="s">
        <v>2526</v>
      </c>
      <c r="AU6524">
        <v>6523</v>
      </c>
    </row>
    <row r="6525" spans="1:47" x14ac:dyDescent="0.2">
      <c r="A6525" s="133">
        <v>6844</v>
      </c>
      <c r="B6525" s="39" t="s">
        <v>45</v>
      </c>
      <c r="C6525" s="39">
        <v>215</v>
      </c>
      <c r="D6525" s="29" t="b">
        <v>0</v>
      </c>
      <c r="E6525" s="39" t="s">
        <v>1168</v>
      </c>
      <c r="F6525" s="47" t="s">
        <v>2398</v>
      </c>
      <c r="G6525" s="47" t="s">
        <v>49</v>
      </c>
      <c r="H6525"/>
      <c r="I6525" s="47" t="b">
        <v>0</v>
      </c>
      <c r="J6525" s="47" t="b">
        <v>0</v>
      </c>
      <c r="K6525" s="47">
        <v>4084</v>
      </c>
      <c r="L6525" s="48">
        <v>6</v>
      </c>
      <c r="M6525" s="47">
        <v>2</v>
      </c>
      <c r="N6525" s="47">
        <v>1</v>
      </c>
      <c r="O6525" s="47">
        <v>0</v>
      </c>
      <c r="P6525" s="47">
        <v>0</v>
      </c>
      <c r="Q6525" s="47">
        <v>0</v>
      </c>
      <c r="R6525" s="47">
        <v>0</v>
      </c>
      <c r="S6525" s="48">
        <v>2</v>
      </c>
      <c r="T6525" s="47">
        <v>1</v>
      </c>
      <c r="U6525" s="47">
        <v>0</v>
      </c>
      <c r="V6525" s="47">
        <v>0</v>
      </c>
      <c r="W6525" s="47">
        <v>3700</v>
      </c>
      <c r="X6525" s="47">
        <v>1091</v>
      </c>
      <c r="Y6525" s="47"/>
      <c r="Z6525" s="47" t="s">
        <v>2466</v>
      </c>
      <c r="AA6525" s="49"/>
      <c r="AB6525" s="49"/>
      <c r="AC6525" s="49"/>
      <c r="AD6525" s="50"/>
      <c r="AE6525" s="47"/>
      <c r="AF6525" s="47"/>
      <c r="AG6525"/>
      <c r="AH6525"/>
      <c r="AI6525"/>
      <c r="AJ6525"/>
      <c r="AK6525"/>
      <c r="AL6525"/>
      <c r="AM6525"/>
      <c r="AN6525"/>
      <c r="AO6525"/>
      <c r="AP6525"/>
      <c r="AQ6525" t="s">
        <v>2526</v>
      </c>
      <c r="AU6525">
        <v>6524</v>
      </c>
    </row>
    <row r="6526" spans="1:47" x14ac:dyDescent="0.2">
      <c r="A6526" s="133">
        <v>6844</v>
      </c>
      <c r="B6526" s="39" t="s">
        <v>45</v>
      </c>
      <c r="C6526" s="39">
        <v>215</v>
      </c>
      <c r="D6526" s="29" t="b">
        <v>0</v>
      </c>
      <c r="E6526" s="39" t="s">
        <v>649</v>
      </c>
      <c r="F6526" s="47" t="s">
        <v>529</v>
      </c>
      <c r="G6526" s="47" t="s">
        <v>205</v>
      </c>
      <c r="H6526"/>
      <c r="I6526" s="47" t="b">
        <v>0</v>
      </c>
      <c r="J6526" s="47" t="b">
        <v>0</v>
      </c>
      <c r="K6526" s="47">
        <v>2042</v>
      </c>
      <c r="L6526" s="48">
        <v>6</v>
      </c>
      <c r="M6526" s="47">
        <v>2</v>
      </c>
      <c r="N6526" s="47">
        <v>1</v>
      </c>
      <c r="O6526" s="47">
        <v>0</v>
      </c>
      <c r="P6526" s="47">
        <v>0</v>
      </c>
      <c r="Q6526" s="47">
        <v>0</v>
      </c>
      <c r="R6526" s="47">
        <v>0</v>
      </c>
      <c r="S6526" s="48">
        <v>1</v>
      </c>
      <c r="T6526" s="47">
        <v>1</v>
      </c>
      <c r="U6526" s="47">
        <v>0</v>
      </c>
      <c r="V6526" s="47">
        <v>0</v>
      </c>
      <c r="W6526" s="47">
        <v>3700</v>
      </c>
      <c r="X6526" s="47">
        <v>1092</v>
      </c>
      <c r="Y6526" s="47"/>
      <c r="Z6526" s="47" t="s">
        <v>2466</v>
      </c>
      <c r="AA6526" s="49"/>
      <c r="AB6526" s="49"/>
      <c r="AC6526" s="49"/>
      <c r="AD6526" s="50"/>
      <c r="AE6526" s="47"/>
      <c r="AF6526" s="47"/>
      <c r="AG6526"/>
      <c r="AH6526"/>
      <c r="AI6526"/>
      <c r="AJ6526"/>
      <c r="AK6526"/>
      <c r="AL6526"/>
      <c r="AM6526"/>
      <c r="AN6526"/>
      <c r="AO6526"/>
      <c r="AP6526"/>
      <c r="AQ6526" t="s">
        <v>2526</v>
      </c>
      <c r="AU6526">
        <v>6525</v>
      </c>
    </row>
    <row r="6527" spans="1:47" x14ac:dyDescent="0.2">
      <c r="A6527" s="133">
        <v>6844</v>
      </c>
      <c r="B6527" s="39" t="s">
        <v>45</v>
      </c>
      <c r="C6527" s="39">
        <v>216</v>
      </c>
      <c r="D6527" s="29" t="b">
        <v>0</v>
      </c>
      <c r="E6527" s="39" t="s">
        <v>7273</v>
      </c>
      <c r="F6527" s="47" t="s">
        <v>2398</v>
      </c>
      <c r="G6527" s="47" t="s">
        <v>49</v>
      </c>
      <c r="H6527"/>
      <c r="I6527" s="47" t="b">
        <v>1</v>
      </c>
      <c r="J6527" s="47" t="b">
        <v>1</v>
      </c>
      <c r="K6527" s="47">
        <v>5926</v>
      </c>
      <c r="L6527" s="48">
        <v>8</v>
      </c>
      <c r="M6527" s="47">
        <v>4</v>
      </c>
      <c r="N6527" s="47">
        <v>0</v>
      </c>
      <c r="O6527" s="47">
        <v>0</v>
      </c>
      <c r="P6527" s="47">
        <v>0</v>
      </c>
      <c r="Q6527" s="47">
        <v>0</v>
      </c>
      <c r="R6527" s="47">
        <v>0</v>
      </c>
      <c r="S6527" s="48">
        <v>4</v>
      </c>
      <c r="T6527" s="47">
        <v>0</v>
      </c>
      <c r="U6527" s="47">
        <v>0</v>
      </c>
      <c r="V6527" s="47">
        <v>0</v>
      </c>
      <c r="W6527" s="47">
        <v>5625</v>
      </c>
      <c r="X6527" s="47">
        <v>1093</v>
      </c>
      <c r="Y6527" s="47"/>
      <c r="Z6527" s="47" t="s">
        <v>2466</v>
      </c>
      <c r="AA6527" s="49"/>
      <c r="AB6527" s="49"/>
      <c r="AC6527" s="49"/>
      <c r="AD6527" s="50"/>
      <c r="AE6527" s="47" t="s">
        <v>1312</v>
      </c>
      <c r="AF6527" s="47">
        <v>70</v>
      </c>
      <c r="AG6527"/>
      <c r="AH6527"/>
      <c r="AI6527"/>
      <c r="AJ6527"/>
      <c r="AK6527"/>
      <c r="AL6527"/>
      <c r="AM6527"/>
      <c r="AN6527"/>
      <c r="AO6527"/>
      <c r="AP6527"/>
      <c r="AQ6527" t="s">
        <v>2526</v>
      </c>
      <c r="AU6527">
        <v>6526</v>
      </c>
    </row>
    <row r="6528" spans="1:47" x14ac:dyDescent="0.2">
      <c r="A6528" s="133">
        <v>6844</v>
      </c>
      <c r="B6528" s="39" t="s">
        <v>45</v>
      </c>
      <c r="C6528" s="39">
        <v>216</v>
      </c>
      <c r="D6528" s="29" t="b">
        <v>0</v>
      </c>
      <c r="E6528" s="39" t="s">
        <v>1168</v>
      </c>
      <c r="F6528" s="47" t="s">
        <v>2398</v>
      </c>
      <c r="G6528" s="47" t="s">
        <v>49</v>
      </c>
      <c r="H6528"/>
      <c r="I6528" s="47" t="b">
        <v>0</v>
      </c>
      <c r="J6528" s="47" t="b">
        <v>0</v>
      </c>
      <c r="K6528" s="47">
        <v>1568</v>
      </c>
      <c r="L6528" s="48">
        <v>8</v>
      </c>
      <c r="M6528" s="47">
        <v>4</v>
      </c>
      <c r="N6528" s="47">
        <v>0</v>
      </c>
      <c r="O6528" s="47">
        <v>0</v>
      </c>
      <c r="P6528" s="47">
        <v>0</v>
      </c>
      <c r="Q6528" s="47">
        <v>0</v>
      </c>
      <c r="R6528" s="47">
        <v>0</v>
      </c>
      <c r="S6528" s="48">
        <v>1</v>
      </c>
      <c r="T6528" s="47">
        <v>0</v>
      </c>
      <c r="U6528" s="47">
        <v>0</v>
      </c>
      <c r="V6528" s="47">
        <v>0</v>
      </c>
      <c r="W6528" s="47">
        <v>6000</v>
      </c>
      <c r="X6528" s="47">
        <v>1076</v>
      </c>
      <c r="Y6528" s="47"/>
      <c r="Z6528" s="47" t="s">
        <v>2466</v>
      </c>
      <c r="AA6528" s="49"/>
      <c r="AB6528" s="49"/>
      <c r="AC6528" s="49"/>
      <c r="AD6528" s="50"/>
      <c r="AE6528" s="47" t="s">
        <v>1312</v>
      </c>
      <c r="AF6528" s="47">
        <v>60</v>
      </c>
      <c r="AG6528"/>
      <c r="AH6528"/>
      <c r="AI6528"/>
      <c r="AJ6528"/>
      <c r="AK6528"/>
      <c r="AL6528"/>
      <c r="AM6528"/>
      <c r="AN6528"/>
      <c r="AO6528"/>
      <c r="AP6528"/>
      <c r="AQ6528" t="s">
        <v>2526</v>
      </c>
      <c r="AU6528">
        <v>6527</v>
      </c>
    </row>
    <row r="6529" spans="1:47" x14ac:dyDescent="0.2">
      <c r="A6529" s="133">
        <v>6844</v>
      </c>
      <c r="B6529" s="39" t="s">
        <v>45</v>
      </c>
      <c r="C6529" s="39">
        <v>216</v>
      </c>
      <c r="D6529" s="29" t="b">
        <v>0</v>
      </c>
      <c r="E6529" s="39" t="s">
        <v>4823</v>
      </c>
      <c r="F6529" s="47" t="s">
        <v>2398</v>
      </c>
      <c r="G6529" s="47" t="s">
        <v>49</v>
      </c>
      <c r="H6529"/>
      <c r="I6529" s="47" t="b">
        <v>0</v>
      </c>
      <c r="J6529" s="47" t="b">
        <v>0</v>
      </c>
      <c r="K6529" s="47">
        <v>4358</v>
      </c>
      <c r="L6529" s="48">
        <v>8</v>
      </c>
      <c r="M6529" s="47">
        <v>4</v>
      </c>
      <c r="N6529" s="47">
        <v>0</v>
      </c>
      <c r="O6529" s="47">
        <v>0</v>
      </c>
      <c r="P6529" s="47">
        <v>0</v>
      </c>
      <c r="Q6529" s="47">
        <v>0</v>
      </c>
      <c r="R6529" s="47">
        <v>0</v>
      </c>
      <c r="S6529" s="48">
        <v>3</v>
      </c>
      <c r="T6529" s="47">
        <v>0</v>
      </c>
      <c r="U6529" s="47">
        <v>0</v>
      </c>
      <c r="V6529" s="47">
        <v>0</v>
      </c>
      <c r="W6529" s="47">
        <v>5500</v>
      </c>
      <c r="X6529" s="47">
        <v>1088</v>
      </c>
      <c r="Y6529" s="47"/>
      <c r="Z6529" s="47" t="s">
        <v>2466</v>
      </c>
      <c r="AA6529" s="49"/>
      <c r="AB6529" s="49"/>
      <c r="AC6529" s="49"/>
      <c r="AD6529" s="50"/>
      <c r="AE6529" s="47" t="s">
        <v>1312</v>
      </c>
      <c r="AF6529" s="47">
        <v>70</v>
      </c>
      <c r="AG6529"/>
      <c r="AH6529"/>
      <c r="AI6529"/>
      <c r="AJ6529"/>
      <c r="AK6529"/>
      <c r="AL6529"/>
      <c r="AM6529"/>
      <c r="AN6529"/>
      <c r="AO6529"/>
      <c r="AP6529"/>
      <c r="AQ6529" t="s">
        <v>2526</v>
      </c>
      <c r="AU6529">
        <v>6528</v>
      </c>
    </row>
    <row r="6530" spans="1:47" x14ac:dyDescent="0.2">
      <c r="A6530" s="37">
        <v>6844</v>
      </c>
      <c r="B6530" s="38" t="s">
        <v>45</v>
      </c>
      <c r="C6530" s="39" t="s">
        <v>253</v>
      </c>
      <c r="D6530" s="29"/>
      <c r="E6530" s="38" t="s">
        <v>7274</v>
      </c>
      <c r="F6530" s="32" t="s">
        <v>246</v>
      </c>
      <c r="G6530" s="47"/>
      <c r="H6530"/>
      <c r="I6530" s="32"/>
      <c r="J6530" s="47"/>
      <c r="K6530" s="47"/>
      <c r="L6530" s="48"/>
      <c r="M6530" s="47"/>
      <c r="N6530" s="47"/>
      <c r="O6530" s="47"/>
      <c r="P6530" s="47"/>
      <c r="Q6530" s="47"/>
      <c r="R6530" s="47"/>
      <c r="S6530" s="48"/>
      <c r="T6530" s="47"/>
      <c r="U6530" s="47"/>
      <c r="V6530" s="47"/>
      <c r="W6530" s="47"/>
      <c r="X6530" s="47"/>
      <c r="Y6530" s="47"/>
      <c r="Z6530" s="47"/>
      <c r="AA6530" s="49"/>
      <c r="AB6530" s="49"/>
      <c r="AC6530" s="49"/>
      <c r="AD6530" s="50"/>
      <c r="AE6530" s="47"/>
      <c r="AF6530" s="47"/>
      <c r="AG6530"/>
      <c r="AH6530"/>
      <c r="AI6530"/>
      <c r="AJ6530"/>
      <c r="AK6530"/>
      <c r="AL6530"/>
      <c r="AM6530"/>
      <c r="AN6530"/>
      <c r="AO6530"/>
      <c r="AP6530"/>
      <c r="AQ6530"/>
      <c r="AU6530">
        <v>6529</v>
      </c>
    </row>
    <row r="6531" spans="1:47" x14ac:dyDescent="0.2">
      <c r="A6531" s="13">
        <v>6844</v>
      </c>
      <c r="B6531" s="57" t="s">
        <v>45</v>
      </c>
      <c r="C6531" s="57" t="s">
        <v>142</v>
      </c>
      <c r="D6531" s="45"/>
      <c r="E6531" s="144" t="s">
        <v>7275</v>
      </c>
      <c r="F6531" s="31" t="s">
        <v>246</v>
      </c>
      <c r="G6531" s="31" t="s">
        <v>49</v>
      </c>
      <c r="I6531" s="47" t="b">
        <v>1</v>
      </c>
      <c r="J6531" s="47" t="b">
        <v>1</v>
      </c>
      <c r="K6531" s="31">
        <f>1280*2.2</f>
        <v>2816</v>
      </c>
      <c r="L6531" s="33">
        <v>4</v>
      </c>
      <c r="S6531" s="33">
        <v>4</v>
      </c>
      <c r="T6531" s="31">
        <v>0</v>
      </c>
      <c r="U6531" s="31">
        <v>0</v>
      </c>
      <c r="V6531" s="31">
        <v>0</v>
      </c>
      <c r="Y6531" s="31" t="s">
        <v>51</v>
      </c>
      <c r="Z6531" s="31" t="s">
        <v>5406</v>
      </c>
      <c r="AA6531" s="49"/>
      <c r="AB6531" s="49"/>
      <c r="AC6531" s="49"/>
      <c r="AD6531" s="50"/>
      <c r="AE6531" s="31" t="s">
        <v>2470</v>
      </c>
      <c r="AK6531" s="32">
        <f>5+3+6+4+2</f>
        <v>20</v>
      </c>
      <c r="AQ6531" s="32" t="s">
        <v>7225</v>
      </c>
      <c r="AR6531" s="32" t="s">
        <v>7276</v>
      </c>
      <c r="AU6531">
        <v>6530</v>
      </c>
    </row>
    <row r="6532" spans="1:47" x14ac:dyDescent="0.2">
      <c r="A6532" s="13">
        <v>6844</v>
      </c>
      <c r="B6532" s="57" t="s">
        <v>45</v>
      </c>
      <c r="C6532" s="57" t="s">
        <v>142</v>
      </c>
      <c r="D6532" s="29"/>
      <c r="E6532" s="57" t="s">
        <v>3876</v>
      </c>
      <c r="F6532" s="31" t="s">
        <v>76</v>
      </c>
      <c r="G6532" s="31" t="s">
        <v>49</v>
      </c>
      <c r="I6532" s="47" t="b">
        <v>0</v>
      </c>
      <c r="J6532" s="47" t="b">
        <v>0</v>
      </c>
      <c r="K6532" s="31">
        <v>1540</v>
      </c>
      <c r="S6532" s="33">
        <v>2</v>
      </c>
      <c r="AE6532" s="31" t="s">
        <v>2470</v>
      </c>
      <c r="AF6532" s="31">
        <v>70</v>
      </c>
      <c r="AK6532" s="32">
        <v>12</v>
      </c>
      <c r="AQ6532" s="32" t="s">
        <v>7070</v>
      </c>
      <c r="AU6532">
        <v>6531</v>
      </c>
    </row>
    <row r="6533" spans="1:47" x14ac:dyDescent="0.2">
      <c r="A6533" s="13">
        <v>6844</v>
      </c>
      <c r="B6533" s="57" t="s">
        <v>45</v>
      </c>
      <c r="C6533" s="57" t="s">
        <v>142</v>
      </c>
      <c r="D6533" s="29"/>
      <c r="E6533" s="57" t="s">
        <v>3936</v>
      </c>
      <c r="F6533" s="31" t="s">
        <v>76</v>
      </c>
      <c r="G6533" s="31" t="s">
        <v>49</v>
      </c>
      <c r="I6533" s="47" t="b">
        <v>0</v>
      </c>
      <c r="J6533" s="47" t="b">
        <v>0</v>
      </c>
      <c r="K6533" s="31">
        <v>1056</v>
      </c>
      <c r="S6533" s="33">
        <v>1</v>
      </c>
      <c r="AE6533" s="31" t="s">
        <v>2470</v>
      </c>
      <c r="AF6533" s="31">
        <v>55</v>
      </c>
      <c r="AK6533" s="32">
        <v>6</v>
      </c>
      <c r="AQ6533" s="32" t="s">
        <v>7070</v>
      </c>
      <c r="AU6533">
        <v>6532</v>
      </c>
    </row>
    <row r="6534" spans="1:47" x14ac:dyDescent="0.2">
      <c r="A6534" s="13">
        <v>6844</v>
      </c>
      <c r="B6534" s="57" t="s">
        <v>45</v>
      </c>
      <c r="C6534" s="57" t="s">
        <v>142</v>
      </c>
      <c r="D6534" s="29"/>
      <c r="E6534" s="57" t="s">
        <v>7277</v>
      </c>
      <c r="F6534" s="31" t="s">
        <v>3183</v>
      </c>
      <c r="G6534" s="31" t="s">
        <v>49</v>
      </c>
      <c r="I6534" s="47" t="b">
        <v>0</v>
      </c>
      <c r="J6534" s="47" t="b">
        <v>0</v>
      </c>
      <c r="K6534" s="31">
        <v>220</v>
      </c>
      <c r="S6534" s="33">
        <v>1</v>
      </c>
      <c r="AE6534" s="31" t="s">
        <v>2470</v>
      </c>
      <c r="AK6534" s="32">
        <v>2</v>
      </c>
      <c r="AQ6534" s="32" t="s">
        <v>7070</v>
      </c>
      <c r="AU6534">
        <v>6533</v>
      </c>
    </row>
    <row r="6535" spans="1:47" x14ac:dyDescent="0.2">
      <c r="A6535" s="13">
        <v>6844</v>
      </c>
      <c r="B6535" s="57" t="s">
        <v>45</v>
      </c>
      <c r="C6535" s="57" t="s">
        <v>1367</v>
      </c>
      <c r="D6535" s="29"/>
      <c r="E6535" s="57" t="s">
        <v>1400</v>
      </c>
      <c r="F6535" s="31" t="s">
        <v>76</v>
      </c>
      <c r="G6535" s="31" t="s">
        <v>49</v>
      </c>
      <c r="K6535" s="31">
        <v>4963.2</v>
      </c>
      <c r="AE6535" s="31" t="s">
        <v>4176</v>
      </c>
      <c r="AF6535" s="31">
        <v>90</v>
      </c>
      <c r="AK6535" s="32">
        <v>53</v>
      </c>
      <c r="AQ6535" s="32" t="s">
        <v>7193</v>
      </c>
      <c r="AU6535">
        <v>6534</v>
      </c>
    </row>
    <row r="6536" spans="1:47" x14ac:dyDescent="0.2">
      <c r="A6536" s="13">
        <v>6844</v>
      </c>
      <c r="B6536" s="57" t="s">
        <v>45</v>
      </c>
      <c r="C6536" s="57" t="s">
        <v>1367</v>
      </c>
      <c r="D6536" s="29"/>
      <c r="E6536" s="57" t="s">
        <v>673</v>
      </c>
      <c r="F6536" s="31" t="s">
        <v>204</v>
      </c>
      <c r="G6536" s="31" t="s">
        <v>205</v>
      </c>
      <c r="K6536" s="31">
        <v>3960</v>
      </c>
      <c r="AE6536" s="31" t="s">
        <v>4176</v>
      </c>
      <c r="AF6536" s="31">
        <v>110</v>
      </c>
      <c r="AK6536" s="32">
        <v>36</v>
      </c>
      <c r="AQ6536" s="32" t="s">
        <v>7193</v>
      </c>
      <c r="AU6536">
        <v>6535</v>
      </c>
    </row>
    <row r="6537" spans="1:47" x14ac:dyDescent="0.2">
      <c r="A6537" s="13">
        <v>6844</v>
      </c>
      <c r="B6537" s="57" t="s">
        <v>45</v>
      </c>
      <c r="C6537" s="57" t="s">
        <v>1367</v>
      </c>
      <c r="D6537" s="29"/>
      <c r="E6537" s="57" t="s">
        <v>3063</v>
      </c>
      <c r="F6537" s="31" t="s">
        <v>76</v>
      </c>
      <c r="G6537" s="31" t="s">
        <v>49</v>
      </c>
      <c r="K6537" s="31">
        <v>3696</v>
      </c>
      <c r="AE6537" s="31" t="s">
        <v>4176</v>
      </c>
      <c r="AF6537" s="31">
        <v>100</v>
      </c>
      <c r="AK6537" s="32">
        <v>40</v>
      </c>
      <c r="AQ6537" s="32" t="s">
        <v>7193</v>
      </c>
      <c r="AU6537">
        <v>6536</v>
      </c>
    </row>
    <row r="6538" spans="1:47" x14ac:dyDescent="0.2">
      <c r="A6538" s="13">
        <v>6844</v>
      </c>
      <c r="B6538" s="57" t="s">
        <v>45</v>
      </c>
      <c r="C6538" s="57" t="s">
        <v>1367</v>
      </c>
      <c r="D6538" s="29"/>
      <c r="E6538" s="57" t="s">
        <v>2191</v>
      </c>
      <c r="F6538" s="31" t="s">
        <v>76</v>
      </c>
      <c r="G6538" s="31" t="s">
        <v>49</v>
      </c>
      <c r="K6538" s="31">
        <v>880</v>
      </c>
      <c r="AE6538" s="31" t="s">
        <v>4176</v>
      </c>
      <c r="AF6538" s="31">
        <v>80</v>
      </c>
      <c r="AK6538" s="32">
        <v>8</v>
      </c>
      <c r="AQ6538" s="32" t="s">
        <v>7193</v>
      </c>
      <c r="AU6538">
        <v>6537</v>
      </c>
    </row>
    <row r="6539" spans="1:47" x14ac:dyDescent="0.2">
      <c r="A6539" s="13">
        <v>6844</v>
      </c>
      <c r="B6539" s="57" t="s">
        <v>45</v>
      </c>
      <c r="C6539" s="57" t="s">
        <v>1367</v>
      </c>
      <c r="D6539" s="29"/>
      <c r="E6539" s="57" t="s">
        <v>1903</v>
      </c>
      <c r="F6539" s="31" t="s">
        <v>76</v>
      </c>
      <c r="G6539" s="31" t="s">
        <v>49</v>
      </c>
      <c r="K6539" s="31">
        <v>880</v>
      </c>
      <c r="AE6539" s="31" t="s">
        <v>4176</v>
      </c>
      <c r="AF6539" s="31">
        <v>110</v>
      </c>
      <c r="AK6539" s="32">
        <v>8</v>
      </c>
      <c r="AQ6539" s="32" t="s">
        <v>7193</v>
      </c>
      <c r="AU6539">
        <v>6538</v>
      </c>
    </row>
    <row r="6540" spans="1:47" x14ac:dyDescent="0.2">
      <c r="A6540" s="13">
        <v>6844</v>
      </c>
      <c r="B6540" s="57" t="s">
        <v>45</v>
      </c>
      <c r="C6540" s="57" t="s">
        <v>1367</v>
      </c>
      <c r="D6540" s="29"/>
      <c r="E6540" s="57" t="s">
        <v>4678</v>
      </c>
      <c r="F6540" s="31" t="s">
        <v>3764</v>
      </c>
      <c r="G6540" s="31" t="s">
        <v>481</v>
      </c>
      <c r="K6540" s="31">
        <v>880</v>
      </c>
      <c r="AE6540" s="31" t="s">
        <v>4176</v>
      </c>
      <c r="AF6540" s="31">
        <v>90</v>
      </c>
      <c r="AK6540" s="32">
        <v>8</v>
      </c>
      <c r="AQ6540" s="32" t="s">
        <v>7193</v>
      </c>
      <c r="AU6540">
        <v>6539</v>
      </c>
    </row>
    <row r="6541" spans="1:47" x14ac:dyDescent="0.2">
      <c r="A6541" s="168">
        <v>6844</v>
      </c>
      <c r="B6541" s="144" t="s">
        <v>45</v>
      </c>
      <c r="C6541" s="144" t="s">
        <v>4843</v>
      </c>
      <c r="D6541" s="45"/>
      <c r="E6541" s="144" t="s">
        <v>1064</v>
      </c>
      <c r="F6541" s="31" t="s">
        <v>76</v>
      </c>
      <c r="G6541" s="31" t="s">
        <v>49</v>
      </c>
      <c r="K6541" s="31">
        <v>4026</v>
      </c>
      <c r="S6541" s="33">
        <v>8</v>
      </c>
      <c r="Z6541" s="31" t="s">
        <v>3814</v>
      </c>
      <c r="AE6541" s="31" t="s">
        <v>4411</v>
      </c>
      <c r="AF6541" s="31">
        <v>55</v>
      </c>
      <c r="AK6541" s="32">
        <v>47</v>
      </c>
      <c r="AQ6541" s="32" t="s">
        <v>7070</v>
      </c>
      <c r="AU6541">
        <v>6540</v>
      </c>
    </row>
    <row r="6542" spans="1:47" x14ac:dyDescent="0.2">
      <c r="A6542" s="13">
        <v>6844</v>
      </c>
      <c r="B6542" s="57" t="s">
        <v>45</v>
      </c>
      <c r="C6542" s="57" t="s">
        <v>4843</v>
      </c>
      <c r="D6542" s="29"/>
      <c r="E6542" s="57" t="s">
        <v>321</v>
      </c>
      <c r="F6542" s="31" t="s">
        <v>3183</v>
      </c>
      <c r="G6542" s="31" t="s">
        <v>49</v>
      </c>
      <c r="K6542" s="31">
        <v>3740</v>
      </c>
      <c r="S6542" s="33">
        <v>6</v>
      </c>
      <c r="Z6542" s="31" t="s">
        <v>3814</v>
      </c>
      <c r="AE6542" s="31" t="s">
        <v>4411</v>
      </c>
      <c r="AF6542" s="31">
        <v>50</v>
      </c>
      <c r="AK6542" s="32">
        <v>54</v>
      </c>
      <c r="AQ6542" s="32" t="s">
        <v>7070</v>
      </c>
      <c r="AU6542">
        <v>6541</v>
      </c>
    </row>
    <row r="6543" spans="1:47" x14ac:dyDescent="0.2">
      <c r="A6543" s="13">
        <v>6844</v>
      </c>
      <c r="B6543" s="57" t="s">
        <v>45</v>
      </c>
      <c r="C6543" s="57" t="s">
        <v>4843</v>
      </c>
      <c r="D6543" s="29"/>
      <c r="E6543" s="57" t="s">
        <v>3936</v>
      </c>
      <c r="F6543" s="31" t="s">
        <v>76</v>
      </c>
      <c r="G6543" s="31" t="s">
        <v>49</v>
      </c>
      <c r="K6543" s="31">
        <v>3234</v>
      </c>
      <c r="S6543" s="33">
        <v>6</v>
      </c>
      <c r="Z6543" s="31" t="s">
        <v>3814</v>
      </c>
      <c r="AE6543" s="31" t="s">
        <v>4411</v>
      </c>
      <c r="AF6543" s="31">
        <v>60</v>
      </c>
      <c r="AK6543" s="32">
        <v>32</v>
      </c>
      <c r="AQ6543" s="32" t="s">
        <v>7070</v>
      </c>
      <c r="AU6543">
        <v>6542</v>
      </c>
    </row>
    <row r="6544" spans="1:47" x14ac:dyDescent="0.2">
      <c r="A6544" s="168">
        <v>6844</v>
      </c>
      <c r="B6544" s="144" t="s">
        <v>45</v>
      </c>
      <c r="C6544" s="144" t="s">
        <v>4843</v>
      </c>
      <c r="D6544" s="45"/>
      <c r="E6544" s="144" t="s">
        <v>3876</v>
      </c>
      <c r="F6544" s="31" t="s">
        <v>76</v>
      </c>
      <c r="G6544" s="31" t="s">
        <v>49</v>
      </c>
      <c r="K6544" s="31">
        <v>1320</v>
      </c>
      <c r="S6544" s="33">
        <v>2</v>
      </c>
      <c r="Z6544" s="31" t="s">
        <v>3814</v>
      </c>
      <c r="AE6544" s="31" t="s">
        <v>4411</v>
      </c>
      <c r="AF6544" s="31">
        <v>70</v>
      </c>
      <c r="AK6544" s="32">
        <v>12</v>
      </c>
      <c r="AQ6544" s="32" t="s">
        <v>7070</v>
      </c>
      <c r="AU6544">
        <v>6543</v>
      </c>
    </row>
    <row r="6545" spans="1:47" x14ac:dyDescent="0.2">
      <c r="A6545" s="13">
        <v>6844</v>
      </c>
      <c r="B6545" s="57" t="s">
        <v>45</v>
      </c>
      <c r="C6545" s="57" t="s">
        <v>4843</v>
      </c>
      <c r="D6545" s="29"/>
      <c r="E6545" s="57" t="s">
        <v>1088</v>
      </c>
      <c r="F6545" s="31" t="s">
        <v>76</v>
      </c>
      <c r="G6545" s="31" t="s">
        <v>49</v>
      </c>
      <c r="K6545" s="31">
        <v>1210</v>
      </c>
      <c r="S6545" s="33">
        <v>2</v>
      </c>
      <c r="Z6545" s="31" t="s">
        <v>3814</v>
      </c>
      <c r="AE6545" s="31" t="s">
        <v>4411</v>
      </c>
      <c r="AF6545" s="31">
        <v>60</v>
      </c>
      <c r="AK6545" s="32">
        <v>10</v>
      </c>
      <c r="AQ6545" s="32" t="s">
        <v>7070</v>
      </c>
      <c r="AU6545">
        <v>6544</v>
      </c>
    </row>
    <row r="6546" spans="1:47" x14ac:dyDescent="0.2">
      <c r="A6546" s="13">
        <v>6844</v>
      </c>
      <c r="B6546" s="57" t="s">
        <v>45</v>
      </c>
      <c r="C6546" s="57" t="s">
        <v>4843</v>
      </c>
      <c r="D6546" s="29"/>
      <c r="E6546" s="57" t="s">
        <v>1078</v>
      </c>
      <c r="F6546" s="31" t="s">
        <v>76</v>
      </c>
      <c r="G6546" s="31" t="s">
        <v>49</v>
      </c>
      <c r="K6546" s="31">
        <v>660</v>
      </c>
      <c r="S6546" s="33">
        <v>1</v>
      </c>
      <c r="Z6546" s="31" t="s">
        <v>3814</v>
      </c>
      <c r="AE6546" s="31" t="s">
        <v>4411</v>
      </c>
      <c r="AF6546" s="31">
        <v>70</v>
      </c>
      <c r="AK6546" s="32">
        <v>6</v>
      </c>
      <c r="AQ6546" s="32" t="s">
        <v>7070</v>
      </c>
      <c r="AU6546">
        <v>6545</v>
      </c>
    </row>
    <row r="6547" spans="1:47" x14ac:dyDescent="0.2">
      <c r="A6547" s="13">
        <v>6844</v>
      </c>
      <c r="B6547" s="57" t="s">
        <v>45</v>
      </c>
      <c r="C6547" s="57" t="s">
        <v>4179</v>
      </c>
      <c r="D6547" s="29"/>
      <c r="E6547" s="57" t="s">
        <v>3884</v>
      </c>
      <c r="F6547" s="144" t="s">
        <v>76</v>
      </c>
      <c r="G6547" s="31" t="s">
        <v>49</v>
      </c>
      <c r="K6547" s="31">
        <v>6798</v>
      </c>
      <c r="Z6547" s="31" t="s">
        <v>3814</v>
      </c>
      <c r="AE6547" s="31" t="s">
        <v>5034</v>
      </c>
      <c r="AK6547" s="32">
        <v>114</v>
      </c>
      <c r="AQ6547" s="32" t="s">
        <v>7132</v>
      </c>
      <c r="AU6547">
        <v>6546</v>
      </c>
    </row>
    <row r="6548" spans="1:47" x14ac:dyDescent="0.2">
      <c r="A6548" s="13">
        <v>6844</v>
      </c>
      <c r="B6548" s="57" t="s">
        <v>45</v>
      </c>
      <c r="C6548" s="57" t="s">
        <v>4179</v>
      </c>
      <c r="D6548" s="29"/>
      <c r="E6548" s="57" t="s">
        <v>7238</v>
      </c>
      <c r="F6548" s="31" t="s">
        <v>3183</v>
      </c>
      <c r="G6548" s="31" t="s">
        <v>49</v>
      </c>
      <c r="K6548" s="31">
        <v>6721</v>
      </c>
      <c r="Z6548" s="31" t="s">
        <v>3814</v>
      </c>
      <c r="AE6548" s="31" t="s">
        <v>5034</v>
      </c>
      <c r="AK6548" s="32">
        <v>79</v>
      </c>
      <c r="AQ6548" s="32" t="s">
        <v>7132</v>
      </c>
      <c r="AU6548">
        <v>6547</v>
      </c>
    </row>
    <row r="6549" spans="1:47" x14ac:dyDescent="0.2">
      <c r="A6549" s="13">
        <v>6844</v>
      </c>
      <c r="B6549" s="57" t="s">
        <v>45</v>
      </c>
      <c r="C6549" s="57" t="s">
        <v>4179</v>
      </c>
      <c r="D6549" s="29"/>
      <c r="E6549" s="57" t="s">
        <v>7278</v>
      </c>
      <c r="F6549" s="31" t="s">
        <v>3183</v>
      </c>
      <c r="G6549" s="31" t="s">
        <v>49</v>
      </c>
      <c r="K6549" s="31">
        <v>1100</v>
      </c>
      <c r="Z6549" s="31" t="s">
        <v>3814</v>
      </c>
      <c r="AE6549" s="31" t="s">
        <v>5034</v>
      </c>
      <c r="AK6549" s="32">
        <v>15</v>
      </c>
      <c r="AQ6549" s="32" t="s">
        <v>7132</v>
      </c>
      <c r="AU6549">
        <v>6548</v>
      </c>
    </row>
    <row r="6550" spans="1:47" x14ac:dyDescent="0.2">
      <c r="A6550" s="13">
        <v>6844</v>
      </c>
      <c r="B6550" s="57" t="s">
        <v>45</v>
      </c>
      <c r="C6550" s="57" t="s">
        <v>5860</v>
      </c>
      <c r="D6550" s="29"/>
      <c r="E6550" s="57" t="s">
        <v>3949</v>
      </c>
      <c r="F6550" s="31" t="s">
        <v>5697</v>
      </c>
      <c r="G6550" s="31" t="s">
        <v>69</v>
      </c>
      <c r="K6550" s="31">
        <v>198</v>
      </c>
      <c r="AE6550" s="31" t="s">
        <v>7241</v>
      </c>
      <c r="AF6550" s="31">
        <v>75</v>
      </c>
      <c r="AK6550" s="32">
        <v>2</v>
      </c>
      <c r="AQ6550" s="32" t="s">
        <v>7132</v>
      </c>
      <c r="AU6550">
        <v>6549</v>
      </c>
    </row>
    <row r="6551" spans="1:47" x14ac:dyDescent="0.2">
      <c r="A6551" s="13">
        <v>6844</v>
      </c>
      <c r="B6551" s="57" t="s">
        <v>45</v>
      </c>
      <c r="C6551" s="57" t="s">
        <v>5860</v>
      </c>
      <c r="D6551" s="29"/>
      <c r="E6551" s="57" t="s">
        <v>4182</v>
      </c>
      <c r="F6551" s="31" t="s">
        <v>76</v>
      </c>
      <c r="G6551" s="31" t="s">
        <v>49</v>
      </c>
      <c r="I6551" s="31" t="s">
        <v>7242</v>
      </c>
      <c r="K6551" s="63"/>
      <c r="AE6551" s="31" t="s">
        <v>7241</v>
      </c>
      <c r="AF6551" s="31">
        <v>85</v>
      </c>
      <c r="AQ6551" s="32" t="s">
        <v>7132</v>
      </c>
      <c r="AU6551">
        <v>6550</v>
      </c>
    </row>
    <row r="6552" spans="1:47" x14ac:dyDescent="0.2">
      <c r="A6552" s="13">
        <v>6844</v>
      </c>
      <c r="B6552" s="57" t="s">
        <v>45</v>
      </c>
      <c r="C6552" s="57" t="s">
        <v>7243</v>
      </c>
      <c r="D6552" s="29"/>
      <c r="E6552" s="57" t="s">
        <v>7279</v>
      </c>
      <c r="F6552" s="31" t="s">
        <v>3183</v>
      </c>
      <c r="G6552" s="31" t="s">
        <v>49</v>
      </c>
      <c r="K6552" s="31">
        <v>1320</v>
      </c>
      <c r="S6552" s="33">
        <v>2</v>
      </c>
      <c r="Z6552" s="31" t="s">
        <v>3855</v>
      </c>
      <c r="AE6552" s="31" t="s">
        <v>4217</v>
      </c>
      <c r="AF6552" s="31">
        <v>70</v>
      </c>
      <c r="AK6552" s="32">
        <v>12</v>
      </c>
      <c r="AQ6552" s="32" t="s">
        <v>7070</v>
      </c>
      <c r="AU6552">
        <v>6551</v>
      </c>
    </row>
    <row r="6553" spans="1:47" x14ac:dyDescent="0.2">
      <c r="A6553" s="13">
        <v>6844</v>
      </c>
      <c r="B6553" s="57" t="s">
        <v>45</v>
      </c>
      <c r="C6553" s="57" t="s">
        <v>7243</v>
      </c>
      <c r="D6553" s="29"/>
      <c r="E6553" s="57" t="s">
        <v>3936</v>
      </c>
      <c r="F6553" s="31" t="s">
        <v>76</v>
      </c>
      <c r="G6553" s="31" t="s">
        <v>49</v>
      </c>
      <c r="K6553" s="31">
        <v>3300</v>
      </c>
      <c r="S6553" s="33">
        <v>5</v>
      </c>
      <c r="Z6553" s="31" t="s">
        <v>3855</v>
      </c>
      <c r="AE6553" s="31" t="s">
        <v>4217</v>
      </c>
      <c r="AF6553" s="31">
        <v>65</v>
      </c>
      <c r="AK6553" s="32">
        <v>30</v>
      </c>
      <c r="AQ6553" s="32" t="s">
        <v>7070</v>
      </c>
      <c r="AU6553">
        <v>6552</v>
      </c>
    </row>
    <row r="6554" spans="1:47" x14ac:dyDescent="0.2">
      <c r="A6554" s="26">
        <v>6844</v>
      </c>
      <c r="B6554" s="27">
        <v>0.42777777777777781</v>
      </c>
      <c r="C6554" s="28"/>
      <c r="D6554" s="29"/>
      <c r="E6554" s="30" t="s">
        <v>869</v>
      </c>
      <c r="H6554" s="32">
        <v>0</v>
      </c>
      <c r="I6554" s="32" t="s">
        <v>2344</v>
      </c>
      <c r="AG6554" s="32">
        <v>0</v>
      </c>
      <c r="AH6554" s="32">
        <v>0</v>
      </c>
      <c r="AI6554" s="32">
        <v>0</v>
      </c>
      <c r="AK6554" s="32">
        <v>0</v>
      </c>
      <c r="AL6554" s="32">
        <f>23/60</f>
        <v>0.38333333333333336</v>
      </c>
      <c r="AP6554" s="32">
        <f>23/60</f>
        <v>0.38333333333333336</v>
      </c>
      <c r="AQ6554" s="32" t="s">
        <v>589</v>
      </c>
      <c r="AU6554">
        <v>6553</v>
      </c>
    </row>
    <row r="6555" spans="1:47" x14ac:dyDescent="0.2">
      <c r="A6555" s="26">
        <v>6844</v>
      </c>
      <c r="B6555" s="27">
        <v>0.44791666666666669</v>
      </c>
      <c r="C6555" s="28"/>
      <c r="D6555" s="29"/>
      <c r="E6555" s="30" t="s">
        <v>3737</v>
      </c>
      <c r="H6555" s="32">
        <v>0</v>
      </c>
      <c r="I6555" s="32" t="s">
        <v>4926</v>
      </c>
      <c r="AG6555" s="32">
        <v>0</v>
      </c>
      <c r="AH6555" s="32">
        <v>0</v>
      </c>
      <c r="AI6555" s="32">
        <v>0</v>
      </c>
      <c r="AK6555" s="32">
        <v>0</v>
      </c>
      <c r="AL6555" s="32">
        <v>0.25</v>
      </c>
      <c r="AM6555" s="33">
        <f>(3125+3691)*AL6555</f>
        <v>1704</v>
      </c>
      <c r="AP6555" s="32">
        <v>0.25</v>
      </c>
      <c r="AQ6555" s="32" t="s">
        <v>1101</v>
      </c>
      <c r="AU6555">
        <v>6554</v>
      </c>
    </row>
    <row r="6556" spans="1:47" x14ac:dyDescent="0.2">
      <c r="A6556" s="26">
        <v>6844</v>
      </c>
      <c r="B6556" s="27">
        <v>0.45833333333333331</v>
      </c>
      <c r="C6556" s="28"/>
      <c r="D6556" s="29"/>
      <c r="E6556" s="30" t="s">
        <v>3155</v>
      </c>
      <c r="H6556" s="32">
        <v>0</v>
      </c>
      <c r="I6556" s="32" t="s">
        <v>7280</v>
      </c>
      <c r="AG6556" s="32">
        <v>0</v>
      </c>
      <c r="AH6556" s="32">
        <v>0</v>
      </c>
      <c r="AI6556" s="32">
        <v>0</v>
      </c>
      <c r="AK6556" s="32">
        <v>0</v>
      </c>
      <c r="AP6556" s="32">
        <f>37/60</f>
        <v>0.6166666666666667</v>
      </c>
      <c r="AQ6556" s="32" t="s">
        <v>1101</v>
      </c>
      <c r="AU6556">
        <v>6555</v>
      </c>
    </row>
    <row r="6557" spans="1:47" x14ac:dyDescent="0.2">
      <c r="A6557" s="26">
        <v>6844</v>
      </c>
      <c r="B6557" s="27">
        <v>0.67222222222222217</v>
      </c>
      <c r="C6557" s="28"/>
      <c r="D6557" s="29"/>
      <c r="E6557" s="30" t="s">
        <v>1124</v>
      </c>
      <c r="H6557" s="32">
        <v>1</v>
      </c>
      <c r="I6557" s="32" t="s">
        <v>7281</v>
      </c>
      <c r="AG6557" s="32">
        <v>1</v>
      </c>
      <c r="AH6557" s="32">
        <v>1</v>
      </c>
      <c r="AK6557" s="32">
        <f>17+2</f>
        <v>19</v>
      </c>
      <c r="AL6557" s="32">
        <f>22/60</f>
        <v>0.36666666666666664</v>
      </c>
      <c r="AO6557" s="46" t="s">
        <v>1126</v>
      </c>
      <c r="AP6557" s="32">
        <f>22/60</f>
        <v>0.36666666666666664</v>
      </c>
      <c r="AQ6557" s="32" t="s">
        <v>589</v>
      </c>
      <c r="AU6557">
        <v>6556</v>
      </c>
    </row>
    <row r="6558" spans="1:47" x14ac:dyDescent="0.2">
      <c r="A6558" s="26">
        <v>6844</v>
      </c>
      <c r="B6558" s="27">
        <v>0.85069444444444453</v>
      </c>
      <c r="C6558" s="28"/>
      <c r="D6558" s="29"/>
      <c r="E6558" s="30" t="s">
        <v>1124</v>
      </c>
      <c r="H6558" s="32">
        <v>1</v>
      </c>
      <c r="I6558" s="32" t="s">
        <v>7282</v>
      </c>
      <c r="AG6558" s="32">
        <v>3</v>
      </c>
      <c r="AH6558" s="32">
        <v>6</v>
      </c>
      <c r="AK6558" s="32">
        <v>18</v>
      </c>
      <c r="AL6558" s="32">
        <v>24</v>
      </c>
      <c r="AO6558" s="46" t="s">
        <v>1126</v>
      </c>
      <c r="AP6558" s="32">
        <v>2.4166666666666665</v>
      </c>
      <c r="AQ6558" s="32" t="s">
        <v>7283</v>
      </c>
      <c r="AU6558">
        <v>6557</v>
      </c>
    </row>
    <row r="6559" spans="1:47" x14ac:dyDescent="0.2">
      <c r="A6559" s="26">
        <v>6844</v>
      </c>
      <c r="B6559" s="27">
        <v>0.85763888888888884</v>
      </c>
      <c r="C6559" s="28"/>
      <c r="D6559" s="29"/>
      <c r="E6559" s="30" t="s">
        <v>4219</v>
      </c>
      <c r="H6559" s="32">
        <v>1</v>
      </c>
      <c r="I6559" s="32" t="s">
        <v>7284</v>
      </c>
      <c r="AL6559" s="32">
        <f>55/60</f>
        <v>0.91666666666666663</v>
      </c>
      <c r="AO6559" s="32" t="s">
        <v>858</v>
      </c>
      <c r="AP6559" s="32">
        <f>55/60</f>
        <v>0.91666666666666663</v>
      </c>
      <c r="AQ6559" s="32" t="s">
        <v>1101</v>
      </c>
      <c r="AU6559">
        <v>6558</v>
      </c>
    </row>
    <row r="6560" spans="1:47" x14ac:dyDescent="0.2">
      <c r="A6560" s="26">
        <v>6844</v>
      </c>
      <c r="B6560" s="27">
        <v>0.86111111111111116</v>
      </c>
      <c r="C6560" s="28"/>
      <c r="D6560" s="29"/>
      <c r="E6560" s="30" t="s">
        <v>464</v>
      </c>
      <c r="H6560" s="32">
        <v>0</v>
      </c>
      <c r="I6560" s="32" t="s">
        <v>7285</v>
      </c>
      <c r="AG6560" s="32">
        <v>0</v>
      </c>
      <c r="AH6560" s="32">
        <v>0</v>
      </c>
      <c r="AL6560" s="32">
        <f>3+35/60</f>
        <v>3.5833333333333335</v>
      </c>
      <c r="AO6560" s="32" t="s">
        <v>4067</v>
      </c>
      <c r="AP6560" s="32">
        <f>3+35/60</f>
        <v>3.5833333333333335</v>
      </c>
      <c r="AQ6560" s="32" t="s">
        <v>1522</v>
      </c>
      <c r="AU6560">
        <v>6559</v>
      </c>
    </row>
    <row r="6561" spans="1:47" x14ac:dyDescent="0.2">
      <c r="A6561" s="26">
        <v>6844</v>
      </c>
      <c r="B6561" s="27">
        <v>0.87708333333333333</v>
      </c>
      <c r="C6561" s="28"/>
      <c r="D6561" s="29"/>
      <c r="E6561" s="102" t="s">
        <v>1102</v>
      </c>
      <c r="H6561" s="32">
        <v>0</v>
      </c>
      <c r="I6561" s="32" t="s">
        <v>1103</v>
      </c>
      <c r="AG6561" s="32">
        <v>0</v>
      </c>
      <c r="AH6561" s="32">
        <v>0</v>
      </c>
      <c r="AI6561" s="32">
        <v>0</v>
      </c>
      <c r="AK6561" s="32">
        <v>0</v>
      </c>
      <c r="AL6561" s="32">
        <f>42/60</f>
        <v>0.7</v>
      </c>
      <c r="AO6561" s="73" t="s">
        <v>1006</v>
      </c>
      <c r="AP6561" s="32">
        <f>42/60</f>
        <v>0.7</v>
      </c>
      <c r="AQ6561" s="32" t="s">
        <v>589</v>
      </c>
      <c r="AU6561">
        <v>6560</v>
      </c>
    </row>
    <row r="6562" spans="1:47" x14ac:dyDescent="0.2">
      <c r="A6562" s="26">
        <v>6844</v>
      </c>
      <c r="B6562" s="27">
        <v>0.88541666666666663</v>
      </c>
      <c r="C6562" s="28"/>
      <c r="D6562" s="29"/>
      <c r="E6562" s="30" t="s">
        <v>78</v>
      </c>
      <c r="H6562" s="32">
        <v>1</v>
      </c>
      <c r="I6562" s="32"/>
      <c r="AG6562" s="32">
        <v>0</v>
      </c>
      <c r="AH6562" s="32">
        <v>0</v>
      </c>
      <c r="AJ6562" s="32">
        <v>72591</v>
      </c>
      <c r="AK6562" s="32">
        <v>12</v>
      </c>
      <c r="AO6562" s="32" t="s">
        <v>80</v>
      </c>
      <c r="AP6562" s="32">
        <v>0.5</v>
      </c>
      <c r="AQ6562" s="32" t="s">
        <v>1101</v>
      </c>
      <c r="AU6562">
        <v>6561</v>
      </c>
    </row>
    <row r="6563" spans="1:47" x14ac:dyDescent="0.2">
      <c r="A6563" s="26">
        <v>6844</v>
      </c>
      <c r="B6563" s="27">
        <v>0.88541666666666663</v>
      </c>
      <c r="C6563" s="28"/>
      <c r="D6563" s="29"/>
      <c r="E6563" s="30" t="s">
        <v>1282</v>
      </c>
      <c r="H6563" s="32">
        <v>0</v>
      </c>
      <c r="I6563" s="32" t="s">
        <v>7286</v>
      </c>
      <c r="AG6563" s="32">
        <v>0</v>
      </c>
      <c r="AH6563" s="32">
        <v>0</v>
      </c>
      <c r="AI6563" s="32">
        <v>0</v>
      </c>
      <c r="AK6563" s="32">
        <v>0</v>
      </c>
      <c r="AL6563" s="32">
        <f>2+11/60</f>
        <v>2.1833333333333331</v>
      </c>
      <c r="AP6563" s="32">
        <f>2+11/60</f>
        <v>2.1833333333333331</v>
      </c>
      <c r="AQ6563" s="32" t="s">
        <v>1101</v>
      </c>
      <c r="AU6563">
        <v>6562</v>
      </c>
    </row>
    <row r="6564" spans="1:47" x14ac:dyDescent="0.2">
      <c r="A6564" s="26">
        <v>6844</v>
      </c>
      <c r="B6564" s="27">
        <v>0.89583333333333337</v>
      </c>
      <c r="C6564" s="28"/>
      <c r="D6564" s="29"/>
      <c r="E6564" s="30" t="s">
        <v>4666</v>
      </c>
      <c r="H6564" s="32">
        <v>0</v>
      </c>
      <c r="I6564" s="32" t="s">
        <v>7287</v>
      </c>
      <c r="AG6564" s="32">
        <v>0</v>
      </c>
      <c r="AH6564" s="32">
        <v>0</v>
      </c>
      <c r="AI6564" s="32">
        <v>0</v>
      </c>
      <c r="AK6564" s="32">
        <v>0</v>
      </c>
      <c r="AL6564" s="32">
        <f>5+1/12</f>
        <v>5.083333333333333</v>
      </c>
      <c r="AO6564" s="32" t="s">
        <v>4668</v>
      </c>
      <c r="AP6564" s="32">
        <f>5+1/12</f>
        <v>5.083333333333333</v>
      </c>
      <c r="AQ6564" s="32">
        <v>411</v>
      </c>
      <c r="AU6564">
        <v>6563</v>
      </c>
    </row>
    <row r="6565" spans="1:47" x14ac:dyDescent="0.2">
      <c r="A6565" s="26">
        <v>6844</v>
      </c>
      <c r="B6565" s="27">
        <v>0.9472222222222223</v>
      </c>
      <c r="C6565" s="28"/>
      <c r="D6565" s="29"/>
      <c r="E6565" s="30" t="s">
        <v>3737</v>
      </c>
      <c r="H6565" s="32">
        <v>0</v>
      </c>
      <c r="I6565" s="32" t="s">
        <v>4926</v>
      </c>
      <c r="AG6565" s="32">
        <v>0</v>
      </c>
      <c r="AH6565" s="32">
        <v>0</v>
      </c>
      <c r="AI6565" s="32">
        <v>0</v>
      </c>
      <c r="AK6565" s="32">
        <v>0</v>
      </c>
      <c r="AL6565" s="32">
        <f>61/60</f>
        <v>1.0166666666666666</v>
      </c>
      <c r="AM6565" s="33">
        <f>3125*AL6565</f>
        <v>3177.083333333333</v>
      </c>
      <c r="AP6565" s="32">
        <f>61/60</f>
        <v>1.0166666666666666</v>
      </c>
      <c r="AQ6565" s="32" t="s">
        <v>1101</v>
      </c>
      <c r="AU6565">
        <v>6564</v>
      </c>
    </row>
    <row r="6566" spans="1:47" x14ac:dyDescent="0.2">
      <c r="A6566" s="26">
        <v>6844</v>
      </c>
      <c r="B6566" s="27">
        <v>0.97222222222222221</v>
      </c>
      <c r="C6566" s="28"/>
      <c r="D6566" s="29"/>
      <c r="E6566" s="30" t="s">
        <v>869</v>
      </c>
      <c r="H6566" s="32">
        <v>0</v>
      </c>
      <c r="I6566" s="32" t="s">
        <v>2344</v>
      </c>
      <c r="AG6566" s="32">
        <v>0</v>
      </c>
      <c r="AH6566" s="32">
        <v>0</v>
      </c>
      <c r="AI6566" s="32">
        <v>0</v>
      </c>
      <c r="AK6566" s="32">
        <v>0</v>
      </c>
      <c r="AL6566" s="32">
        <f>1/6</f>
        <v>0.16666666666666666</v>
      </c>
      <c r="AP6566" s="32">
        <f>1/6</f>
        <v>0.16666666666666666</v>
      </c>
      <c r="AQ6566" s="32" t="s">
        <v>589</v>
      </c>
      <c r="AU6566">
        <v>6565</v>
      </c>
    </row>
    <row r="6567" spans="1:47" x14ac:dyDescent="0.2">
      <c r="A6567" s="26">
        <v>6844</v>
      </c>
      <c r="B6567" s="27" t="s">
        <v>45</v>
      </c>
      <c r="C6567" s="28"/>
      <c r="D6567" s="29"/>
      <c r="E6567" s="30" t="s">
        <v>1531</v>
      </c>
      <c r="H6567" s="32">
        <v>0</v>
      </c>
      <c r="I6567" s="32" t="s">
        <v>1532</v>
      </c>
      <c r="AG6567" s="32">
        <v>0</v>
      </c>
      <c r="AH6567" s="32">
        <v>0</v>
      </c>
      <c r="AI6567" s="32">
        <v>0</v>
      </c>
      <c r="AK6567" s="32">
        <v>0</v>
      </c>
      <c r="AM6567" s="32">
        <f>498*41</f>
        <v>20418</v>
      </c>
      <c r="AO6567" s="32" t="s">
        <v>1533</v>
      </c>
      <c r="AQ6567" s="32" t="s">
        <v>1101</v>
      </c>
      <c r="AU6567">
        <v>6566</v>
      </c>
    </row>
    <row r="6568" spans="1:47" x14ac:dyDescent="0.2">
      <c r="A6568" s="26">
        <v>6844</v>
      </c>
      <c r="B6568" s="27" t="s">
        <v>45</v>
      </c>
      <c r="C6568" s="28"/>
      <c r="D6568" s="29"/>
      <c r="E6568" s="150" t="s">
        <v>2286</v>
      </c>
      <c r="H6568" s="32">
        <v>0</v>
      </c>
      <c r="I6568" s="32" t="s">
        <v>1824</v>
      </c>
      <c r="AG6568" s="32">
        <v>0</v>
      </c>
      <c r="AH6568" s="32">
        <v>0</v>
      </c>
      <c r="AI6568" s="32">
        <v>0</v>
      </c>
      <c r="AK6568" s="32">
        <v>0</v>
      </c>
      <c r="AM6568" s="32">
        <v>5500</v>
      </c>
      <c r="AO6568" s="73" t="s">
        <v>75</v>
      </c>
      <c r="AQ6568" s="32" t="s">
        <v>589</v>
      </c>
      <c r="AU6568">
        <v>6567</v>
      </c>
    </row>
    <row r="6569" spans="1:47" x14ac:dyDescent="0.2">
      <c r="A6569" s="37">
        <v>6845</v>
      </c>
      <c r="B6569" s="38" t="s">
        <v>85</v>
      </c>
      <c r="C6569" s="206" t="s">
        <v>7288</v>
      </c>
      <c r="D6569" s="29"/>
      <c r="E6569" s="38" t="s">
        <v>7289</v>
      </c>
      <c r="F6569" s="32"/>
      <c r="G6569" s="47"/>
      <c r="H6569"/>
      <c r="I6569" s="32" t="s">
        <v>7290</v>
      </c>
      <c r="J6569" s="47"/>
      <c r="K6569" s="47"/>
      <c r="L6569" s="48">
        <v>12</v>
      </c>
      <c r="M6569" s="47"/>
      <c r="N6569" s="47"/>
      <c r="O6569" s="47"/>
      <c r="P6569" s="47"/>
      <c r="Q6569" s="47"/>
      <c r="R6569" s="47"/>
      <c r="S6569" s="48">
        <v>12</v>
      </c>
      <c r="T6569" s="47"/>
      <c r="U6569" s="47"/>
      <c r="V6569" s="47"/>
      <c r="W6569" s="47">
        <v>9000</v>
      </c>
      <c r="X6569" s="47"/>
      <c r="Y6569" s="47" t="s">
        <v>120</v>
      </c>
      <c r="Z6569" s="47" t="s">
        <v>7262</v>
      </c>
      <c r="AA6569" s="49">
        <v>0.71180555555555547</v>
      </c>
      <c r="AB6569" s="49">
        <v>0.78125</v>
      </c>
      <c r="AC6569" s="49">
        <f>AVERAGE(AA6569:AB6569)</f>
        <v>0.74652777777777768</v>
      </c>
      <c r="AD6569" s="50">
        <f>(AB6569-AA6569)*24</f>
        <v>1.6666666666666687</v>
      </c>
      <c r="AE6569" s="47" t="s">
        <v>2743</v>
      </c>
      <c r="AF6569" s="47">
        <v>65</v>
      </c>
      <c r="AG6569"/>
      <c r="AH6569"/>
      <c r="AI6569"/>
      <c r="AJ6569"/>
      <c r="AK6569"/>
      <c r="AL6569"/>
      <c r="AM6569"/>
      <c r="AN6569"/>
      <c r="AO6569"/>
      <c r="AP6569"/>
      <c r="AQ6569" t="s">
        <v>7167</v>
      </c>
      <c r="AU6569">
        <v>6568</v>
      </c>
    </row>
    <row r="6570" spans="1:47" x14ac:dyDescent="0.2">
      <c r="A6570" s="37">
        <v>6845</v>
      </c>
      <c r="B6570" s="38" t="s">
        <v>85</v>
      </c>
      <c r="C6570" s="39" t="s">
        <v>5626</v>
      </c>
      <c r="D6570" s="45"/>
      <c r="E6570" s="144" t="s">
        <v>7291</v>
      </c>
      <c r="F6570" s="31" t="s">
        <v>7292</v>
      </c>
      <c r="G6570" s="31" t="s">
        <v>69</v>
      </c>
      <c r="I6570" s="31" t="s">
        <v>7293</v>
      </c>
      <c r="K6570" s="19">
        <f>18010*2.2</f>
        <v>39622</v>
      </c>
      <c r="S6570" s="33">
        <v>86</v>
      </c>
      <c r="T6570" s="31">
        <v>0</v>
      </c>
      <c r="W6570" s="47">
        <f>((800+1500)/2)*39.37/12</f>
        <v>3772.9583333333335</v>
      </c>
      <c r="Y6570" s="31" t="s">
        <v>120</v>
      </c>
      <c r="Z6570" s="31" t="s">
        <v>3724</v>
      </c>
      <c r="AC6570" s="34">
        <v>0.73263888888888884</v>
      </c>
      <c r="AD6570" s="31"/>
      <c r="AE6570" s="47" t="s">
        <v>7233</v>
      </c>
      <c r="AF6570" s="31">
        <v>85</v>
      </c>
      <c r="AQ6570" t="s">
        <v>7294</v>
      </c>
      <c r="AU6570">
        <v>6569</v>
      </c>
    </row>
    <row r="6571" spans="1:47" x14ac:dyDescent="0.2">
      <c r="A6571" s="37">
        <v>6845</v>
      </c>
      <c r="B6571" s="38" t="s">
        <v>85</v>
      </c>
      <c r="C6571" s="39" t="s">
        <v>7255</v>
      </c>
      <c r="D6571" s="29"/>
      <c r="E6571" s="38" t="s">
        <v>7295</v>
      </c>
      <c r="F6571" s="137" t="s">
        <v>7296</v>
      </c>
      <c r="G6571" s="47" t="s">
        <v>69</v>
      </c>
      <c r="I6571" s="31" t="s">
        <v>7297</v>
      </c>
      <c r="K6571" s="207">
        <f>7080*2.2</f>
        <v>15576.000000000002</v>
      </c>
      <c r="S6571" s="33">
        <v>37</v>
      </c>
      <c r="T6571" s="31">
        <v>0</v>
      </c>
      <c r="W6571" s="47">
        <f>((1000+1200)/2)*39.37/12</f>
        <v>3608.9166666666665</v>
      </c>
      <c r="Y6571" s="31" t="s">
        <v>120</v>
      </c>
      <c r="Z6571" s="31" t="s">
        <v>3724</v>
      </c>
      <c r="AC6571" s="34">
        <v>0.74305555555555547</v>
      </c>
      <c r="AD6571" s="31"/>
      <c r="AE6571" s="47" t="s">
        <v>7259</v>
      </c>
      <c r="AQ6571" t="s">
        <v>7294</v>
      </c>
      <c r="AU6571">
        <v>6570</v>
      </c>
    </row>
    <row r="6572" spans="1:47" x14ac:dyDescent="0.2">
      <c r="A6572" s="26">
        <v>6845</v>
      </c>
      <c r="B6572" s="27">
        <v>0.65138888888888891</v>
      </c>
      <c r="C6572" s="28"/>
      <c r="D6572" s="29"/>
      <c r="E6572" s="30" t="s">
        <v>3737</v>
      </c>
      <c r="H6572" s="32">
        <v>0</v>
      </c>
      <c r="I6572" s="32" t="s">
        <v>4926</v>
      </c>
      <c r="AG6572" s="32">
        <v>0</v>
      </c>
      <c r="AH6572" s="32">
        <v>0</v>
      </c>
      <c r="AI6572" s="32">
        <v>0</v>
      </c>
      <c r="AK6572" s="32">
        <v>0</v>
      </c>
      <c r="AM6572" s="74"/>
      <c r="AQ6572" s="32" t="s">
        <v>1101</v>
      </c>
      <c r="AU6572">
        <v>6571</v>
      </c>
    </row>
    <row r="6573" spans="1:47" x14ac:dyDescent="0.2">
      <c r="A6573" s="26">
        <v>6845</v>
      </c>
      <c r="B6573" s="27">
        <v>0.71736111111111101</v>
      </c>
      <c r="C6573" s="28"/>
      <c r="D6573" s="29"/>
      <c r="E6573" s="30" t="s">
        <v>5224</v>
      </c>
      <c r="H6573" s="32">
        <v>0</v>
      </c>
      <c r="I6573" s="32" t="s">
        <v>5225</v>
      </c>
      <c r="AG6573" s="32">
        <v>0</v>
      </c>
      <c r="AH6573" s="32">
        <v>0</v>
      </c>
      <c r="AI6573" s="32">
        <v>0</v>
      </c>
      <c r="AK6573" s="32">
        <v>0</v>
      </c>
      <c r="AL6573" s="32">
        <f>47/60</f>
        <v>0.78333333333333333</v>
      </c>
      <c r="AP6573" s="32">
        <f>47/60</f>
        <v>0.78333333333333333</v>
      </c>
      <c r="AQ6573" s="32" t="s">
        <v>1101</v>
      </c>
      <c r="AU6573">
        <v>6572</v>
      </c>
    </row>
    <row r="6574" spans="1:47" x14ac:dyDescent="0.2">
      <c r="A6574" s="26">
        <v>6845</v>
      </c>
      <c r="B6574" s="27"/>
      <c r="C6574" s="28"/>
      <c r="D6574" s="29"/>
      <c r="E6574" s="30" t="s">
        <v>75</v>
      </c>
      <c r="H6574" s="32">
        <v>1</v>
      </c>
      <c r="I6574" s="32" t="s">
        <v>7298</v>
      </c>
      <c r="AG6574" s="32">
        <v>0</v>
      </c>
      <c r="AH6574" s="32">
        <v>0</v>
      </c>
      <c r="AI6574" s="32">
        <v>550</v>
      </c>
      <c r="AL6574" s="32">
        <v>9</v>
      </c>
      <c r="AQ6574" s="32">
        <v>413</v>
      </c>
      <c r="AU6574">
        <v>6573</v>
      </c>
    </row>
    <row r="6575" spans="1:47" x14ac:dyDescent="0.2">
      <c r="A6575" s="37">
        <v>6846</v>
      </c>
      <c r="B6575" s="38" t="s">
        <v>85</v>
      </c>
      <c r="C6575" s="39" t="s">
        <v>5626</v>
      </c>
      <c r="D6575" s="29"/>
      <c r="E6575" s="36" t="s">
        <v>7299</v>
      </c>
      <c r="F6575" s="31" t="s">
        <v>7300</v>
      </c>
      <c r="G6575" s="31" t="s">
        <v>69</v>
      </c>
      <c r="H6575" s="32"/>
      <c r="I6575" s="32" t="s">
        <v>7301</v>
      </c>
      <c r="K6575" s="31">
        <f>16610*2.2</f>
        <v>36542</v>
      </c>
      <c r="S6575" s="33">
        <v>76</v>
      </c>
      <c r="T6575" s="31">
        <v>0</v>
      </c>
      <c r="W6575" s="47">
        <f>((800+1200)/2)*39.37/12</f>
        <v>3280.8333333333335</v>
      </c>
      <c r="Y6575" s="31" t="s">
        <v>51</v>
      </c>
      <c r="Z6575" s="31" t="s">
        <v>3724</v>
      </c>
      <c r="AC6575" s="34">
        <v>0.64583333333333337</v>
      </c>
      <c r="AE6575" s="47" t="s">
        <v>7233</v>
      </c>
      <c r="AF6575" s="31">
        <v>70</v>
      </c>
      <c r="AQ6575" t="s">
        <v>7302</v>
      </c>
      <c r="AU6575">
        <v>6574</v>
      </c>
    </row>
    <row r="6576" spans="1:47" x14ac:dyDescent="0.2">
      <c r="A6576" s="37">
        <v>6846</v>
      </c>
      <c r="B6576" s="38" t="s">
        <v>85</v>
      </c>
      <c r="C6576" s="39" t="s">
        <v>7255</v>
      </c>
      <c r="D6576" s="45" t="s">
        <v>120</v>
      </c>
      <c r="E6576" s="144" t="s">
        <v>107</v>
      </c>
      <c r="G6576" s="31" t="s">
        <v>69</v>
      </c>
      <c r="I6576" s="31" t="s">
        <v>7303</v>
      </c>
      <c r="K6576" s="207">
        <v>0</v>
      </c>
      <c r="L6576" s="33">
        <v>30</v>
      </c>
      <c r="M6576" s="31">
        <v>30</v>
      </c>
      <c r="S6576" s="33">
        <v>0</v>
      </c>
      <c r="T6576" s="31">
        <v>0</v>
      </c>
      <c r="W6576" s="47">
        <f>300*39.37/12</f>
        <v>984.25</v>
      </c>
      <c r="Y6576" s="31" t="s">
        <v>51</v>
      </c>
      <c r="Z6576" s="31" t="s">
        <v>3724</v>
      </c>
      <c r="AA6576" s="34">
        <v>0.67708333333333337</v>
      </c>
      <c r="AD6576" s="31"/>
      <c r="AE6576" s="47" t="s">
        <v>7259</v>
      </c>
      <c r="AQ6576" t="s">
        <v>7302</v>
      </c>
      <c r="AU6576">
        <v>6575</v>
      </c>
    </row>
    <row r="6577" spans="1:47" x14ac:dyDescent="0.2">
      <c r="A6577" s="37">
        <v>6846</v>
      </c>
      <c r="B6577" s="38" t="s">
        <v>85</v>
      </c>
      <c r="C6577" s="39" t="s">
        <v>7304</v>
      </c>
      <c r="D6577" s="45"/>
      <c r="E6577" s="144" t="s">
        <v>7305</v>
      </c>
      <c r="F6577" s="31" t="s">
        <v>7306</v>
      </c>
      <c r="G6577" s="31" t="s">
        <v>69</v>
      </c>
      <c r="I6577" s="31" t="s">
        <v>7307</v>
      </c>
      <c r="K6577" s="207">
        <f>2780*2.2</f>
        <v>6116.0000000000009</v>
      </c>
      <c r="S6577" s="33">
        <v>14</v>
      </c>
      <c r="T6577" s="31">
        <v>0</v>
      </c>
      <c r="W6577" s="47">
        <f>300*39.37/12</f>
        <v>984.25</v>
      </c>
      <c r="Y6577" s="31" t="s">
        <v>51</v>
      </c>
      <c r="Z6577" s="31" t="s">
        <v>3724</v>
      </c>
      <c r="AA6577" s="34">
        <v>0.67708333333333337</v>
      </c>
      <c r="AC6577" s="34">
        <v>0.71875</v>
      </c>
      <c r="AD6577" s="31"/>
      <c r="AE6577" s="47" t="s">
        <v>7259</v>
      </c>
      <c r="AQ6577" t="s">
        <v>7302</v>
      </c>
      <c r="AU6577">
        <v>6576</v>
      </c>
    </row>
    <row r="6578" spans="1:47" x14ac:dyDescent="0.2">
      <c r="A6578" s="37">
        <v>6847</v>
      </c>
      <c r="B6578" s="38" t="s">
        <v>85</v>
      </c>
      <c r="C6578" s="206" t="s">
        <v>7288</v>
      </c>
      <c r="D6578" s="29"/>
      <c r="E6578" s="38" t="s">
        <v>7308</v>
      </c>
      <c r="F6578" s="31" t="s">
        <v>7309</v>
      </c>
      <c r="H6578" s="32"/>
      <c r="I6578" s="32" t="s">
        <v>7310</v>
      </c>
      <c r="K6578" s="31">
        <f>2200*2.2</f>
        <v>4840</v>
      </c>
      <c r="L6578" s="33">
        <v>33</v>
      </c>
      <c r="W6578" s="31">
        <v>14000</v>
      </c>
      <c r="Y6578" s="31" t="s">
        <v>51</v>
      </c>
      <c r="Z6578" s="47" t="s">
        <v>7262</v>
      </c>
      <c r="AA6578" s="34">
        <v>0.67708333333333337</v>
      </c>
      <c r="AE6578" s="47" t="s">
        <v>2743</v>
      </c>
      <c r="AF6578" s="31">
        <v>80</v>
      </c>
      <c r="AQ6578" t="s">
        <v>7167</v>
      </c>
      <c r="AU6578">
        <v>6577</v>
      </c>
    </row>
    <row r="6579" spans="1:47" x14ac:dyDescent="0.2">
      <c r="A6579" s="37">
        <v>6847</v>
      </c>
      <c r="B6579" s="38" t="s">
        <v>85</v>
      </c>
      <c r="C6579" s="208" t="s">
        <v>7311</v>
      </c>
      <c r="D6579" s="29"/>
      <c r="E6579" s="38" t="s">
        <v>7312</v>
      </c>
      <c r="F6579" s="31" t="s">
        <v>6286</v>
      </c>
      <c r="G6579" s="31" t="s">
        <v>69</v>
      </c>
      <c r="H6579" s="32"/>
      <c r="I6579" s="32" t="s">
        <v>7313</v>
      </c>
      <c r="Y6579" s="31" t="s">
        <v>120</v>
      </c>
      <c r="Z6579" s="31" t="s">
        <v>3724</v>
      </c>
      <c r="AE6579" s="47"/>
      <c r="AQ6579" t="s">
        <v>7254</v>
      </c>
      <c r="AU6579">
        <v>6578</v>
      </c>
    </row>
    <row r="6580" spans="1:47" x14ac:dyDescent="0.2">
      <c r="A6580" s="133">
        <v>6848</v>
      </c>
      <c r="B6580" s="39" t="s">
        <v>45</v>
      </c>
      <c r="C6580" s="39">
        <v>97</v>
      </c>
      <c r="D6580" s="29" t="b">
        <v>0</v>
      </c>
      <c r="E6580" s="39" t="s">
        <v>7314</v>
      </c>
      <c r="F6580" s="47" t="s">
        <v>2398</v>
      </c>
      <c r="G6580" s="47" t="s">
        <v>49</v>
      </c>
      <c r="H6580"/>
      <c r="I6580" s="47" t="b">
        <v>1</v>
      </c>
      <c r="J6580" s="47" t="b">
        <v>1</v>
      </c>
      <c r="K6580" s="47">
        <v>3461</v>
      </c>
      <c r="L6580" s="48">
        <v>8</v>
      </c>
      <c r="M6580" s="47">
        <v>6</v>
      </c>
      <c r="N6580" s="47">
        <v>0</v>
      </c>
      <c r="O6580" s="47">
        <v>0</v>
      </c>
      <c r="P6580" s="47">
        <v>0</v>
      </c>
      <c r="Q6580" s="47">
        <v>0</v>
      </c>
      <c r="R6580" s="47">
        <v>0</v>
      </c>
      <c r="S6580" s="48">
        <v>2</v>
      </c>
      <c r="T6580" s="47">
        <v>0</v>
      </c>
      <c r="U6580" s="47">
        <v>0</v>
      </c>
      <c r="V6580" s="47">
        <v>1</v>
      </c>
      <c r="W6580" s="47"/>
      <c r="X6580" s="47">
        <v>1097</v>
      </c>
      <c r="Y6580" s="47"/>
      <c r="Z6580" s="47" t="s">
        <v>2466</v>
      </c>
      <c r="AA6580" s="49"/>
      <c r="AB6580" s="49"/>
      <c r="AC6580" s="49"/>
      <c r="AD6580" s="50"/>
      <c r="AE6580" s="47"/>
      <c r="AF6580" s="47"/>
      <c r="AG6580"/>
      <c r="AH6580"/>
      <c r="AI6580"/>
      <c r="AJ6580"/>
      <c r="AK6580"/>
      <c r="AL6580"/>
      <c r="AM6580"/>
      <c r="AN6580"/>
      <c r="AO6580"/>
      <c r="AP6580"/>
      <c r="AQ6580" t="s">
        <v>2526</v>
      </c>
      <c r="AU6580">
        <v>6579</v>
      </c>
    </row>
    <row r="6581" spans="1:47" x14ac:dyDescent="0.2">
      <c r="A6581" s="133">
        <v>6848</v>
      </c>
      <c r="B6581" s="39" t="s">
        <v>45</v>
      </c>
      <c r="C6581" s="39">
        <v>97</v>
      </c>
      <c r="D6581" s="29" t="b">
        <v>0</v>
      </c>
      <c r="E6581" s="39" t="s">
        <v>4823</v>
      </c>
      <c r="F6581" s="47" t="s">
        <v>2398</v>
      </c>
      <c r="G6581" s="47" t="s">
        <v>49</v>
      </c>
      <c r="H6581"/>
      <c r="I6581" s="47" t="b">
        <v>0</v>
      </c>
      <c r="J6581" s="47" t="b">
        <v>0</v>
      </c>
      <c r="K6581" s="47">
        <v>1668</v>
      </c>
      <c r="L6581" s="48">
        <v>8</v>
      </c>
      <c r="M6581" s="47">
        <v>6</v>
      </c>
      <c r="N6581" s="47">
        <v>0</v>
      </c>
      <c r="O6581" s="47">
        <v>0</v>
      </c>
      <c r="P6581" s="47">
        <v>0</v>
      </c>
      <c r="Q6581" s="47">
        <v>0</v>
      </c>
      <c r="R6581" s="47">
        <v>0</v>
      </c>
      <c r="S6581" s="48">
        <v>1</v>
      </c>
      <c r="T6581" s="47">
        <v>0</v>
      </c>
      <c r="U6581" s="47">
        <v>0</v>
      </c>
      <c r="V6581" s="47">
        <v>1</v>
      </c>
      <c r="W6581" s="47"/>
      <c r="X6581" s="47">
        <v>1098</v>
      </c>
      <c r="Y6581" s="47"/>
      <c r="Z6581" s="47" t="s">
        <v>2466</v>
      </c>
      <c r="AA6581" s="49"/>
      <c r="AB6581" s="49"/>
      <c r="AC6581" s="49"/>
      <c r="AD6581" s="50"/>
      <c r="AE6581" s="47"/>
      <c r="AF6581" s="47"/>
      <c r="AG6581"/>
      <c r="AH6581"/>
      <c r="AI6581"/>
      <c r="AJ6581"/>
      <c r="AK6581"/>
      <c r="AL6581"/>
      <c r="AM6581"/>
      <c r="AN6581"/>
      <c r="AO6581"/>
      <c r="AP6581"/>
      <c r="AQ6581" t="s">
        <v>2526</v>
      </c>
      <c r="AU6581">
        <v>6580</v>
      </c>
    </row>
    <row r="6582" spans="1:47" x14ac:dyDescent="0.2">
      <c r="A6582" s="133">
        <v>6848</v>
      </c>
      <c r="B6582" s="39" t="s">
        <v>45</v>
      </c>
      <c r="C6582" s="39">
        <v>97</v>
      </c>
      <c r="D6582" s="29" t="b">
        <v>0</v>
      </c>
      <c r="E6582" s="39" t="s">
        <v>7315</v>
      </c>
      <c r="F6582" s="47" t="s">
        <v>4904</v>
      </c>
      <c r="G6582" s="47" t="s">
        <v>49</v>
      </c>
      <c r="H6582"/>
      <c r="I6582" s="47" t="b">
        <v>0</v>
      </c>
      <c r="J6582" s="47" t="b">
        <v>0</v>
      </c>
      <c r="K6582" s="47">
        <v>1793</v>
      </c>
      <c r="L6582" s="48">
        <v>8</v>
      </c>
      <c r="M6582" s="47">
        <v>6</v>
      </c>
      <c r="N6582" s="47">
        <v>0</v>
      </c>
      <c r="O6582" s="47">
        <v>0</v>
      </c>
      <c r="P6582" s="47">
        <v>0</v>
      </c>
      <c r="Q6582" s="47">
        <v>0</v>
      </c>
      <c r="R6582" s="47">
        <v>0</v>
      </c>
      <c r="S6582" s="48">
        <v>1</v>
      </c>
      <c r="T6582" s="47">
        <v>0</v>
      </c>
      <c r="U6582" s="47">
        <v>0</v>
      </c>
      <c r="V6582" s="47">
        <v>1</v>
      </c>
      <c r="W6582" s="47"/>
      <c r="X6582" s="47">
        <v>1104</v>
      </c>
      <c r="Y6582" s="47"/>
      <c r="Z6582" s="47" t="s">
        <v>2466</v>
      </c>
      <c r="AA6582" s="49"/>
      <c r="AB6582" s="49"/>
      <c r="AC6582" s="49"/>
      <c r="AD6582" s="50"/>
      <c r="AE6582" s="47"/>
      <c r="AF6582" s="47"/>
      <c r="AG6582"/>
      <c r="AH6582"/>
      <c r="AI6582"/>
      <c r="AJ6582"/>
      <c r="AK6582"/>
      <c r="AL6582"/>
      <c r="AM6582"/>
      <c r="AN6582"/>
      <c r="AO6582"/>
      <c r="AP6582"/>
      <c r="AQ6582" t="s">
        <v>2526</v>
      </c>
      <c r="AU6582">
        <v>6581</v>
      </c>
    </row>
    <row r="6583" spans="1:47" x14ac:dyDescent="0.2">
      <c r="A6583" s="133">
        <v>6848</v>
      </c>
      <c r="B6583" s="39" t="s">
        <v>45</v>
      </c>
      <c r="C6583" s="39">
        <v>100</v>
      </c>
      <c r="D6583" s="29" t="b">
        <v>0</v>
      </c>
      <c r="E6583" s="39" t="s">
        <v>858</v>
      </c>
      <c r="F6583" s="47" t="s">
        <v>3665</v>
      </c>
      <c r="G6583" s="47" t="s">
        <v>481</v>
      </c>
      <c r="H6583"/>
      <c r="I6583" s="47" t="b">
        <v>0</v>
      </c>
      <c r="J6583" s="47" t="b">
        <v>1</v>
      </c>
      <c r="K6583" s="47">
        <v>1446</v>
      </c>
      <c r="L6583" s="48">
        <v>3</v>
      </c>
      <c r="M6583" s="47">
        <v>2</v>
      </c>
      <c r="N6583" s="47">
        <v>0</v>
      </c>
      <c r="O6583" s="47">
        <v>0</v>
      </c>
      <c r="P6583" s="47">
        <v>0</v>
      </c>
      <c r="Q6583" s="47">
        <v>0</v>
      </c>
      <c r="R6583" s="47">
        <v>0</v>
      </c>
      <c r="S6583" s="48">
        <v>1</v>
      </c>
      <c r="T6583" s="47">
        <v>0</v>
      </c>
      <c r="U6583" s="47">
        <v>0</v>
      </c>
      <c r="V6583" s="47">
        <v>0</v>
      </c>
      <c r="W6583" s="47">
        <v>4500</v>
      </c>
      <c r="X6583" s="47">
        <v>1099</v>
      </c>
      <c r="Y6583" s="47"/>
      <c r="Z6583" s="47" t="s">
        <v>2466</v>
      </c>
      <c r="AA6583" s="49"/>
      <c r="AB6583" s="49"/>
      <c r="AC6583" s="49"/>
      <c r="AD6583" s="50"/>
      <c r="AE6583" s="47" t="s">
        <v>6445</v>
      </c>
      <c r="AF6583" s="47">
        <v>95</v>
      </c>
      <c r="AG6583"/>
      <c r="AH6583"/>
      <c r="AI6583"/>
      <c r="AJ6583"/>
      <c r="AK6583"/>
      <c r="AL6583"/>
      <c r="AM6583"/>
      <c r="AN6583"/>
      <c r="AO6583"/>
      <c r="AP6583"/>
      <c r="AQ6583" t="s">
        <v>2526</v>
      </c>
      <c r="AU6583">
        <v>6582</v>
      </c>
    </row>
    <row r="6584" spans="1:47" x14ac:dyDescent="0.2">
      <c r="A6584" s="133">
        <v>6848</v>
      </c>
      <c r="B6584" s="39" t="s">
        <v>45</v>
      </c>
      <c r="C6584" s="39">
        <v>215</v>
      </c>
      <c r="D6584" s="29" t="b">
        <v>0</v>
      </c>
      <c r="E6584" s="39" t="s">
        <v>7316</v>
      </c>
      <c r="F6584" s="47" t="s">
        <v>7317</v>
      </c>
      <c r="G6584" s="47" t="s">
        <v>73</v>
      </c>
      <c r="H6584"/>
      <c r="I6584" s="47" t="b">
        <v>1</v>
      </c>
      <c r="J6584" s="47" t="b">
        <v>1</v>
      </c>
      <c r="K6584" s="47">
        <v>4084</v>
      </c>
      <c r="L6584" s="48">
        <v>5</v>
      </c>
      <c r="M6584" s="47">
        <v>3</v>
      </c>
      <c r="N6584" s="47">
        <v>0</v>
      </c>
      <c r="O6584" s="47">
        <v>0</v>
      </c>
      <c r="P6584" s="47">
        <v>0</v>
      </c>
      <c r="Q6584" s="47">
        <v>0</v>
      </c>
      <c r="R6584" s="47">
        <v>0</v>
      </c>
      <c r="S6584" s="48">
        <v>2</v>
      </c>
      <c r="T6584" s="47">
        <v>0</v>
      </c>
      <c r="U6584" s="47">
        <v>0</v>
      </c>
      <c r="V6584" s="47">
        <v>0</v>
      </c>
      <c r="W6584" s="47">
        <v>2250</v>
      </c>
      <c r="X6584" s="47">
        <v>1100</v>
      </c>
      <c r="Y6584" s="47"/>
      <c r="Z6584" s="47" t="s">
        <v>2466</v>
      </c>
      <c r="AA6584" s="49"/>
      <c r="AB6584" s="49"/>
      <c r="AC6584" s="49"/>
      <c r="AD6584" s="50"/>
      <c r="AE6584" s="47"/>
      <c r="AF6584" s="47"/>
      <c r="AG6584"/>
      <c r="AH6584"/>
      <c r="AI6584"/>
      <c r="AJ6584"/>
      <c r="AK6584"/>
      <c r="AL6584"/>
      <c r="AM6584"/>
      <c r="AN6584"/>
      <c r="AO6584"/>
      <c r="AP6584"/>
      <c r="AQ6584" t="s">
        <v>2526</v>
      </c>
      <c r="AU6584">
        <v>6583</v>
      </c>
    </row>
    <row r="6585" spans="1:47" x14ac:dyDescent="0.2">
      <c r="A6585" s="133">
        <v>6848</v>
      </c>
      <c r="B6585" s="39" t="s">
        <v>45</v>
      </c>
      <c r="C6585" s="39">
        <v>215</v>
      </c>
      <c r="D6585" s="29" t="b">
        <v>0</v>
      </c>
      <c r="E6585" s="39" t="s">
        <v>649</v>
      </c>
      <c r="F6585" s="47" t="s">
        <v>529</v>
      </c>
      <c r="G6585" s="47" t="s">
        <v>205</v>
      </c>
      <c r="H6585"/>
      <c r="I6585" s="47" t="b">
        <v>0</v>
      </c>
      <c r="J6585" s="47" t="b">
        <v>0</v>
      </c>
      <c r="K6585" s="47">
        <v>2042</v>
      </c>
      <c r="L6585" s="48">
        <v>1</v>
      </c>
      <c r="M6585" s="47">
        <v>0</v>
      </c>
      <c r="N6585" s="47">
        <v>0</v>
      </c>
      <c r="O6585" s="47">
        <v>0</v>
      </c>
      <c r="P6585" s="47">
        <v>0</v>
      </c>
      <c r="Q6585" s="47">
        <v>0</v>
      </c>
      <c r="R6585" s="47">
        <v>0</v>
      </c>
      <c r="S6585" s="48">
        <v>1</v>
      </c>
      <c r="T6585" s="47">
        <v>0</v>
      </c>
      <c r="U6585" s="47">
        <v>0</v>
      </c>
      <c r="V6585" s="47">
        <v>0</v>
      </c>
      <c r="W6585" s="47">
        <v>1000</v>
      </c>
      <c r="X6585" s="47">
        <v>1101</v>
      </c>
      <c r="Y6585" s="47"/>
      <c r="Z6585" s="47" t="s">
        <v>2466</v>
      </c>
      <c r="AA6585" s="49"/>
      <c r="AB6585" s="49"/>
      <c r="AC6585" s="49"/>
      <c r="AD6585" s="50"/>
      <c r="AE6585" s="47"/>
      <c r="AF6585" s="47"/>
      <c r="AG6585"/>
      <c r="AH6585"/>
      <c r="AI6585"/>
      <c r="AJ6585"/>
      <c r="AK6585"/>
      <c r="AL6585"/>
      <c r="AM6585"/>
      <c r="AN6585"/>
      <c r="AO6585"/>
      <c r="AP6585"/>
      <c r="AQ6585" t="s">
        <v>2526</v>
      </c>
      <c r="AU6585">
        <v>6584</v>
      </c>
    </row>
    <row r="6586" spans="1:47" x14ac:dyDescent="0.2">
      <c r="A6586" s="133">
        <v>6848</v>
      </c>
      <c r="B6586" s="39" t="s">
        <v>45</v>
      </c>
      <c r="C6586" s="39">
        <v>215</v>
      </c>
      <c r="D6586" s="29" t="b">
        <v>0</v>
      </c>
      <c r="E6586" s="39" t="s">
        <v>1168</v>
      </c>
      <c r="F6586" s="47" t="s">
        <v>2398</v>
      </c>
      <c r="G6586" s="47" t="s">
        <v>49</v>
      </c>
      <c r="H6586"/>
      <c r="I6586" s="47" t="b">
        <v>0</v>
      </c>
      <c r="J6586" s="47" t="b">
        <v>0</v>
      </c>
      <c r="K6586" s="47">
        <v>2042</v>
      </c>
      <c r="L6586" s="48">
        <v>4</v>
      </c>
      <c r="M6586" s="47">
        <v>3</v>
      </c>
      <c r="N6586" s="47">
        <v>0</v>
      </c>
      <c r="O6586" s="47">
        <v>0</v>
      </c>
      <c r="P6586" s="47">
        <v>0</v>
      </c>
      <c r="Q6586" s="47">
        <v>0</v>
      </c>
      <c r="R6586" s="47">
        <v>0</v>
      </c>
      <c r="S6586" s="48">
        <v>1</v>
      </c>
      <c r="T6586" s="47">
        <v>0</v>
      </c>
      <c r="U6586" s="47">
        <v>0</v>
      </c>
      <c r="V6586" s="47">
        <v>0</v>
      </c>
      <c r="W6586" s="47">
        <v>3500</v>
      </c>
      <c r="X6586" s="47">
        <v>1102</v>
      </c>
      <c r="Y6586" s="47"/>
      <c r="Z6586" s="47" t="s">
        <v>2466</v>
      </c>
      <c r="AA6586" s="49"/>
      <c r="AB6586" s="49"/>
      <c r="AC6586" s="49"/>
      <c r="AD6586" s="50"/>
      <c r="AE6586" s="47"/>
      <c r="AF6586" s="47"/>
      <c r="AG6586"/>
      <c r="AH6586"/>
      <c r="AI6586"/>
      <c r="AJ6586"/>
      <c r="AK6586"/>
      <c r="AL6586"/>
      <c r="AM6586"/>
      <c r="AN6586"/>
      <c r="AO6586"/>
      <c r="AP6586"/>
      <c r="AQ6586" t="s">
        <v>2526</v>
      </c>
      <c r="AU6586">
        <v>6585</v>
      </c>
    </row>
    <row r="6587" spans="1:47" x14ac:dyDescent="0.2">
      <c r="A6587" s="133">
        <v>6848</v>
      </c>
      <c r="B6587" s="39" t="s">
        <v>45</v>
      </c>
      <c r="C6587" s="39">
        <v>216</v>
      </c>
      <c r="D6587" s="29" t="b">
        <v>1</v>
      </c>
      <c r="E6587" s="39" t="s">
        <v>4823</v>
      </c>
      <c r="F6587" s="47" t="s">
        <v>2398</v>
      </c>
      <c r="G6587" s="47" t="s">
        <v>49</v>
      </c>
      <c r="H6587"/>
      <c r="I6587" s="47" t="b">
        <v>0</v>
      </c>
      <c r="J6587" s="47" t="b">
        <v>1</v>
      </c>
      <c r="K6587" s="47">
        <v>0</v>
      </c>
      <c r="L6587" s="48">
        <v>4</v>
      </c>
      <c r="M6587" s="47">
        <v>4</v>
      </c>
      <c r="N6587" s="47">
        <v>0</v>
      </c>
      <c r="O6587" s="47">
        <v>0</v>
      </c>
      <c r="P6587" s="47">
        <v>0</v>
      </c>
      <c r="Q6587" s="47">
        <v>0</v>
      </c>
      <c r="R6587" s="47">
        <v>0</v>
      </c>
      <c r="S6587" s="48">
        <v>0</v>
      </c>
      <c r="T6587" s="47">
        <v>0</v>
      </c>
      <c r="U6587" s="47">
        <v>0</v>
      </c>
      <c r="V6587" s="47">
        <v>1</v>
      </c>
      <c r="W6587" s="47"/>
      <c r="X6587" s="47">
        <v>1103</v>
      </c>
      <c r="Y6587" s="47"/>
      <c r="Z6587" s="47" t="s">
        <v>2466</v>
      </c>
      <c r="AA6587" s="49"/>
      <c r="AB6587" s="49"/>
      <c r="AC6587" s="49"/>
      <c r="AD6587" s="50"/>
      <c r="AE6587" s="47" t="s">
        <v>1312</v>
      </c>
      <c r="AF6587" s="47">
        <v>70</v>
      </c>
      <c r="AG6587"/>
      <c r="AH6587"/>
      <c r="AI6587"/>
      <c r="AJ6587"/>
      <c r="AK6587"/>
      <c r="AL6587"/>
      <c r="AM6587"/>
      <c r="AN6587"/>
      <c r="AO6587"/>
      <c r="AP6587"/>
      <c r="AQ6587" t="s">
        <v>2526</v>
      </c>
      <c r="AU6587">
        <v>6586</v>
      </c>
    </row>
    <row r="6588" spans="1:47" x14ac:dyDescent="0.2">
      <c r="A6588" s="13">
        <v>6848</v>
      </c>
      <c r="B6588" s="57" t="s">
        <v>45</v>
      </c>
      <c r="C6588" s="57" t="s">
        <v>142</v>
      </c>
      <c r="D6588" s="29"/>
      <c r="E6588" s="57" t="s">
        <v>1064</v>
      </c>
      <c r="F6588" s="31" t="s">
        <v>76</v>
      </c>
      <c r="G6588" s="31" t="s">
        <v>49</v>
      </c>
      <c r="I6588" s="209" t="s">
        <v>7318</v>
      </c>
      <c r="K6588" s="31">
        <v>1320</v>
      </c>
      <c r="S6588" s="33">
        <v>2</v>
      </c>
      <c r="AE6588" s="31" t="s">
        <v>2470</v>
      </c>
      <c r="AF6588" s="31">
        <v>50</v>
      </c>
      <c r="AK6588" s="32">
        <v>12</v>
      </c>
      <c r="AQ6588" s="32" t="s">
        <v>7070</v>
      </c>
      <c r="AU6588">
        <v>6587</v>
      </c>
    </row>
    <row r="6589" spans="1:47" x14ac:dyDescent="0.2">
      <c r="A6589" s="13">
        <v>6848</v>
      </c>
      <c r="B6589" s="57" t="s">
        <v>45</v>
      </c>
      <c r="C6589" s="57" t="s">
        <v>142</v>
      </c>
      <c r="D6589" s="29"/>
      <c r="E6589" s="57" t="s">
        <v>7319</v>
      </c>
      <c r="F6589" s="31" t="s">
        <v>6354</v>
      </c>
      <c r="G6589" s="31" t="s">
        <v>69</v>
      </c>
      <c r="I6589" s="209" t="s">
        <v>7318</v>
      </c>
      <c r="K6589" s="31">
        <v>990</v>
      </c>
      <c r="S6589" s="33">
        <v>2</v>
      </c>
      <c r="AE6589" s="31" t="s">
        <v>2470</v>
      </c>
      <c r="AK6589" s="32">
        <v>13</v>
      </c>
      <c r="AQ6589" s="32" t="s">
        <v>7070</v>
      </c>
      <c r="AU6589">
        <v>6588</v>
      </c>
    </row>
    <row r="6590" spans="1:47" x14ac:dyDescent="0.2">
      <c r="A6590" s="13">
        <v>6848</v>
      </c>
      <c r="B6590" s="57" t="s">
        <v>45</v>
      </c>
      <c r="C6590" s="57" t="s">
        <v>142</v>
      </c>
      <c r="D6590" s="29"/>
      <c r="E6590" s="57" t="s">
        <v>3885</v>
      </c>
      <c r="F6590" s="31" t="s">
        <v>76</v>
      </c>
      <c r="G6590" s="31" t="s">
        <v>49</v>
      </c>
      <c r="I6590" s="209" t="s">
        <v>7318</v>
      </c>
      <c r="K6590" s="31">
        <v>880</v>
      </c>
      <c r="S6590" s="33">
        <v>1</v>
      </c>
      <c r="AE6590" s="31" t="s">
        <v>2470</v>
      </c>
      <c r="AF6590" s="31">
        <v>50</v>
      </c>
      <c r="AK6590" s="32">
        <v>8</v>
      </c>
      <c r="AQ6590" s="32" t="s">
        <v>7070</v>
      </c>
      <c r="AU6590">
        <v>6589</v>
      </c>
    </row>
    <row r="6591" spans="1:47" x14ac:dyDescent="0.2">
      <c r="A6591" s="13">
        <v>6848</v>
      </c>
      <c r="B6591" s="57" t="s">
        <v>45</v>
      </c>
      <c r="C6591" s="57" t="s">
        <v>4843</v>
      </c>
      <c r="D6591" s="29"/>
      <c r="E6591" s="57" t="s">
        <v>1064</v>
      </c>
      <c r="F6591" s="31" t="s">
        <v>76</v>
      </c>
      <c r="G6591" s="31" t="s">
        <v>49</v>
      </c>
      <c r="K6591" s="31">
        <v>4994</v>
      </c>
      <c r="S6591" s="33">
        <v>8</v>
      </c>
      <c r="Z6591" s="31" t="s">
        <v>3814</v>
      </c>
      <c r="AE6591" s="31" t="s">
        <v>4411</v>
      </c>
      <c r="AF6591" s="31">
        <v>55</v>
      </c>
      <c r="AK6591" s="32">
        <v>58</v>
      </c>
      <c r="AQ6591" s="32" t="s">
        <v>7070</v>
      </c>
      <c r="AU6591">
        <v>6590</v>
      </c>
    </row>
    <row r="6592" spans="1:47" x14ac:dyDescent="0.2">
      <c r="A6592" s="13">
        <v>6848</v>
      </c>
      <c r="B6592" s="57" t="s">
        <v>45</v>
      </c>
      <c r="C6592" s="57" t="s">
        <v>4843</v>
      </c>
      <c r="D6592" s="29"/>
      <c r="E6592" s="57" t="s">
        <v>3936</v>
      </c>
      <c r="F6592" s="31" t="s">
        <v>76</v>
      </c>
      <c r="G6592" s="31" t="s">
        <v>49</v>
      </c>
      <c r="K6592" s="31">
        <v>2200</v>
      </c>
      <c r="S6592" s="33">
        <v>4</v>
      </c>
      <c r="Z6592" s="31" t="s">
        <v>3814</v>
      </c>
      <c r="AE6592" s="31" t="s">
        <v>4411</v>
      </c>
      <c r="AF6592" s="31">
        <v>60</v>
      </c>
      <c r="AK6592" s="32">
        <v>20</v>
      </c>
      <c r="AQ6592" s="32" t="s">
        <v>7070</v>
      </c>
      <c r="AU6592">
        <v>6591</v>
      </c>
    </row>
    <row r="6593" spans="1:47" x14ac:dyDescent="0.2">
      <c r="A6593" s="13">
        <v>6848</v>
      </c>
      <c r="B6593" s="57" t="s">
        <v>45</v>
      </c>
      <c r="C6593" s="57" t="s">
        <v>4843</v>
      </c>
      <c r="D6593" s="29"/>
      <c r="E6593" s="57" t="s">
        <v>7319</v>
      </c>
      <c r="F6593" s="31" t="s">
        <v>6354</v>
      </c>
      <c r="G6593" s="31" t="s">
        <v>69</v>
      </c>
      <c r="K6593" s="31">
        <v>1320</v>
      </c>
      <c r="S6593" s="33">
        <v>2</v>
      </c>
      <c r="Z6593" s="31" t="s">
        <v>3814</v>
      </c>
      <c r="AE6593" s="31" t="s">
        <v>4411</v>
      </c>
      <c r="AK6593" s="32">
        <v>12</v>
      </c>
      <c r="AQ6593" s="32" t="s">
        <v>7070</v>
      </c>
      <c r="AU6593">
        <v>6592</v>
      </c>
    </row>
    <row r="6594" spans="1:47" x14ac:dyDescent="0.2">
      <c r="A6594" s="13">
        <v>6848</v>
      </c>
      <c r="B6594" s="57" t="s">
        <v>45</v>
      </c>
      <c r="C6594" s="57" t="s">
        <v>4843</v>
      </c>
      <c r="D6594" s="29"/>
      <c r="E6594" s="57" t="s">
        <v>6494</v>
      </c>
      <c r="F6594" s="31" t="s">
        <v>76</v>
      </c>
      <c r="G6594" s="31" t="s">
        <v>49</v>
      </c>
      <c r="K6594" s="31">
        <v>660</v>
      </c>
      <c r="S6594" s="33">
        <v>1</v>
      </c>
      <c r="Z6594" s="31" t="s">
        <v>3814</v>
      </c>
      <c r="AE6594" s="31" t="s">
        <v>4411</v>
      </c>
      <c r="AF6594" s="31">
        <v>50</v>
      </c>
      <c r="AK6594" s="32">
        <v>6</v>
      </c>
      <c r="AQ6594" s="32" t="s">
        <v>7070</v>
      </c>
      <c r="AU6594">
        <v>6593</v>
      </c>
    </row>
    <row r="6595" spans="1:47" x14ac:dyDescent="0.2">
      <c r="A6595" s="13">
        <v>6848</v>
      </c>
      <c r="B6595" s="57" t="s">
        <v>45</v>
      </c>
      <c r="C6595" s="57" t="s">
        <v>4843</v>
      </c>
      <c r="D6595" s="29"/>
      <c r="E6595" s="57" t="s">
        <v>5772</v>
      </c>
      <c r="F6595" s="31" t="s">
        <v>76</v>
      </c>
      <c r="G6595" s="31" t="s">
        <v>49</v>
      </c>
      <c r="K6595" s="31">
        <v>682</v>
      </c>
      <c r="S6595" s="33">
        <v>1</v>
      </c>
      <c r="Z6595" s="31" t="s">
        <v>3814</v>
      </c>
      <c r="AE6595" s="31" t="s">
        <v>4411</v>
      </c>
      <c r="AF6595" s="31">
        <v>70</v>
      </c>
      <c r="AK6595" s="32">
        <v>7</v>
      </c>
      <c r="AQ6595" s="32" t="s">
        <v>7070</v>
      </c>
      <c r="AU6595">
        <v>6594</v>
      </c>
    </row>
    <row r="6596" spans="1:47" x14ac:dyDescent="0.2">
      <c r="A6596" s="13">
        <v>6848</v>
      </c>
      <c r="B6596" s="57" t="s">
        <v>45</v>
      </c>
      <c r="C6596" s="57" t="s">
        <v>7243</v>
      </c>
      <c r="D6596" s="29"/>
      <c r="E6596" s="57" t="s">
        <v>7319</v>
      </c>
      <c r="F6596" s="31" t="s">
        <v>6354</v>
      </c>
      <c r="G6596" s="31" t="s">
        <v>69</v>
      </c>
      <c r="K6596" s="31">
        <v>1320</v>
      </c>
      <c r="S6596" s="33">
        <v>2</v>
      </c>
      <c r="Z6596" s="31" t="s">
        <v>3855</v>
      </c>
      <c r="AE6596" s="31" t="s">
        <v>4217</v>
      </c>
      <c r="AK6596" s="32">
        <v>12</v>
      </c>
      <c r="AQ6596" s="32" t="s">
        <v>7070</v>
      </c>
      <c r="AU6596">
        <v>6595</v>
      </c>
    </row>
    <row r="6597" spans="1:47" x14ac:dyDescent="0.2">
      <c r="A6597" s="13">
        <v>6848</v>
      </c>
      <c r="B6597" s="57" t="s">
        <v>45</v>
      </c>
      <c r="C6597" s="57" t="s">
        <v>7243</v>
      </c>
      <c r="D6597" s="29"/>
      <c r="E6597" s="57" t="s">
        <v>1064</v>
      </c>
      <c r="F6597" s="31" t="s">
        <v>76</v>
      </c>
      <c r="G6597" s="31" t="s">
        <v>49</v>
      </c>
      <c r="K6597" s="31">
        <v>1320</v>
      </c>
      <c r="S6597" s="33">
        <v>2</v>
      </c>
      <c r="Z6597" s="31" t="s">
        <v>3855</v>
      </c>
      <c r="AE6597" s="31" t="s">
        <v>4217</v>
      </c>
      <c r="AF6597" s="31">
        <v>60</v>
      </c>
      <c r="AK6597" s="32">
        <v>12</v>
      </c>
      <c r="AQ6597" s="32" t="s">
        <v>7070</v>
      </c>
      <c r="AU6597">
        <v>6596</v>
      </c>
    </row>
    <row r="6598" spans="1:47" x14ac:dyDescent="0.2">
      <c r="A6598" s="13">
        <v>6848</v>
      </c>
      <c r="B6598" s="57" t="s">
        <v>45</v>
      </c>
      <c r="C6598" s="57" t="s">
        <v>7243</v>
      </c>
      <c r="D6598" s="29"/>
      <c r="E6598" s="57" t="s">
        <v>3885</v>
      </c>
      <c r="F6598" s="31" t="s">
        <v>76</v>
      </c>
      <c r="G6598" s="31" t="s">
        <v>49</v>
      </c>
      <c r="K6598" s="31">
        <v>1320</v>
      </c>
      <c r="S6598" s="33">
        <v>2</v>
      </c>
      <c r="Z6598" s="31" t="s">
        <v>3855</v>
      </c>
      <c r="AE6598" s="31" t="s">
        <v>4217</v>
      </c>
      <c r="AF6598" s="31">
        <v>55</v>
      </c>
      <c r="AK6598" s="32">
        <v>12</v>
      </c>
      <c r="AQ6598" s="32" t="s">
        <v>7070</v>
      </c>
      <c r="AU6598">
        <v>6597</v>
      </c>
    </row>
    <row r="6599" spans="1:47" x14ac:dyDescent="0.2">
      <c r="A6599" s="26">
        <v>6848</v>
      </c>
      <c r="B6599" s="27">
        <v>0.53125</v>
      </c>
      <c r="C6599" s="28"/>
      <c r="D6599" s="29"/>
      <c r="E6599" s="30" t="s">
        <v>3737</v>
      </c>
      <c r="H6599" s="32">
        <v>0</v>
      </c>
      <c r="I6599" s="32" t="s">
        <v>4926</v>
      </c>
      <c r="AG6599" s="32">
        <v>0</v>
      </c>
      <c r="AH6599" s="32">
        <v>0</v>
      </c>
      <c r="AI6599" s="32">
        <v>0</v>
      </c>
      <c r="AK6599" s="32">
        <v>0</v>
      </c>
      <c r="AM6599" s="74"/>
      <c r="AQ6599" s="32" t="s">
        <v>1101</v>
      </c>
      <c r="AU6599">
        <v>6598</v>
      </c>
    </row>
    <row r="6600" spans="1:47" x14ac:dyDescent="0.2">
      <c r="A6600" s="26">
        <v>6848</v>
      </c>
      <c r="B6600" s="27">
        <v>0.97916666666666663</v>
      </c>
      <c r="C6600" s="28"/>
      <c r="D6600" s="29"/>
      <c r="E6600" s="30" t="s">
        <v>4219</v>
      </c>
      <c r="H6600" s="32">
        <v>0</v>
      </c>
      <c r="I6600" s="32" t="s">
        <v>7320</v>
      </c>
      <c r="AG6600" s="32">
        <v>0</v>
      </c>
      <c r="AH6600" s="32">
        <v>0</v>
      </c>
      <c r="AI6600" s="32">
        <v>0</v>
      </c>
      <c r="AK6600" s="32">
        <v>0</v>
      </c>
      <c r="AL6600" s="32">
        <v>0.5</v>
      </c>
      <c r="AO6600" s="32" t="s">
        <v>858</v>
      </c>
      <c r="AP6600" s="32">
        <v>0.5</v>
      </c>
      <c r="AQ6600" s="32" t="s">
        <v>1101</v>
      </c>
      <c r="AU6600">
        <v>6599</v>
      </c>
    </row>
    <row r="6601" spans="1:47" x14ac:dyDescent="0.2">
      <c r="A6601" s="133">
        <v>6849</v>
      </c>
      <c r="B6601" s="39" t="s">
        <v>85</v>
      </c>
      <c r="C6601" s="39">
        <v>110</v>
      </c>
      <c r="D6601" s="29" t="b">
        <v>0</v>
      </c>
      <c r="E6601" s="39" t="s">
        <v>7321</v>
      </c>
      <c r="F6601" s="47" t="s">
        <v>7322</v>
      </c>
      <c r="G6601" s="47" t="s">
        <v>49</v>
      </c>
      <c r="H6601"/>
      <c r="I6601" s="47" t="b">
        <v>1</v>
      </c>
      <c r="J6601" s="47" t="b">
        <v>1</v>
      </c>
      <c r="K6601" s="47">
        <v>1686</v>
      </c>
      <c r="L6601" s="48">
        <v>12</v>
      </c>
      <c r="M6601" s="47">
        <v>4</v>
      </c>
      <c r="N6601" s="47">
        <v>2</v>
      </c>
      <c r="O6601" s="47">
        <v>0</v>
      </c>
      <c r="P6601" s="47">
        <v>6</v>
      </c>
      <c r="Q6601" s="47">
        <v>0</v>
      </c>
      <c r="R6601" s="47">
        <v>0</v>
      </c>
      <c r="S6601" s="48">
        <v>6</v>
      </c>
      <c r="T6601" s="47">
        <v>0</v>
      </c>
      <c r="U6601" s="47">
        <v>0</v>
      </c>
      <c r="V6601" s="47">
        <v>0</v>
      </c>
      <c r="W6601" s="47">
        <v>15000</v>
      </c>
      <c r="X6601" s="47">
        <v>1106</v>
      </c>
      <c r="Y6601" s="47" t="s">
        <v>51</v>
      </c>
      <c r="Z6601" s="47" t="s">
        <v>6984</v>
      </c>
      <c r="AA6601" s="49">
        <v>0.4236111111111111</v>
      </c>
      <c r="AB6601" s="49"/>
      <c r="AC6601" s="49">
        <v>0.52083333333333337</v>
      </c>
      <c r="AD6601" s="50"/>
      <c r="AE6601" s="47" t="s">
        <v>6985</v>
      </c>
      <c r="AF6601" s="47">
        <v>150</v>
      </c>
      <c r="AG6601"/>
      <c r="AH6601"/>
      <c r="AI6601"/>
      <c r="AJ6601"/>
      <c r="AK6601"/>
      <c r="AL6601"/>
      <c r="AM6601"/>
      <c r="AN6601"/>
      <c r="AO6601"/>
      <c r="AP6601"/>
      <c r="AQ6601" t="s">
        <v>5485</v>
      </c>
      <c r="AR6601" s="32" t="s">
        <v>7323</v>
      </c>
      <c r="AU6601">
        <v>6600</v>
      </c>
    </row>
    <row r="6602" spans="1:47" x14ac:dyDescent="0.2">
      <c r="A6602" s="133">
        <v>6849</v>
      </c>
      <c r="B6602" s="39" t="s">
        <v>85</v>
      </c>
      <c r="C6602" s="39">
        <v>110</v>
      </c>
      <c r="D6602" s="29" t="b">
        <v>0</v>
      </c>
      <c r="E6602" s="39" t="s">
        <v>75</v>
      </c>
      <c r="F6602" s="47" t="s">
        <v>5345</v>
      </c>
      <c r="G6602" s="47" t="s">
        <v>49</v>
      </c>
      <c r="H6602"/>
      <c r="I6602" s="47" t="b">
        <v>0</v>
      </c>
      <c r="J6602" s="47" t="b">
        <v>0</v>
      </c>
      <c r="K6602" s="47">
        <v>843</v>
      </c>
      <c r="L6602" s="48">
        <v>12</v>
      </c>
      <c r="M6602" s="47">
        <v>4</v>
      </c>
      <c r="N6602" s="47">
        <v>2</v>
      </c>
      <c r="O6602" s="47">
        <v>0</v>
      </c>
      <c r="P6602" s="47">
        <v>6</v>
      </c>
      <c r="Q6602" s="47">
        <v>0</v>
      </c>
      <c r="R6602" s="47">
        <v>0</v>
      </c>
      <c r="S6602" s="48">
        <v>3</v>
      </c>
      <c r="T6602" s="47">
        <v>0</v>
      </c>
      <c r="U6602" s="47">
        <v>0</v>
      </c>
      <c r="V6602" s="47">
        <v>0</v>
      </c>
      <c r="W6602" s="47">
        <v>15000</v>
      </c>
      <c r="X6602" s="47">
        <v>1105</v>
      </c>
      <c r="Y6602" s="47" t="s">
        <v>51</v>
      </c>
      <c r="Z6602" s="47" t="s">
        <v>6984</v>
      </c>
      <c r="AA6602" s="49">
        <v>0.4236111111111111</v>
      </c>
      <c r="AB6602" s="49"/>
      <c r="AC6602" s="49"/>
      <c r="AD6602" s="50"/>
      <c r="AE6602" s="47" t="s">
        <v>6985</v>
      </c>
      <c r="AF6602" s="47">
        <v>150</v>
      </c>
      <c r="AG6602"/>
      <c r="AH6602"/>
      <c r="AI6602"/>
      <c r="AJ6602"/>
      <c r="AK6602"/>
      <c r="AL6602"/>
      <c r="AM6602"/>
      <c r="AN6602"/>
      <c r="AO6602"/>
      <c r="AP6602"/>
      <c r="AQ6602" t="s">
        <v>5485</v>
      </c>
      <c r="AR6602" s="32" t="s">
        <v>7323</v>
      </c>
      <c r="AU6602">
        <v>6601</v>
      </c>
    </row>
    <row r="6603" spans="1:47" x14ac:dyDescent="0.2">
      <c r="A6603" s="133">
        <v>6849</v>
      </c>
      <c r="B6603" s="39" t="s">
        <v>85</v>
      </c>
      <c r="C6603" s="39">
        <v>110</v>
      </c>
      <c r="D6603" s="29" t="b">
        <v>0</v>
      </c>
      <c r="E6603" s="39" t="s">
        <v>1006</v>
      </c>
      <c r="F6603" s="47" t="s">
        <v>5345</v>
      </c>
      <c r="G6603" s="47" t="s">
        <v>49</v>
      </c>
      <c r="H6603"/>
      <c r="I6603" s="47" t="b">
        <v>0</v>
      </c>
      <c r="J6603" s="47" t="b">
        <v>0</v>
      </c>
      <c r="K6603" s="47">
        <v>843</v>
      </c>
      <c r="L6603" s="48">
        <v>12</v>
      </c>
      <c r="M6603" s="47">
        <v>4</v>
      </c>
      <c r="N6603" s="47">
        <v>2</v>
      </c>
      <c r="O6603" s="47">
        <v>0</v>
      </c>
      <c r="P6603" s="47">
        <v>6</v>
      </c>
      <c r="Q6603" s="47">
        <v>0</v>
      </c>
      <c r="R6603" s="47">
        <v>0</v>
      </c>
      <c r="S6603" s="48">
        <v>3</v>
      </c>
      <c r="T6603" s="47">
        <v>0</v>
      </c>
      <c r="U6603" s="47">
        <v>0</v>
      </c>
      <c r="V6603" s="47">
        <v>0</v>
      </c>
      <c r="W6603" s="47">
        <v>15000</v>
      </c>
      <c r="X6603" s="47">
        <v>1107</v>
      </c>
      <c r="Y6603" s="47" t="s">
        <v>51</v>
      </c>
      <c r="Z6603" s="47" t="s">
        <v>6984</v>
      </c>
      <c r="AA6603" s="49">
        <v>0.4236111111111111</v>
      </c>
      <c r="AB6603" s="49"/>
      <c r="AC6603" s="49">
        <v>0.52083333333333337</v>
      </c>
      <c r="AD6603" s="50"/>
      <c r="AE6603" s="47" t="s">
        <v>6985</v>
      </c>
      <c r="AF6603" s="47">
        <v>145</v>
      </c>
      <c r="AG6603"/>
      <c r="AH6603"/>
      <c r="AI6603"/>
      <c r="AJ6603"/>
      <c r="AK6603">
        <v>14</v>
      </c>
      <c r="AL6603"/>
      <c r="AM6603"/>
      <c r="AN6603"/>
      <c r="AO6603"/>
      <c r="AP6603"/>
      <c r="AQ6603" t="s">
        <v>5485</v>
      </c>
      <c r="AR6603" s="32" t="s">
        <v>7323</v>
      </c>
      <c r="AU6603">
        <v>6602</v>
      </c>
    </row>
    <row r="6604" spans="1:47" x14ac:dyDescent="0.2">
      <c r="A6604" s="133">
        <v>6849</v>
      </c>
      <c r="B6604" s="39" t="s">
        <v>85</v>
      </c>
      <c r="C6604" s="206" t="s">
        <v>7324</v>
      </c>
      <c r="D6604" s="29"/>
      <c r="E6604" s="39" t="s">
        <v>7325</v>
      </c>
      <c r="F6604" s="47"/>
      <c r="G6604" s="47"/>
      <c r="H6604"/>
      <c r="I6604" s="47"/>
      <c r="J6604" s="47"/>
      <c r="K6604" s="47">
        <f>1040*2.2</f>
        <v>2288</v>
      </c>
      <c r="L6604" s="48">
        <v>13</v>
      </c>
      <c r="M6604" s="47"/>
      <c r="N6604" s="47"/>
      <c r="O6604" s="47"/>
      <c r="P6604" s="47"/>
      <c r="Q6604" s="47"/>
      <c r="R6604" s="47"/>
      <c r="S6604" s="48"/>
      <c r="T6604" s="47"/>
      <c r="U6604" s="47"/>
      <c r="V6604" s="47"/>
      <c r="W6604" s="47"/>
      <c r="X6604" s="47"/>
      <c r="Y6604" s="47"/>
      <c r="Z6604" s="47" t="s">
        <v>7262</v>
      </c>
      <c r="AA6604" s="49"/>
      <c r="AB6604" s="49"/>
      <c r="AC6604" s="49"/>
      <c r="AD6604" s="50"/>
      <c r="AE6604" s="47" t="s">
        <v>2743</v>
      </c>
      <c r="AF6604" s="47">
        <v>75</v>
      </c>
      <c r="AG6604"/>
      <c r="AH6604"/>
      <c r="AI6604"/>
      <c r="AJ6604"/>
      <c r="AK6604"/>
      <c r="AL6604"/>
      <c r="AM6604"/>
      <c r="AN6604"/>
      <c r="AO6604"/>
      <c r="AP6604"/>
      <c r="AQ6604"/>
      <c r="AU6604">
        <v>6603</v>
      </c>
    </row>
    <row r="6605" spans="1:47" x14ac:dyDescent="0.2">
      <c r="A6605" s="133">
        <v>6849</v>
      </c>
      <c r="B6605" s="39" t="s">
        <v>85</v>
      </c>
      <c r="C6605" s="208" t="s">
        <v>7311</v>
      </c>
      <c r="D6605" s="29"/>
      <c r="E6605" s="15" t="s">
        <v>7326</v>
      </c>
      <c r="F6605" s="17" t="s">
        <v>6286</v>
      </c>
      <c r="G6605" s="17" t="s">
        <v>69</v>
      </c>
      <c r="H6605"/>
      <c r="I6605" s="18" t="s">
        <v>7327</v>
      </c>
      <c r="J6605" s="47"/>
      <c r="K6605" s="47"/>
      <c r="L6605" s="48"/>
      <c r="M6605" s="47"/>
      <c r="N6605" s="47"/>
      <c r="O6605" s="47"/>
      <c r="P6605" s="47"/>
      <c r="Q6605" s="47"/>
      <c r="R6605" s="47"/>
      <c r="S6605" s="48"/>
      <c r="T6605" s="47"/>
      <c r="U6605" s="47"/>
      <c r="V6605" s="47"/>
      <c r="W6605" s="47"/>
      <c r="X6605" s="47"/>
      <c r="Z6605" s="31" t="s">
        <v>3724</v>
      </c>
      <c r="AE6605" s="19" t="s">
        <v>7328</v>
      </c>
      <c r="AQ6605" s="25" t="s">
        <v>7329</v>
      </c>
      <c r="AU6605">
        <v>6604</v>
      </c>
    </row>
    <row r="6606" spans="1:47" x14ac:dyDescent="0.2">
      <c r="A6606" s="13">
        <v>6849</v>
      </c>
      <c r="B6606" s="57" t="s">
        <v>45</v>
      </c>
      <c r="C6606" s="57" t="s">
        <v>142</v>
      </c>
      <c r="D6606" s="29"/>
      <c r="E6606" s="57" t="s">
        <v>7330</v>
      </c>
      <c r="F6606" s="47" t="s">
        <v>6463</v>
      </c>
      <c r="G6606" s="47" t="s">
        <v>49</v>
      </c>
      <c r="H6606"/>
      <c r="I6606" s="47" t="b">
        <v>1</v>
      </c>
      <c r="J6606" s="47" t="b">
        <v>1</v>
      </c>
      <c r="K6606" s="47">
        <f>3030*2.2</f>
        <v>6666.0000000000009</v>
      </c>
      <c r="L6606" s="48">
        <v>13</v>
      </c>
      <c r="M6606" s="47"/>
      <c r="N6606" s="47">
        <v>3</v>
      </c>
      <c r="O6606" s="47"/>
      <c r="P6606" s="47"/>
      <c r="Q6606" s="47"/>
      <c r="R6606" s="47"/>
      <c r="S6606" s="48">
        <v>10</v>
      </c>
      <c r="T6606" s="47">
        <v>0</v>
      </c>
      <c r="U6606" s="47">
        <v>1</v>
      </c>
      <c r="V6606" s="47">
        <v>1</v>
      </c>
      <c r="W6606" s="47"/>
      <c r="X6606" s="47"/>
      <c r="Y6606" s="47" t="s">
        <v>51</v>
      </c>
      <c r="Z6606" s="31" t="s">
        <v>5406</v>
      </c>
      <c r="AA6606" s="49"/>
      <c r="AB6606" s="49"/>
      <c r="AC6606" s="49"/>
      <c r="AD6606" s="50"/>
      <c r="AE6606" s="31" t="s">
        <v>2470</v>
      </c>
      <c r="AF6606" s="47"/>
      <c r="AG6606"/>
      <c r="AH6606"/>
      <c r="AI6606"/>
      <c r="AJ6606"/>
      <c r="AK6606">
        <f>6+21+22+1+4</f>
        <v>54</v>
      </c>
      <c r="AL6606"/>
      <c r="AM6606"/>
      <c r="AN6606"/>
      <c r="AO6606"/>
      <c r="AP6606"/>
      <c r="AQ6606" t="s">
        <v>7331</v>
      </c>
      <c r="AR6606" s="32" t="s">
        <v>7332</v>
      </c>
      <c r="AU6606">
        <v>6605</v>
      </c>
    </row>
    <row r="6607" spans="1:47" x14ac:dyDescent="0.2">
      <c r="A6607" s="13">
        <v>6849</v>
      </c>
      <c r="B6607" s="57" t="s">
        <v>45</v>
      </c>
      <c r="C6607" s="57" t="s">
        <v>142</v>
      </c>
      <c r="D6607" s="29"/>
      <c r="E6607" s="57" t="s">
        <v>3936</v>
      </c>
      <c r="F6607" s="31" t="s">
        <v>76</v>
      </c>
      <c r="G6607" s="31" t="s">
        <v>49</v>
      </c>
      <c r="I6607" s="47" t="b">
        <v>0</v>
      </c>
      <c r="J6607" s="47" t="b">
        <v>0</v>
      </c>
      <c r="K6607" s="31">
        <v>3014</v>
      </c>
      <c r="S6607" s="33">
        <v>4</v>
      </c>
      <c r="AE6607" s="31" t="s">
        <v>2470</v>
      </c>
      <c r="AF6607" s="31">
        <v>55</v>
      </c>
      <c r="AK6607" s="32">
        <v>29</v>
      </c>
      <c r="AQ6607" s="32" t="s">
        <v>7333</v>
      </c>
      <c r="AU6607">
        <v>6606</v>
      </c>
    </row>
    <row r="6608" spans="1:47" x14ac:dyDescent="0.2">
      <c r="A6608" s="13">
        <v>6849</v>
      </c>
      <c r="B6608" s="57" t="s">
        <v>45</v>
      </c>
      <c r="C6608" s="57" t="s">
        <v>142</v>
      </c>
      <c r="D6608" s="29"/>
      <c r="E6608" s="57" t="s">
        <v>7334</v>
      </c>
      <c r="F6608" s="31" t="s">
        <v>76</v>
      </c>
      <c r="G6608" s="31" t="s">
        <v>49</v>
      </c>
      <c r="I6608" s="47" t="b">
        <v>0</v>
      </c>
      <c r="J6608" s="47" t="b">
        <v>0</v>
      </c>
      <c r="K6608" s="31">
        <v>1408</v>
      </c>
      <c r="S6608" s="33">
        <v>2</v>
      </c>
      <c r="AE6608" s="31" t="s">
        <v>2470</v>
      </c>
      <c r="AF6608" s="31">
        <v>45</v>
      </c>
      <c r="AK6608" s="32">
        <v>11</v>
      </c>
      <c r="AQ6608" s="32" t="s">
        <v>7333</v>
      </c>
      <c r="AU6608">
        <v>6607</v>
      </c>
    </row>
    <row r="6609" spans="1:47" x14ac:dyDescent="0.2">
      <c r="A6609" s="13">
        <v>6849</v>
      </c>
      <c r="B6609" s="57" t="s">
        <v>45</v>
      </c>
      <c r="C6609" s="57" t="s">
        <v>142</v>
      </c>
      <c r="D6609" s="29"/>
      <c r="E6609" s="57" t="s">
        <v>3885</v>
      </c>
      <c r="F6609" s="31" t="s">
        <v>76</v>
      </c>
      <c r="G6609" s="31" t="s">
        <v>49</v>
      </c>
      <c r="I6609" s="47" t="b">
        <v>0</v>
      </c>
      <c r="J6609" s="47" t="b">
        <v>0</v>
      </c>
      <c r="K6609" s="31">
        <v>880</v>
      </c>
      <c r="S6609" s="33">
        <v>2</v>
      </c>
      <c r="AE6609" s="31" t="s">
        <v>2470</v>
      </c>
      <c r="AF6609" s="31">
        <v>50</v>
      </c>
      <c r="AK6609" s="32">
        <v>8</v>
      </c>
      <c r="AQ6609" s="32" t="s">
        <v>7333</v>
      </c>
      <c r="AU6609">
        <v>6608</v>
      </c>
    </row>
    <row r="6610" spans="1:47" x14ac:dyDescent="0.2">
      <c r="A6610" s="13">
        <v>6849</v>
      </c>
      <c r="B6610" s="57" t="s">
        <v>45</v>
      </c>
      <c r="C6610" s="57" t="s">
        <v>142</v>
      </c>
      <c r="D6610" s="29"/>
      <c r="E6610" s="57" t="s">
        <v>3876</v>
      </c>
      <c r="F6610" s="31" t="s">
        <v>76</v>
      </c>
      <c r="G6610" s="31" t="s">
        <v>49</v>
      </c>
      <c r="I6610" s="47" t="b">
        <v>0</v>
      </c>
      <c r="J6610" s="47" t="b">
        <v>0</v>
      </c>
      <c r="K6610" s="31">
        <v>660</v>
      </c>
      <c r="S6610" s="33">
        <v>1</v>
      </c>
      <c r="AE6610" s="31" t="s">
        <v>2470</v>
      </c>
      <c r="AF6610" s="31">
        <v>70</v>
      </c>
      <c r="AK6610" s="32">
        <v>9</v>
      </c>
      <c r="AQ6610" s="32" t="s">
        <v>7333</v>
      </c>
      <c r="AU6610">
        <v>6609</v>
      </c>
    </row>
    <row r="6611" spans="1:47" x14ac:dyDescent="0.2">
      <c r="A6611" s="13">
        <v>6849</v>
      </c>
      <c r="B6611" s="57" t="s">
        <v>45</v>
      </c>
      <c r="C6611" s="57" t="s">
        <v>1367</v>
      </c>
      <c r="D6611" s="29"/>
      <c r="E6611" s="57" t="s">
        <v>3063</v>
      </c>
      <c r="F6611" s="31" t="s">
        <v>76</v>
      </c>
      <c r="G6611" s="31" t="s">
        <v>49</v>
      </c>
      <c r="K6611" s="31">
        <v>3744.4</v>
      </c>
      <c r="AE6611" s="31" t="s">
        <v>4176</v>
      </c>
      <c r="AF6611" s="31">
        <v>100</v>
      </c>
      <c r="AK6611" s="32">
        <v>30</v>
      </c>
      <c r="AQ6611" s="32" t="s">
        <v>7335</v>
      </c>
      <c r="AU6611">
        <v>6610</v>
      </c>
    </row>
    <row r="6612" spans="1:47" x14ac:dyDescent="0.2">
      <c r="A6612" s="13">
        <v>6849</v>
      </c>
      <c r="B6612" s="57" t="s">
        <v>45</v>
      </c>
      <c r="C6612" s="57" t="s">
        <v>1367</v>
      </c>
      <c r="D6612" s="29"/>
      <c r="E6612" s="57" t="s">
        <v>788</v>
      </c>
      <c r="F6612" s="31" t="s">
        <v>76</v>
      </c>
      <c r="G6612" s="31" t="s">
        <v>49</v>
      </c>
      <c r="K6612" s="31">
        <v>1896.4</v>
      </c>
      <c r="AE6612" s="31" t="s">
        <v>4176</v>
      </c>
      <c r="AF6612" s="31">
        <v>70</v>
      </c>
      <c r="AK6612" s="32">
        <v>16</v>
      </c>
      <c r="AQ6612" s="32" t="s">
        <v>7335</v>
      </c>
      <c r="AU6612">
        <v>6611</v>
      </c>
    </row>
    <row r="6613" spans="1:47" x14ac:dyDescent="0.2">
      <c r="A6613" s="13">
        <v>6849</v>
      </c>
      <c r="B6613" s="57" t="s">
        <v>45</v>
      </c>
      <c r="C6613" s="57" t="s">
        <v>1367</v>
      </c>
      <c r="D6613" s="29"/>
      <c r="E6613" s="57" t="s">
        <v>175</v>
      </c>
      <c r="F6613" s="31" t="s">
        <v>76</v>
      </c>
      <c r="G6613" s="31" t="s">
        <v>49</v>
      </c>
      <c r="K6613" s="31">
        <v>880</v>
      </c>
      <c r="AE6613" s="31" t="s">
        <v>4176</v>
      </c>
      <c r="AF6613" s="31">
        <v>55</v>
      </c>
      <c r="AK6613" s="32">
        <v>8</v>
      </c>
      <c r="AQ6613" s="32" t="s">
        <v>7335</v>
      </c>
      <c r="AU6613">
        <v>6612</v>
      </c>
    </row>
    <row r="6614" spans="1:47" x14ac:dyDescent="0.2">
      <c r="A6614" s="13">
        <v>6849</v>
      </c>
      <c r="B6614" s="57" t="s">
        <v>45</v>
      </c>
      <c r="C6614" s="57" t="s">
        <v>1367</v>
      </c>
      <c r="D6614" s="29"/>
      <c r="E6614" s="57" t="s">
        <v>2191</v>
      </c>
      <c r="F6614" s="31" t="s">
        <v>76</v>
      </c>
      <c r="G6614" s="31" t="s">
        <v>49</v>
      </c>
      <c r="K6614" s="31">
        <v>880</v>
      </c>
      <c r="AE6614" s="31" t="s">
        <v>4176</v>
      </c>
      <c r="AF6614" s="31">
        <v>80</v>
      </c>
      <c r="AK6614" s="32">
        <v>6</v>
      </c>
      <c r="AQ6614" s="32" t="s">
        <v>7335</v>
      </c>
      <c r="AU6614">
        <v>6613</v>
      </c>
    </row>
    <row r="6615" spans="1:47" x14ac:dyDescent="0.2">
      <c r="A6615" s="13">
        <v>6849</v>
      </c>
      <c r="B6615" s="57" t="s">
        <v>45</v>
      </c>
      <c r="C6615" s="57" t="s">
        <v>7243</v>
      </c>
      <c r="D6615" s="29"/>
      <c r="E6615" s="57" t="s">
        <v>3936</v>
      </c>
      <c r="F6615" s="31" t="s">
        <v>76</v>
      </c>
      <c r="G6615" s="31" t="s">
        <v>49</v>
      </c>
      <c r="K6615" s="31">
        <v>1320</v>
      </c>
      <c r="S6615" s="33">
        <v>2</v>
      </c>
      <c r="AK6615" s="32">
        <v>12</v>
      </c>
      <c r="AQ6615" s="32" t="s">
        <v>7333</v>
      </c>
      <c r="AU6615">
        <v>6614</v>
      </c>
    </row>
    <row r="6616" spans="1:47" x14ac:dyDescent="0.2">
      <c r="A6616" s="13">
        <v>6849</v>
      </c>
      <c r="B6616" s="57" t="s">
        <v>45</v>
      </c>
      <c r="C6616" s="57" t="s">
        <v>7243</v>
      </c>
      <c r="D6616" s="29"/>
      <c r="E6616" s="57" t="s">
        <v>3885</v>
      </c>
      <c r="F6616" s="31" t="s">
        <v>76</v>
      </c>
      <c r="G6616" s="31" t="s">
        <v>49</v>
      </c>
      <c r="K6616" s="31">
        <v>1320</v>
      </c>
      <c r="S6616" s="33">
        <v>2</v>
      </c>
      <c r="AK6616" s="32">
        <v>12</v>
      </c>
      <c r="AQ6616" s="32" t="s">
        <v>7333</v>
      </c>
      <c r="AU6616">
        <v>6615</v>
      </c>
    </row>
    <row r="6617" spans="1:47" x14ac:dyDescent="0.2">
      <c r="A6617" s="13">
        <v>6849</v>
      </c>
      <c r="B6617" s="57" t="s">
        <v>45</v>
      </c>
      <c r="C6617" s="57" t="s">
        <v>7243</v>
      </c>
      <c r="D6617" s="29"/>
      <c r="E6617" s="57" t="s">
        <v>1064</v>
      </c>
      <c r="F6617" s="31" t="s">
        <v>76</v>
      </c>
      <c r="G6617" s="31" t="s">
        <v>49</v>
      </c>
      <c r="K6617" s="31">
        <v>660</v>
      </c>
      <c r="S6617" s="33">
        <v>1</v>
      </c>
      <c r="AK6617" s="32">
        <v>6</v>
      </c>
      <c r="AQ6617" s="32" t="s">
        <v>7333</v>
      </c>
      <c r="AU6617">
        <v>6616</v>
      </c>
    </row>
    <row r="6618" spans="1:47" x14ac:dyDescent="0.2">
      <c r="A6618" s="13">
        <v>6849</v>
      </c>
      <c r="B6618" s="57" t="s">
        <v>45</v>
      </c>
      <c r="C6618" s="57" t="s">
        <v>7243</v>
      </c>
      <c r="D6618" s="29"/>
      <c r="E6618" s="57" t="s">
        <v>7334</v>
      </c>
      <c r="F6618" s="31" t="s">
        <v>76</v>
      </c>
      <c r="G6618" s="31" t="s">
        <v>49</v>
      </c>
      <c r="K6618" s="31">
        <v>660</v>
      </c>
      <c r="S6618" s="33">
        <v>1</v>
      </c>
      <c r="AK6618" s="32">
        <v>6</v>
      </c>
      <c r="AQ6618" s="32" t="s">
        <v>7333</v>
      </c>
      <c r="AU6618">
        <v>6617</v>
      </c>
    </row>
    <row r="6619" spans="1:47" x14ac:dyDescent="0.2">
      <c r="A6619" s="13">
        <v>6849</v>
      </c>
      <c r="B6619" s="57" t="s">
        <v>45</v>
      </c>
      <c r="C6619" s="57" t="s">
        <v>7243</v>
      </c>
      <c r="D6619" s="29"/>
      <c r="E6619" s="57" t="s">
        <v>2892</v>
      </c>
      <c r="F6619" s="31" t="s">
        <v>76</v>
      </c>
      <c r="G6619" s="31" t="s">
        <v>49</v>
      </c>
      <c r="K6619" s="31">
        <v>550</v>
      </c>
      <c r="S6619" s="33">
        <v>1</v>
      </c>
      <c r="AK6619" s="32">
        <v>5</v>
      </c>
      <c r="AQ6619" s="32" t="s">
        <v>7333</v>
      </c>
      <c r="AU6619">
        <v>6618</v>
      </c>
    </row>
    <row r="6620" spans="1:47" x14ac:dyDescent="0.2">
      <c r="A6620" s="13">
        <v>6849</v>
      </c>
      <c r="B6620" s="57" t="s">
        <v>45</v>
      </c>
      <c r="C6620" s="57" t="s">
        <v>4843</v>
      </c>
      <c r="D6620" s="29"/>
      <c r="E6620" s="57" t="s">
        <v>3936</v>
      </c>
      <c r="F6620" s="31" t="s">
        <v>76</v>
      </c>
      <c r="G6620" s="31" t="s">
        <v>49</v>
      </c>
      <c r="K6620" s="31">
        <v>3256</v>
      </c>
      <c r="S6620" s="33">
        <v>6</v>
      </c>
      <c r="AK6620" s="32">
        <v>35</v>
      </c>
      <c r="AQ6620" s="32" t="s">
        <v>7333</v>
      </c>
      <c r="AU6620">
        <v>6619</v>
      </c>
    </row>
    <row r="6621" spans="1:47" x14ac:dyDescent="0.2">
      <c r="A6621" s="13">
        <v>6849</v>
      </c>
      <c r="B6621" s="57" t="s">
        <v>45</v>
      </c>
      <c r="C6621" s="57" t="s">
        <v>4843</v>
      </c>
      <c r="D6621" s="29"/>
      <c r="E6621" s="57" t="s">
        <v>7336</v>
      </c>
      <c r="F6621" s="31" t="s">
        <v>3183</v>
      </c>
      <c r="G6621" s="31" t="s">
        <v>49</v>
      </c>
      <c r="K6621" s="31">
        <v>2442</v>
      </c>
      <c r="S6621" s="33">
        <v>4</v>
      </c>
      <c r="AK6621" s="32">
        <v>41</v>
      </c>
      <c r="AQ6621" s="32" t="s">
        <v>7333</v>
      </c>
      <c r="AU6621">
        <v>6620</v>
      </c>
    </row>
    <row r="6622" spans="1:47" x14ac:dyDescent="0.2">
      <c r="A6622" s="13">
        <v>6849</v>
      </c>
      <c r="B6622" s="57" t="s">
        <v>45</v>
      </c>
      <c r="C6622" s="57" t="s">
        <v>4843</v>
      </c>
      <c r="D6622" s="29"/>
      <c r="E6622" s="57" t="s">
        <v>3876</v>
      </c>
      <c r="F6622" s="31" t="s">
        <v>76</v>
      </c>
      <c r="G6622" s="31" t="s">
        <v>49</v>
      </c>
      <c r="K6622" s="31">
        <v>2178</v>
      </c>
      <c r="S6622" s="33">
        <v>4</v>
      </c>
      <c r="AK6622" s="32">
        <v>26</v>
      </c>
      <c r="AQ6622" s="32" t="s">
        <v>7333</v>
      </c>
      <c r="AU6622">
        <v>6621</v>
      </c>
    </row>
    <row r="6623" spans="1:47" x14ac:dyDescent="0.2">
      <c r="A6623" s="13">
        <v>6849</v>
      </c>
      <c r="B6623" s="57" t="s">
        <v>45</v>
      </c>
      <c r="C6623" s="57" t="s">
        <v>4843</v>
      </c>
      <c r="D6623" s="29"/>
      <c r="E6623" s="57" t="s">
        <v>1088</v>
      </c>
      <c r="F6623" s="31" t="s">
        <v>76</v>
      </c>
      <c r="G6623" s="31" t="s">
        <v>49</v>
      </c>
      <c r="K6623" s="31">
        <v>1276</v>
      </c>
      <c r="S6623" s="33">
        <v>2</v>
      </c>
      <c r="AK6623" s="32">
        <v>24</v>
      </c>
      <c r="AQ6623" s="32" t="s">
        <v>7333</v>
      </c>
      <c r="AU6623">
        <v>6622</v>
      </c>
    </row>
    <row r="6624" spans="1:47" x14ac:dyDescent="0.2">
      <c r="A6624" s="13">
        <v>6849</v>
      </c>
      <c r="B6624" s="57" t="s">
        <v>45</v>
      </c>
      <c r="C6624" s="57" t="s">
        <v>4843</v>
      </c>
      <c r="D6624" s="29"/>
      <c r="E6624" s="57" t="s">
        <v>4910</v>
      </c>
      <c r="F6624" s="31" t="s">
        <v>76</v>
      </c>
      <c r="G6624" s="31" t="s">
        <v>49</v>
      </c>
      <c r="K6624" s="31">
        <v>660</v>
      </c>
      <c r="S6624" s="33">
        <v>1</v>
      </c>
      <c r="AK6624" s="32">
        <v>6</v>
      </c>
      <c r="AQ6624" s="32" t="s">
        <v>7333</v>
      </c>
      <c r="AU6624">
        <v>6623</v>
      </c>
    </row>
    <row r="6625" spans="1:47" x14ac:dyDescent="0.2">
      <c r="A6625" s="13">
        <v>6849</v>
      </c>
      <c r="B6625" s="57" t="s">
        <v>45</v>
      </c>
      <c r="C6625" s="57" t="s">
        <v>5860</v>
      </c>
      <c r="D6625" s="29"/>
      <c r="E6625" s="57" t="s">
        <v>7337</v>
      </c>
      <c r="F6625" s="31" t="s">
        <v>6354</v>
      </c>
      <c r="G6625" s="31" t="s">
        <v>69</v>
      </c>
      <c r="K6625" s="31">
        <v>2530</v>
      </c>
      <c r="AE6625" s="31" t="s">
        <v>7241</v>
      </c>
      <c r="AK6625" s="32">
        <v>23</v>
      </c>
      <c r="AQ6625" s="32" t="s">
        <v>7333</v>
      </c>
      <c r="AU6625">
        <v>6624</v>
      </c>
    </row>
    <row r="6626" spans="1:47" x14ac:dyDescent="0.2">
      <c r="A6626" s="13">
        <v>6849</v>
      </c>
      <c r="B6626" s="57" t="s">
        <v>45</v>
      </c>
      <c r="C6626" s="57" t="s">
        <v>7338</v>
      </c>
      <c r="D6626" s="29"/>
      <c r="E6626" s="57" t="s">
        <v>1397</v>
      </c>
      <c r="F6626" s="31" t="s">
        <v>76</v>
      </c>
      <c r="I6626" s="31" t="s">
        <v>7339</v>
      </c>
      <c r="K6626" s="63"/>
      <c r="Z6626" s="31" t="s">
        <v>3814</v>
      </c>
      <c r="AE6626" s="31" t="s">
        <v>5034</v>
      </c>
      <c r="AF6626" s="31">
        <v>110</v>
      </c>
      <c r="AQ6626" s="32" t="s">
        <v>7333</v>
      </c>
      <c r="AU6626">
        <v>6625</v>
      </c>
    </row>
    <row r="6627" spans="1:47" x14ac:dyDescent="0.2">
      <c r="A6627" s="13">
        <v>6849</v>
      </c>
      <c r="B6627" s="57" t="s">
        <v>45</v>
      </c>
      <c r="C6627" s="57" t="s">
        <v>4179</v>
      </c>
      <c r="D6627" s="29"/>
      <c r="E6627" s="57" t="s">
        <v>5781</v>
      </c>
      <c r="F6627" s="31" t="s">
        <v>76</v>
      </c>
      <c r="I6627" s="31" t="s">
        <v>7340</v>
      </c>
      <c r="K6627" s="63"/>
      <c r="Z6627" s="31" t="s">
        <v>3814</v>
      </c>
      <c r="AE6627" s="31" t="s">
        <v>5034</v>
      </c>
      <c r="AF6627" s="31">
        <v>85</v>
      </c>
      <c r="AQ6627" s="32" t="s">
        <v>7333</v>
      </c>
      <c r="AU6627">
        <v>6626</v>
      </c>
    </row>
    <row r="6628" spans="1:47" x14ac:dyDescent="0.2">
      <c r="A6628" s="13">
        <v>6849</v>
      </c>
      <c r="B6628" s="57" t="s">
        <v>45</v>
      </c>
      <c r="C6628" s="57" t="s">
        <v>4179</v>
      </c>
      <c r="D6628" s="29"/>
      <c r="E6628" s="57" t="s">
        <v>5703</v>
      </c>
      <c r="F6628" s="31" t="s">
        <v>76</v>
      </c>
      <c r="I6628" s="31" t="s">
        <v>7341</v>
      </c>
      <c r="K6628" s="63"/>
      <c r="Z6628" s="31" t="s">
        <v>3814</v>
      </c>
      <c r="AE6628" s="31" t="s">
        <v>5034</v>
      </c>
      <c r="AF6628" s="31">
        <v>80</v>
      </c>
      <c r="AQ6628" s="32" t="s">
        <v>7333</v>
      </c>
      <c r="AU6628">
        <v>6627</v>
      </c>
    </row>
    <row r="6629" spans="1:47" x14ac:dyDescent="0.2">
      <c r="A6629" s="13">
        <v>6849</v>
      </c>
      <c r="B6629" s="57" t="s">
        <v>45</v>
      </c>
      <c r="C6629" s="57" t="s">
        <v>7338</v>
      </c>
      <c r="D6629" s="29"/>
      <c r="E6629" s="57" t="s">
        <v>4182</v>
      </c>
      <c r="F6629" s="31" t="s">
        <v>76</v>
      </c>
      <c r="I6629" s="31" t="s">
        <v>7342</v>
      </c>
      <c r="K6629" s="63"/>
      <c r="Z6629" s="31" t="s">
        <v>3814</v>
      </c>
      <c r="AE6629" s="31" t="s">
        <v>5034</v>
      </c>
      <c r="AF6629" s="31">
        <v>110</v>
      </c>
      <c r="AQ6629" s="32" t="s">
        <v>7333</v>
      </c>
      <c r="AU6629">
        <v>6628</v>
      </c>
    </row>
    <row r="6630" spans="1:47" x14ac:dyDescent="0.2">
      <c r="A6630" s="13">
        <v>6849</v>
      </c>
      <c r="B6630" s="57" t="s">
        <v>45</v>
      </c>
      <c r="C6630" s="57" t="s">
        <v>4179</v>
      </c>
      <c r="D6630" s="29"/>
      <c r="E6630" s="57" t="s">
        <v>7343</v>
      </c>
      <c r="F6630" s="31" t="s">
        <v>3183</v>
      </c>
      <c r="I6630" s="31" t="s">
        <v>7344</v>
      </c>
      <c r="K6630" s="63"/>
      <c r="Z6630" s="31" t="s">
        <v>3814</v>
      </c>
      <c r="AE6630" s="31" t="s">
        <v>5034</v>
      </c>
      <c r="AF6630" s="31">
        <v>125</v>
      </c>
      <c r="AQ6630" s="32" t="s">
        <v>7333</v>
      </c>
      <c r="AU6630">
        <v>6629</v>
      </c>
    </row>
    <row r="6631" spans="1:47" x14ac:dyDescent="0.2">
      <c r="A6631" s="13">
        <v>6849</v>
      </c>
      <c r="B6631" s="57" t="s">
        <v>45</v>
      </c>
      <c r="C6631" s="57" t="s">
        <v>4179</v>
      </c>
      <c r="D6631" s="29"/>
      <c r="E6631" s="57" t="s">
        <v>7345</v>
      </c>
      <c r="F6631" s="31" t="s">
        <v>3183</v>
      </c>
      <c r="I6631" s="31" t="s">
        <v>7346</v>
      </c>
      <c r="K6631" s="63"/>
      <c r="Z6631" s="31" t="s">
        <v>3814</v>
      </c>
      <c r="AE6631" s="31" t="s">
        <v>5034</v>
      </c>
      <c r="AF6631" s="31">
        <v>125</v>
      </c>
      <c r="AQ6631" s="32" t="s">
        <v>7333</v>
      </c>
      <c r="AU6631">
        <v>6630</v>
      </c>
    </row>
    <row r="6632" spans="1:47" x14ac:dyDescent="0.2">
      <c r="A6632" s="13">
        <v>6849</v>
      </c>
      <c r="B6632" s="57" t="s">
        <v>45</v>
      </c>
      <c r="C6632" s="57" t="s">
        <v>5860</v>
      </c>
      <c r="D6632" s="29"/>
      <c r="E6632" s="57" t="s">
        <v>3634</v>
      </c>
      <c r="F6632" s="31" t="s">
        <v>76</v>
      </c>
      <c r="I6632" s="31" t="s">
        <v>7347</v>
      </c>
      <c r="K6632" s="63"/>
      <c r="AE6632" s="31" t="s">
        <v>7241</v>
      </c>
      <c r="AF6632" s="31">
        <v>75</v>
      </c>
      <c r="AQ6632" s="32" t="s">
        <v>7333</v>
      </c>
      <c r="AU6632">
        <v>6631</v>
      </c>
    </row>
    <row r="6633" spans="1:47" x14ac:dyDescent="0.2">
      <c r="A6633" s="13">
        <v>6849</v>
      </c>
      <c r="B6633" s="57" t="s">
        <v>45</v>
      </c>
      <c r="C6633" s="57" t="s">
        <v>5860</v>
      </c>
      <c r="D6633" s="29"/>
      <c r="E6633" s="57" t="s">
        <v>7348</v>
      </c>
      <c r="F6633" s="31" t="s">
        <v>76</v>
      </c>
      <c r="I6633" s="31" t="s">
        <v>7349</v>
      </c>
      <c r="K6633" s="63"/>
      <c r="AE6633" s="31" t="s">
        <v>7241</v>
      </c>
      <c r="AF6633" s="31">
        <v>75</v>
      </c>
      <c r="AQ6633" s="32" t="s">
        <v>7333</v>
      </c>
      <c r="AU6633">
        <v>6632</v>
      </c>
    </row>
    <row r="6634" spans="1:47" x14ac:dyDescent="0.2">
      <c r="A6634" s="13">
        <v>6849</v>
      </c>
      <c r="B6634" s="57" t="s">
        <v>45</v>
      </c>
      <c r="C6634" s="57" t="s">
        <v>5860</v>
      </c>
      <c r="D6634" s="29"/>
      <c r="E6634" s="57" t="s">
        <v>6823</v>
      </c>
      <c r="F6634" s="31" t="s">
        <v>6354</v>
      </c>
      <c r="I6634" s="31" t="s">
        <v>7350</v>
      </c>
      <c r="K6634" s="63"/>
      <c r="AE6634" s="31" t="s">
        <v>7241</v>
      </c>
      <c r="AF6634" s="31">
        <v>65</v>
      </c>
      <c r="AQ6634" s="32" t="s">
        <v>7333</v>
      </c>
      <c r="AU6634">
        <v>6633</v>
      </c>
    </row>
    <row r="6635" spans="1:47" x14ac:dyDescent="0.2">
      <c r="A6635" s="13">
        <v>6849</v>
      </c>
      <c r="B6635" s="57" t="s">
        <v>45</v>
      </c>
      <c r="C6635" s="57" t="s">
        <v>7338</v>
      </c>
      <c r="D6635" s="29"/>
      <c r="E6635" s="57" t="s">
        <v>7351</v>
      </c>
      <c r="F6635" s="31" t="s">
        <v>6354</v>
      </c>
      <c r="I6635" s="31" t="s">
        <v>7352</v>
      </c>
      <c r="K6635" s="63"/>
      <c r="Z6635" s="31" t="s">
        <v>3814</v>
      </c>
      <c r="AE6635" s="31" t="s">
        <v>5034</v>
      </c>
      <c r="AF6635" s="31">
        <v>110</v>
      </c>
      <c r="AQ6635" s="32" t="s">
        <v>7333</v>
      </c>
      <c r="AU6635">
        <v>6634</v>
      </c>
    </row>
    <row r="6636" spans="1:47" x14ac:dyDescent="0.2">
      <c r="A6636" s="26">
        <v>6849</v>
      </c>
      <c r="B6636" s="27">
        <v>0.52083333333333337</v>
      </c>
      <c r="C6636" s="28"/>
      <c r="D6636" s="29"/>
      <c r="E6636" s="30" t="s">
        <v>1144</v>
      </c>
      <c r="H6636" s="32">
        <v>1</v>
      </c>
      <c r="I6636" s="32" t="s">
        <v>7353</v>
      </c>
      <c r="AG6636" s="32">
        <v>0</v>
      </c>
      <c r="AH6636" s="32">
        <v>0</v>
      </c>
      <c r="AI6636" s="32">
        <v>1016</v>
      </c>
      <c r="AK6636" s="32">
        <v>5</v>
      </c>
      <c r="AO6636" s="32" t="s">
        <v>1006</v>
      </c>
      <c r="AP6636" s="32">
        <f>25/60</f>
        <v>0.41666666666666669</v>
      </c>
      <c r="AQ6636" s="32" t="s">
        <v>7354</v>
      </c>
      <c r="AU6636">
        <v>6635</v>
      </c>
    </row>
    <row r="6637" spans="1:47" x14ac:dyDescent="0.2">
      <c r="A6637" s="26">
        <v>6849</v>
      </c>
      <c r="B6637" s="27">
        <v>0.52916666666666667</v>
      </c>
      <c r="C6637" s="28"/>
      <c r="D6637" s="29"/>
      <c r="E6637" s="30" t="s">
        <v>5224</v>
      </c>
      <c r="H6637" s="32">
        <v>0</v>
      </c>
      <c r="I6637" s="32" t="s">
        <v>5225</v>
      </c>
      <c r="AG6637" s="32">
        <v>0</v>
      </c>
      <c r="AH6637" s="32">
        <v>0</v>
      </c>
      <c r="AI6637" s="32">
        <v>0</v>
      </c>
      <c r="AK6637" s="32">
        <v>0</v>
      </c>
      <c r="AL6637" s="32">
        <f>12/60</f>
        <v>0.2</v>
      </c>
      <c r="AP6637" s="32">
        <f>12/60</f>
        <v>0.2</v>
      </c>
      <c r="AQ6637" s="32" t="s">
        <v>1101</v>
      </c>
      <c r="AU6637">
        <v>6636</v>
      </c>
    </row>
    <row r="6638" spans="1:47" x14ac:dyDescent="0.2">
      <c r="A6638" s="26">
        <v>6849</v>
      </c>
      <c r="B6638" s="27">
        <v>0.53819444444444442</v>
      </c>
      <c r="C6638" s="28"/>
      <c r="D6638" s="29"/>
      <c r="E6638" s="30" t="s">
        <v>4219</v>
      </c>
      <c r="H6638" s="32">
        <v>0</v>
      </c>
      <c r="I6638" s="32" t="s">
        <v>4249</v>
      </c>
      <c r="AG6638" s="32">
        <v>0</v>
      </c>
      <c r="AH6638" s="32">
        <v>0</v>
      </c>
      <c r="AI6638" s="32">
        <v>0</v>
      </c>
      <c r="AK6638" s="32">
        <v>0</v>
      </c>
      <c r="AL6638" s="32">
        <f>1/6</f>
        <v>0.16666666666666666</v>
      </c>
      <c r="AO6638" s="32" t="s">
        <v>858</v>
      </c>
      <c r="AP6638" s="32">
        <f>1/6</f>
        <v>0.16666666666666666</v>
      </c>
      <c r="AQ6638" s="32" t="s">
        <v>1101</v>
      </c>
      <c r="AU6638">
        <v>6637</v>
      </c>
    </row>
    <row r="6639" spans="1:47" x14ac:dyDescent="0.2">
      <c r="A6639" s="133">
        <v>6850</v>
      </c>
      <c r="B6639" s="39" t="s">
        <v>85</v>
      </c>
      <c r="C6639" s="206" t="s">
        <v>7324</v>
      </c>
      <c r="D6639" s="29"/>
      <c r="E6639" s="39" t="s">
        <v>7355</v>
      </c>
      <c r="H6639" s="32"/>
      <c r="I6639" s="32"/>
      <c r="K6639" s="31">
        <f>1220*2.2</f>
        <v>2684</v>
      </c>
      <c r="L6639" s="33">
        <v>14</v>
      </c>
      <c r="Z6639" s="47" t="s">
        <v>7262</v>
      </c>
      <c r="AE6639" s="47" t="s">
        <v>2743</v>
      </c>
      <c r="AF6639" s="31">
        <v>75</v>
      </c>
      <c r="AU6639">
        <v>6638</v>
      </c>
    </row>
    <row r="6640" spans="1:47" x14ac:dyDescent="0.2">
      <c r="A6640" s="133">
        <v>6850</v>
      </c>
      <c r="B6640" s="39" t="s">
        <v>85</v>
      </c>
      <c r="C6640" s="206" t="s">
        <v>7356</v>
      </c>
      <c r="D6640" s="29"/>
      <c r="E6640" s="39" t="s">
        <v>7357</v>
      </c>
      <c r="H6640" s="32"/>
      <c r="I6640" s="32"/>
      <c r="K6640" s="31">
        <f>1800*2.2</f>
        <v>3960.0000000000005</v>
      </c>
      <c r="L6640" s="33">
        <v>14</v>
      </c>
      <c r="W6640" s="31">
        <v>14000</v>
      </c>
      <c r="Y6640" s="31" t="s">
        <v>51</v>
      </c>
      <c r="Z6640" s="31" t="s">
        <v>3618</v>
      </c>
      <c r="AA6640" s="34">
        <v>0.27777777777777779</v>
      </c>
      <c r="AB6640" s="34">
        <v>0.4826388888888889</v>
      </c>
      <c r="AC6640" s="49">
        <f>AVERAGE(AA6640:AB6640)</f>
        <v>0.38020833333333337</v>
      </c>
      <c r="AD6640" s="50">
        <f>(AB6640-AA6640)*24</f>
        <v>4.9166666666666661</v>
      </c>
      <c r="AE6640" s="47" t="s">
        <v>2743</v>
      </c>
      <c r="AF6640" s="31">
        <v>75</v>
      </c>
      <c r="AQ6640" t="s">
        <v>7167</v>
      </c>
      <c r="AU6640">
        <v>6639</v>
      </c>
    </row>
    <row r="6641" spans="1:47" x14ac:dyDescent="0.2">
      <c r="A6641" s="133">
        <v>6850</v>
      </c>
      <c r="B6641" s="39" t="s">
        <v>85</v>
      </c>
      <c r="C6641" s="208" t="s">
        <v>7311</v>
      </c>
      <c r="D6641" s="29"/>
      <c r="E6641" s="39" t="s">
        <v>7358</v>
      </c>
      <c r="F6641" s="31" t="s">
        <v>7359</v>
      </c>
      <c r="G6641" s="19" t="s">
        <v>69</v>
      </c>
      <c r="H6641" s="32"/>
      <c r="I6641" s="32" t="s">
        <v>7360</v>
      </c>
      <c r="K6641" s="31">
        <f>21610*2.2</f>
        <v>47542.000000000007</v>
      </c>
      <c r="L6641" s="33">
        <v>120</v>
      </c>
      <c r="W6641" s="47">
        <f>1500*39.37/12</f>
        <v>4921.2499999999991</v>
      </c>
      <c r="Y6641" s="19" t="s">
        <v>120</v>
      </c>
      <c r="Z6641" s="19" t="s">
        <v>3724</v>
      </c>
      <c r="AE6641" s="19" t="s">
        <v>7328</v>
      </c>
      <c r="AF6641" s="31">
        <v>65</v>
      </c>
      <c r="AQ6641" s="18" t="s">
        <v>7361</v>
      </c>
      <c r="AU6641">
        <v>6640</v>
      </c>
    </row>
    <row r="6642" spans="1:47" x14ac:dyDescent="0.2">
      <c r="A6642" s="13">
        <v>6850</v>
      </c>
      <c r="B6642" s="57" t="s">
        <v>45</v>
      </c>
      <c r="C6642" s="57" t="s">
        <v>1367</v>
      </c>
      <c r="D6642" s="29"/>
      <c r="E6642" s="57" t="s">
        <v>1404</v>
      </c>
      <c r="F6642" s="31" t="s">
        <v>76</v>
      </c>
      <c r="G6642" s="31" t="s">
        <v>49</v>
      </c>
      <c r="K6642" s="31">
        <v>1760</v>
      </c>
      <c r="AE6642" s="31" t="s">
        <v>4176</v>
      </c>
      <c r="AF6642" s="31">
        <v>75</v>
      </c>
      <c r="AK6642" s="32">
        <v>16</v>
      </c>
      <c r="AQ6642" s="32" t="s">
        <v>7335</v>
      </c>
      <c r="AU6642">
        <v>6641</v>
      </c>
    </row>
    <row r="6643" spans="1:47" x14ac:dyDescent="0.2">
      <c r="A6643" s="26">
        <v>6850</v>
      </c>
      <c r="B6643" s="27">
        <v>7.6388888888888895E-2</v>
      </c>
      <c r="C6643" s="28"/>
      <c r="D6643" s="29"/>
      <c r="E6643" s="30" t="s">
        <v>464</v>
      </c>
      <c r="H6643" s="32">
        <v>0</v>
      </c>
      <c r="I6643" s="32" t="s">
        <v>4561</v>
      </c>
      <c r="AG6643" s="32">
        <v>0</v>
      </c>
      <c r="AH6643" s="32">
        <v>0</v>
      </c>
      <c r="AL6643" s="32">
        <f>25/60</f>
        <v>0.41666666666666669</v>
      </c>
      <c r="AO6643" s="32" t="s">
        <v>4067</v>
      </c>
      <c r="AP6643" s="32">
        <f>25/60</f>
        <v>0.41666666666666669</v>
      </c>
      <c r="AQ6643" s="32" t="s">
        <v>1522</v>
      </c>
      <c r="AU6643">
        <v>6642</v>
      </c>
    </row>
    <row r="6644" spans="1:47" x14ac:dyDescent="0.2">
      <c r="A6644" s="26">
        <v>6850</v>
      </c>
      <c r="B6644" s="27">
        <v>0.93055555555555547</v>
      </c>
      <c r="C6644" s="28"/>
      <c r="D6644" s="29"/>
      <c r="E6644" s="30" t="s">
        <v>1282</v>
      </c>
      <c r="H6644" s="32">
        <v>0</v>
      </c>
      <c r="I6644" s="32" t="s">
        <v>7362</v>
      </c>
      <c r="AG6644" s="32">
        <v>0</v>
      </c>
      <c r="AH6644" s="32">
        <v>0</v>
      </c>
      <c r="AI6644" s="32">
        <v>0</v>
      </c>
      <c r="AK6644" s="32">
        <v>0</v>
      </c>
      <c r="AL6644" s="32">
        <f>35/60</f>
        <v>0.58333333333333337</v>
      </c>
      <c r="AP6644" s="32">
        <f>35/60</f>
        <v>0.58333333333333337</v>
      </c>
      <c r="AQ6644" s="32" t="s">
        <v>1101</v>
      </c>
      <c r="AU6644">
        <v>6643</v>
      </c>
    </row>
    <row r="6645" spans="1:47" x14ac:dyDescent="0.2">
      <c r="A6645" s="133">
        <v>6851</v>
      </c>
      <c r="B6645" s="39" t="s">
        <v>85</v>
      </c>
      <c r="C6645" s="206" t="s">
        <v>7324</v>
      </c>
      <c r="D6645" s="29"/>
      <c r="E6645" s="39" t="s">
        <v>1391</v>
      </c>
      <c r="F6645" s="47" t="s">
        <v>7363</v>
      </c>
      <c r="G6645" s="47"/>
      <c r="H6645"/>
      <c r="I6645" s="47"/>
      <c r="J6645" s="47"/>
      <c r="K6645" s="47">
        <f>1520*2.2</f>
        <v>3344.0000000000005</v>
      </c>
      <c r="L6645" s="48"/>
      <c r="M6645" s="47"/>
      <c r="N6645" s="47"/>
      <c r="O6645" s="47"/>
      <c r="P6645" s="47"/>
      <c r="Q6645" s="47"/>
      <c r="R6645" s="47"/>
      <c r="S6645" s="48">
        <v>11</v>
      </c>
      <c r="T6645" s="47"/>
      <c r="U6645" s="47"/>
      <c r="V6645" s="47"/>
      <c r="W6645" s="47"/>
      <c r="X6645" s="47"/>
      <c r="Y6645" s="47"/>
      <c r="Z6645" s="47" t="s">
        <v>7262</v>
      </c>
      <c r="AA6645" s="49"/>
      <c r="AB6645" s="49"/>
      <c r="AC6645" s="49"/>
      <c r="AD6645" s="50"/>
      <c r="AE6645" s="47" t="s">
        <v>2743</v>
      </c>
      <c r="AF6645" s="47">
        <v>80</v>
      </c>
      <c r="AG6645"/>
      <c r="AH6645"/>
      <c r="AI6645"/>
      <c r="AJ6645"/>
      <c r="AK6645"/>
      <c r="AL6645"/>
      <c r="AM6645"/>
      <c r="AN6645"/>
      <c r="AO6645"/>
      <c r="AP6645"/>
      <c r="AQ6645"/>
      <c r="AU6645">
        <v>6644</v>
      </c>
    </row>
    <row r="6646" spans="1:47" x14ac:dyDescent="0.2">
      <c r="A6646" s="133">
        <v>6851</v>
      </c>
      <c r="B6646" s="39" t="s">
        <v>85</v>
      </c>
      <c r="C6646" s="208" t="s">
        <v>7311</v>
      </c>
      <c r="D6646" s="29"/>
      <c r="E6646" s="39" t="s">
        <v>7364</v>
      </c>
      <c r="F6646" s="31" t="s">
        <v>7359</v>
      </c>
      <c r="G6646" s="17" t="s">
        <v>69</v>
      </c>
      <c r="H6646"/>
      <c r="I6646" s="17" t="s">
        <v>7365</v>
      </c>
      <c r="J6646" s="47"/>
      <c r="K6646" s="210">
        <f>50800*2.2</f>
        <v>111760.00000000001</v>
      </c>
      <c r="L6646" s="48">
        <v>223</v>
      </c>
      <c r="M6646" s="47"/>
      <c r="N6646" s="47"/>
      <c r="O6646" s="47"/>
      <c r="P6646" s="47"/>
      <c r="Q6646" s="47"/>
      <c r="R6646" s="47"/>
      <c r="S6646" s="48"/>
      <c r="T6646" s="47">
        <v>0</v>
      </c>
      <c r="U6646" s="47"/>
      <c r="V6646" s="47">
        <v>1</v>
      </c>
      <c r="W6646" s="47"/>
      <c r="X6646" s="47"/>
      <c r="Y6646" s="19" t="s">
        <v>120</v>
      </c>
      <c r="Z6646" s="19" t="s">
        <v>3724</v>
      </c>
      <c r="AA6646" s="49"/>
      <c r="AB6646" s="49"/>
      <c r="AC6646" s="49"/>
      <c r="AD6646" s="50"/>
      <c r="AE6646" s="19" t="s">
        <v>7328</v>
      </c>
      <c r="AF6646" s="31">
        <v>65</v>
      </c>
      <c r="AQ6646" s="18" t="s">
        <v>7366</v>
      </c>
      <c r="AU6646">
        <v>6645</v>
      </c>
    </row>
    <row r="6647" spans="1:47" x14ac:dyDescent="0.2">
      <c r="A6647" s="133">
        <v>6851</v>
      </c>
      <c r="B6647" s="39" t="s">
        <v>45</v>
      </c>
      <c r="C6647" s="39">
        <v>97</v>
      </c>
      <c r="D6647" s="29" t="b">
        <v>0</v>
      </c>
      <c r="E6647" s="39" t="s">
        <v>1168</v>
      </c>
      <c r="F6647" s="47" t="s">
        <v>2398</v>
      </c>
      <c r="G6647" s="47" t="s">
        <v>49</v>
      </c>
      <c r="H6647"/>
      <c r="I6647" s="47" t="b">
        <v>0</v>
      </c>
      <c r="J6647" s="47" t="b">
        <v>1</v>
      </c>
      <c r="K6647" s="47">
        <v>1556</v>
      </c>
      <c r="L6647" s="48">
        <v>4</v>
      </c>
      <c r="M6647" s="47">
        <v>3</v>
      </c>
      <c r="N6647" s="47">
        <v>0</v>
      </c>
      <c r="O6647" s="47">
        <v>0</v>
      </c>
      <c r="P6647" s="47">
        <v>1</v>
      </c>
      <c r="Q6647" s="47">
        <v>0</v>
      </c>
      <c r="R6647" s="47">
        <v>0</v>
      </c>
      <c r="S6647" s="48">
        <v>1</v>
      </c>
      <c r="T6647" s="47">
        <v>0</v>
      </c>
      <c r="U6647" s="47">
        <v>0</v>
      </c>
      <c r="V6647" s="47">
        <v>0</v>
      </c>
      <c r="W6647" s="47">
        <v>4000</v>
      </c>
      <c r="X6647" s="47">
        <v>1108</v>
      </c>
      <c r="Y6647" s="47"/>
      <c r="Z6647" s="47" t="s">
        <v>2466</v>
      </c>
      <c r="AA6647" s="49"/>
      <c r="AB6647" s="49"/>
      <c r="AC6647" s="49"/>
      <c r="AD6647" s="50"/>
      <c r="AE6647" s="47"/>
      <c r="AF6647" s="47"/>
      <c r="AG6647"/>
      <c r="AH6647"/>
      <c r="AI6647"/>
      <c r="AJ6647"/>
      <c r="AK6647"/>
      <c r="AL6647"/>
      <c r="AM6647"/>
      <c r="AN6647"/>
      <c r="AO6647"/>
      <c r="AP6647"/>
      <c r="AQ6647" t="s">
        <v>2526</v>
      </c>
      <c r="AU6647">
        <v>6646</v>
      </c>
    </row>
    <row r="6648" spans="1:47" x14ac:dyDescent="0.2">
      <c r="A6648" s="133">
        <v>6851</v>
      </c>
      <c r="B6648" s="39" t="s">
        <v>45</v>
      </c>
      <c r="C6648" s="39">
        <v>100</v>
      </c>
      <c r="D6648" s="29" t="b">
        <v>0</v>
      </c>
      <c r="E6648" s="39" t="s">
        <v>7367</v>
      </c>
      <c r="F6648" s="47" t="s">
        <v>6795</v>
      </c>
      <c r="G6648" s="47" t="s">
        <v>73</v>
      </c>
      <c r="H6648"/>
      <c r="I6648" s="47" t="b">
        <v>1</v>
      </c>
      <c r="J6648" s="47" t="b">
        <v>1</v>
      </c>
      <c r="K6648" s="47">
        <v>2892</v>
      </c>
      <c r="L6648" s="48">
        <v>5</v>
      </c>
      <c r="M6648" s="47">
        <v>3</v>
      </c>
      <c r="N6648" s="47">
        <v>0</v>
      </c>
      <c r="O6648" s="47">
        <v>0</v>
      </c>
      <c r="P6648" s="47">
        <v>0</v>
      </c>
      <c r="Q6648" s="47">
        <v>0</v>
      </c>
      <c r="R6648" s="47">
        <v>0</v>
      </c>
      <c r="S6648" s="48">
        <v>2</v>
      </c>
      <c r="T6648" s="47">
        <v>0</v>
      </c>
      <c r="U6648" s="47">
        <v>0</v>
      </c>
      <c r="V6648" s="47">
        <v>0</v>
      </c>
      <c r="W6648" s="47">
        <v>5000</v>
      </c>
      <c r="X6648" s="47">
        <v>1110</v>
      </c>
      <c r="Y6648" s="47"/>
      <c r="Z6648" s="47" t="s">
        <v>2466</v>
      </c>
      <c r="AA6648" s="49"/>
      <c r="AB6648" s="49"/>
      <c r="AC6648" s="49"/>
      <c r="AD6648" s="50"/>
      <c r="AE6648" s="47" t="s">
        <v>6445</v>
      </c>
      <c r="AF6648" s="47">
        <v>80</v>
      </c>
      <c r="AG6648"/>
      <c r="AH6648"/>
      <c r="AI6648"/>
      <c r="AJ6648"/>
      <c r="AK6648"/>
      <c r="AL6648"/>
      <c r="AM6648"/>
      <c r="AN6648"/>
      <c r="AO6648"/>
      <c r="AP6648"/>
      <c r="AQ6648" t="s">
        <v>2526</v>
      </c>
      <c r="AU6648">
        <v>6647</v>
      </c>
    </row>
    <row r="6649" spans="1:47" x14ac:dyDescent="0.2">
      <c r="A6649" s="133">
        <v>6851</v>
      </c>
      <c r="B6649" s="39" t="s">
        <v>45</v>
      </c>
      <c r="C6649" s="39">
        <v>100</v>
      </c>
      <c r="D6649" s="29" t="b">
        <v>0</v>
      </c>
      <c r="E6649" s="39" t="s">
        <v>1168</v>
      </c>
      <c r="F6649" s="47" t="s">
        <v>2398</v>
      </c>
      <c r="G6649" s="47" t="s">
        <v>49</v>
      </c>
      <c r="H6649"/>
      <c r="I6649" s="47" t="b">
        <v>0</v>
      </c>
      <c r="J6649" s="47" t="b">
        <v>0</v>
      </c>
      <c r="K6649" s="47">
        <v>1446</v>
      </c>
      <c r="L6649" s="48">
        <v>5</v>
      </c>
      <c r="M6649" s="47">
        <v>3</v>
      </c>
      <c r="N6649" s="47">
        <v>0</v>
      </c>
      <c r="O6649" s="47">
        <v>0</v>
      </c>
      <c r="P6649" s="47">
        <v>0</v>
      </c>
      <c r="Q6649" s="47">
        <v>0</v>
      </c>
      <c r="R6649" s="47">
        <v>0</v>
      </c>
      <c r="S6649" s="48">
        <v>1</v>
      </c>
      <c r="T6649" s="47">
        <v>0</v>
      </c>
      <c r="U6649" s="47">
        <v>0</v>
      </c>
      <c r="V6649" s="47">
        <v>0</v>
      </c>
      <c r="W6649" s="47">
        <v>5500</v>
      </c>
      <c r="X6649" s="47">
        <v>1111</v>
      </c>
      <c r="Y6649" s="47"/>
      <c r="Z6649" s="47" t="s">
        <v>2466</v>
      </c>
      <c r="AA6649" s="49"/>
      <c r="AB6649" s="49"/>
      <c r="AC6649" s="49"/>
      <c r="AD6649" s="50"/>
      <c r="AE6649" s="47" t="s">
        <v>6445</v>
      </c>
      <c r="AF6649" s="47">
        <v>80</v>
      </c>
      <c r="AG6649"/>
      <c r="AH6649"/>
      <c r="AI6649"/>
      <c r="AJ6649"/>
      <c r="AK6649"/>
      <c r="AL6649"/>
      <c r="AM6649"/>
      <c r="AN6649"/>
      <c r="AO6649"/>
      <c r="AP6649"/>
      <c r="AQ6649" t="s">
        <v>2526</v>
      </c>
      <c r="AU6649">
        <v>6648</v>
      </c>
    </row>
    <row r="6650" spans="1:47" x14ac:dyDescent="0.2">
      <c r="A6650" s="133">
        <v>6851</v>
      </c>
      <c r="B6650" s="39" t="s">
        <v>45</v>
      </c>
      <c r="C6650" s="39">
        <v>100</v>
      </c>
      <c r="D6650" s="29" t="b">
        <v>0</v>
      </c>
      <c r="E6650" s="39" t="s">
        <v>1551</v>
      </c>
      <c r="F6650" s="47" t="s">
        <v>529</v>
      </c>
      <c r="G6650" s="47" t="s">
        <v>205</v>
      </c>
      <c r="H6650"/>
      <c r="I6650" s="47" t="b">
        <v>0</v>
      </c>
      <c r="J6650" s="47" t="b">
        <v>0</v>
      </c>
      <c r="K6650" s="47">
        <v>1446</v>
      </c>
      <c r="L6650" s="48">
        <v>5</v>
      </c>
      <c r="M6650" s="47">
        <v>3</v>
      </c>
      <c r="N6650" s="47">
        <v>0</v>
      </c>
      <c r="O6650" s="47">
        <v>0</v>
      </c>
      <c r="P6650" s="47">
        <v>0</v>
      </c>
      <c r="Q6650" s="47">
        <v>0</v>
      </c>
      <c r="R6650" s="47">
        <v>0</v>
      </c>
      <c r="S6650" s="48">
        <v>1</v>
      </c>
      <c r="T6650" s="47">
        <v>0</v>
      </c>
      <c r="U6650" s="47">
        <v>0</v>
      </c>
      <c r="V6650" s="47">
        <v>0</v>
      </c>
      <c r="W6650" s="47">
        <v>4500</v>
      </c>
      <c r="X6650" s="47">
        <v>1112</v>
      </c>
      <c r="Y6650" s="47"/>
      <c r="Z6650" s="47" t="s">
        <v>2466</v>
      </c>
      <c r="AA6650" s="49"/>
      <c r="AB6650" s="49"/>
      <c r="AC6650" s="49"/>
      <c r="AD6650" s="50"/>
      <c r="AE6650" s="47" t="s">
        <v>6445</v>
      </c>
      <c r="AF6650" s="47">
        <v>55</v>
      </c>
      <c r="AG6650"/>
      <c r="AH6650"/>
      <c r="AI6650"/>
      <c r="AJ6650"/>
      <c r="AK6650"/>
      <c r="AL6650"/>
      <c r="AM6650"/>
      <c r="AN6650"/>
      <c r="AO6650"/>
      <c r="AP6650"/>
      <c r="AQ6650" t="s">
        <v>2526</v>
      </c>
      <c r="AU6650">
        <v>6649</v>
      </c>
    </row>
    <row r="6651" spans="1:47" x14ac:dyDescent="0.2">
      <c r="A6651" s="133">
        <v>6851</v>
      </c>
      <c r="B6651" s="39" t="s">
        <v>45</v>
      </c>
      <c r="C6651" s="39">
        <v>115</v>
      </c>
      <c r="D6651" s="29" t="b">
        <v>0</v>
      </c>
      <c r="E6651" s="39" t="s">
        <v>1168</v>
      </c>
      <c r="F6651" s="47" t="s">
        <v>2398</v>
      </c>
      <c r="G6651" s="47" t="s">
        <v>49</v>
      </c>
      <c r="H6651"/>
      <c r="I6651" s="47" t="b">
        <v>0</v>
      </c>
      <c r="J6651" s="47" t="b">
        <v>1</v>
      </c>
      <c r="K6651" s="47">
        <v>1568</v>
      </c>
      <c r="L6651" s="48">
        <v>5</v>
      </c>
      <c r="M6651" s="47">
        <v>1</v>
      </c>
      <c r="N6651" s="47">
        <v>2</v>
      </c>
      <c r="O6651" s="47">
        <v>1</v>
      </c>
      <c r="P6651" s="47">
        <v>0</v>
      </c>
      <c r="Q6651" s="47">
        <v>0</v>
      </c>
      <c r="R6651" s="47">
        <v>0</v>
      </c>
      <c r="S6651" s="48">
        <v>1</v>
      </c>
      <c r="T6651" s="47">
        <v>0</v>
      </c>
      <c r="U6651" s="47">
        <v>0</v>
      </c>
      <c r="V6651" s="47">
        <v>0</v>
      </c>
      <c r="W6651" s="47">
        <v>5000</v>
      </c>
      <c r="X6651" s="47">
        <v>1113</v>
      </c>
      <c r="Y6651" s="47"/>
      <c r="Z6651" s="47" t="s">
        <v>2466</v>
      </c>
      <c r="AA6651" s="49"/>
      <c r="AB6651" s="49"/>
      <c r="AC6651" s="49"/>
      <c r="AD6651" s="50"/>
      <c r="AE6651" s="47" t="s">
        <v>7118</v>
      </c>
      <c r="AF6651" s="47">
        <v>70</v>
      </c>
      <c r="AG6651"/>
      <c r="AH6651"/>
      <c r="AI6651"/>
      <c r="AJ6651"/>
      <c r="AK6651"/>
      <c r="AL6651"/>
      <c r="AM6651"/>
      <c r="AN6651"/>
      <c r="AO6651"/>
      <c r="AP6651"/>
      <c r="AQ6651" t="s">
        <v>2526</v>
      </c>
      <c r="AR6651" s="32" t="s">
        <v>7119</v>
      </c>
      <c r="AU6651">
        <v>6650</v>
      </c>
    </row>
    <row r="6652" spans="1:47" x14ac:dyDescent="0.2">
      <c r="A6652" s="133">
        <v>6851</v>
      </c>
      <c r="B6652" s="39" t="s">
        <v>45</v>
      </c>
      <c r="C6652" s="39">
        <v>215</v>
      </c>
      <c r="D6652" s="29" t="b">
        <v>0</v>
      </c>
      <c r="E6652" s="39" t="s">
        <v>649</v>
      </c>
      <c r="F6652" s="47" t="s">
        <v>529</v>
      </c>
      <c r="G6652" s="47" t="s">
        <v>205</v>
      </c>
      <c r="H6652"/>
      <c r="I6652" s="47" t="b">
        <v>0</v>
      </c>
      <c r="J6652" s="47" t="b">
        <v>1</v>
      </c>
      <c r="K6652" s="47">
        <v>2042</v>
      </c>
      <c r="L6652" s="48">
        <v>-1</v>
      </c>
      <c r="M6652" s="47">
        <v>0</v>
      </c>
      <c r="N6652" s="47">
        <v>0</v>
      </c>
      <c r="O6652" s="47">
        <v>0</v>
      </c>
      <c r="P6652" s="47">
        <v>0</v>
      </c>
      <c r="Q6652" s="47">
        <v>0</v>
      </c>
      <c r="R6652" s="47">
        <v>0</v>
      </c>
      <c r="S6652" s="48">
        <v>1</v>
      </c>
      <c r="T6652" s="47">
        <v>0</v>
      </c>
      <c r="U6652" s="47">
        <v>0</v>
      </c>
      <c r="V6652" s="47">
        <v>0</v>
      </c>
      <c r="W6652" s="47">
        <v>2500</v>
      </c>
      <c r="X6652" s="47">
        <v>1114</v>
      </c>
      <c r="Y6652" s="47"/>
      <c r="Z6652" s="47" t="s">
        <v>2466</v>
      </c>
      <c r="AA6652" s="49"/>
      <c r="AB6652" s="49"/>
      <c r="AC6652" s="49"/>
      <c r="AD6652" s="50"/>
      <c r="AE6652" s="47"/>
      <c r="AF6652" s="47"/>
      <c r="AG6652"/>
      <c r="AH6652"/>
      <c r="AI6652"/>
      <c r="AJ6652"/>
      <c r="AK6652"/>
      <c r="AL6652"/>
      <c r="AM6652"/>
      <c r="AN6652"/>
      <c r="AO6652"/>
      <c r="AP6652"/>
      <c r="AQ6652" t="s">
        <v>2526</v>
      </c>
      <c r="AU6652">
        <v>6651</v>
      </c>
    </row>
    <row r="6653" spans="1:47" x14ac:dyDescent="0.2">
      <c r="A6653" s="133">
        <v>6851</v>
      </c>
      <c r="B6653" s="39" t="s">
        <v>45</v>
      </c>
      <c r="C6653" s="39">
        <v>216</v>
      </c>
      <c r="D6653" s="29" t="b">
        <v>0</v>
      </c>
      <c r="E6653" s="39" t="s">
        <v>1168</v>
      </c>
      <c r="F6653" s="47" t="s">
        <v>2398</v>
      </c>
      <c r="G6653" s="47" t="s">
        <v>49</v>
      </c>
      <c r="H6653"/>
      <c r="I6653" s="47" t="b">
        <v>0</v>
      </c>
      <c r="J6653" s="47" t="b">
        <v>1</v>
      </c>
      <c r="K6653" s="47">
        <v>3014</v>
      </c>
      <c r="L6653" s="48">
        <v>7</v>
      </c>
      <c r="M6653" s="47">
        <v>5</v>
      </c>
      <c r="N6653" s="47">
        <v>0</v>
      </c>
      <c r="O6653" s="47">
        <v>0</v>
      </c>
      <c r="P6653" s="47">
        <v>0</v>
      </c>
      <c r="Q6653" s="47">
        <v>0</v>
      </c>
      <c r="R6653" s="47">
        <v>0</v>
      </c>
      <c r="S6653" s="48">
        <v>2</v>
      </c>
      <c r="T6653" s="47">
        <v>0</v>
      </c>
      <c r="U6653" s="47">
        <v>0</v>
      </c>
      <c r="V6653" s="47">
        <v>0</v>
      </c>
      <c r="W6653" s="47">
        <v>6000</v>
      </c>
      <c r="X6653" s="47">
        <v>1109</v>
      </c>
      <c r="Y6653" s="47"/>
      <c r="Z6653" s="47" t="s">
        <v>2466</v>
      </c>
      <c r="AA6653" s="49"/>
      <c r="AB6653" s="49"/>
      <c r="AC6653" s="49"/>
      <c r="AD6653" s="50"/>
      <c r="AE6653" s="47" t="s">
        <v>1312</v>
      </c>
      <c r="AF6653" s="47">
        <v>60</v>
      </c>
      <c r="AG6653"/>
      <c r="AH6653"/>
      <c r="AI6653"/>
      <c r="AJ6653"/>
      <c r="AK6653"/>
      <c r="AL6653"/>
      <c r="AM6653"/>
      <c r="AN6653"/>
      <c r="AO6653"/>
      <c r="AP6653"/>
      <c r="AQ6653" t="s">
        <v>2526</v>
      </c>
      <c r="AU6653">
        <v>6652</v>
      </c>
    </row>
    <row r="6654" spans="1:47" x14ac:dyDescent="0.2">
      <c r="A6654" s="13">
        <v>6851</v>
      </c>
      <c r="B6654" s="57" t="s">
        <v>45</v>
      </c>
      <c r="C6654" s="57" t="s">
        <v>142</v>
      </c>
      <c r="D6654" s="29"/>
      <c r="E6654" s="39" t="s">
        <v>7368</v>
      </c>
      <c r="F6654" s="47" t="s">
        <v>7369</v>
      </c>
      <c r="G6654" s="47" t="s">
        <v>49</v>
      </c>
      <c r="H6654"/>
      <c r="I6654" s="47" t="b">
        <v>1</v>
      </c>
      <c r="J6654" s="47" t="b">
        <v>1</v>
      </c>
      <c r="K6654" s="47">
        <f>3195*2.2</f>
        <v>7029.0000000000009</v>
      </c>
      <c r="L6654" s="48">
        <v>11</v>
      </c>
      <c r="M6654" s="47"/>
      <c r="N6654" s="47">
        <v>2</v>
      </c>
      <c r="O6654" s="47"/>
      <c r="P6654" s="47"/>
      <c r="Q6654" s="47"/>
      <c r="R6654" s="47"/>
      <c r="S6654" s="48">
        <v>9</v>
      </c>
      <c r="T6654" s="47">
        <v>0</v>
      </c>
      <c r="U6654" s="47">
        <v>0</v>
      </c>
      <c r="V6654" s="47">
        <v>0</v>
      </c>
      <c r="W6654" s="47"/>
      <c r="X6654" s="47"/>
      <c r="Y6654" s="47" t="s">
        <v>51</v>
      </c>
      <c r="Z6654" s="31" t="s">
        <v>5406</v>
      </c>
      <c r="AA6654" s="49"/>
      <c r="AB6654" s="49"/>
      <c r="AC6654" s="49"/>
      <c r="AD6654" s="50"/>
      <c r="AE6654" s="31" t="s">
        <v>2470</v>
      </c>
      <c r="AF6654" s="47"/>
      <c r="AG6654"/>
      <c r="AH6654"/>
      <c r="AI6654"/>
      <c r="AJ6654"/>
      <c r="AK6654">
        <f>18+39+2+4+1</f>
        <v>64</v>
      </c>
      <c r="AL6654"/>
      <c r="AM6654"/>
      <c r="AN6654"/>
      <c r="AO6654"/>
      <c r="AP6654"/>
      <c r="AQ6654" t="s">
        <v>7331</v>
      </c>
      <c r="AR6654" s="32" t="s">
        <v>7370</v>
      </c>
      <c r="AU6654">
        <v>6653</v>
      </c>
    </row>
    <row r="6655" spans="1:47" x14ac:dyDescent="0.2">
      <c r="A6655" s="13">
        <v>6851</v>
      </c>
      <c r="B6655" s="57" t="s">
        <v>45</v>
      </c>
      <c r="C6655" s="57" t="s">
        <v>142</v>
      </c>
      <c r="D6655" s="29"/>
      <c r="E6655" s="57" t="s">
        <v>2892</v>
      </c>
      <c r="F6655" s="31" t="s">
        <v>76</v>
      </c>
      <c r="G6655" s="47" t="s">
        <v>49</v>
      </c>
      <c r="I6655" s="47" t="b">
        <v>0</v>
      </c>
      <c r="J6655" s="47" t="b">
        <v>0</v>
      </c>
      <c r="K6655" s="31">
        <v>2684</v>
      </c>
      <c r="S6655" s="33">
        <v>3</v>
      </c>
      <c r="AE6655" s="31" t="s">
        <v>2470</v>
      </c>
      <c r="AF6655" s="31">
        <v>50</v>
      </c>
      <c r="AK6655" s="32">
        <v>24</v>
      </c>
      <c r="AQ6655" s="32" t="s">
        <v>7333</v>
      </c>
      <c r="AU6655">
        <v>6654</v>
      </c>
    </row>
    <row r="6656" spans="1:47" x14ac:dyDescent="0.2">
      <c r="A6656" s="13">
        <v>6851</v>
      </c>
      <c r="B6656" s="57" t="s">
        <v>45</v>
      </c>
      <c r="C6656" s="57" t="s">
        <v>142</v>
      </c>
      <c r="D6656" s="29"/>
      <c r="E6656" s="57" t="s">
        <v>3936</v>
      </c>
      <c r="F6656" s="31" t="s">
        <v>76</v>
      </c>
      <c r="G6656" s="47" t="s">
        <v>49</v>
      </c>
      <c r="I6656" s="47" t="b">
        <v>0</v>
      </c>
      <c r="J6656" s="47" t="b">
        <v>0</v>
      </c>
      <c r="K6656" s="31">
        <v>1100</v>
      </c>
      <c r="S6656" s="33">
        <v>2</v>
      </c>
      <c r="AE6656" s="31" t="s">
        <v>2470</v>
      </c>
      <c r="AF6656" s="31">
        <v>60</v>
      </c>
      <c r="AK6656" s="32">
        <v>10</v>
      </c>
      <c r="AQ6656" s="32" t="s">
        <v>7333</v>
      </c>
      <c r="AU6656">
        <v>6655</v>
      </c>
    </row>
    <row r="6657" spans="1:47" x14ac:dyDescent="0.2">
      <c r="A6657" s="13">
        <v>6851</v>
      </c>
      <c r="B6657" s="57" t="s">
        <v>45</v>
      </c>
      <c r="C6657" s="57" t="s">
        <v>142</v>
      </c>
      <c r="D6657" s="29"/>
      <c r="E6657" s="57" t="s">
        <v>7371</v>
      </c>
      <c r="F6657" s="31" t="s">
        <v>76</v>
      </c>
      <c r="G6657" s="47" t="s">
        <v>49</v>
      </c>
      <c r="I6657" s="47" t="b">
        <v>0</v>
      </c>
      <c r="J6657" s="47" t="b">
        <v>0</v>
      </c>
      <c r="K6657" s="31">
        <v>924</v>
      </c>
      <c r="S6657" s="33">
        <v>1</v>
      </c>
      <c r="AE6657" s="31" t="s">
        <v>2470</v>
      </c>
      <c r="AF6657" s="31">
        <v>50</v>
      </c>
      <c r="AK6657" s="32">
        <v>10</v>
      </c>
      <c r="AQ6657" s="32" t="s">
        <v>7333</v>
      </c>
      <c r="AU6657">
        <v>6656</v>
      </c>
    </row>
    <row r="6658" spans="1:47" x14ac:dyDescent="0.2">
      <c r="A6658" s="13">
        <v>6851</v>
      </c>
      <c r="B6658" s="57" t="s">
        <v>45</v>
      </c>
      <c r="C6658" s="57" t="s">
        <v>142</v>
      </c>
      <c r="D6658" s="29"/>
      <c r="E6658" s="57" t="s">
        <v>7372</v>
      </c>
      <c r="F6658" s="31" t="s">
        <v>76</v>
      </c>
      <c r="G6658" s="47" t="s">
        <v>49</v>
      </c>
      <c r="I6658" s="47" t="b">
        <v>0</v>
      </c>
      <c r="J6658" s="47" t="b">
        <v>0</v>
      </c>
      <c r="K6658" s="31">
        <v>880</v>
      </c>
      <c r="S6658" s="33">
        <v>1</v>
      </c>
      <c r="AE6658" s="31" t="s">
        <v>2470</v>
      </c>
      <c r="AF6658" s="31">
        <v>50</v>
      </c>
      <c r="AK6658" s="32">
        <v>8</v>
      </c>
      <c r="AQ6658" s="32" t="s">
        <v>7333</v>
      </c>
      <c r="AU6658">
        <v>6657</v>
      </c>
    </row>
    <row r="6659" spans="1:47" x14ac:dyDescent="0.2">
      <c r="A6659" s="13">
        <v>6851</v>
      </c>
      <c r="B6659" s="57" t="s">
        <v>45</v>
      </c>
      <c r="C6659" s="57" t="s">
        <v>142</v>
      </c>
      <c r="D6659" s="29"/>
      <c r="E6659" s="57" t="s">
        <v>3885</v>
      </c>
      <c r="F6659" s="31" t="s">
        <v>76</v>
      </c>
      <c r="G6659" s="47" t="s">
        <v>49</v>
      </c>
      <c r="I6659" s="47" t="b">
        <v>0</v>
      </c>
      <c r="J6659" s="47" t="b">
        <v>0</v>
      </c>
      <c r="K6659" s="31">
        <v>781</v>
      </c>
      <c r="S6659" s="33">
        <v>1</v>
      </c>
      <c r="AE6659" s="31" t="s">
        <v>2470</v>
      </c>
      <c r="AF6659" s="31">
        <v>50</v>
      </c>
      <c r="AK6659" s="32">
        <v>8</v>
      </c>
      <c r="AQ6659" s="32" t="s">
        <v>7333</v>
      </c>
      <c r="AU6659">
        <v>6658</v>
      </c>
    </row>
    <row r="6660" spans="1:47" x14ac:dyDescent="0.2">
      <c r="A6660" s="13">
        <v>6851</v>
      </c>
      <c r="B6660" s="57" t="s">
        <v>45</v>
      </c>
      <c r="C6660" s="57" t="s">
        <v>142</v>
      </c>
      <c r="D6660" s="29"/>
      <c r="E6660" s="57" t="s">
        <v>7373</v>
      </c>
      <c r="F6660" s="31" t="s">
        <v>3183</v>
      </c>
      <c r="G6660" s="47" t="s">
        <v>49</v>
      </c>
      <c r="I6660" s="47" t="b">
        <v>0</v>
      </c>
      <c r="J6660" s="47" t="b">
        <v>0</v>
      </c>
      <c r="K6660" s="31">
        <v>660</v>
      </c>
      <c r="S6660" s="33">
        <v>1</v>
      </c>
      <c r="AE6660" s="31" t="s">
        <v>2470</v>
      </c>
      <c r="AF6660" s="31">
        <v>45</v>
      </c>
      <c r="AK6660" s="32">
        <v>6</v>
      </c>
      <c r="AQ6660" s="32" t="s">
        <v>7333</v>
      </c>
      <c r="AU6660">
        <v>6659</v>
      </c>
    </row>
    <row r="6661" spans="1:47" x14ac:dyDescent="0.2">
      <c r="A6661" s="13">
        <v>6851</v>
      </c>
      <c r="B6661" s="57" t="s">
        <v>45</v>
      </c>
      <c r="C6661" s="57" t="s">
        <v>1367</v>
      </c>
      <c r="D6661" s="29"/>
      <c r="E6661" s="57" t="s">
        <v>3063</v>
      </c>
      <c r="F6661" s="31" t="s">
        <v>76</v>
      </c>
      <c r="G6661" s="47" t="s">
        <v>49</v>
      </c>
      <c r="K6661" s="31">
        <v>4012.8</v>
      </c>
      <c r="AE6661" s="31" t="s">
        <v>4176</v>
      </c>
      <c r="AF6661" s="31">
        <v>100</v>
      </c>
      <c r="AK6661" s="32">
        <v>36</v>
      </c>
      <c r="AQ6661" s="32" t="s">
        <v>7335</v>
      </c>
      <c r="AU6661">
        <v>6660</v>
      </c>
    </row>
    <row r="6662" spans="1:47" x14ac:dyDescent="0.2">
      <c r="A6662" s="13">
        <v>6851</v>
      </c>
      <c r="B6662" s="57" t="s">
        <v>45</v>
      </c>
      <c r="C6662" s="57" t="s">
        <v>1367</v>
      </c>
      <c r="D6662" s="29"/>
      <c r="E6662" s="57" t="s">
        <v>199</v>
      </c>
      <c r="F6662" s="31" t="s">
        <v>76</v>
      </c>
      <c r="G6662" s="47" t="s">
        <v>49</v>
      </c>
      <c r="K6662" s="31">
        <v>968</v>
      </c>
      <c r="AE6662" s="31" t="s">
        <v>4176</v>
      </c>
      <c r="AF6662" s="31">
        <v>85</v>
      </c>
      <c r="AK6662" s="32">
        <v>12</v>
      </c>
      <c r="AQ6662" s="32" t="s">
        <v>7335</v>
      </c>
      <c r="AU6662">
        <v>6661</v>
      </c>
    </row>
    <row r="6663" spans="1:47" x14ac:dyDescent="0.2">
      <c r="A6663" s="13">
        <v>6851</v>
      </c>
      <c r="B6663" s="57" t="s">
        <v>45</v>
      </c>
      <c r="C6663" s="57" t="s">
        <v>1367</v>
      </c>
      <c r="D6663" s="29"/>
      <c r="E6663" s="57" t="s">
        <v>7374</v>
      </c>
      <c r="F6663" s="31" t="s">
        <v>5544</v>
      </c>
      <c r="G6663" s="47" t="s">
        <v>69</v>
      </c>
      <c r="K6663" s="31">
        <v>880</v>
      </c>
      <c r="AE6663" s="31" t="s">
        <v>4176</v>
      </c>
      <c r="AF6663" s="31">
        <v>60</v>
      </c>
      <c r="AK6663" s="32">
        <v>8</v>
      </c>
      <c r="AQ6663" s="32" t="s">
        <v>7335</v>
      </c>
      <c r="AU6663">
        <v>6662</v>
      </c>
    </row>
    <row r="6664" spans="1:47" x14ac:dyDescent="0.2">
      <c r="A6664" s="13">
        <v>6851</v>
      </c>
      <c r="B6664" s="57" t="s">
        <v>45</v>
      </c>
      <c r="C6664" s="57" t="s">
        <v>4843</v>
      </c>
      <c r="D6664" s="29"/>
      <c r="E6664" s="57" t="s">
        <v>1088</v>
      </c>
      <c r="F6664" s="31" t="s">
        <v>76</v>
      </c>
      <c r="G6664" s="47" t="s">
        <v>49</v>
      </c>
      <c r="K6664" s="31">
        <v>2332</v>
      </c>
      <c r="S6664" s="33">
        <v>4</v>
      </c>
      <c r="AK6664" s="32">
        <v>40</v>
      </c>
      <c r="AQ6664" s="32" t="s">
        <v>7333</v>
      </c>
      <c r="AU6664">
        <v>6663</v>
      </c>
    </row>
    <row r="6665" spans="1:47" x14ac:dyDescent="0.2">
      <c r="A6665" s="13">
        <v>6851</v>
      </c>
      <c r="B6665" s="57" t="s">
        <v>45</v>
      </c>
      <c r="C6665" s="57" t="s">
        <v>4843</v>
      </c>
      <c r="D6665" s="29"/>
      <c r="E6665" s="57" t="s">
        <v>3876</v>
      </c>
      <c r="F6665" s="31" t="s">
        <v>76</v>
      </c>
      <c r="G6665" s="47" t="s">
        <v>49</v>
      </c>
      <c r="K6665" s="31">
        <v>2266</v>
      </c>
      <c r="S6665" s="33">
        <v>4</v>
      </c>
      <c r="AK6665" s="32">
        <v>35</v>
      </c>
      <c r="AQ6665" s="32" t="s">
        <v>7333</v>
      </c>
      <c r="AU6665">
        <v>6664</v>
      </c>
    </row>
    <row r="6666" spans="1:47" x14ac:dyDescent="0.2">
      <c r="A6666" s="13">
        <v>6851</v>
      </c>
      <c r="B6666" s="57" t="s">
        <v>45</v>
      </c>
      <c r="C6666" s="57" t="s">
        <v>4843</v>
      </c>
      <c r="D6666" s="29"/>
      <c r="E6666" s="57" t="s">
        <v>4910</v>
      </c>
      <c r="F6666" s="31" t="s">
        <v>76</v>
      </c>
      <c r="G6666" s="47" t="s">
        <v>49</v>
      </c>
      <c r="K6666" s="31">
        <v>1386</v>
      </c>
      <c r="S6666" s="33">
        <v>2</v>
      </c>
      <c r="AK6666" s="32">
        <v>19</v>
      </c>
      <c r="AQ6666" s="32" t="s">
        <v>7333</v>
      </c>
      <c r="AU6666">
        <v>6665</v>
      </c>
    </row>
    <row r="6667" spans="1:47" x14ac:dyDescent="0.2">
      <c r="A6667" s="168">
        <v>6851</v>
      </c>
      <c r="B6667" s="144" t="s">
        <v>45</v>
      </c>
      <c r="C6667" s="57" t="s">
        <v>4843</v>
      </c>
      <c r="D6667" s="29"/>
      <c r="E6667" s="144" t="s">
        <v>3936</v>
      </c>
      <c r="F6667" s="31" t="s">
        <v>76</v>
      </c>
      <c r="G6667" s="47" t="s">
        <v>49</v>
      </c>
      <c r="K6667" s="31">
        <v>1100</v>
      </c>
      <c r="S6667" s="33">
        <v>2</v>
      </c>
      <c r="AK6667" s="32">
        <v>13</v>
      </c>
      <c r="AQ6667" s="32" t="s">
        <v>7333</v>
      </c>
      <c r="AU6667">
        <v>6666</v>
      </c>
    </row>
    <row r="6668" spans="1:47" x14ac:dyDescent="0.2">
      <c r="A6668" s="13">
        <v>6851</v>
      </c>
      <c r="B6668" s="57" t="s">
        <v>45</v>
      </c>
      <c r="C6668" s="57" t="s">
        <v>4843</v>
      </c>
      <c r="D6668" s="29"/>
      <c r="E6668" s="57" t="s">
        <v>1064</v>
      </c>
      <c r="F6668" s="31" t="s">
        <v>76</v>
      </c>
      <c r="G6668" s="47" t="s">
        <v>49</v>
      </c>
      <c r="K6668" s="31">
        <v>660</v>
      </c>
      <c r="S6668" s="33">
        <v>1</v>
      </c>
      <c r="AK6668" s="32">
        <v>14</v>
      </c>
      <c r="AQ6668" s="32" t="s">
        <v>7333</v>
      </c>
      <c r="AU6668">
        <v>6667</v>
      </c>
    </row>
    <row r="6669" spans="1:47" x14ac:dyDescent="0.2">
      <c r="A6669" s="168">
        <v>6851</v>
      </c>
      <c r="B6669" s="144" t="s">
        <v>45</v>
      </c>
      <c r="C6669" s="57" t="s">
        <v>4843</v>
      </c>
      <c r="D6669" s="29"/>
      <c r="E6669" s="144" t="s">
        <v>3875</v>
      </c>
      <c r="F6669" s="31" t="s">
        <v>76</v>
      </c>
      <c r="G6669" s="47" t="s">
        <v>49</v>
      </c>
      <c r="K6669" s="31">
        <v>660</v>
      </c>
      <c r="S6669" s="33">
        <v>1</v>
      </c>
      <c r="AK6669" s="32">
        <v>6</v>
      </c>
      <c r="AQ6669" s="32" t="s">
        <v>7333</v>
      </c>
      <c r="AU6669">
        <v>6668</v>
      </c>
    </row>
    <row r="6670" spans="1:47" x14ac:dyDescent="0.2">
      <c r="A6670" s="13">
        <v>6851</v>
      </c>
      <c r="B6670" s="57" t="s">
        <v>45</v>
      </c>
      <c r="C6670" s="57" t="s">
        <v>4843</v>
      </c>
      <c r="D6670" s="29"/>
      <c r="E6670" s="57" t="s">
        <v>4921</v>
      </c>
      <c r="F6670" s="31" t="s">
        <v>76</v>
      </c>
      <c r="G6670" s="47" t="s">
        <v>49</v>
      </c>
      <c r="K6670" s="31">
        <v>440</v>
      </c>
      <c r="S6670" s="33">
        <v>1</v>
      </c>
      <c r="AK6670" s="32">
        <v>4</v>
      </c>
      <c r="AQ6670" s="32" t="s">
        <v>7333</v>
      </c>
      <c r="AU6670">
        <v>6669</v>
      </c>
    </row>
    <row r="6671" spans="1:47" x14ac:dyDescent="0.2">
      <c r="A6671" s="13">
        <v>6851</v>
      </c>
      <c r="B6671" s="57" t="s">
        <v>45</v>
      </c>
      <c r="C6671" s="57" t="s">
        <v>7243</v>
      </c>
      <c r="D6671" s="29"/>
      <c r="E6671" s="57" t="s">
        <v>3936</v>
      </c>
      <c r="F6671" s="31" t="s">
        <v>76</v>
      </c>
      <c r="G6671" s="47" t="s">
        <v>49</v>
      </c>
      <c r="K6671" s="31">
        <v>1980</v>
      </c>
      <c r="S6671" s="33">
        <v>3</v>
      </c>
      <c r="AK6671" s="32">
        <v>18</v>
      </c>
      <c r="AQ6671" s="32" t="s">
        <v>7333</v>
      </c>
      <c r="AU6671">
        <v>6670</v>
      </c>
    </row>
    <row r="6672" spans="1:47" x14ac:dyDescent="0.2">
      <c r="A6672" s="13">
        <v>6851</v>
      </c>
      <c r="B6672" s="57" t="s">
        <v>45</v>
      </c>
      <c r="C6672" s="57" t="s">
        <v>7243</v>
      </c>
      <c r="D6672" s="29"/>
      <c r="E6672" s="57" t="s">
        <v>3885</v>
      </c>
      <c r="F6672" s="31" t="s">
        <v>76</v>
      </c>
      <c r="G6672" s="47" t="s">
        <v>49</v>
      </c>
      <c r="K6672" s="31">
        <v>1320</v>
      </c>
      <c r="S6672" s="33">
        <v>2</v>
      </c>
      <c r="AK6672" s="32">
        <v>12</v>
      </c>
      <c r="AQ6672" s="32" t="s">
        <v>7333</v>
      </c>
      <c r="AU6672">
        <v>6671</v>
      </c>
    </row>
    <row r="6673" spans="1:47" x14ac:dyDescent="0.2">
      <c r="A6673" s="13">
        <v>6851</v>
      </c>
      <c r="B6673" s="57" t="s">
        <v>45</v>
      </c>
      <c r="C6673" s="57" t="s">
        <v>4179</v>
      </c>
      <c r="D6673" s="29"/>
      <c r="E6673" s="57" t="s">
        <v>7375</v>
      </c>
      <c r="F6673" s="31" t="s">
        <v>76</v>
      </c>
      <c r="G6673" s="47" t="s">
        <v>49</v>
      </c>
      <c r="K6673" s="31">
        <v>550</v>
      </c>
      <c r="Z6673" s="31" t="s">
        <v>3814</v>
      </c>
      <c r="AE6673" s="31" t="s">
        <v>5034</v>
      </c>
      <c r="AF6673" s="31">
        <v>50</v>
      </c>
      <c r="AK6673" s="32">
        <v>8</v>
      </c>
      <c r="AQ6673" s="32" t="s">
        <v>7333</v>
      </c>
      <c r="AU6673">
        <v>6672</v>
      </c>
    </row>
    <row r="6674" spans="1:47" x14ac:dyDescent="0.2">
      <c r="A6674" s="13">
        <v>6851</v>
      </c>
      <c r="B6674" s="57" t="s">
        <v>45</v>
      </c>
      <c r="C6674" s="57" t="s">
        <v>4179</v>
      </c>
      <c r="D6674" s="29"/>
      <c r="E6674" s="57" t="s">
        <v>5781</v>
      </c>
      <c r="F6674" s="31" t="s">
        <v>76</v>
      </c>
      <c r="I6674" s="31" t="s">
        <v>7340</v>
      </c>
      <c r="K6674" s="63"/>
      <c r="Z6674" s="31" t="s">
        <v>3814</v>
      </c>
      <c r="AE6674" s="31" t="s">
        <v>5034</v>
      </c>
      <c r="AF6674" s="31">
        <v>85</v>
      </c>
      <c r="AQ6674" s="32" t="s">
        <v>7333</v>
      </c>
      <c r="AU6674">
        <v>6673</v>
      </c>
    </row>
    <row r="6675" spans="1:47" x14ac:dyDescent="0.2">
      <c r="A6675" s="13">
        <v>6851</v>
      </c>
      <c r="B6675" s="57" t="s">
        <v>45</v>
      </c>
      <c r="C6675" s="57" t="s">
        <v>4179</v>
      </c>
      <c r="D6675" s="29"/>
      <c r="E6675" s="57" t="s">
        <v>5703</v>
      </c>
      <c r="F6675" s="31" t="s">
        <v>76</v>
      </c>
      <c r="I6675" s="31" t="s">
        <v>7341</v>
      </c>
      <c r="K6675" s="63"/>
      <c r="Z6675" s="31" t="s">
        <v>3814</v>
      </c>
      <c r="AE6675" s="31" t="s">
        <v>5034</v>
      </c>
      <c r="AF6675" s="31">
        <v>80</v>
      </c>
      <c r="AQ6675" s="32" t="s">
        <v>7333</v>
      </c>
      <c r="AU6675">
        <v>6674</v>
      </c>
    </row>
    <row r="6676" spans="1:47" x14ac:dyDescent="0.2">
      <c r="A6676" s="13">
        <v>6851</v>
      </c>
      <c r="B6676" s="57" t="s">
        <v>45</v>
      </c>
      <c r="C6676" s="57" t="s">
        <v>4179</v>
      </c>
      <c r="D6676" s="29"/>
      <c r="E6676" s="57" t="s">
        <v>7343</v>
      </c>
      <c r="F6676" s="31" t="s">
        <v>3183</v>
      </c>
      <c r="I6676" s="31" t="s">
        <v>7344</v>
      </c>
      <c r="K6676" s="63"/>
      <c r="Z6676" s="31" t="s">
        <v>3814</v>
      </c>
      <c r="AE6676" s="31" t="s">
        <v>5034</v>
      </c>
      <c r="AF6676" s="31">
        <v>125</v>
      </c>
      <c r="AQ6676" s="32" t="s">
        <v>7333</v>
      </c>
      <c r="AU6676">
        <v>6675</v>
      </c>
    </row>
    <row r="6677" spans="1:47" x14ac:dyDescent="0.2">
      <c r="A6677" s="13">
        <v>6851</v>
      </c>
      <c r="B6677" s="57" t="s">
        <v>45</v>
      </c>
      <c r="C6677" s="57" t="s">
        <v>4179</v>
      </c>
      <c r="D6677" s="29"/>
      <c r="E6677" s="57" t="s">
        <v>7345</v>
      </c>
      <c r="F6677" s="31" t="s">
        <v>3183</v>
      </c>
      <c r="I6677" s="31" t="s">
        <v>7346</v>
      </c>
      <c r="K6677" s="63"/>
      <c r="Z6677" s="31" t="s">
        <v>3814</v>
      </c>
      <c r="AE6677" s="31" t="s">
        <v>5034</v>
      </c>
      <c r="AF6677" s="31">
        <v>125</v>
      </c>
      <c r="AQ6677" s="32" t="s">
        <v>7333</v>
      </c>
      <c r="AU6677">
        <v>6676</v>
      </c>
    </row>
    <row r="6678" spans="1:47" x14ac:dyDescent="0.2">
      <c r="A6678" s="13">
        <v>6851</v>
      </c>
      <c r="B6678" s="57" t="s">
        <v>45</v>
      </c>
      <c r="C6678" s="57" t="s">
        <v>7338</v>
      </c>
      <c r="D6678" s="29"/>
      <c r="E6678" s="57" t="s">
        <v>1397</v>
      </c>
      <c r="F6678" s="31" t="s">
        <v>76</v>
      </c>
      <c r="I6678" s="31" t="s">
        <v>7339</v>
      </c>
      <c r="K6678" s="63"/>
      <c r="Z6678" s="31" t="s">
        <v>3814</v>
      </c>
      <c r="AE6678" s="31" t="s">
        <v>5034</v>
      </c>
      <c r="AF6678" s="31">
        <v>110</v>
      </c>
      <c r="AQ6678" s="32" t="s">
        <v>7333</v>
      </c>
      <c r="AU6678">
        <v>6677</v>
      </c>
    </row>
    <row r="6679" spans="1:47" x14ac:dyDescent="0.2">
      <c r="A6679" s="13">
        <v>6851</v>
      </c>
      <c r="B6679" s="57" t="s">
        <v>45</v>
      </c>
      <c r="C6679" s="57" t="s">
        <v>7338</v>
      </c>
      <c r="D6679" s="29"/>
      <c r="E6679" s="57" t="s">
        <v>4182</v>
      </c>
      <c r="F6679" s="31" t="s">
        <v>76</v>
      </c>
      <c r="I6679" s="31" t="s">
        <v>7342</v>
      </c>
      <c r="K6679" s="63"/>
      <c r="Z6679" s="31" t="s">
        <v>3814</v>
      </c>
      <c r="AE6679" s="31" t="s">
        <v>5034</v>
      </c>
      <c r="AF6679" s="31">
        <v>110</v>
      </c>
      <c r="AQ6679" s="32" t="s">
        <v>7333</v>
      </c>
      <c r="AU6679">
        <v>6678</v>
      </c>
    </row>
    <row r="6680" spans="1:47" x14ac:dyDescent="0.2">
      <c r="A6680" s="13">
        <v>6851</v>
      </c>
      <c r="B6680" s="57" t="s">
        <v>45</v>
      </c>
      <c r="C6680" s="57" t="s">
        <v>7338</v>
      </c>
      <c r="D6680" s="29"/>
      <c r="E6680" s="57" t="s">
        <v>7351</v>
      </c>
      <c r="F6680" s="144" t="s">
        <v>6354</v>
      </c>
      <c r="I6680" s="31" t="s">
        <v>7352</v>
      </c>
      <c r="K6680" s="63"/>
      <c r="Z6680" s="31" t="s">
        <v>3814</v>
      </c>
      <c r="AE6680" s="31" t="s">
        <v>5034</v>
      </c>
      <c r="AF6680" s="31">
        <v>110</v>
      </c>
      <c r="AQ6680" s="32" t="s">
        <v>7333</v>
      </c>
      <c r="AU6680">
        <v>6679</v>
      </c>
    </row>
    <row r="6681" spans="1:47" x14ac:dyDescent="0.2">
      <c r="A6681" s="13">
        <v>6851</v>
      </c>
      <c r="B6681" s="57" t="s">
        <v>45</v>
      </c>
      <c r="C6681" s="57" t="s">
        <v>5860</v>
      </c>
      <c r="D6681" s="29"/>
      <c r="E6681" s="57" t="s">
        <v>3634</v>
      </c>
      <c r="F6681" s="31" t="s">
        <v>76</v>
      </c>
      <c r="I6681" s="31" t="s">
        <v>7347</v>
      </c>
      <c r="K6681" s="63"/>
      <c r="AE6681" s="31" t="s">
        <v>7241</v>
      </c>
      <c r="AF6681" s="31">
        <v>75</v>
      </c>
      <c r="AQ6681" s="32" t="s">
        <v>7333</v>
      </c>
      <c r="AU6681">
        <v>6680</v>
      </c>
    </row>
    <row r="6682" spans="1:47" x14ac:dyDescent="0.2">
      <c r="A6682" s="26">
        <v>6851</v>
      </c>
      <c r="B6682" s="27" t="s">
        <v>85</v>
      </c>
      <c r="C6682" s="28"/>
      <c r="D6682" s="29"/>
      <c r="E6682" s="30" t="s">
        <v>586</v>
      </c>
      <c r="H6682" s="32">
        <v>1</v>
      </c>
      <c r="I6682" s="32" t="s">
        <v>7376</v>
      </c>
      <c r="AI6682" s="32">
        <v>587</v>
      </c>
      <c r="AO6682" s="46" t="s">
        <v>588</v>
      </c>
      <c r="AQ6682" s="32" t="s">
        <v>589</v>
      </c>
      <c r="AU6682">
        <v>6681</v>
      </c>
    </row>
    <row r="6683" spans="1:47" x14ac:dyDescent="0.2">
      <c r="A6683" s="26">
        <v>6851</v>
      </c>
      <c r="B6683" s="27"/>
      <c r="C6683" s="28"/>
      <c r="D6683" s="29"/>
      <c r="E6683" s="102" t="s">
        <v>1421</v>
      </c>
      <c r="H6683" s="32">
        <v>1</v>
      </c>
      <c r="I6683" s="32" t="s">
        <v>1422</v>
      </c>
      <c r="AK6683" s="32">
        <v>3</v>
      </c>
      <c r="AO6683" s="73"/>
      <c r="AQ6683" s="32" t="s">
        <v>589</v>
      </c>
      <c r="AU6683">
        <v>6682</v>
      </c>
    </row>
    <row r="6684" spans="1:47" x14ac:dyDescent="0.2">
      <c r="A6684" s="26">
        <v>6851</v>
      </c>
      <c r="B6684" s="27"/>
      <c r="C6684" s="28"/>
      <c r="D6684" s="29"/>
      <c r="E6684" s="30" t="s">
        <v>4666</v>
      </c>
      <c r="H6684" s="32">
        <v>0</v>
      </c>
      <c r="I6684" s="32" t="s">
        <v>7377</v>
      </c>
      <c r="AG6684" s="32">
        <v>0</v>
      </c>
      <c r="AH6684" s="32">
        <v>0</v>
      </c>
      <c r="AI6684" s="32">
        <v>0</v>
      </c>
      <c r="AK6684" s="32">
        <v>0</v>
      </c>
      <c r="AO6684" s="32" t="s">
        <v>4668</v>
      </c>
      <c r="AQ6684" s="32">
        <v>411</v>
      </c>
      <c r="AU6684">
        <v>6683</v>
      </c>
    </row>
    <row r="6685" spans="1:47" x14ac:dyDescent="0.2">
      <c r="A6685" s="133">
        <v>6852</v>
      </c>
      <c r="B6685" s="39" t="s">
        <v>85</v>
      </c>
      <c r="C6685" s="206" t="s">
        <v>7324</v>
      </c>
      <c r="D6685" s="29"/>
      <c r="E6685" s="39" t="s">
        <v>1347</v>
      </c>
      <c r="F6685" s="31" t="s">
        <v>748</v>
      </c>
      <c r="H6685" s="32"/>
      <c r="I6685" s="32" t="s">
        <v>7378</v>
      </c>
      <c r="K6685" s="31">
        <f>1160*2.2</f>
        <v>2552</v>
      </c>
      <c r="L6685" s="33">
        <v>10</v>
      </c>
      <c r="S6685" s="33">
        <v>10</v>
      </c>
      <c r="V6685" s="31">
        <v>1</v>
      </c>
      <c r="Z6685" s="47" t="s">
        <v>7262</v>
      </c>
      <c r="AE6685" s="47" t="s">
        <v>2743</v>
      </c>
      <c r="AF6685" s="31">
        <v>80</v>
      </c>
      <c r="AO6685" s="73"/>
      <c r="AU6685">
        <v>6684</v>
      </c>
    </row>
    <row r="6686" spans="1:47" x14ac:dyDescent="0.2">
      <c r="A6686" s="133">
        <v>6852</v>
      </c>
      <c r="B6686" s="39" t="s">
        <v>85</v>
      </c>
      <c r="C6686" s="206" t="s">
        <v>7324</v>
      </c>
      <c r="D6686" s="29"/>
      <c r="E6686" s="39" t="s">
        <v>7379</v>
      </c>
      <c r="F6686" s="31" t="s">
        <v>7380</v>
      </c>
      <c r="H6686" s="32"/>
      <c r="I6686" s="32"/>
      <c r="K6686" s="31">
        <f>900*2.2</f>
        <v>1980.0000000000002</v>
      </c>
      <c r="L6686" s="33">
        <v>10</v>
      </c>
      <c r="Z6686" s="47" t="s">
        <v>7262</v>
      </c>
      <c r="AE6686" s="47" t="s">
        <v>2743</v>
      </c>
      <c r="AF6686" s="31">
        <v>75</v>
      </c>
      <c r="AO6686" s="73"/>
      <c r="AQ6686"/>
      <c r="AU6686">
        <v>6685</v>
      </c>
    </row>
    <row r="6687" spans="1:47" x14ac:dyDescent="0.2">
      <c r="A6687" s="133">
        <v>6852</v>
      </c>
      <c r="B6687" s="39" t="s">
        <v>85</v>
      </c>
      <c r="C6687" s="15" t="s">
        <v>4769</v>
      </c>
      <c r="D6687" s="29"/>
      <c r="E6687" s="39" t="s">
        <v>7381</v>
      </c>
      <c r="F6687" s="31" t="s">
        <v>7382</v>
      </c>
      <c r="H6687" s="32"/>
      <c r="I6687" s="32" t="s">
        <v>7383</v>
      </c>
      <c r="AO6687" s="73"/>
      <c r="AQ6687" t="s">
        <v>7384</v>
      </c>
      <c r="AU6687">
        <v>6686</v>
      </c>
    </row>
    <row r="6688" spans="1:47" x14ac:dyDescent="0.2">
      <c r="A6688" s="13">
        <v>6852</v>
      </c>
      <c r="B6688" s="57" t="s">
        <v>45</v>
      </c>
      <c r="C6688" s="57" t="s">
        <v>142</v>
      </c>
      <c r="D6688" s="29"/>
      <c r="E6688" s="57" t="s">
        <v>7385</v>
      </c>
      <c r="F6688" s="31" t="s">
        <v>7386</v>
      </c>
      <c r="G6688" s="31" t="s">
        <v>49</v>
      </c>
      <c r="I6688" s="47" t="b">
        <v>1</v>
      </c>
      <c r="J6688" s="47" t="b">
        <v>1</v>
      </c>
      <c r="K6688" s="31">
        <f>1770*2.2</f>
        <v>3894.0000000000005</v>
      </c>
      <c r="L6688" s="33">
        <v>10</v>
      </c>
      <c r="N6688" s="31">
        <v>3</v>
      </c>
      <c r="O6688" s="31">
        <v>1</v>
      </c>
      <c r="S6688" s="33">
        <v>6</v>
      </c>
      <c r="T6688" s="31">
        <v>0</v>
      </c>
      <c r="U6688" s="31">
        <v>0</v>
      </c>
      <c r="V6688" s="31">
        <v>0</v>
      </c>
      <c r="Y6688" s="31" t="s">
        <v>51</v>
      </c>
      <c r="Z6688" s="31" t="s">
        <v>5406</v>
      </c>
      <c r="AA6688" s="49"/>
      <c r="AB6688" s="49"/>
      <c r="AC6688" s="49"/>
      <c r="AD6688" s="50"/>
      <c r="AE6688" s="31" t="s">
        <v>2470</v>
      </c>
      <c r="AK6688" s="32">
        <f>15+20+2</f>
        <v>37</v>
      </c>
      <c r="AQ6688" s="32" t="s">
        <v>7387</v>
      </c>
      <c r="AR6688" s="32" t="s">
        <v>7388</v>
      </c>
      <c r="AU6688">
        <v>6687</v>
      </c>
    </row>
    <row r="6689" spans="1:47" x14ac:dyDescent="0.2">
      <c r="A6689" s="13">
        <v>6852</v>
      </c>
      <c r="B6689" s="57" t="s">
        <v>45</v>
      </c>
      <c r="C6689" s="57" t="s">
        <v>142</v>
      </c>
      <c r="D6689" s="29"/>
      <c r="E6689" s="57" t="s">
        <v>3875</v>
      </c>
      <c r="F6689" s="31" t="s">
        <v>76</v>
      </c>
      <c r="G6689" s="31" t="s">
        <v>49</v>
      </c>
      <c r="I6689" s="47" t="b">
        <v>0</v>
      </c>
      <c r="J6689" s="47" t="b">
        <v>0</v>
      </c>
      <c r="K6689" s="31">
        <v>2970</v>
      </c>
      <c r="S6689" s="33">
        <v>4</v>
      </c>
      <c r="AE6689" s="31" t="s">
        <v>2470</v>
      </c>
      <c r="AF6689" s="31">
        <v>55</v>
      </c>
      <c r="AK6689" s="32">
        <v>27</v>
      </c>
      <c r="AQ6689" s="32" t="s">
        <v>7333</v>
      </c>
      <c r="AU6689">
        <v>6688</v>
      </c>
    </row>
    <row r="6690" spans="1:47" x14ac:dyDescent="0.2">
      <c r="A6690" s="13">
        <v>6852</v>
      </c>
      <c r="B6690" s="57" t="s">
        <v>45</v>
      </c>
      <c r="C6690" s="57" t="s">
        <v>142</v>
      </c>
      <c r="D6690" s="29"/>
      <c r="E6690" s="57" t="s">
        <v>7372</v>
      </c>
      <c r="F6690" s="31" t="s">
        <v>76</v>
      </c>
      <c r="G6690" s="31" t="s">
        <v>49</v>
      </c>
      <c r="I6690" s="47" t="b">
        <v>0</v>
      </c>
      <c r="J6690" s="47" t="b">
        <v>0</v>
      </c>
      <c r="K6690" s="31">
        <v>924</v>
      </c>
      <c r="S6690" s="33">
        <v>2</v>
      </c>
      <c r="AE6690" s="31" t="s">
        <v>2470</v>
      </c>
      <c r="AF6690" s="31">
        <v>50</v>
      </c>
      <c r="AK6690" s="32">
        <v>10</v>
      </c>
      <c r="AQ6690" s="32" t="s">
        <v>7333</v>
      </c>
      <c r="AU6690">
        <v>6689</v>
      </c>
    </row>
    <row r="6691" spans="1:47" x14ac:dyDescent="0.2">
      <c r="A6691" s="13">
        <v>6852</v>
      </c>
      <c r="B6691" s="57" t="s">
        <v>45</v>
      </c>
      <c r="C6691" s="57" t="s">
        <v>4843</v>
      </c>
      <c r="D6691" s="29"/>
      <c r="E6691" s="57" t="s">
        <v>7235</v>
      </c>
      <c r="F6691" s="31" t="s">
        <v>76</v>
      </c>
      <c r="G6691" s="31" t="s">
        <v>49</v>
      </c>
      <c r="K6691" s="31">
        <v>6446</v>
      </c>
      <c r="S6691" s="33">
        <v>11</v>
      </c>
      <c r="AK6691" s="32">
        <v>79</v>
      </c>
      <c r="AQ6691" s="32" t="s">
        <v>7333</v>
      </c>
      <c r="AU6691">
        <v>6690</v>
      </c>
    </row>
    <row r="6692" spans="1:47" x14ac:dyDescent="0.2">
      <c r="A6692" s="13">
        <v>6852</v>
      </c>
      <c r="B6692" s="57" t="s">
        <v>45</v>
      </c>
      <c r="C6692" s="57" t="s">
        <v>4843</v>
      </c>
      <c r="D6692" s="29"/>
      <c r="E6692" s="57" t="s">
        <v>5194</v>
      </c>
      <c r="F6692" s="31" t="s">
        <v>76</v>
      </c>
      <c r="G6692" s="31" t="s">
        <v>49</v>
      </c>
      <c r="K6692" s="31">
        <v>528</v>
      </c>
      <c r="S6692" s="33">
        <v>1</v>
      </c>
      <c r="AK6692" s="32">
        <v>10</v>
      </c>
      <c r="AQ6692" s="32" t="s">
        <v>7333</v>
      </c>
      <c r="AU6692">
        <v>6691</v>
      </c>
    </row>
    <row r="6693" spans="1:47" x14ac:dyDescent="0.2">
      <c r="A6693" s="13">
        <v>6852</v>
      </c>
      <c r="B6693" s="57" t="s">
        <v>45</v>
      </c>
      <c r="C6693" s="57" t="s">
        <v>4179</v>
      </c>
      <c r="D6693" s="29"/>
      <c r="E6693" s="57" t="s">
        <v>7389</v>
      </c>
      <c r="F6693" s="31" t="s">
        <v>76</v>
      </c>
      <c r="G6693" s="31" t="s">
        <v>49</v>
      </c>
      <c r="K6693" s="31">
        <v>1100</v>
      </c>
      <c r="Z6693" s="31" t="s">
        <v>3814</v>
      </c>
      <c r="AE6693" s="31" t="s">
        <v>5034</v>
      </c>
      <c r="AK6693" s="32">
        <v>12</v>
      </c>
      <c r="AQ6693" s="32" t="s">
        <v>7333</v>
      </c>
      <c r="AU6693">
        <v>6692</v>
      </c>
    </row>
    <row r="6694" spans="1:47" x14ac:dyDescent="0.2">
      <c r="A6694" s="13">
        <v>6852</v>
      </c>
      <c r="B6694" s="57" t="s">
        <v>45</v>
      </c>
      <c r="C6694" s="57" t="s">
        <v>7243</v>
      </c>
      <c r="D6694" s="29"/>
      <c r="E6694" s="57" t="s">
        <v>3936</v>
      </c>
      <c r="F6694" s="31" t="s">
        <v>76</v>
      </c>
      <c r="G6694" s="31" t="s">
        <v>49</v>
      </c>
      <c r="K6694" s="31">
        <v>2640</v>
      </c>
      <c r="S6694" s="33">
        <v>4</v>
      </c>
      <c r="AK6694" s="32">
        <v>24</v>
      </c>
      <c r="AQ6694" s="32" t="s">
        <v>7333</v>
      </c>
      <c r="AU6694">
        <v>6693</v>
      </c>
    </row>
    <row r="6695" spans="1:47" x14ac:dyDescent="0.2">
      <c r="A6695" s="13">
        <v>6852</v>
      </c>
      <c r="B6695" s="57" t="s">
        <v>45</v>
      </c>
      <c r="C6695" s="57" t="s">
        <v>7243</v>
      </c>
      <c r="D6695" s="29"/>
      <c r="E6695" s="57" t="s">
        <v>7372</v>
      </c>
      <c r="F6695" s="31" t="s">
        <v>76</v>
      </c>
      <c r="G6695" s="31" t="s">
        <v>49</v>
      </c>
      <c r="K6695" s="31">
        <v>660</v>
      </c>
      <c r="S6695" s="33">
        <v>1</v>
      </c>
      <c r="AK6695" s="32">
        <v>6</v>
      </c>
      <c r="AQ6695" s="32" t="s">
        <v>7333</v>
      </c>
      <c r="AU6695">
        <v>6694</v>
      </c>
    </row>
    <row r="6696" spans="1:47" x14ac:dyDescent="0.2">
      <c r="A6696" s="13">
        <v>6852</v>
      </c>
      <c r="B6696" s="57" t="s">
        <v>45</v>
      </c>
      <c r="C6696" s="57" t="s">
        <v>4179</v>
      </c>
      <c r="D6696" s="29"/>
      <c r="E6696" s="57" t="s">
        <v>5703</v>
      </c>
      <c r="F6696" s="31" t="s">
        <v>76</v>
      </c>
      <c r="I6696" s="31" t="s">
        <v>7341</v>
      </c>
      <c r="K6696" s="63"/>
      <c r="Z6696" s="31" t="s">
        <v>3814</v>
      </c>
      <c r="AE6696" s="31" t="s">
        <v>5034</v>
      </c>
      <c r="AF6696" s="31">
        <v>80</v>
      </c>
      <c r="AQ6696" s="32" t="s">
        <v>7333</v>
      </c>
      <c r="AU6696">
        <v>6695</v>
      </c>
    </row>
    <row r="6697" spans="1:47" x14ac:dyDescent="0.2">
      <c r="A6697" s="13">
        <v>6852</v>
      </c>
      <c r="B6697" s="57" t="s">
        <v>45</v>
      </c>
      <c r="C6697" s="57" t="s">
        <v>4179</v>
      </c>
      <c r="D6697" s="29"/>
      <c r="E6697" s="57" t="s">
        <v>7343</v>
      </c>
      <c r="F6697" s="31" t="s">
        <v>3183</v>
      </c>
      <c r="I6697" s="31" t="s">
        <v>7344</v>
      </c>
      <c r="K6697" s="63"/>
      <c r="Z6697" s="31" t="s">
        <v>3814</v>
      </c>
      <c r="AE6697" s="31" t="s">
        <v>5034</v>
      </c>
      <c r="AF6697" s="31">
        <v>125</v>
      </c>
      <c r="AQ6697" s="32" t="s">
        <v>7333</v>
      </c>
      <c r="AU6697">
        <v>6696</v>
      </c>
    </row>
    <row r="6698" spans="1:47" x14ac:dyDescent="0.2">
      <c r="A6698" s="13">
        <v>6852</v>
      </c>
      <c r="B6698" s="57" t="s">
        <v>45</v>
      </c>
      <c r="C6698" s="57" t="s">
        <v>5860</v>
      </c>
      <c r="D6698" s="29"/>
      <c r="E6698" s="57" t="s">
        <v>6823</v>
      </c>
      <c r="F6698" s="31" t="s">
        <v>6354</v>
      </c>
      <c r="I6698" s="31" t="s">
        <v>7350</v>
      </c>
      <c r="K6698" s="63"/>
      <c r="AE6698" s="31" t="s">
        <v>7241</v>
      </c>
      <c r="AF6698" s="31">
        <v>65</v>
      </c>
      <c r="AQ6698" s="32" t="s">
        <v>7333</v>
      </c>
      <c r="AU6698">
        <v>6697</v>
      </c>
    </row>
    <row r="6699" spans="1:47" x14ac:dyDescent="0.2">
      <c r="A6699" s="13">
        <v>6852</v>
      </c>
      <c r="B6699" s="57" t="s">
        <v>45</v>
      </c>
      <c r="C6699" s="57" t="s">
        <v>5860</v>
      </c>
      <c r="D6699" s="29"/>
      <c r="E6699" s="57" t="s">
        <v>4180</v>
      </c>
      <c r="F6699" s="31" t="s">
        <v>76</v>
      </c>
      <c r="I6699" s="31" t="s">
        <v>7390</v>
      </c>
      <c r="K6699" s="63"/>
      <c r="AE6699" s="31" t="s">
        <v>7241</v>
      </c>
      <c r="AF6699" s="31">
        <v>75</v>
      </c>
      <c r="AQ6699" s="32" t="s">
        <v>7333</v>
      </c>
      <c r="AU6699">
        <v>6698</v>
      </c>
    </row>
    <row r="6700" spans="1:47" x14ac:dyDescent="0.2">
      <c r="A6700" s="13">
        <v>6852</v>
      </c>
      <c r="B6700" s="57" t="s">
        <v>45</v>
      </c>
      <c r="C6700" s="57" t="s">
        <v>7338</v>
      </c>
      <c r="D6700" s="29"/>
      <c r="E6700" s="57" t="s">
        <v>1397</v>
      </c>
      <c r="F6700" s="31" t="s">
        <v>76</v>
      </c>
      <c r="I6700" s="31" t="s">
        <v>7339</v>
      </c>
      <c r="K6700" s="63"/>
      <c r="Z6700" s="31" t="s">
        <v>3814</v>
      </c>
      <c r="AE6700" s="31" t="s">
        <v>5034</v>
      </c>
      <c r="AF6700" s="31">
        <v>110</v>
      </c>
      <c r="AQ6700" s="32" t="s">
        <v>7333</v>
      </c>
      <c r="AU6700">
        <v>6699</v>
      </c>
    </row>
    <row r="6701" spans="1:47" x14ac:dyDescent="0.2">
      <c r="A6701" s="13">
        <v>6852</v>
      </c>
      <c r="B6701" s="57" t="s">
        <v>45</v>
      </c>
      <c r="C6701" s="57" t="s">
        <v>7338</v>
      </c>
      <c r="D6701" s="29"/>
      <c r="E6701" s="57" t="s">
        <v>7351</v>
      </c>
      <c r="F6701" s="31" t="s">
        <v>6354</v>
      </c>
      <c r="I6701" s="31" t="s">
        <v>7352</v>
      </c>
      <c r="K6701" s="63"/>
      <c r="Z6701" s="31" t="s">
        <v>3814</v>
      </c>
      <c r="AE6701" s="31" t="s">
        <v>5034</v>
      </c>
      <c r="AF6701" s="31">
        <v>110</v>
      </c>
      <c r="AQ6701" s="32" t="s">
        <v>7333</v>
      </c>
      <c r="AU6701">
        <v>6700</v>
      </c>
    </row>
    <row r="6702" spans="1:47" x14ac:dyDescent="0.2">
      <c r="A6702" s="26">
        <v>6852</v>
      </c>
      <c r="B6702" s="27" t="s">
        <v>45</v>
      </c>
      <c r="C6702" s="28"/>
      <c r="D6702" s="29"/>
      <c r="E6702" s="30" t="s">
        <v>586</v>
      </c>
      <c r="H6702" s="32">
        <v>1</v>
      </c>
      <c r="I6702" s="32" t="s">
        <v>7391</v>
      </c>
      <c r="AI6702" s="32">
        <v>4401</v>
      </c>
      <c r="AO6702" s="46" t="s">
        <v>588</v>
      </c>
      <c r="AQ6702" s="32" t="s">
        <v>589</v>
      </c>
      <c r="AU6702">
        <v>6701</v>
      </c>
    </row>
    <row r="6703" spans="1:47" x14ac:dyDescent="0.2">
      <c r="A6703" s="133">
        <v>6853</v>
      </c>
      <c r="B6703" s="39" t="s">
        <v>85</v>
      </c>
      <c r="C6703" s="39">
        <v>104</v>
      </c>
      <c r="D6703" s="29" t="b">
        <v>0</v>
      </c>
      <c r="E6703" s="39" t="s">
        <v>1168</v>
      </c>
      <c r="F6703" s="47" t="s">
        <v>2398</v>
      </c>
      <c r="G6703" s="47" t="s">
        <v>49</v>
      </c>
      <c r="H6703"/>
      <c r="I6703" s="47" t="b">
        <v>0</v>
      </c>
      <c r="J6703" s="47" t="b">
        <v>1</v>
      </c>
      <c r="K6703" s="47">
        <v>2718</v>
      </c>
      <c r="L6703" s="48">
        <v>12</v>
      </c>
      <c r="M6703" s="47">
        <v>0</v>
      </c>
      <c r="N6703" s="47">
        <v>0</v>
      </c>
      <c r="O6703" s="47">
        <v>0</v>
      </c>
      <c r="P6703" s="47">
        <v>0</v>
      </c>
      <c r="Q6703" s="47">
        <v>0</v>
      </c>
      <c r="R6703" s="47">
        <v>0</v>
      </c>
      <c r="S6703" s="48">
        <v>12</v>
      </c>
      <c r="T6703" s="47">
        <v>0</v>
      </c>
      <c r="U6703" s="47">
        <v>0</v>
      </c>
      <c r="V6703" s="47">
        <v>0</v>
      </c>
      <c r="W6703" s="47">
        <v>12000</v>
      </c>
      <c r="X6703" s="47">
        <v>1123</v>
      </c>
      <c r="Y6703" s="47" t="s">
        <v>51</v>
      </c>
      <c r="Z6703" s="47" t="s">
        <v>5139</v>
      </c>
      <c r="AA6703" s="49">
        <v>0.32291666666666669</v>
      </c>
      <c r="AB6703" s="49">
        <v>0.41319444444444442</v>
      </c>
      <c r="AC6703" s="49">
        <v>0.3923611111111111</v>
      </c>
      <c r="AD6703" s="50">
        <f>(AB6703-AA6703)*24</f>
        <v>2.1666666666666656</v>
      </c>
      <c r="AE6703" s="47" t="s">
        <v>5433</v>
      </c>
      <c r="AF6703" s="47">
        <v>55</v>
      </c>
      <c r="AG6703"/>
      <c r="AH6703"/>
      <c r="AI6703"/>
      <c r="AJ6703"/>
      <c r="AK6703">
        <v>19</v>
      </c>
      <c r="AL6703"/>
      <c r="AM6703"/>
      <c r="AN6703"/>
      <c r="AO6703"/>
      <c r="AP6703"/>
      <c r="AQ6703" t="s">
        <v>5485</v>
      </c>
      <c r="AU6703">
        <v>6702</v>
      </c>
    </row>
    <row r="6704" spans="1:47" x14ac:dyDescent="0.2">
      <c r="A6704" s="133">
        <v>6853</v>
      </c>
      <c r="B6704" s="39" t="s">
        <v>85</v>
      </c>
      <c r="C6704" s="39">
        <v>110</v>
      </c>
      <c r="D6704" s="29" t="b">
        <v>0</v>
      </c>
      <c r="E6704" s="39" t="s">
        <v>7392</v>
      </c>
      <c r="F6704" s="47" t="s">
        <v>2398</v>
      </c>
      <c r="G6704" s="47" t="s">
        <v>49</v>
      </c>
      <c r="H6704"/>
      <c r="I6704" s="47" t="b">
        <v>1</v>
      </c>
      <c r="J6704" s="47" t="b">
        <v>1</v>
      </c>
      <c r="K6704" s="47">
        <v>2594</v>
      </c>
      <c r="L6704" s="48">
        <v>13</v>
      </c>
      <c r="M6704" s="47">
        <v>0</v>
      </c>
      <c r="N6704" s="47">
        <v>0</v>
      </c>
      <c r="O6704" s="47">
        <v>0</v>
      </c>
      <c r="P6704" s="47">
        <v>13</v>
      </c>
      <c r="Q6704" s="47">
        <v>0</v>
      </c>
      <c r="R6704" s="47">
        <v>0</v>
      </c>
      <c r="S6704" s="48">
        <v>8</v>
      </c>
      <c r="T6704" s="47">
        <v>4</v>
      </c>
      <c r="U6704" s="47">
        <v>0</v>
      </c>
      <c r="V6704" s="47">
        <v>0</v>
      </c>
      <c r="W6704" s="47"/>
      <c r="X6704" s="47">
        <v>1118</v>
      </c>
      <c r="Y6704" s="47" t="s">
        <v>120</v>
      </c>
      <c r="Z6704" s="47" t="s">
        <v>6984</v>
      </c>
      <c r="AA6704" s="49">
        <v>0.46875</v>
      </c>
      <c r="AB6704" s="49"/>
      <c r="AC6704" s="49"/>
      <c r="AD6704" s="50"/>
      <c r="AE6704" s="47" t="s">
        <v>6985</v>
      </c>
      <c r="AF6704" s="47">
        <v>165</v>
      </c>
      <c r="AG6704"/>
      <c r="AH6704"/>
      <c r="AI6704"/>
      <c r="AJ6704"/>
      <c r="AK6704"/>
      <c r="AL6704"/>
      <c r="AM6704"/>
      <c r="AN6704"/>
      <c r="AO6704"/>
      <c r="AP6704"/>
      <c r="AQ6704" t="s">
        <v>5485</v>
      </c>
      <c r="AR6704" s="32" t="s">
        <v>7393</v>
      </c>
      <c r="AU6704">
        <v>6703</v>
      </c>
    </row>
    <row r="6705" spans="1:47" x14ac:dyDescent="0.2">
      <c r="A6705" s="133">
        <v>6853</v>
      </c>
      <c r="B6705" s="39" t="s">
        <v>85</v>
      </c>
      <c r="C6705" s="39">
        <v>110</v>
      </c>
      <c r="D6705" s="29" t="b">
        <v>0</v>
      </c>
      <c r="E6705" s="39" t="s">
        <v>3737</v>
      </c>
      <c r="F6705" s="47" t="s">
        <v>2398</v>
      </c>
      <c r="G6705" s="47" t="s">
        <v>49</v>
      </c>
      <c r="H6705"/>
      <c r="I6705" s="47" t="b">
        <v>0</v>
      </c>
      <c r="J6705" s="47" t="b">
        <v>0</v>
      </c>
      <c r="K6705" s="47">
        <v>2134</v>
      </c>
      <c r="L6705" s="48">
        <v>13</v>
      </c>
      <c r="M6705" s="47">
        <v>0</v>
      </c>
      <c r="N6705" s="47">
        <v>0</v>
      </c>
      <c r="O6705" s="47">
        <v>0</v>
      </c>
      <c r="P6705" s="47">
        <v>13</v>
      </c>
      <c r="Q6705" s="47">
        <v>0</v>
      </c>
      <c r="R6705" s="47">
        <v>0</v>
      </c>
      <c r="S6705" s="48">
        <v>7</v>
      </c>
      <c r="T6705" s="47">
        <v>4</v>
      </c>
      <c r="U6705" s="47">
        <v>0</v>
      </c>
      <c r="V6705" s="47">
        <v>0</v>
      </c>
      <c r="W6705" s="47">
        <v>17000</v>
      </c>
      <c r="X6705" s="47">
        <v>1115</v>
      </c>
      <c r="Y6705" s="47" t="s">
        <v>120</v>
      </c>
      <c r="Z6705" s="47" t="s">
        <v>6984</v>
      </c>
      <c r="AA6705" s="49">
        <v>0.46875</v>
      </c>
      <c r="AB6705" s="49"/>
      <c r="AC6705" s="49">
        <v>0.58333333333333337</v>
      </c>
      <c r="AD6705" s="50"/>
      <c r="AE6705" s="47" t="s">
        <v>6985</v>
      </c>
      <c r="AF6705" s="47">
        <v>165</v>
      </c>
      <c r="AG6705"/>
      <c r="AH6705"/>
      <c r="AI6705"/>
      <c r="AJ6705"/>
      <c r="AK6705">
        <v>18</v>
      </c>
      <c r="AL6705"/>
      <c r="AM6705"/>
      <c r="AN6705"/>
      <c r="AO6705"/>
      <c r="AP6705"/>
      <c r="AQ6705" t="s">
        <v>5485</v>
      </c>
      <c r="AR6705" s="32" t="s">
        <v>7393</v>
      </c>
      <c r="AU6705">
        <v>6704</v>
      </c>
    </row>
    <row r="6706" spans="1:47" x14ac:dyDescent="0.2">
      <c r="A6706" s="133">
        <v>6853</v>
      </c>
      <c r="B6706" s="39" t="s">
        <v>85</v>
      </c>
      <c r="C6706" s="39">
        <v>110</v>
      </c>
      <c r="D6706" s="29" t="b">
        <v>0</v>
      </c>
      <c r="E6706" s="39" t="s">
        <v>3689</v>
      </c>
      <c r="F6706" s="47" t="s">
        <v>2398</v>
      </c>
      <c r="G6706" s="47" t="s">
        <v>49</v>
      </c>
      <c r="H6706"/>
      <c r="I6706" s="47" t="b">
        <v>0</v>
      </c>
      <c r="J6706" s="47" t="b">
        <v>0</v>
      </c>
      <c r="K6706" s="47">
        <v>460</v>
      </c>
      <c r="L6706" s="48">
        <v>13</v>
      </c>
      <c r="M6706" s="47">
        <v>0</v>
      </c>
      <c r="N6706" s="47">
        <v>0</v>
      </c>
      <c r="O6706" s="47">
        <v>0</v>
      </c>
      <c r="P6706" s="47">
        <v>13</v>
      </c>
      <c r="Q6706" s="47">
        <v>0</v>
      </c>
      <c r="R6706" s="47">
        <v>0</v>
      </c>
      <c r="S6706" s="48">
        <v>1</v>
      </c>
      <c r="T6706" s="47">
        <v>4</v>
      </c>
      <c r="U6706" s="47">
        <v>0</v>
      </c>
      <c r="V6706" s="47">
        <v>0</v>
      </c>
      <c r="W6706" s="47"/>
      <c r="X6706" s="47">
        <v>1120</v>
      </c>
      <c r="Y6706" s="47" t="s">
        <v>120</v>
      </c>
      <c r="Z6706" s="47" t="s">
        <v>6984</v>
      </c>
      <c r="AA6706" s="49">
        <v>0.46875</v>
      </c>
      <c r="AB6706" s="49"/>
      <c r="AC6706" s="49"/>
      <c r="AD6706" s="50"/>
      <c r="AE6706" s="47" t="s">
        <v>6985</v>
      </c>
      <c r="AF6706" s="47">
        <v>140</v>
      </c>
      <c r="AG6706"/>
      <c r="AH6706"/>
      <c r="AI6706"/>
      <c r="AJ6706"/>
      <c r="AK6706"/>
      <c r="AL6706"/>
      <c r="AM6706"/>
      <c r="AN6706"/>
      <c r="AO6706"/>
      <c r="AP6706"/>
      <c r="AQ6706" t="s">
        <v>5485</v>
      </c>
      <c r="AR6706" s="32" t="s">
        <v>7393</v>
      </c>
      <c r="AU6706">
        <v>6705</v>
      </c>
    </row>
    <row r="6707" spans="1:47" x14ac:dyDescent="0.2">
      <c r="A6707" s="133">
        <v>6853</v>
      </c>
      <c r="B6707" s="39" t="s">
        <v>85</v>
      </c>
      <c r="C6707" s="206" t="s">
        <v>7324</v>
      </c>
      <c r="D6707" s="29"/>
      <c r="E6707" s="39" t="s">
        <v>7379</v>
      </c>
      <c r="F6707" s="47" t="s">
        <v>7394</v>
      </c>
      <c r="G6707" s="47"/>
      <c r="H6707"/>
      <c r="I6707" s="47" t="s">
        <v>7395</v>
      </c>
      <c r="J6707" s="47"/>
      <c r="K6707" s="47">
        <f>1080*2.2</f>
        <v>2376</v>
      </c>
      <c r="L6707" s="48">
        <v>7</v>
      </c>
      <c r="M6707" s="47"/>
      <c r="N6707" s="47"/>
      <c r="O6707" s="47"/>
      <c r="P6707" s="47"/>
      <c r="Q6707" s="47"/>
      <c r="R6707" s="47"/>
      <c r="S6707" s="48"/>
      <c r="T6707" s="47"/>
      <c r="U6707" s="47"/>
      <c r="V6707" s="47"/>
      <c r="W6707" s="47"/>
      <c r="X6707" s="47"/>
      <c r="Y6707" s="47"/>
      <c r="Z6707" s="47" t="s">
        <v>7262</v>
      </c>
      <c r="AA6707" s="49"/>
      <c r="AB6707" s="49"/>
      <c r="AC6707" s="49"/>
      <c r="AD6707" s="50"/>
      <c r="AE6707" s="47" t="s">
        <v>2743</v>
      </c>
      <c r="AF6707" s="47">
        <v>75</v>
      </c>
      <c r="AG6707"/>
      <c r="AH6707"/>
      <c r="AI6707"/>
      <c r="AJ6707"/>
      <c r="AK6707"/>
      <c r="AL6707"/>
      <c r="AM6707"/>
      <c r="AN6707"/>
      <c r="AO6707"/>
      <c r="AP6707"/>
      <c r="AQ6707"/>
      <c r="AU6707">
        <v>6706</v>
      </c>
    </row>
    <row r="6708" spans="1:47" x14ac:dyDescent="0.2">
      <c r="A6708" s="133">
        <v>6853</v>
      </c>
      <c r="B6708" s="39" t="s">
        <v>85</v>
      </c>
      <c r="C6708" s="39" t="s">
        <v>6997</v>
      </c>
      <c r="D6708" s="29"/>
      <c r="E6708" s="39" t="s">
        <v>7396</v>
      </c>
      <c r="F6708" s="47"/>
      <c r="G6708" s="47"/>
      <c r="H6708"/>
      <c r="I6708" s="47" t="s">
        <v>7397</v>
      </c>
      <c r="J6708" s="47"/>
      <c r="K6708" s="47">
        <f>900*2.2</f>
        <v>1980.0000000000002</v>
      </c>
      <c r="L6708" s="48">
        <v>10</v>
      </c>
      <c r="M6708" s="47"/>
      <c r="N6708" s="47"/>
      <c r="O6708" s="47"/>
      <c r="P6708" s="47"/>
      <c r="Q6708" s="47"/>
      <c r="R6708" s="47"/>
      <c r="S6708" s="48">
        <v>9</v>
      </c>
      <c r="T6708" s="47"/>
      <c r="U6708" s="47"/>
      <c r="V6708" s="47"/>
      <c r="W6708" s="47">
        <v>13000</v>
      </c>
      <c r="X6708" s="47"/>
      <c r="Y6708" s="47" t="s">
        <v>51</v>
      </c>
      <c r="Z6708" s="47" t="s">
        <v>3618</v>
      </c>
      <c r="AA6708" s="49">
        <v>0.67013888888888884</v>
      </c>
      <c r="AB6708" s="49">
        <v>0.74305555555555547</v>
      </c>
      <c r="AC6708" s="49">
        <f>AVERAGE(AA6708:AB6708)</f>
        <v>0.7065972222222221</v>
      </c>
      <c r="AD6708" s="50">
        <f>(AB6708-AA6708)*24</f>
        <v>1.7499999999999991</v>
      </c>
      <c r="AE6708" s="47" t="s">
        <v>2743</v>
      </c>
      <c r="AF6708" s="47">
        <v>70</v>
      </c>
      <c r="AG6708"/>
      <c r="AH6708"/>
      <c r="AI6708"/>
      <c r="AJ6708"/>
      <c r="AK6708">
        <v>18</v>
      </c>
      <c r="AL6708"/>
      <c r="AM6708"/>
      <c r="AN6708"/>
      <c r="AO6708"/>
      <c r="AP6708"/>
      <c r="AQ6708" t="s">
        <v>7167</v>
      </c>
      <c r="AU6708">
        <v>6707</v>
      </c>
    </row>
    <row r="6709" spans="1:47" x14ac:dyDescent="0.2">
      <c r="A6709" s="133">
        <v>6853</v>
      </c>
      <c r="B6709" s="39" t="s">
        <v>85</v>
      </c>
      <c r="C6709" s="39" t="s">
        <v>6990</v>
      </c>
      <c r="D6709" s="29"/>
      <c r="E6709" s="39" t="s">
        <v>7398</v>
      </c>
      <c r="F6709" s="47"/>
      <c r="G6709" s="47"/>
      <c r="H6709"/>
      <c r="I6709" s="47" t="s">
        <v>7399</v>
      </c>
      <c r="J6709" s="47"/>
      <c r="K6709" s="47">
        <f>12*50*2.2</f>
        <v>1320</v>
      </c>
      <c r="L6709" s="48">
        <v>10</v>
      </c>
      <c r="M6709" s="47"/>
      <c r="N6709" s="47"/>
      <c r="O6709" s="47"/>
      <c r="P6709" s="47"/>
      <c r="Q6709" s="47"/>
      <c r="R6709" s="47"/>
      <c r="S6709" s="48">
        <v>6</v>
      </c>
      <c r="T6709" s="47"/>
      <c r="U6709" s="47"/>
      <c r="V6709" s="47"/>
      <c r="W6709" s="47"/>
      <c r="X6709" s="47"/>
      <c r="Y6709" s="47"/>
      <c r="Z6709" s="47" t="s">
        <v>3618</v>
      </c>
      <c r="AA6709" s="49"/>
      <c r="AB6709" s="49"/>
      <c r="AC6709" s="49"/>
      <c r="AD6709" s="50"/>
      <c r="AE6709" s="47" t="s">
        <v>2743</v>
      </c>
      <c r="AF6709" s="47">
        <v>80</v>
      </c>
      <c r="AG6709"/>
      <c r="AH6709"/>
      <c r="AI6709"/>
      <c r="AJ6709"/>
      <c r="AK6709"/>
      <c r="AL6709"/>
      <c r="AM6709"/>
      <c r="AN6709"/>
      <c r="AO6709"/>
      <c r="AP6709"/>
      <c r="AQ6709"/>
      <c r="AU6709">
        <v>6708</v>
      </c>
    </row>
    <row r="6710" spans="1:47" x14ac:dyDescent="0.2">
      <c r="A6710" s="133">
        <v>6853</v>
      </c>
      <c r="B6710" s="39" t="s">
        <v>85</v>
      </c>
      <c r="C6710" s="208" t="s">
        <v>7311</v>
      </c>
      <c r="D6710" s="29"/>
      <c r="E6710" s="15" t="s">
        <v>7400</v>
      </c>
      <c r="F6710" s="17" t="s">
        <v>6286</v>
      </c>
      <c r="G6710" s="17" t="s">
        <v>69</v>
      </c>
      <c r="H6710"/>
      <c r="I6710" s="17" t="s">
        <v>7401</v>
      </c>
      <c r="J6710" s="47"/>
      <c r="K6710" s="47"/>
      <c r="L6710" s="48">
        <v>61</v>
      </c>
      <c r="M6710" s="47"/>
      <c r="N6710" s="47"/>
      <c r="O6710" s="47"/>
      <c r="P6710" s="47"/>
      <c r="Q6710" s="47"/>
      <c r="R6710" s="47"/>
      <c r="S6710" s="48"/>
      <c r="T6710" s="47"/>
      <c r="U6710" s="47"/>
      <c r="V6710" s="47"/>
      <c r="W6710" s="47">
        <f>((300+800)/2)*39.37/12</f>
        <v>1804.4583333333333</v>
      </c>
      <c r="X6710" s="47"/>
      <c r="Y6710" s="47"/>
      <c r="Z6710" s="17" t="s">
        <v>3724</v>
      </c>
      <c r="AA6710" s="49"/>
      <c r="AB6710" s="49"/>
      <c r="AC6710" s="49"/>
      <c r="AD6710" s="50"/>
      <c r="AE6710" s="19" t="s">
        <v>7328</v>
      </c>
      <c r="AF6710" s="47"/>
      <c r="AG6710"/>
      <c r="AH6710"/>
      <c r="AI6710"/>
      <c r="AJ6710"/>
      <c r="AK6710"/>
      <c r="AL6710"/>
      <c r="AM6710"/>
      <c r="AN6710"/>
      <c r="AO6710"/>
      <c r="AP6710"/>
      <c r="AQ6710" s="25" t="s">
        <v>7402</v>
      </c>
      <c r="AU6710">
        <v>6709</v>
      </c>
    </row>
    <row r="6711" spans="1:47" x14ac:dyDescent="0.2">
      <c r="A6711" s="133">
        <v>6853</v>
      </c>
      <c r="B6711" s="39" t="s">
        <v>45</v>
      </c>
      <c r="C6711" s="39">
        <v>97</v>
      </c>
      <c r="D6711" s="29" t="b">
        <v>0</v>
      </c>
      <c r="E6711" s="39" t="s">
        <v>7403</v>
      </c>
      <c r="F6711" s="47" t="s">
        <v>2398</v>
      </c>
      <c r="G6711" s="47" t="s">
        <v>49</v>
      </c>
      <c r="H6711"/>
      <c r="I6711" s="47" t="b">
        <v>1</v>
      </c>
      <c r="J6711" s="47" t="b">
        <v>1</v>
      </c>
      <c r="K6711" s="47">
        <v>7896</v>
      </c>
      <c r="L6711" s="48">
        <v>7</v>
      </c>
      <c r="M6711" s="47">
        <v>1</v>
      </c>
      <c r="N6711" s="47">
        <v>0</v>
      </c>
      <c r="O6711" s="47">
        <v>1</v>
      </c>
      <c r="P6711" s="47">
        <v>5</v>
      </c>
      <c r="Q6711" s="47">
        <v>0</v>
      </c>
      <c r="R6711" s="47">
        <v>0</v>
      </c>
      <c r="S6711" s="48">
        <v>5</v>
      </c>
      <c r="T6711" s="47">
        <v>0</v>
      </c>
      <c r="U6711" s="47">
        <v>0</v>
      </c>
      <c r="V6711" s="47">
        <v>0</v>
      </c>
      <c r="W6711" s="47">
        <v>4875</v>
      </c>
      <c r="X6711" s="47">
        <v>1125</v>
      </c>
      <c r="Y6711" s="47"/>
      <c r="Z6711" s="47" t="s">
        <v>2466</v>
      </c>
      <c r="AA6711" s="49"/>
      <c r="AB6711" s="49"/>
      <c r="AC6711" s="49"/>
      <c r="AD6711" s="50"/>
      <c r="AE6711" s="47"/>
      <c r="AF6711" s="47"/>
      <c r="AG6711"/>
      <c r="AH6711"/>
      <c r="AI6711"/>
      <c r="AJ6711"/>
      <c r="AK6711"/>
      <c r="AL6711"/>
      <c r="AM6711"/>
      <c r="AN6711"/>
      <c r="AO6711"/>
      <c r="AP6711"/>
      <c r="AQ6711" t="s">
        <v>2526</v>
      </c>
      <c r="AU6711">
        <v>6710</v>
      </c>
    </row>
    <row r="6712" spans="1:47" x14ac:dyDescent="0.2">
      <c r="A6712" s="133">
        <v>6853</v>
      </c>
      <c r="B6712" s="39" t="s">
        <v>45</v>
      </c>
      <c r="C6712" s="39">
        <v>97</v>
      </c>
      <c r="D6712" s="29" t="b">
        <v>0</v>
      </c>
      <c r="E6712" s="39" t="s">
        <v>405</v>
      </c>
      <c r="F6712" s="47" t="s">
        <v>2398</v>
      </c>
      <c r="G6712" s="47" t="s">
        <v>49</v>
      </c>
      <c r="H6712"/>
      <c r="I6712" s="47" t="b">
        <v>0</v>
      </c>
      <c r="J6712" s="47" t="b">
        <v>0</v>
      </c>
      <c r="K6712" s="47">
        <v>1668</v>
      </c>
      <c r="L6712" s="48">
        <v>7</v>
      </c>
      <c r="M6712" s="47">
        <v>1</v>
      </c>
      <c r="N6712" s="47">
        <v>0</v>
      </c>
      <c r="O6712" s="47">
        <v>1</v>
      </c>
      <c r="P6712" s="47">
        <v>5</v>
      </c>
      <c r="Q6712" s="47">
        <v>0</v>
      </c>
      <c r="R6712" s="47">
        <v>0</v>
      </c>
      <c r="S6712" s="48">
        <v>1</v>
      </c>
      <c r="T6712" s="47">
        <v>0</v>
      </c>
      <c r="U6712" s="47">
        <v>0</v>
      </c>
      <c r="V6712" s="47">
        <v>0</v>
      </c>
      <c r="W6712" s="47">
        <v>6000</v>
      </c>
      <c r="X6712" s="47">
        <v>1116</v>
      </c>
      <c r="Y6712" s="47"/>
      <c r="Z6712" s="47" t="s">
        <v>2466</v>
      </c>
      <c r="AA6712" s="49"/>
      <c r="AB6712" s="49"/>
      <c r="AC6712" s="49"/>
      <c r="AD6712" s="50"/>
      <c r="AE6712" s="47"/>
      <c r="AF6712" s="47"/>
      <c r="AG6712"/>
      <c r="AH6712"/>
      <c r="AI6712"/>
      <c r="AJ6712"/>
      <c r="AK6712"/>
      <c r="AL6712"/>
      <c r="AM6712"/>
      <c r="AN6712"/>
      <c r="AO6712"/>
      <c r="AP6712"/>
      <c r="AQ6712" t="s">
        <v>2526</v>
      </c>
      <c r="AU6712">
        <v>6711</v>
      </c>
    </row>
    <row r="6713" spans="1:47" x14ac:dyDescent="0.2">
      <c r="A6713" s="133">
        <v>6853</v>
      </c>
      <c r="B6713" s="39" t="s">
        <v>45</v>
      </c>
      <c r="C6713" s="39">
        <v>97</v>
      </c>
      <c r="D6713" s="29" t="b">
        <v>0</v>
      </c>
      <c r="E6713" s="39" t="s">
        <v>1168</v>
      </c>
      <c r="F6713" s="47" t="s">
        <v>2398</v>
      </c>
      <c r="G6713" s="47" t="s">
        <v>49</v>
      </c>
      <c r="H6713"/>
      <c r="I6713" s="47" t="b">
        <v>0</v>
      </c>
      <c r="J6713" s="47" t="b">
        <v>0</v>
      </c>
      <c r="K6713" s="47">
        <v>4436</v>
      </c>
      <c r="L6713" s="48">
        <v>7</v>
      </c>
      <c r="M6713" s="47">
        <v>1</v>
      </c>
      <c r="N6713" s="47">
        <v>0</v>
      </c>
      <c r="O6713" s="47">
        <v>1</v>
      </c>
      <c r="P6713" s="47">
        <v>5</v>
      </c>
      <c r="Q6713" s="47">
        <v>0</v>
      </c>
      <c r="R6713" s="47">
        <v>0</v>
      </c>
      <c r="S6713" s="48">
        <v>3</v>
      </c>
      <c r="T6713" s="47">
        <v>0</v>
      </c>
      <c r="U6713" s="47">
        <v>0</v>
      </c>
      <c r="V6713" s="47">
        <v>0</v>
      </c>
      <c r="W6713" s="47">
        <v>4500</v>
      </c>
      <c r="X6713" s="47">
        <v>1122</v>
      </c>
      <c r="Y6713" s="47"/>
      <c r="Z6713" s="47" t="s">
        <v>2466</v>
      </c>
      <c r="AA6713" s="49"/>
      <c r="AB6713" s="49"/>
      <c r="AC6713" s="49"/>
      <c r="AD6713" s="50"/>
      <c r="AE6713" s="47"/>
      <c r="AF6713" s="47"/>
      <c r="AG6713"/>
      <c r="AH6713"/>
      <c r="AI6713"/>
      <c r="AJ6713"/>
      <c r="AK6713"/>
      <c r="AL6713"/>
      <c r="AM6713"/>
      <c r="AN6713"/>
      <c r="AO6713"/>
      <c r="AP6713"/>
      <c r="AQ6713" t="s">
        <v>2526</v>
      </c>
      <c r="AU6713">
        <v>6712</v>
      </c>
    </row>
    <row r="6714" spans="1:47" x14ac:dyDescent="0.2">
      <c r="A6714" s="133">
        <v>6853</v>
      </c>
      <c r="B6714" s="39" t="s">
        <v>45</v>
      </c>
      <c r="C6714" s="39">
        <v>97</v>
      </c>
      <c r="D6714" s="29" t="b">
        <v>0</v>
      </c>
      <c r="E6714" s="39" t="s">
        <v>4823</v>
      </c>
      <c r="F6714" s="47" t="s">
        <v>2398</v>
      </c>
      <c r="G6714" s="47" t="s">
        <v>49</v>
      </c>
      <c r="H6714"/>
      <c r="I6714" s="47" t="b">
        <v>0</v>
      </c>
      <c r="J6714" s="47" t="b">
        <v>0</v>
      </c>
      <c r="K6714" s="47">
        <v>1792</v>
      </c>
      <c r="L6714" s="48">
        <v>7</v>
      </c>
      <c r="M6714" s="47">
        <v>1</v>
      </c>
      <c r="N6714" s="47">
        <v>0</v>
      </c>
      <c r="O6714" s="47">
        <v>1</v>
      </c>
      <c r="P6714" s="47">
        <v>5</v>
      </c>
      <c r="Q6714" s="47">
        <v>0</v>
      </c>
      <c r="R6714" s="47">
        <v>0</v>
      </c>
      <c r="S6714" s="48">
        <v>1</v>
      </c>
      <c r="T6714" s="47">
        <v>0</v>
      </c>
      <c r="U6714" s="47">
        <v>0</v>
      </c>
      <c r="V6714" s="47">
        <v>0</v>
      </c>
      <c r="W6714" s="47"/>
      <c r="X6714" s="47">
        <v>1126</v>
      </c>
      <c r="Y6714" s="47"/>
      <c r="Z6714" s="47" t="s">
        <v>2466</v>
      </c>
      <c r="AA6714" s="49"/>
      <c r="AB6714" s="49"/>
      <c r="AC6714" s="49"/>
      <c r="AD6714" s="50"/>
      <c r="AE6714" s="47"/>
      <c r="AF6714" s="47"/>
      <c r="AG6714"/>
      <c r="AH6714"/>
      <c r="AI6714"/>
      <c r="AJ6714"/>
      <c r="AK6714"/>
      <c r="AL6714"/>
      <c r="AM6714"/>
      <c r="AN6714"/>
      <c r="AO6714"/>
      <c r="AP6714"/>
      <c r="AQ6714" t="s">
        <v>2526</v>
      </c>
      <c r="AU6714">
        <v>6713</v>
      </c>
    </row>
    <row r="6715" spans="1:47" x14ac:dyDescent="0.2">
      <c r="A6715" s="133">
        <v>6853</v>
      </c>
      <c r="B6715" s="39" t="s">
        <v>45</v>
      </c>
      <c r="C6715" s="39">
        <v>100</v>
      </c>
      <c r="D6715" s="29" t="b">
        <v>0</v>
      </c>
      <c r="E6715" s="39" t="s">
        <v>7404</v>
      </c>
      <c r="F6715" s="47" t="s">
        <v>7405</v>
      </c>
      <c r="G6715" s="47" t="s">
        <v>205</v>
      </c>
      <c r="H6715"/>
      <c r="I6715" s="47" t="b">
        <v>1</v>
      </c>
      <c r="J6715" s="47" t="b">
        <v>1</v>
      </c>
      <c r="K6715" s="47">
        <v>6476</v>
      </c>
      <c r="L6715" s="48">
        <v>4</v>
      </c>
      <c r="M6715" s="47">
        <v>0</v>
      </c>
      <c r="N6715" s="47">
        <v>0</v>
      </c>
      <c r="O6715" s="47">
        <v>0</v>
      </c>
      <c r="P6715" s="47">
        <v>0</v>
      </c>
      <c r="Q6715" s="47">
        <v>0</v>
      </c>
      <c r="R6715" s="47">
        <v>0</v>
      </c>
      <c r="S6715" s="48">
        <v>4</v>
      </c>
      <c r="T6715" s="47">
        <v>0</v>
      </c>
      <c r="U6715" s="47">
        <v>0</v>
      </c>
      <c r="V6715" s="47">
        <v>0</v>
      </c>
      <c r="W6715" s="47">
        <v>4000</v>
      </c>
      <c r="X6715" s="47">
        <v>1117</v>
      </c>
      <c r="Y6715" s="47"/>
      <c r="Z6715" s="47" t="s">
        <v>2466</v>
      </c>
      <c r="AA6715" s="49"/>
      <c r="AB6715" s="49"/>
      <c r="AC6715" s="49"/>
      <c r="AD6715" s="50"/>
      <c r="AE6715" s="47" t="s">
        <v>6445</v>
      </c>
      <c r="AF6715" s="47">
        <v>95</v>
      </c>
      <c r="AG6715"/>
      <c r="AH6715"/>
      <c r="AI6715"/>
      <c r="AJ6715"/>
      <c r="AK6715"/>
      <c r="AL6715"/>
      <c r="AM6715"/>
      <c r="AN6715"/>
      <c r="AO6715"/>
      <c r="AP6715"/>
      <c r="AQ6715" t="s">
        <v>2526</v>
      </c>
      <c r="AU6715">
        <v>6714</v>
      </c>
    </row>
    <row r="6716" spans="1:47" x14ac:dyDescent="0.2">
      <c r="A6716" s="133">
        <v>6853</v>
      </c>
      <c r="B6716" s="39" t="s">
        <v>45</v>
      </c>
      <c r="C6716" s="39">
        <v>100</v>
      </c>
      <c r="D6716" s="29" t="b">
        <v>0</v>
      </c>
      <c r="E6716" s="39" t="s">
        <v>1551</v>
      </c>
      <c r="F6716" s="47" t="s">
        <v>529</v>
      </c>
      <c r="G6716" s="47" t="s">
        <v>205</v>
      </c>
      <c r="H6716"/>
      <c r="I6716" s="47" t="b">
        <v>0</v>
      </c>
      <c r="J6716" s="47" t="b">
        <v>0</v>
      </c>
      <c r="K6716" s="47">
        <v>3584</v>
      </c>
      <c r="L6716" s="48">
        <v>2</v>
      </c>
      <c r="M6716" s="47">
        <v>0</v>
      </c>
      <c r="N6716" s="47">
        <v>0</v>
      </c>
      <c r="O6716" s="47">
        <v>0</v>
      </c>
      <c r="P6716" s="47">
        <v>0</v>
      </c>
      <c r="Q6716" s="47">
        <v>0</v>
      </c>
      <c r="R6716" s="47">
        <v>0</v>
      </c>
      <c r="S6716" s="48">
        <v>2</v>
      </c>
      <c r="T6716" s="47">
        <v>0</v>
      </c>
      <c r="U6716" s="47">
        <v>0</v>
      </c>
      <c r="V6716" s="47">
        <v>0</v>
      </c>
      <c r="W6716" s="47">
        <v>3500</v>
      </c>
      <c r="X6716" s="47">
        <v>1119</v>
      </c>
      <c r="Y6716" s="47"/>
      <c r="Z6716" s="47" t="s">
        <v>2466</v>
      </c>
      <c r="AA6716" s="49"/>
      <c r="AB6716" s="49"/>
      <c r="AC6716" s="49"/>
      <c r="AD6716" s="50"/>
      <c r="AE6716" s="47" t="s">
        <v>6445</v>
      </c>
      <c r="AF6716" s="47">
        <v>55</v>
      </c>
      <c r="AG6716"/>
      <c r="AH6716"/>
      <c r="AI6716"/>
      <c r="AJ6716"/>
      <c r="AK6716"/>
      <c r="AL6716"/>
      <c r="AM6716"/>
      <c r="AN6716"/>
      <c r="AO6716"/>
      <c r="AP6716"/>
      <c r="AQ6716" t="s">
        <v>2526</v>
      </c>
      <c r="AU6716">
        <v>6715</v>
      </c>
    </row>
    <row r="6717" spans="1:47" x14ac:dyDescent="0.2">
      <c r="A6717" s="133">
        <v>6853</v>
      </c>
      <c r="B6717" s="39" t="s">
        <v>45</v>
      </c>
      <c r="C6717" s="39">
        <v>100</v>
      </c>
      <c r="D6717" s="29" t="b">
        <v>0</v>
      </c>
      <c r="E6717" s="39" t="s">
        <v>858</v>
      </c>
      <c r="F6717" s="47" t="s">
        <v>3665</v>
      </c>
      <c r="G6717" s="47" t="s">
        <v>481</v>
      </c>
      <c r="H6717"/>
      <c r="I6717" s="47" t="b">
        <v>0</v>
      </c>
      <c r="J6717" s="47" t="b">
        <v>0</v>
      </c>
      <c r="K6717" s="47">
        <v>1446</v>
      </c>
      <c r="L6717" s="48">
        <v>1</v>
      </c>
      <c r="M6717" s="47">
        <v>0</v>
      </c>
      <c r="N6717" s="47">
        <v>0</v>
      </c>
      <c r="O6717" s="47">
        <v>0</v>
      </c>
      <c r="P6717" s="47">
        <v>0</v>
      </c>
      <c r="Q6717" s="47">
        <v>0</v>
      </c>
      <c r="R6717" s="47">
        <v>0</v>
      </c>
      <c r="S6717" s="48">
        <v>1</v>
      </c>
      <c r="T6717" s="47">
        <v>0</v>
      </c>
      <c r="U6717" s="47">
        <v>0</v>
      </c>
      <c r="V6717" s="47">
        <v>0</v>
      </c>
      <c r="W6717" s="47">
        <v>4000</v>
      </c>
      <c r="X6717" s="47">
        <v>1121</v>
      </c>
      <c r="Y6717" s="47"/>
      <c r="Z6717" s="47" t="s">
        <v>2466</v>
      </c>
      <c r="AA6717" s="49"/>
      <c r="AB6717" s="49"/>
      <c r="AC6717" s="49"/>
      <c r="AD6717" s="50"/>
      <c r="AE6717" s="47" t="s">
        <v>6445</v>
      </c>
      <c r="AF6717" s="47">
        <v>95</v>
      </c>
      <c r="AG6717"/>
      <c r="AH6717"/>
      <c r="AI6717"/>
      <c r="AJ6717"/>
      <c r="AK6717"/>
      <c r="AL6717"/>
      <c r="AM6717"/>
      <c r="AN6717"/>
      <c r="AO6717"/>
      <c r="AP6717"/>
      <c r="AQ6717" t="s">
        <v>2526</v>
      </c>
      <c r="AU6717">
        <v>6716</v>
      </c>
    </row>
    <row r="6718" spans="1:47" x14ac:dyDescent="0.2">
      <c r="A6718" s="133">
        <v>6853</v>
      </c>
      <c r="B6718" s="39" t="s">
        <v>45</v>
      </c>
      <c r="C6718" s="39">
        <v>100</v>
      </c>
      <c r="D6718" s="29" t="b">
        <v>0</v>
      </c>
      <c r="E6718" s="39" t="s">
        <v>4823</v>
      </c>
      <c r="F6718" s="47" t="s">
        <v>2398</v>
      </c>
      <c r="G6718" s="47" t="s">
        <v>49</v>
      </c>
      <c r="H6718"/>
      <c r="I6718" s="47" t="b">
        <v>0</v>
      </c>
      <c r="J6718" s="47" t="b">
        <v>0</v>
      </c>
      <c r="K6718" s="47">
        <v>1446</v>
      </c>
      <c r="L6718" s="48">
        <v>1</v>
      </c>
      <c r="M6718" s="47">
        <v>0</v>
      </c>
      <c r="N6718" s="47">
        <v>0</v>
      </c>
      <c r="O6718" s="47">
        <v>0</v>
      </c>
      <c r="P6718" s="47">
        <v>0</v>
      </c>
      <c r="Q6718" s="47">
        <v>0</v>
      </c>
      <c r="R6718" s="47">
        <v>0</v>
      </c>
      <c r="S6718" s="48">
        <v>1</v>
      </c>
      <c r="T6718" s="47">
        <v>0</v>
      </c>
      <c r="U6718" s="47">
        <v>0</v>
      </c>
      <c r="V6718" s="47">
        <v>0</v>
      </c>
      <c r="W6718" s="47">
        <v>5000</v>
      </c>
      <c r="X6718" s="47">
        <v>1127</v>
      </c>
      <c r="Y6718" s="47"/>
      <c r="Z6718" s="47" t="s">
        <v>2466</v>
      </c>
      <c r="AA6718" s="49"/>
      <c r="AB6718" s="49"/>
      <c r="AC6718" s="49"/>
      <c r="AD6718" s="50"/>
      <c r="AE6718" s="47" t="s">
        <v>6445</v>
      </c>
      <c r="AF6718" s="47">
        <v>95</v>
      </c>
      <c r="AG6718"/>
      <c r="AH6718"/>
      <c r="AI6718"/>
      <c r="AJ6718"/>
      <c r="AK6718"/>
      <c r="AL6718"/>
      <c r="AM6718"/>
      <c r="AN6718"/>
      <c r="AO6718"/>
      <c r="AP6718"/>
      <c r="AQ6718" t="s">
        <v>2526</v>
      </c>
      <c r="AU6718">
        <v>6717</v>
      </c>
    </row>
    <row r="6719" spans="1:47" x14ac:dyDescent="0.2">
      <c r="A6719" s="133">
        <v>6853</v>
      </c>
      <c r="B6719" s="39" t="s">
        <v>45</v>
      </c>
      <c r="C6719" s="39">
        <v>115</v>
      </c>
      <c r="D6719" s="29" t="b">
        <v>0</v>
      </c>
      <c r="E6719" s="39" t="s">
        <v>5116</v>
      </c>
      <c r="F6719" s="47" t="s">
        <v>2398</v>
      </c>
      <c r="G6719" s="47" t="s">
        <v>49</v>
      </c>
      <c r="H6719"/>
      <c r="I6719" s="47" t="b">
        <v>1</v>
      </c>
      <c r="J6719" s="47" t="b">
        <v>1</v>
      </c>
      <c r="K6719" s="47">
        <v>3136</v>
      </c>
      <c r="L6719" s="48">
        <v>5</v>
      </c>
      <c r="M6719" s="47">
        <v>1</v>
      </c>
      <c r="N6719" s="47">
        <v>2</v>
      </c>
      <c r="O6719" s="47">
        <v>0</v>
      </c>
      <c r="P6719" s="47">
        <v>0</v>
      </c>
      <c r="Q6719" s="47">
        <v>0</v>
      </c>
      <c r="R6719" s="47">
        <v>0</v>
      </c>
      <c r="S6719" s="48">
        <v>2</v>
      </c>
      <c r="T6719" s="47">
        <v>0</v>
      </c>
      <c r="U6719" s="47">
        <v>0</v>
      </c>
      <c r="V6719" s="47">
        <v>0</v>
      </c>
      <c r="W6719" s="47">
        <v>4000</v>
      </c>
      <c r="X6719" s="47">
        <v>1128</v>
      </c>
      <c r="Y6719" s="47"/>
      <c r="Z6719" s="47" t="s">
        <v>2466</v>
      </c>
      <c r="AA6719" s="49"/>
      <c r="AB6719" s="49"/>
      <c r="AC6719" s="49"/>
      <c r="AD6719" s="50"/>
      <c r="AE6719" s="47" t="s">
        <v>7118</v>
      </c>
      <c r="AF6719" s="47">
        <v>95</v>
      </c>
      <c r="AG6719"/>
      <c r="AH6719"/>
      <c r="AI6719"/>
      <c r="AJ6719"/>
      <c r="AK6719"/>
      <c r="AL6719"/>
      <c r="AM6719"/>
      <c r="AN6719"/>
      <c r="AO6719"/>
      <c r="AP6719"/>
      <c r="AQ6719" t="s">
        <v>2526</v>
      </c>
      <c r="AR6719" s="32" t="s">
        <v>7119</v>
      </c>
      <c r="AU6719">
        <v>6718</v>
      </c>
    </row>
    <row r="6720" spans="1:47" x14ac:dyDescent="0.2">
      <c r="A6720" s="133">
        <v>6853</v>
      </c>
      <c r="B6720" s="39" t="s">
        <v>45</v>
      </c>
      <c r="C6720" s="39">
        <v>115</v>
      </c>
      <c r="D6720" s="29" t="b">
        <v>0</v>
      </c>
      <c r="E6720" s="39" t="s">
        <v>1764</v>
      </c>
      <c r="F6720" s="47" t="s">
        <v>2398</v>
      </c>
      <c r="G6720" s="47" t="s">
        <v>49</v>
      </c>
      <c r="H6720"/>
      <c r="I6720" s="47" t="b">
        <v>0</v>
      </c>
      <c r="J6720" s="47" t="b">
        <v>0</v>
      </c>
      <c r="K6720" s="47">
        <v>1568</v>
      </c>
      <c r="L6720" s="48">
        <v>5</v>
      </c>
      <c r="M6720" s="47">
        <v>1</v>
      </c>
      <c r="N6720" s="47">
        <v>2</v>
      </c>
      <c r="O6720" s="47">
        <v>0</v>
      </c>
      <c r="P6720" s="47">
        <v>0</v>
      </c>
      <c r="Q6720" s="47">
        <v>0</v>
      </c>
      <c r="R6720" s="47">
        <v>0</v>
      </c>
      <c r="S6720" s="48">
        <v>1</v>
      </c>
      <c r="T6720" s="47">
        <v>0</v>
      </c>
      <c r="U6720" s="47">
        <v>0</v>
      </c>
      <c r="V6720" s="47">
        <v>0</v>
      </c>
      <c r="W6720" s="47">
        <v>6000</v>
      </c>
      <c r="X6720" s="47">
        <v>1129</v>
      </c>
      <c r="Y6720" s="47"/>
      <c r="Z6720" s="47" t="s">
        <v>2466</v>
      </c>
      <c r="AA6720" s="49"/>
      <c r="AB6720" s="49"/>
      <c r="AC6720" s="49"/>
      <c r="AD6720" s="50"/>
      <c r="AE6720" s="47" t="s">
        <v>7118</v>
      </c>
      <c r="AF6720" s="47">
        <v>95</v>
      </c>
      <c r="AG6720"/>
      <c r="AH6720"/>
      <c r="AI6720"/>
      <c r="AJ6720"/>
      <c r="AK6720"/>
      <c r="AL6720"/>
      <c r="AM6720"/>
      <c r="AN6720"/>
      <c r="AO6720"/>
      <c r="AP6720"/>
      <c r="AQ6720" t="s">
        <v>2526</v>
      </c>
      <c r="AR6720" s="32" t="s">
        <v>7119</v>
      </c>
      <c r="AU6720">
        <v>6719</v>
      </c>
    </row>
    <row r="6721" spans="1:47" x14ac:dyDescent="0.2">
      <c r="A6721" s="133">
        <v>6853</v>
      </c>
      <c r="B6721" s="39" t="s">
        <v>45</v>
      </c>
      <c r="C6721" s="39">
        <v>115</v>
      </c>
      <c r="D6721" s="29" t="b">
        <v>0</v>
      </c>
      <c r="E6721" s="39" t="s">
        <v>1168</v>
      </c>
      <c r="F6721" s="47" t="s">
        <v>2398</v>
      </c>
      <c r="G6721" s="47" t="s">
        <v>49</v>
      </c>
      <c r="H6721"/>
      <c r="I6721" s="47" t="b">
        <v>0</v>
      </c>
      <c r="J6721" s="47" t="b">
        <v>0</v>
      </c>
      <c r="K6721" s="47">
        <v>1568</v>
      </c>
      <c r="L6721" s="48">
        <v>5</v>
      </c>
      <c r="M6721" s="47">
        <v>1</v>
      </c>
      <c r="N6721" s="47">
        <v>2</v>
      </c>
      <c r="O6721" s="47">
        <v>0</v>
      </c>
      <c r="P6721" s="47">
        <v>0</v>
      </c>
      <c r="Q6721" s="47">
        <v>0</v>
      </c>
      <c r="R6721" s="47">
        <v>0</v>
      </c>
      <c r="S6721" s="48">
        <v>1</v>
      </c>
      <c r="T6721" s="47">
        <v>0</v>
      </c>
      <c r="U6721" s="47">
        <v>0</v>
      </c>
      <c r="V6721" s="47">
        <v>0</v>
      </c>
      <c r="W6721" s="47">
        <v>2000</v>
      </c>
      <c r="X6721" s="47">
        <v>1130</v>
      </c>
      <c r="Y6721" s="47"/>
      <c r="Z6721" s="47" t="s">
        <v>2466</v>
      </c>
      <c r="AA6721" s="49"/>
      <c r="AB6721" s="49"/>
      <c r="AC6721" s="49"/>
      <c r="AD6721" s="50"/>
      <c r="AE6721" s="47" t="s">
        <v>7118</v>
      </c>
      <c r="AF6721" s="47">
        <v>70</v>
      </c>
      <c r="AG6721"/>
      <c r="AH6721"/>
      <c r="AI6721"/>
      <c r="AJ6721"/>
      <c r="AK6721"/>
      <c r="AL6721"/>
      <c r="AM6721"/>
      <c r="AN6721"/>
      <c r="AO6721"/>
      <c r="AP6721"/>
      <c r="AQ6721" t="s">
        <v>2526</v>
      </c>
      <c r="AR6721" s="32" t="s">
        <v>7119</v>
      </c>
      <c r="AU6721">
        <v>6720</v>
      </c>
    </row>
    <row r="6722" spans="1:47" x14ac:dyDescent="0.2">
      <c r="A6722" s="133">
        <v>6853</v>
      </c>
      <c r="B6722" s="39" t="s">
        <v>45</v>
      </c>
      <c r="C6722" s="39">
        <v>215</v>
      </c>
      <c r="D6722" s="29" t="b">
        <v>0</v>
      </c>
      <c r="E6722" s="39" t="s">
        <v>649</v>
      </c>
      <c r="F6722" s="47" t="s">
        <v>529</v>
      </c>
      <c r="G6722" s="47" t="s">
        <v>205</v>
      </c>
      <c r="H6722"/>
      <c r="I6722" s="47" t="b">
        <v>0</v>
      </c>
      <c r="J6722" s="47" t="b">
        <v>1</v>
      </c>
      <c r="K6722" s="47">
        <v>4084</v>
      </c>
      <c r="L6722" s="48">
        <v>-1</v>
      </c>
      <c r="M6722" s="47">
        <v>0</v>
      </c>
      <c r="N6722" s="47">
        <v>0</v>
      </c>
      <c r="O6722" s="47">
        <v>0</v>
      </c>
      <c r="P6722" s="47">
        <v>0</v>
      </c>
      <c r="Q6722" s="47">
        <v>0</v>
      </c>
      <c r="R6722" s="47">
        <v>0</v>
      </c>
      <c r="S6722" s="48">
        <v>2</v>
      </c>
      <c r="T6722" s="47">
        <v>0</v>
      </c>
      <c r="U6722" s="47">
        <v>0</v>
      </c>
      <c r="V6722" s="47">
        <v>0</v>
      </c>
      <c r="W6722" s="47">
        <v>2400</v>
      </c>
      <c r="X6722" s="47">
        <v>1131</v>
      </c>
      <c r="Y6722" s="47"/>
      <c r="Z6722" s="47" t="s">
        <v>2466</v>
      </c>
      <c r="AA6722" s="49"/>
      <c r="AB6722" s="49"/>
      <c r="AC6722" s="49"/>
      <c r="AD6722" s="50"/>
      <c r="AE6722" s="47"/>
      <c r="AF6722" s="47"/>
      <c r="AG6722"/>
      <c r="AH6722"/>
      <c r="AI6722"/>
      <c r="AJ6722"/>
      <c r="AK6722"/>
      <c r="AL6722"/>
      <c r="AM6722"/>
      <c r="AN6722"/>
      <c r="AO6722"/>
      <c r="AP6722"/>
      <c r="AQ6722" t="s">
        <v>2526</v>
      </c>
      <c r="AU6722">
        <v>6721</v>
      </c>
    </row>
    <row r="6723" spans="1:47" x14ac:dyDescent="0.2">
      <c r="A6723" s="133">
        <v>6853</v>
      </c>
      <c r="B6723" s="39" t="s">
        <v>45</v>
      </c>
      <c r="C6723" s="39">
        <v>216</v>
      </c>
      <c r="D6723" s="29" t="b">
        <v>0</v>
      </c>
      <c r="E6723" s="39" t="s">
        <v>1168</v>
      </c>
      <c r="F6723" s="47" t="s">
        <v>2398</v>
      </c>
      <c r="G6723" s="47" t="s">
        <v>49</v>
      </c>
      <c r="H6723"/>
      <c r="I6723" s="47" t="b">
        <v>0</v>
      </c>
      <c r="J6723" s="47" t="b">
        <v>1</v>
      </c>
      <c r="K6723" s="47">
        <v>7504</v>
      </c>
      <c r="L6723" s="48">
        <v>7</v>
      </c>
      <c r="M6723" s="47">
        <v>2</v>
      </c>
      <c r="N6723" s="47">
        <v>0</v>
      </c>
      <c r="O6723" s="47">
        <v>0</v>
      </c>
      <c r="P6723" s="47">
        <v>0</v>
      </c>
      <c r="Q6723" s="47">
        <v>0</v>
      </c>
      <c r="R6723" s="47">
        <v>0</v>
      </c>
      <c r="S6723" s="48">
        <v>5</v>
      </c>
      <c r="T6723" s="47">
        <v>0</v>
      </c>
      <c r="U6723" s="47">
        <v>0</v>
      </c>
      <c r="V6723" s="47">
        <v>0</v>
      </c>
      <c r="W6723" s="47">
        <v>6500</v>
      </c>
      <c r="X6723" s="47">
        <v>1124</v>
      </c>
      <c r="Y6723" s="47"/>
      <c r="Z6723" s="47" t="s">
        <v>2466</v>
      </c>
      <c r="AA6723" s="49"/>
      <c r="AB6723" s="49"/>
      <c r="AC6723" s="49"/>
      <c r="AD6723" s="50"/>
      <c r="AE6723" s="47" t="s">
        <v>1312</v>
      </c>
      <c r="AF6723" s="47">
        <v>60</v>
      </c>
      <c r="AG6723"/>
      <c r="AH6723"/>
      <c r="AI6723"/>
      <c r="AJ6723"/>
      <c r="AK6723"/>
      <c r="AL6723"/>
      <c r="AM6723"/>
      <c r="AN6723"/>
      <c r="AO6723"/>
      <c r="AP6723"/>
      <c r="AQ6723" t="s">
        <v>2526</v>
      </c>
      <c r="AU6723">
        <v>6722</v>
      </c>
    </row>
    <row r="6724" spans="1:47" x14ac:dyDescent="0.2">
      <c r="A6724" s="13">
        <v>6853</v>
      </c>
      <c r="B6724" s="57" t="s">
        <v>45</v>
      </c>
      <c r="C6724" s="57" t="s">
        <v>7243</v>
      </c>
      <c r="D6724" s="29"/>
      <c r="E6724" s="57" t="s">
        <v>4502</v>
      </c>
      <c r="F6724" s="31" t="s">
        <v>76</v>
      </c>
      <c r="G6724" s="47" t="s">
        <v>49</v>
      </c>
      <c r="K6724" s="31">
        <v>660</v>
      </c>
      <c r="S6724" s="33">
        <v>1</v>
      </c>
      <c r="AK6724" s="32">
        <v>6</v>
      </c>
      <c r="AQ6724" s="32" t="s">
        <v>7333</v>
      </c>
      <c r="AU6724">
        <v>6723</v>
      </c>
    </row>
    <row r="6725" spans="1:47" x14ac:dyDescent="0.2">
      <c r="A6725" s="13">
        <v>6853</v>
      </c>
      <c r="B6725" s="57" t="s">
        <v>45</v>
      </c>
      <c r="C6725" s="57" t="s">
        <v>7243</v>
      </c>
      <c r="D6725" s="29"/>
      <c r="E6725" s="57" t="s">
        <v>3936</v>
      </c>
      <c r="F6725" s="31" t="s">
        <v>76</v>
      </c>
      <c r="G6725" s="47" t="s">
        <v>49</v>
      </c>
      <c r="K6725" s="31">
        <v>3300</v>
      </c>
      <c r="S6725" s="33">
        <v>5</v>
      </c>
      <c r="AK6725" s="32">
        <v>30</v>
      </c>
      <c r="AQ6725" s="32" t="s">
        <v>7333</v>
      </c>
      <c r="AU6725">
        <v>6724</v>
      </c>
    </row>
    <row r="6726" spans="1:47" x14ac:dyDescent="0.2">
      <c r="A6726" s="26">
        <v>6853</v>
      </c>
      <c r="B6726" s="27">
        <v>0.38541666666666669</v>
      </c>
      <c r="C6726" s="28"/>
      <c r="D6726" s="29"/>
      <c r="E6726" s="30" t="s">
        <v>1124</v>
      </c>
      <c r="H6726" s="32">
        <v>1</v>
      </c>
      <c r="I6726" s="32" t="s">
        <v>7406</v>
      </c>
      <c r="AG6726" s="32">
        <v>12</v>
      </c>
      <c r="AH6726" s="32">
        <v>24</v>
      </c>
      <c r="AK6726" s="32">
        <v>16</v>
      </c>
      <c r="AL6726" s="32">
        <f>0.166666666666667+24+4</f>
        <v>28.166666666666668</v>
      </c>
      <c r="AO6726" s="46" t="s">
        <v>1126</v>
      </c>
      <c r="AP6726" s="32">
        <v>0.16666666666666666</v>
      </c>
      <c r="AQ6726" s="32" t="s">
        <v>7407</v>
      </c>
      <c r="AU6726">
        <v>6725</v>
      </c>
    </row>
    <row r="6727" spans="1:47" x14ac:dyDescent="0.2">
      <c r="A6727" s="26">
        <v>6853</v>
      </c>
      <c r="B6727" s="27">
        <v>0.55208333333333337</v>
      </c>
      <c r="C6727" s="28"/>
      <c r="D6727" s="29"/>
      <c r="E6727" s="30" t="s">
        <v>4219</v>
      </c>
      <c r="H6727" s="32">
        <v>0</v>
      </c>
      <c r="I6727" s="32" t="s">
        <v>7408</v>
      </c>
      <c r="AG6727" s="32">
        <v>0</v>
      </c>
      <c r="AH6727" s="32">
        <v>0</v>
      </c>
      <c r="AI6727" s="32">
        <v>0</v>
      </c>
      <c r="AK6727" s="32">
        <v>0</v>
      </c>
      <c r="AL6727" s="32">
        <f>35/60</f>
        <v>0.58333333333333337</v>
      </c>
      <c r="AO6727" s="32" t="s">
        <v>858</v>
      </c>
      <c r="AP6727" s="32">
        <f>35/60</f>
        <v>0.58333333333333337</v>
      </c>
      <c r="AQ6727" s="32" t="s">
        <v>1101</v>
      </c>
      <c r="AU6727">
        <v>6726</v>
      </c>
    </row>
    <row r="6728" spans="1:47" x14ac:dyDescent="0.2">
      <c r="A6728" s="26">
        <v>6853</v>
      </c>
      <c r="B6728" s="27">
        <v>0.5625</v>
      </c>
      <c r="C6728" s="28"/>
      <c r="D6728" s="29"/>
      <c r="E6728" s="30" t="s">
        <v>869</v>
      </c>
      <c r="H6728" s="32">
        <v>0</v>
      </c>
      <c r="I6728" s="32" t="s">
        <v>2344</v>
      </c>
      <c r="AG6728" s="32">
        <v>0</v>
      </c>
      <c r="AH6728" s="32">
        <v>0</v>
      </c>
      <c r="AI6728" s="32">
        <v>0</v>
      </c>
      <c r="AK6728" s="32">
        <v>0</v>
      </c>
      <c r="AL6728" s="32">
        <f>41/60</f>
        <v>0.68333333333333335</v>
      </c>
      <c r="AP6728" s="32">
        <f>41/60</f>
        <v>0.68333333333333335</v>
      </c>
      <c r="AQ6728" s="32" t="s">
        <v>589</v>
      </c>
      <c r="AU6728">
        <v>6727</v>
      </c>
    </row>
    <row r="6729" spans="1:47" x14ac:dyDescent="0.2">
      <c r="A6729" s="26">
        <v>6853</v>
      </c>
      <c r="B6729" s="27">
        <v>0.5708333333333333</v>
      </c>
      <c r="C6729" s="28"/>
      <c r="D6729" s="29"/>
      <c r="E6729" s="30" t="s">
        <v>3737</v>
      </c>
      <c r="H6729" s="32">
        <v>0</v>
      </c>
      <c r="I6729" s="32" t="s">
        <v>4926</v>
      </c>
      <c r="AG6729" s="32">
        <v>0</v>
      </c>
      <c r="AH6729" s="32">
        <v>0</v>
      </c>
      <c r="AI6729" s="32">
        <v>0</v>
      </c>
      <c r="AK6729" s="32">
        <v>0</v>
      </c>
      <c r="AL6729" s="32">
        <f>51/60</f>
        <v>0.85</v>
      </c>
      <c r="AM6729" s="33">
        <f>(3125+3691)*AL6729</f>
        <v>5793.5999999999995</v>
      </c>
      <c r="AP6729" s="32">
        <f>51/60</f>
        <v>0.85</v>
      </c>
      <c r="AQ6729" s="32" t="s">
        <v>1101</v>
      </c>
      <c r="AU6729">
        <v>6728</v>
      </c>
    </row>
    <row r="6730" spans="1:47" x14ac:dyDescent="0.2">
      <c r="A6730" s="26">
        <v>6853</v>
      </c>
      <c r="B6730" s="27">
        <v>0.57430555555555551</v>
      </c>
      <c r="C6730" s="28"/>
      <c r="D6730" s="29"/>
      <c r="E6730" s="102" t="s">
        <v>1102</v>
      </c>
      <c r="H6730" s="32">
        <v>0</v>
      </c>
      <c r="I6730" s="32" t="s">
        <v>1103</v>
      </c>
      <c r="AG6730" s="32">
        <v>0</v>
      </c>
      <c r="AH6730" s="32">
        <v>0</v>
      </c>
      <c r="AI6730" s="32">
        <v>0</v>
      </c>
      <c r="AK6730" s="32">
        <v>0</v>
      </c>
      <c r="AL6730" s="32">
        <f>18/60</f>
        <v>0.3</v>
      </c>
      <c r="AO6730" s="73" t="s">
        <v>1006</v>
      </c>
      <c r="AP6730" s="32">
        <f>18/60</f>
        <v>0.3</v>
      </c>
      <c r="AQ6730" s="32" t="s">
        <v>589</v>
      </c>
      <c r="AU6730">
        <v>6729</v>
      </c>
    </row>
    <row r="6731" spans="1:47" x14ac:dyDescent="0.2">
      <c r="A6731" s="26">
        <v>6853</v>
      </c>
      <c r="B6731" s="27">
        <v>0.59513888888888888</v>
      </c>
      <c r="C6731" s="28"/>
      <c r="D6731" s="29"/>
      <c r="E6731" s="30" t="s">
        <v>3155</v>
      </c>
      <c r="H6731" s="32">
        <v>0</v>
      </c>
      <c r="I6731" s="32" t="s">
        <v>3156</v>
      </c>
      <c r="AG6731" s="32">
        <v>0</v>
      </c>
      <c r="AH6731" s="32">
        <v>0</v>
      </c>
      <c r="AI6731" s="32">
        <v>0</v>
      </c>
      <c r="AK6731" s="32">
        <v>0</v>
      </c>
      <c r="AP6731" s="32">
        <f>38/60</f>
        <v>0.6333333333333333</v>
      </c>
      <c r="AQ6731" s="32" t="s">
        <v>1101</v>
      </c>
      <c r="AU6731">
        <v>6730</v>
      </c>
    </row>
    <row r="6732" spans="1:47" x14ac:dyDescent="0.2">
      <c r="A6732" s="26">
        <v>6853</v>
      </c>
      <c r="B6732" s="27">
        <v>0.60138888888888886</v>
      </c>
      <c r="C6732" s="28"/>
      <c r="D6732" s="29"/>
      <c r="E6732" s="30" t="s">
        <v>2964</v>
      </c>
      <c r="H6732" s="32">
        <v>0</v>
      </c>
      <c r="I6732" s="32" t="s">
        <v>4158</v>
      </c>
      <c r="AG6732" s="32">
        <v>0</v>
      </c>
      <c r="AH6732" s="32">
        <v>0</v>
      </c>
      <c r="AI6732" s="32">
        <v>0</v>
      </c>
      <c r="AK6732" s="32">
        <v>0</v>
      </c>
      <c r="AL6732" s="32">
        <f>19/60</f>
        <v>0.31666666666666665</v>
      </c>
      <c r="AP6732" s="32">
        <f>19/60</f>
        <v>0.31666666666666665</v>
      </c>
      <c r="AQ6732" s="32" t="s">
        <v>1101</v>
      </c>
      <c r="AU6732">
        <v>6731</v>
      </c>
    </row>
    <row r="6733" spans="1:47" x14ac:dyDescent="0.2">
      <c r="A6733" s="26">
        <v>6853</v>
      </c>
      <c r="B6733" s="27">
        <v>0.85416666666666663</v>
      </c>
      <c r="C6733" s="28"/>
      <c r="D6733" s="29"/>
      <c r="E6733" s="30" t="s">
        <v>464</v>
      </c>
      <c r="H6733" s="32">
        <v>0</v>
      </c>
      <c r="I6733" s="32" t="s">
        <v>4220</v>
      </c>
      <c r="AG6733" s="32">
        <v>0</v>
      </c>
      <c r="AH6733" s="32">
        <v>0</v>
      </c>
      <c r="AL6733" s="32">
        <f>65/60</f>
        <v>1.0833333333333333</v>
      </c>
      <c r="AO6733" s="32" t="s">
        <v>4067</v>
      </c>
      <c r="AP6733" s="32">
        <f>65/60</f>
        <v>1.0833333333333333</v>
      </c>
      <c r="AQ6733" s="32" t="s">
        <v>1522</v>
      </c>
      <c r="AU6733">
        <v>6732</v>
      </c>
    </row>
    <row r="6734" spans="1:47" x14ac:dyDescent="0.2">
      <c r="A6734" s="26">
        <v>6853</v>
      </c>
      <c r="B6734" s="27">
        <v>0.85763888888888884</v>
      </c>
      <c r="C6734" s="28"/>
      <c r="D6734" s="29"/>
      <c r="E6734" s="30" t="s">
        <v>1124</v>
      </c>
      <c r="H6734" s="32">
        <v>1</v>
      </c>
      <c r="I6734" s="32" t="s">
        <v>7409</v>
      </c>
      <c r="AG6734" s="32">
        <v>4</v>
      </c>
      <c r="AH6734" s="32">
        <v>2</v>
      </c>
      <c r="AK6734" s="32">
        <v>5</v>
      </c>
      <c r="AL6734" s="32">
        <v>0.33300000000000002</v>
      </c>
      <c r="AO6734" s="46" t="s">
        <v>1126</v>
      </c>
      <c r="AP6734" s="32">
        <v>0.33300000000000002</v>
      </c>
      <c r="AQ6734" s="32" t="s">
        <v>7410</v>
      </c>
      <c r="AU6734">
        <v>6733</v>
      </c>
    </row>
    <row r="6735" spans="1:47" x14ac:dyDescent="0.2">
      <c r="A6735" s="26">
        <v>6853</v>
      </c>
      <c r="B6735" s="27">
        <v>0.88541666666666663</v>
      </c>
      <c r="C6735" s="28"/>
      <c r="D6735" s="29"/>
      <c r="E6735" s="30" t="s">
        <v>3737</v>
      </c>
      <c r="H6735" s="32">
        <v>0</v>
      </c>
      <c r="I6735" s="32" t="s">
        <v>4926</v>
      </c>
      <c r="AG6735" s="32">
        <v>0</v>
      </c>
      <c r="AH6735" s="32">
        <v>0</v>
      </c>
      <c r="AI6735" s="32">
        <v>0</v>
      </c>
      <c r="AK6735" s="32">
        <v>0</v>
      </c>
      <c r="AM6735" s="74"/>
      <c r="AQ6735" s="32" t="s">
        <v>1101</v>
      </c>
      <c r="AU6735">
        <v>6734</v>
      </c>
    </row>
    <row r="6736" spans="1:47" x14ac:dyDescent="0.2">
      <c r="A6736" s="26">
        <v>6853</v>
      </c>
      <c r="B6736" s="27">
        <v>0.88888888888888884</v>
      </c>
      <c r="C6736" s="28"/>
      <c r="D6736" s="29"/>
      <c r="E6736" s="30" t="s">
        <v>869</v>
      </c>
      <c r="H6736" s="32">
        <v>0</v>
      </c>
      <c r="I6736" s="32" t="s">
        <v>2344</v>
      </c>
      <c r="AG6736" s="32">
        <v>0</v>
      </c>
      <c r="AH6736" s="32">
        <v>0</v>
      </c>
      <c r="AI6736" s="32">
        <v>0</v>
      </c>
      <c r="AK6736" s="32">
        <v>0</v>
      </c>
      <c r="AL6736" s="32">
        <f>9/60</f>
        <v>0.15</v>
      </c>
      <c r="AP6736" s="32">
        <f>9/60</f>
        <v>0.15</v>
      </c>
      <c r="AQ6736" s="32" t="s">
        <v>589</v>
      </c>
      <c r="AU6736">
        <v>6735</v>
      </c>
    </row>
    <row r="6737" spans="1:47" x14ac:dyDescent="0.2">
      <c r="A6737" s="26">
        <v>6853</v>
      </c>
      <c r="B6737" s="27">
        <v>0.90625</v>
      </c>
      <c r="C6737" s="28"/>
      <c r="D6737" s="29"/>
      <c r="E6737" s="30" t="s">
        <v>4219</v>
      </c>
      <c r="H6737" s="32">
        <v>0</v>
      </c>
      <c r="I6737" s="32" t="s">
        <v>4249</v>
      </c>
      <c r="AG6737" s="32">
        <v>0</v>
      </c>
      <c r="AH6737" s="32">
        <v>0</v>
      </c>
      <c r="AI6737" s="32">
        <v>0</v>
      </c>
      <c r="AK6737" s="32">
        <v>0</v>
      </c>
      <c r="AL6737" s="32">
        <f>1/6</f>
        <v>0.16666666666666666</v>
      </c>
      <c r="AO6737" s="32" t="s">
        <v>858</v>
      </c>
      <c r="AP6737" s="32">
        <f>1/6</f>
        <v>0.16666666666666666</v>
      </c>
      <c r="AQ6737" s="32" t="s">
        <v>1101</v>
      </c>
      <c r="AU6737">
        <v>6736</v>
      </c>
    </row>
    <row r="6738" spans="1:47" x14ac:dyDescent="0.2">
      <c r="A6738" s="26">
        <v>6853</v>
      </c>
      <c r="B6738" s="27">
        <v>0.96458333333333324</v>
      </c>
      <c r="C6738" s="28"/>
      <c r="D6738" s="29"/>
      <c r="E6738" s="30" t="s">
        <v>5224</v>
      </c>
      <c r="H6738" s="32">
        <v>0</v>
      </c>
      <c r="I6738" s="32" t="s">
        <v>5225</v>
      </c>
      <c r="AG6738" s="32">
        <v>0</v>
      </c>
      <c r="AH6738" s="32">
        <v>0</v>
      </c>
      <c r="AI6738" s="32">
        <v>0</v>
      </c>
      <c r="AK6738" s="32">
        <v>0</v>
      </c>
      <c r="AL6738" s="32">
        <v>0.4</v>
      </c>
      <c r="AP6738" s="32">
        <v>0.4</v>
      </c>
      <c r="AQ6738" s="32" t="s">
        <v>1101</v>
      </c>
      <c r="AU6738">
        <v>6737</v>
      </c>
    </row>
    <row r="6739" spans="1:47" x14ac:dyDescent="0.2">
      <c r="A6739" s="26">
        <v>6853</v>
      </c>
      <c r="B6739" s="27" t="s">
        <v>45</v>
      </c>
      <c r="C6739" s="28"/>
      <c r="D6739" s="29"/>
      <c r="E6739" s="30" t="s">
        <v>1461</v>
      </c>
      <c r="H6739" s="32">
        <v>1</v>
      </c>
      <c r="I6739" s="32" t="s">
        <v>7411</v>
      </c>
      <c r="AG6739" s="32">
        <v>0</v>
      </c>
      <c r="AH6739" s="32">
        <v>0</v>
      </c>
      <c r="AI6739" s="32">
        <v>182</v>
      </c>
      <c r="AK6739" s="32">
        <v>6</v>
      </c>
      <c r="AO6739" s="32" t="s">
        <v>1463</v>
      </c>
      <c r="AQ6739" s="32">
        <v>404</v>
      </c>
      <c r="AU6739">
        <v>6738</v>
      </c>
    </row>
    <row r="6740" spans="1:47" x14ac:dyDescent="0.2">
      <c r="A6740" s="26">
        <v>6853</v>
      </c>
      <c r="B6740" s="27" t="s">
        <v>45</v>
      </c>
      <c r="C6740" s="28"/>
      <c r="D6740" s="29"/>
      <c r="E6740" s="30" t="s">
        <v>1531</v>
      </c>
      <c r="H6740" s="32">
        <v>0</v>
      </c>
      <c r="I6740" s="32" t="s">
        <v>7412</v>
      </c>
      <c r="AG6740" s="32">
        <v>0</v>
      </c>
      <c r="AH6740" s="32">
        <v>0</v>
      </c>
      <c r="AI6740" s="32">
        <v>0</v>
      </c>
      <c r="AK6740" s="32">
        <v>0</v>
      </c>
      <c r="AM6740" s="32">
        <f>498*71</f>
        <v>35358</v>
      </c>
      <c r="AO6740" s="32" t="s">
        <v>1533</v>
      </c>
      <c r="AQ6740" s="32" t="s">
        <v>1101</v>
      </c>
      <c r="AU6740">
        <v>6739</v>
      </c>
    </row>
    <row r="6741" spans="1:47" x14ac:dyDescent="0.2">
      <c r="A6741" s="26">
        <v>6853</v>
      </c>
      <c r="B6741" s="27" t="s">
        <v>45</v>
      </c>
      <c r="C6741" s="28"/>
      <c r="D6741" s="29"/>
      <c r="E6741" s="150" t="s">
        <v>2286</v>
      </c>
      <c r="H6741" s="32">
        <v>0</v>
      </c>
      <c r="I6741" s="32" t="s">
        <v>1824</v>
      </c>
      <c r="AG6741" s="32">
        <v>0</v>
      </c>
      <c r="AH6741" s="32">
        <v>0</v>
      </c>
      <c r="AI6741" s="32">
        <v>0</v>
      </c>
      <c r="AK6741" s="32">
        <v>0</v>
      </c>
      <c r="AM6741" s="32">
        <v>7500</v>
      </c>
      <c r="AO6741" s="73" t="s">
        <v>75</v>
      </c>
      <c r="AQ6741" s="32" t="s">
        <v>589</v>
      </c>
      <c r="AU6741">
        <v>6740</v>
      </c>
    </row>
    <row r="6742" spans="1:47" x14ac:dyDescent="0.2">
      <c r="A6742" s="26">
        <v>6853</v>
      </c>
      <c r="B6742" s="27"/>
      <c r="C6742" s="28"/>
      <c r="D6742" s="29"/>
      <c r="E6742" s="30" t="s">
        <v>4666</v>
      </c>
      <c r="H6742" s="32">
        <v>1</v>
      </c>
      <c r="I6742" s="32" t="s">
        <v>7413</v>
      </c>
      <c r="AG6742" s="32">
        <v>0</v>
      </c>
      <c r="AH6742" s="32">
        <v>0</v>
      </c>
      <c r="AI6742" s="32">
        <v>0</v>
      </c>
      <c r="AK6742" s="32">
        <v>8</v>
      </c>
      <c r="AO6742" s="32" t="s">
        <v>4668</v>
      </c>
      <c r="AQ6742" s="32">
        <v>411</v>
      </c>
      <c r="AU6742">
        <v>6741</v>
      </c>
    </row>
    <row r="6743" spans="1:47" x14ac:dyDescent="0.2">
      <c r="A6743" s="26">
        <v>6853</v>
      </c>
      <c r="B6743" s="27"/>
      <c r="C6743" s="28"/>
      <c r="D6743" s="29"/>
      <c r="E6743" s="72" t="s">
        <v>872</v>
      </c>
      <c r="H6743" s="32">
        <v>1</v>
      </c>
      <c r="I6743" s="32" t="s">
        <v>7414</v>
      </c>
      <c r="AI6743" s="32">
        <v>700</v>
      </c>
      <c r="AK6743" s="32">
        <v>5</v>
      </c>
      <c r="AO6743" s="73" t="s">
        <v>858</v>
      </c>
      <c r="AQ6743" s="32">
        <v>440</v>
      </c>
      <c r="AU6743">
        <v>6742</v>
      </c>
    </row>
    <row r="6744" spans="1:47" x14ac:dyDescent="0.2">
      <c r="A6744" s="26">
        <v>6853</v>
      </c>
      <c r="B6744" s="27"/>
      <c r="C6744" s="28"/>
      <c r="D6744" s="29"/>
      <c r="E6744" s="102" t="s">
        <v>1421</v>
      </c>
      <c r="H6744" s="32">
        <v>1</v>
      </c>
      <c r="I6744" s="32" t="s">
        <v>1422</v>
      </c>
      <c r="AK6744" s="32">
        <v>7</v>
      </c>
      <c r="AO6744" s="73"/>
      <c r="AQ6744" s="32" t="s">
        <v>589</v>
      </c>
      <c r="AU6744">
        <v>6743</v>
      </c>
    </row>
    <row r="6745" spans="1:47" x14ac:dyDescent="0.2">
      <c r="A6745" s="26">
        <v>6853</v>
      </c>
      <c r="B6745" s="27"/>
      <c r="C6745" s="28"/>
      <c r="D6745" s="29"/>
      <c r="E6745" s="30" t="s">
        <v>4469</v>
      </c>
      <c r="H6745" s="32">
        <v>0</v>
      </c>
      <c r="I6745" s="32" t="s">
        <v>7415</v>
      </c>
      <c r="AG6745" s="32">
        <v>0</v>
      </c>
      <c r="AH6745" s="32">
        <v>0</v>
      </c>
      <c r="AI6745" s="32">
        <v>0</v>
      </c>
      <c r="AK6745" s="32">
        <v>0</v>
      </c>
      <c r="AL6745" s="32">
        <f>25/60</f>
        <v>0.41666666666666669</v>
      </c>
      <c r="AO6745" s="32" t="s">
        <v>5210</v>
      </c>
      <c r="AP6745" s="32">
        <f>25/60</f>
        <v>0.41666666666666669</v>
      </c>
      <c r="AQ6745" s="32" t="s">
        <v>5211</v>
      </c>
      <c r="AU6745">
        <v>6744</v>
      </c>
    </row>
    <row r="6746" spans="1:47" x14ac:dyDescent="0.2">
      <c r="A6746" s="133">
        <v>6854</v>
      </c>
      <c r="B6746" s="39" t="s">
        <v>85</v>
      </c>
      <c r="C6746" s="206" t="s">
        <v>7324</v>
      </c>
      <c r="D6746" s="29"/>
      <c r="E6746" s="39" t="s">
        <v>7325</v>
      </c>
      <c r="H6746" s="32"/>
      <c r="I6746" s="32" t="s">
        <v>7416</v>
      </c>
      <c r="K6746" s="31">
        <f>1220*2.2</f>
        <v>2684</v>
      </c>
      <c r="L6746" s="33">
        <v>14</v>
      </c>
      <c r="S6746" s="33">
        <v>9</v>
      </c>
      <c r="Z6746" s="47" t="s">
        <v>7262</v>
      </c>
      <c r="AC6746" s="34">
        <v>0.3125</v>
      </c>
      <c r="AE6746" s="47" t="s">
        <v>2743</v>
      </c>
      <c r="AF6746" s="31">
        <v>75</v>
      </c>
      <c r="AO6746" s="73"/>
      <c r="AU6746">
        <v>6745</v>
      </c>
    </row>
    <row r="6747" spans="1:47" x14ac:dyDescent="0.2">
      <c r="A6747" s="133">
        <v>6854</v>
      </c>
      <c r="B6747" s="39" t="s">
        <v>85</v>
      </c>
      <c r="C6747" s="206" t="s">
        <v>7356</v>
      </c>
      <c r="D6747" s="29"/>
      <c r="E6747" s="39" t="s">
        <v>7398</v>
      </c>
      <c r="H6747" s="32"/>
      <c r="I6747" s="32" t="s">
        <v>7417</v>
      </c>
      <c r="K6747" s="31">
        <f>800*2.2</f>
        <v>1760.0000000000002</v>
      </c>
      <c r="L6747" s="33">
        <v>21</v>
      </c>
      <c r="S6747" s="33">
        <v>7</v>
      </c>
      <c r="Z6747" s="31" t="s">
        <v>3618</v>
      </c>
      <c r="AA6747" s="34">
        <v>0.52430555555555558</v>
      </c>
      <c r="AC6747" s="34">
        <v>0.55555555555555558</v>
      </c>
      <c r="AE6747" s="47" t="s">
        <v>2743</v>
      </c>
      <c r="AF6747" s="31">
        <v>80</v>
      </c>
      <c r="AO6747" s="73"/>
      <c r="AQ6747"/>
      <c r="AU6747">
        <v>6746</v>
      </c>
    </row>
    <row r="6748" spans="1:47" x14ac:dyDescent="0.2">
      <c r="A6748" s="26">
        <v>6854</v>
      </c>
      <c r="B6748" s="27">
        <v>0.63888888888888895</v>
      </c>
      <c r="C6748" s="28"/>
      <c r="D6748" s="29"/>
      <c r="E6748" s="30" t="s">
        <v>3155</v>
      </c>
      <c r="H6748" s="32">
        <v>0</v>
      </c>
      <c r="I6748" s="32" t="s">
        <v>3156</v>
      </c>
      <c r="AG6748" s="32">
        <v>0</v>
      </c>
      <c r="AH6748" s="32">
        <v>0</v>
      </c>
      <c r="AI6748" s="32">
        <v>0</v>
      </c>
      <c r="AK6748" s="32">
        <v>0</v>
      </c>
      <c r="AP6748" s="32">
        <v>0.5</v>
      </c>
      <c r="AQ6748" s="32" t="s">
        <v>1101</v>
      </c>
      <c r="AU6748">
        <v>6747</v>
      </c>
    </row>
    <row r="6749" spans="1:47" x14ac:dyDescent="0.2">
      <c r="A6749" s="26">
        <v>6855</v>
      </c>
      <c r="B6749" s="27">
        <v>0.6645833333333333</v>
      </c>
      <c r="C6749" s="28"/>
      <c r="D6749" s="29"/>
      <c r="E6749" s="30" t="s">
        <v>3737</v>
      </c>
      <c r="H6749" s="32">
        <v>0</v>
      </c>
      <c r="I6749" s="32" t="s">
        <v>4926</v>
      </c>
      <c r="AG6749" s="32">
        <v>0</v>
      </c>
      <c r="AH6749" s="32">
        <v>0</v>
      </c>
      <c r="AI6749" s="32">
        <v>0</v>
      </c>
      <c r="AK6749" s="32">
        <v>0</v>
      </c>
      <c r="AM6749" s="74"/>
      <c r="AQ6749" s="32" t="s">
        <v>1101</v>
      </c>
      <c r="AU6749">
        <v>6748</v>
      </c>
    </row>
    <row r="6750" spans="1:47" x14ac:dyDescent="0.2">
      <c r="A6750" s="13">
        <v>6856</v>
      </c>
      <c r="B6750" s="57" t="s">
        <v>45</v>
      </c>
      <c r="C6750" s="57" t="s">
        <v>142</v>
      </c>
      <c r="D6750" s="29"/>
      <c r="E6750" s="57" t="s">
        <v>7418</v>
      </c>
      <c r="F6750" s="31" t="s">
        <v>7419</v>
      </c>
      <c r="G6750" s="31" t="s">
        <v>49</v>
      </c>
      <c r="H6750" s="32"/>
      <c r="I6750" s="47" t="b">
        <v>1</v>
      </c>
      <c r="J6750" s="47" t="b">
        <v>1</v>
      </c>
      <c r="K6750" s="31">
        <f>2540*2.2</f>
        <v>5588</v>
      </c>
      <c r="L6750" s="33">
        <v>9</v>
      </c>
      <c r="N6750" s="31">
        <v>1</v>
      </c>
      <c r="O6750" s="31">
        <v>1</v>
      </c>
      <c r="S6750" s="33">
        <v>7</v>
      </c>
      <c r="T6750" s="31">
        <v>0</v>
      </c>
      <c r="U6750" s="31">
        <v>0</v>
      </c>
      <c r="V6750" s="31">
        <v>0</v>
      </c>
      <c r="Y6750" s="31" t="s">
        <v>51</v>
      </c>
      <c r="Z6750" s="31" t="s">
        <v>7420</v>
      </c>
      <c r="AE6750" s="31" t="s">
        <v>2470</v>
      </c>
      <c r="AK6750" s="32">
        <f>4+40+2+6</f>
        <v>52</v>
      </c>
      <c r="AM6750" s="74"/>
      <c r="AQ6750" s="32" t="s">
        <v>7387</v>
      </c>
      <c r="AR6750" s="32" t="s">
        <v>7421</v>
      </c>
      <c r="AU6750">
        <v>6749</v>
      </c>
    </row>
    <row r="6751" spans="1:47" x14ac:dyDescent="0.2">
      <c r="A6751" s="13">
        <v>6856</v>
      </c>
      <c r="B6751" s="57" t="s">
        <v>45</v>
      </c>
      <c r="C6751" s="57" t="s">
        <v>142</v>
      </c>
      <c r="D6751" s="29"/>
      <c r="E6751" s="57" t="s">
        <v>4921</v>
      </c>
      <c r="F6751" s="31" t="s">
        <v>76</v>
      </c>
      <c r="G6751" s="31" t="s">
        <v>49</v>
      </c>
      <c r="I6751" s="47" t="b">
        <v>0</v>
      </c>
      <c r="J6751" s="47" t="b">
        <v>0</v>
      </c>
      <c r="K6751" s="31">
        <v>3124</v>
      </c>
      <c r="S6751" s="33">
        <v>4</v>
      </c>
      <c r="Z6751" s="31" t="s">
        <v>7420</v>
      </c>
      <c r="AE6751" s="31" t="s">
        <v>2470</v>
      </c>
      <c r="AF6751" s="31">
        <v>70</v>
      </c>
      <c r="AK6751" s="32">
        <v>30</v>
      </c>
      <c r="AQ6751" s="32" t="s">
        <v>7333</v>
      </c>
      <c r="AU6751">
        <v>6750</v>
      </c>
    </row>
    <row r="6752" spans="1:47" x14ac:dyDescent="0.2">
      <c r="A6752" s="13">
        <v>6856</v>
      </c>
      <c r="B6752" s="57" t="s">
        <v>45</v>
      </c>
      <c r="C6752" s="57" t="s">
        <v>142</v>
      </c>
      <c r="D6752" s="29"/>
      <c r="E6752" s="57" t="s">
        <v>3936</v>
      </c>
      <c r="F6752" s="31" t="s">
        <v>76</v>
      </c>
      <c r="G6752" s="31" t="s">
        <v>49</v>
      </c>
      <c r="I6752" s="47" t="b">
        <v>0</v>
      </c>
      <c r="J6752" s="47" t="b">
        <v>0</v>
      </c>
      <c r="K6752" s="31">
        <v>880</v>
      </c>
      <c r="S6752" s="33">
        <v>1</v>
      </c>
      <c r="Z6752" s="31" t="s">
        <v>7420</v>
      </c>
      <c r="AE6752" s="31" t="s">
        <v>2470</v>
      </c>
      <c r="AF6752" s="31">
        <v>55</v>
      </c>
      <c r="AK6752" s="32">
        <v>6</v>
      </c>
      <c r="AQ6752" s="32" t="s">
        <v>7333</v>
      </c>
      <c r="AU6752">
        <v>6751</v>
      </c>
    </row>
    <row r="6753" spans="1:47" x14ac:dyDescent="0.2">
      <c r="A6753" s="13">
        <v>6856</v>
      </c>
      <c r="B6753" s="57" t="s">
        <v>45</v>
      </c>
      <c r="C6753" s="57" t="s">
        <v>7243</v>
      </c>
      <c r="D6753" s="29"/>
      <c r="E6753" s="57" t="s">
        <v>3936</v>
      </c>
      <c r="F6753" s="31" t="s">
        <v>76</v>
      </c>
      <c r="G6753" s="31" t="s">
        <v>49</v>
      </c>
      <c r="K6753" s="31">
        <v>1980</v>
      </c>
      <c r="S6753" s="33">
        <v>3</v>
      </c>
      <c r="AE6753" s="31" t="s">
        <v>4788</v>
      </c>
      <c r="AF6753" s="31">
        <v>65</v>
      </c>
      <c r="AK6753" s="32">
        <v>18</v>
      </c>
      <c r="AQ6753" s="32" t="s">
        <v>7333</v>
      </c>
      <c r="AU6753">
        <v>6752</v>
      </c>
    </row>
    <row r="6754" spans="1:47" x14ac:dyDescent="0.2">
      <c r="A6754" s="13">
        <v>6856</v>
      </c>
      <c r="B6754" s="57" t="s">
        <v>45</v>
      </c>
      <c r="C6754" s="57" t="s">
        <v>7243</v>
      </c>
      <c r="D6754" s="29"/>
      <c r="E6754" s="57" t="s">
        <v>4921</v>
      </c>
      <c r="F6754" s="31" t="s">
        <v>76</v>
      </c>
      <c r="G6754" s="31" t="s">
        <v>49</v>
      </c>
      <c r="K6754" s="31">
        <v>1980</v>
      </c>
      <c r="S6754" s="33">
        <v>3</v>
      </c>
      <c r="AE6754" s="31" t="s">
        <v>4788</v>
      </c>
      <c r="AF6754" s="31">
        <v>75</v>
      </c>
      <c r="AK6754" s="32">
        <v>18</v>
      </c>
      <c r="AQ6754" s="32" t="s">
        <v>7333</v>
      </c>
      <c r="AU6754">
        <v>6753</v>
      </c>
    </row>
    <row r="6755" spans="1:47" x14ac:dyDescent="0.2">
      <c r="A6755" s="13">
        <v>6856</v>
      </c>
      <c r="B6755" s="57" t="s">
        <v>45</v>
      </c>
      <c r="C6755" s="57" t="s">
        <v>7243</v>
      </c>
      <c r="D6755" s="29"/>
      <c r="E6755" s="57" t="s">
        <v>4502</v>
      </c>
      <c r="F6755" s="31" t="s">
        <v>76</v>
      </c>
      <c r="G6755" s="31" t="s">
        <v>49</v>
      </c>
      <c r="K6755" s="31">
        <v>660</v>
      </c>
      <c r="S6755" s="33">
        <v>1</v>
      </c>
      <c r="AE6755" s="31" t="s">
        <v>4788</v>
      </c>
      <c r="AF6755" s="31">
        <v>65</v>
      </c>
      <c r="AK6755" s="32">
        <v>6</v>
      </c>
      <c r="AQ6755" s="32" t="s">
        <v>7333</v>
      </c>
      <c r="AU6755">
        <v>6754</v>
      </c>
    </row>
    <row r="6756" spans="1:47" x14ac:dyDescent="0.2">
      <c r="A6756" s="13">
        <v>6856</v>
      </c>
      <c r="B6756" s="57" t="s">
        <v>45</v>
      </c>
      <c r="C6756" s="57" t="s">
        <v>7243</v>
      </c>
      <c r="D6756" s="29"/>
      <c r="E6756" s="57" t="s">
        <v>7422</v>
      </c>
      <c r="F6756" s="31" t="s">
        <v>76</v>
      </c>
      <c r="G6756" s="31" t="s">
        <v>49</v>
      </c>
      <c r="K6756" s="31">
        <v>660</v>
      </c>
      <c r="S6756" s="33">
        <v>1</v>
      </c>
      <c r="AE6756" s="31" t="s">
        <v>4788</v>
      </c>
      <c r="AK6756" s="32">
        <v>6</v>
      </c>
      <c r="AQ6756" s="32" t="s">
        <v>7333</v>
      </c>
      <c r="AU6756">
        <v>6755</v>
      </c>
    </row>
    <row r="6757" spans="1:47" x14ac:dyDescent="0.2">
      <c r="A6757" s="13">
        <v>6856</v>
      </c>
      <c r="B6757" s="57" t="s">
        <v>45</v>
      </c>
      <c r="C6757" s="57" t="s">
        <v>4843</v>
      </c>
      <c r="D6757" s="29"/>
      <c r="E6757" s="57" t="s">
        <v>3875</v>
      </c>
      <c r="F6757" s="31" t="s">
        <v>76</v>
      </c>
      <c r="G6757" s="31" t="s">
        <v>49</v>
      </c>
      <c r="K6757" s="31">
        <v>11418</v>
      </c>
      <c r="S6757" s="33">
        <v>18</v>
      </c>
      <c r="AK6757" s="32">
        <v>102</v>
      </c>
      <c r="AQ6757" s="32" t="s">
        <v>7333</v>
      </c>
      <c r="AU6757">
        <v>6756</v>
      </c>
    </row>
    <row r="6758" spans="1:47" x14ac:dyDescent="0.2">
      <c r="A6758" s="13">
        <v>6856</v>
      </c>
      <c r="B6758" s="57" t="s">
        <v>45</v>
      </c>
      <c r="C6758" s="57" t="s">
        <v>4843</v>
      </c>
      <c r="D6758" s="29"/>
      <c r="E6758" s="57" t="s">
        <v>3936</v>
      </c>
      <c r="F6758" s="31" t="s">
        <v>76</v>
      </c>
      <c r="G6758" s="31" t="s">
        <v>49</v>
      </c>
      <c r="K6758" s="31">
        <v>660</v>
      </c>
      <c r="S6758" s="33">
        <v>1</v>
      </c>
      <c r="AK6758" s="32">
        <v>6</v>
      </c>
      <c r="AQ6758" s="32" t="s">
        <v>7333</v>
      </c>
      <c r="AU6758">
        <v>6757</v>
      </c>
    </row>
    <row r="6759" spans="1:47" x14ac:dyDescent="0.2">
      <c r="A6759" s="13">
        <v>6856</v>
      </c>
      <c r="B6759" s="57" t="s">
        <v>45</v>
      </c>
      <c r="C6759" s="57" t="s">
        <v>4843</v>
      </c>
      <c r="D6759" s="29"/>
      <c r="E6759" s="57" t="s">
        <v>4142</v>
      </c>
      <c r="F6759" s="31" t="s">
        <v>76</v>
      </c>
      <c r="G6759" s="31" t="s">
        <v>49</v>
      </c>
      <c r="K6759" s="31">
        <v>660</v>
      </c>
      <c r="S6759" s="33">
        <v>1</v>
      </c>
      <c r="AK6759" s="32">
        <v>6</v>
      </c>
      <c r="AQ6759" s="32" t="s">
        <v>7333</v>
      </c>
      <c r="AU6759">
        <v>6758</v>
      </c>
    </row>
    <row r="6760" spans="1:47" x14ac:dyDescent="0.2">
      <c r="A6760" s="13">
        <v>6856</v>
      </c>
      <c r="B6760" s="57" t="s">
        <v>45</v>
      </c>
      <c r="C6760" s="57" t="s">
        <v>4843</v>
      </c>
      <c r="D6760" s="29"/>
      <c r="E6760" s="57" t="s">
        <v>7423</v>
      </c>
      <c r="F6760" s="31" t="s">
        <v>170</v>
      </c>
      <c r="G6760" s="31" t="s">
        <v>69</v>
      </c>
      <c r="K6760" s="31">
        <v>660</v>
      </c>
      <c r="S6760" s="33">
        <v>1</v>
      </c>
      <c r="AK6760" s="32">
        <v>6</v>
      </c>
      <c r="AQ6760" s="32" t="s">
        <v>7333</v>
      </c>
      <c r="AU6760">
        <v>6759</v>
      </c>
    </row>
    <row r="6761" spans="1:47" x14ac:dyDescent="0.2">
      <c r="A6761" s="13">
        <v>6856</v>
      </c>
      <c r="B6761" s="57" t="s">
        <v>45</v>
      </c>
      <c r="C6761" s="57" t="s">
        <v>4843</v>
      </c>
      <c r="D6761" s="29"/>
      <c r="E6761" s="57" t="s">
        <v>3895</v>
      </c>
      <c r="F6761" s="31" t="s">
        <v>76</v>
      </c>
      <c r="G6761" s="31" t="s">
        <v>49</v>
      </c>
      <c r="K6761" s="31">
        <v>440</v>
      </c>
      <c r="S6761" s="33">
        <v>1</v>
      </c>
      <c r="AK6761" s="32">
        <v>4</v>
      </c>
      <c r="AQ6761" s="32" t="s">
        <v>7333</v>
      </c>
      <c r="AU6761">
        <v>6760</v>
      </c>
    </row>
    <row r="6762" spans="1:47" x14ac:dyDescent="0.2">
      <c r="A6762" s="13">
        <v>6856</v>
      </c>
      <c r="B6762" s="57" t="s">
        <v>45</v>
      </c>
      <c r="C6762" s="57" t="s">
        <v>4843</v>
      </c>
      <c r="D6762" s="29"/>
      <c r="E6762" s="57" t="s">
        <v>7424</v>
      </c>
      <c r="F6762" s="31" t="s">
        <v>3183</v>
      </c>
      <c r="G6762" s="31" t="s">
        <v>49</v>
      </c>
      <c r="K6762" s="31">
        <v>440</v>
      </c>
      <c r="S6762" s="33">
        <v>1</v>
      </c>
      <c r="AK6762" s="32">
        <v>4</v>
      </c>
      <c r="AQ6762" s="32" t="s">
        <v>7333</v>
      </c>
      <c r="AU6762">
        <v>6761</v>
      </c>
    </row>
    <row r="6763" spans="1:47" x14ac:dyDescent="0.2">
      <c r="A6763" s="13">
        <v>6856</v>
      </c>
      <c r="B6763" s="57" t="s">
        <v>45</v>
      </c>
      <c r="C6763" s="57" t="s">
        <v>4179</v>
      </c>
      <c r="D6763" s="29"/>
      <c r="E6763" s="57" t="s">
        <v>4202</v>
      </c>
      <c r="F6763" s="31" t="s">
        <v>76</v>
      </c>
      <c r="G6763" s="31" t="s">
        <v>49</v>
      </c>
      <c r="K6763" s="31">
        <v>4620</v>
      </c>
      <c r="Z6763" s="31" t="s">
        <v>3814</v>
      </c>
      <c r="AE6763" s="31" t="s">
        <v>5034</v>
      </c>
      <c r="AF6763" s="31">
        <v>60</v>
      </c>
      <c r="AK6763" s="33">
        <v>64</v>
      </c>
      <c r="AQ6763" s="32" t="s">
        <v>7333</v>
      </c>
      <c r="AU6763">
        <v>6762</v>
      </c>
    </row>
    <row r="6764" spans="1:47" x14ac:dyDescent="0.2">
      <c r="A6764" s="13">
        <v>6856</v>
      </c>
      <c r="B6764" s="57" t="s">
        <v>45</v>
      </c>
      <c r="C6764" s="57" t="s">
        <v>5860</v>
      </c>
      <c r="D6764" s="29"/>
      <c r="E6764" s="57" t="s">
        <v>4180</v>
      </c>
      <c r="F6764" s="31" t="s">
        <v>76</v>
      </c>
      <c r="I6764" s="31" t="s">
        <v>7390</v>
      </c>
      <c r="K6764" s="63"/>
      <c r="AE6764" s="31" t="s">
        <v>7241</v>
      </c>
      <c r="AF6764" s="31">
        <v>75</v>
      </c>
      <c r="AQ6764" s="32" t="s">
        <v>7333</v>
      </c>
      <c r="AU6764">
        <v>6763</v>
      </c>
    </row>
    <row r="6765" spans="1:47" x14ac:dyDescent="0.2">
      <c r="A6765" s="13">
        <v>6856</v>
      </c>
      <c r="B6765" s="57" t="s">
        <v>45</v>
      </c>
      <c r="C6765" s="57" t="s">
        <v>7338</v>
      </c>
      <c r="D6765" s="29"/>
      <c r="E6765" s="57" t="s">
        <v>1397</v>
      </c>
      <c r="F6765" s="31" t="s">
        <v>76</v>
      </c>
      <c r="I6765" s="31" t="s">
        <v>7339</v>
      </c>
      <c r="K6765" s="63"/>
      <c r="Z6765" s="31" t="s">
        <v>3814</v>
      </c>
      <c r="AE6765" s="31" t="s">
        <v>5034</v>
      </c>
      <c r="AF6765" s="31">
        <v>110</v>
      </c>
      <c r="AQ6765" s="32" t="s">
        <v>7333</v>
      </c>
      <c r="AU6765">
        <v>6764</v>
      </c>
    </row>
    <row r="6766" spans="1:47" x14ac:dyDescent="0.2">
      <c r="A6766" s="13">
        <v>6856</v>
      </c>
      <c r="B6766" s="57" t="s">
        <v>45</v>
      </c>
      <c r="C6766" s="57" t="s">
        <v>7338</v>
      </c>
      <c r="D6766" s="29"/>
      <c r="E6766" s="57" t="s">
        <v>4182</v>
      </c>
      <c r="F6766" s="31" t="s">
        <v>76</v>
      </c>
      <c r="I6766" s="31" t="s">
        <v>7342</v>
      </c>
      <c r="K6766" s="63"/>
      <c r="Z6766" s="31" t="s">
        <v>3814</v>
      </c>
      <c r="AE6766" s="31" t="s">
        <v>5034</v>
      </c>
      <c r="AF6766" s="31">
        <v>110</v>
      </c>
      <c r="AQ6766" s="32" t="s">
        <v>7333</v>
      </c>
      <c r="AU6766">
        <v>6765</v>
      </c>
    </row>
    <row r="6767" spans="1:47" x14ac:dyDescent="0.2">
      <c r="A6767" s="13">
        <v>6856</v>
      </c>
      <c r="B6767" s="57" t="s">
        <v>45</v>
      </c>
      <c r="C6767" s="57" t="s">
        <v>4179</v>
      </c>
      <c r="D6767" s="29"/>
      <c r="E6767" s="57" t="s">
        <v>7343</v>
      </c>
      <c r="F6767" s="31" t="s">
        <v>3183</v>
      </c>
      <c r="I6767" s="31" t="s">
        <v>7344</v>
      </c>
      <c r="K6767" s="63"/>
      <c r="Z6767" s="31" t="s">
        <v>3814</v>
      </c>
      <c r="AE6767" s="31" t="s">
        <v>5034</v>
      </c>
      <c r="AF6767" s="31">
        <v>125</v>
      </c>
      <c r="AQ6767" s="32" t="s">
        <v>7333</v>
      </c>
      <c r="AU6767">
        <v>6766</v>
      </c>
    </row>
    <row r="6768" spans="1:47" x14ac:dyDescent="0.2">
      <c r="A6768" s="13">
        <v>6856</v>
      </c>
      <c r="B6768" s="57" t="s">
        <v>45</v>
      </c>
      <c r="C6768" s="57" t="s">
        <v>4179</v>
      </c>
      <c r="D6768" s="29"/>
      <c r="E6768" s="57" t="s">
        <v>7345</v>
      </c>
      <c r="F6768" s="31" t="s">
        <v>3183</v>
      </c>
      <c r="I6768" s="31" t="s">
        <v>7346</v>
      </c>
      <c r="K6768" s="63"/>
      <c r="Z6768" s="31" t="s">
        <v>3814</v>
      </c>
      <c r="AE6768" s="31" t="s">
        <v>5034</v>
      </c>
      <c r="AF6768" s="31">
        <v>125</v>
      </c>
      <c r="AQ6768" s="32" t="s">
        <v>7333</v>
      </c>
      <c r="AU6768">
        <v>6767</v>
      </c>
    </row>
    <row r="6769" spans="1:47" x14ac:dyDescent="0.2">
      <c r="A6769" s="13">
        <v>6856</v>
      </c>
      <c r="B6769" s="57" t="s">
        <v>45</v>
      </c>
      <c r="C6769" s="57" t="s">
        <v>5860</v>
      </c>
      <c r="D6769" s="29"/>
      <c r="E6769" s="57" t="s">
        <v>7348</v>
      </c>
      <c r="F6769" s="31" t="s">
        <v>76</v>
      </c>
      <c r="I6769" s="31" t="s">
        <v>7349</v>
      </c>
      <c r="K6769" s="63"/>
      <c r="AE6769" s="31" t="s">
        <v>7241</v>
      </c>
      <c r="AF6769" s="31">
        <v>75</v>
      </c>
      <c r="AQ6769" s="32" t="s">
        <v>7333</v>
      </c>
      <c r="AU6769">
        <v>6768</v>
      </c>
    </row>
    <row r="6770" spans="1:47" x14ac:dyDescent="0.2">
      <c r="A6770" s="13">
        <v>6856</v>
      </c>
      <c r="B6770" s="57" t="s">
        <v>45</v>
      </c>
      <c r="C6770" s="57" t="s">
        <v>7338</v>
      </c>
      <c r="D6770" s="29"/>
      <c r="E6770" s="57" t="s">
        <v>7351</v>
      </c>
      <c r="F6770" s="31" t="s">
        <v>6354</v>
      </c>
      <c r="I6770" s="31" t="s">
        <v>7352</v>
      </c>
      <c r="K6770" s="63"/>
      <c r="Z6770" s="31" t="s">
        <v>3814</v>
      </c>
      <c r="AE6770" s="31" t="s">
        <v>5034</v>
      </c>
      <c r="AF6770" s="31">
        <v>110</v>
      </c>
      <c r="AQ6770" s="32" t="s">
        <v>7333</v>
      </c>
      <c r="AU6770">
        <v>6769</v>
      </c>
    </row>
    <row r="6771" spans="1:47" x14ac:dyDescent="0.2">
      <c r="A6771" s="133">
        <v>6857</v>
      </c>
      <c r="B6771" s="39" t="s">
        <v>85</v>
      </c>
      <c r="C6771" s="39">
        <v>99</v>
      </c>
      <c r="D6771" s="29" t="b">
        <v>0</v>
      </c>
      <c r="E6771" s="39" t="s">
        <v>1168</v>
      </c>
      <c r="F6771" s="47" t="s">
        <v>2398</v>
      </c>
      <c r="G6771" s="47" t="s">
        <v>49</v>
      </c>
      <c r="H6771"/>
      <c r="I6771" s="47" t="b">
        <v>0</v>
      </c>
      <c r="J6771" s="47" t="b">
        <v>1</v>
      </c>
      <c r="K6771" s="47">
        <v>2500</v>
      </c>
      <c r="L6771" s="48">
        <v>12</v>
      </c>
      <c r="M6771" s="47">
        <v>0</v>
      </c>
      <c r="N6771" s="47">
        <v>1</v>
      </c>
      <c r="O6771" s="47">
        <v>0</v>
      </c>
      <c r="P6771" s="47">
        <v>0</v>
      </c>
      <c r="Q6771" s="47">
        <v>0</v>
      </c>
      <c r="R6771" s="47">
        <v>0</v>
      </c>
      <c r="S6771" s="48">
        <v>11</v>
      </c>
      <c r="T6771" s="47">
        <v>0</v>
      </c>
      <c r="U6771" s="47">
        <v>0</v>
      </c>
      <c r="V6771" s="47">
        <v>0</v>
      </c>
      <c r="W6771" s="47">
        <v>11500</v>
      </c>
      <c r="X6771" s="47">
        <v>1139</v>
      </c>
      <c r="Y6771" s="47" t="s">
        <v>51</v>
      </c>
      <c r="Z6771" s="47" t="s">
        <v>5139</v>
      </c>
      <c r="AA6771" s="49">
        <v>0.3298611111111111</v>
      </c>
      <c r="AB6771" s="49">
        <v>0.40625</v>
      </c>
      <c r="AC6771" s="49">
        <v>0.3923611111111111</v>
      </c>
      <c r="AD6771" s="50">
        <f>(AB6771-AA6771)*24</f>
        <v>1.8333333333333335</v>
      </c>
      <c r="AE6771" s="47" t="s">
        <v>5433</v>
      </c>
      <c r="AF6771" s="47">
        <v>55</v>
      </c>
      <c r="AG6771"/>
      <c r="AH6771"/>
      <c r="AI6771"/>
      <c r="AJ6771"/>
      <c r="AK6771">
        <v>16</v>
      </c>
      <c r="AL6771"/>
      <c r="AM6771"/>
      <c r="AN6771"/>
      <c r="AO6771"/>
      <c r="AP6771"/>
      <c r="AQ6771" t="s">
        <v>2526</v>
      </c>
      <c r="AU6771">
        <v>6770</v>
      </c>
    </row>
    <row r="6772" spans="1:47" x14ac:dyDescent="0.2">
      <c r="A6772" s="133">
        <v>6857</v>
      </c>
      <c r="B6772" s="39" t="s">
        <v>85</v>
      </c>
      <c r="C6772" s="39">
        <v>104</v>
      </c>
      <c r="D6772" s="29" t="b">
        <v>0</v>
      </c>
      <c r="E6772" s="39" t="s">
        <v>1168</v>
      </c>
      <c r="F6772" s="47" t="s">
        <v>2398</v>
      </c>
      <c r="G6772" s="47" t="s">
        <v>49</v>
      </c>
      <c r="H6772"/>
      <c r="I6772" s="47" t="b">
        <v>0</v>
      </c>
      <c r="J6772" s="47" t="b">
        <v>1</v>
      </c>
      <c r="K6772" s="47">
        <v>2942</v>
      </c>
      <c r="L6772" s="48">
        <v>13</v>
      </c>
      <c r="M6772" s="47">
        <v>0</v>
      </c>
      <c r="N6772" s="47">
        <v>0</v>
      </c>
      <c r="O6772" s="47">
        <v>0</v>
      </c>
      <c r="P6772" s="47">
        <v>0</v>
      </c>
      <c r="Q6772" s="47">
        <v>0</v>
      </c>
      <c r="R6772" s="47">
        <v>0</v>
      </c>
      <c r="S6772" s="48">
        <v>13</v>
      </c>
      <c r="T6772" s="47">
        <v>0</v>
      </c>
      <c r="U6772" s="47">
        <v>0</v>
      </c>
      <c r="V6772" s="47">
        <v>0</v>
      </c>
      <c r="W6772" s="47">
        <v>11500</v>
      </c>
      <c r="X6772" s="47">
        <v>1142</v>
      </c>
      <c r="Y6772" s="47" t="s">
        <v>120</v>
      </c>
      <c r="Z6772" s="47" t="s">
        <v>5139</v>
      </c>
      <c r="AA6772" s="49">
        <v>0.3298611111111111</v>
      </c>
      <c r="AB6772" s="49">
        <v>0.40625</v>
      </c>
      <c r="AC6772" s="49">
        <v>0.3923611111111111</v>
      </c>
      <c r="AD6772" s="50">
        <f>(AB6772-AA6772)*24</f>
        <v>1.8333333333333335</v>
      </c>
      <c r="AE6772" s="47" t="s">
        <v>5433</v>
      </c>
      <c r="AF6772" s="47">
        <v>55</v>
      </c>
      <c r="AG6772"/>
      <c r="AH6772"/>
      <c r="AI6772"/>
      <c r="AJ6772"/>
      <c r="AK6772">
        <v>21</v>
      </c>
      <c r="AL6772"/>
      <c r="AM6772"/>
      <c r="AN6772"/>
      <c r="AO6772"/>
      <c r="AP6772"/>
      <c r="AQ6772" t="s">
        <v>5485</v>
      </c>
      <c r="AU6772">
        <v>6771</v>
      </c>
    </row>
    <row r="6773" spans="1:47" x14ac:dyDescent="0.2">
      <c r="A6773" s="37">
        <v>6857</v>
      </c>
      <c r="B6773" s="38" t="s">
        <v>85</v>
      </c>
      <c r="C6773" s="39" t="s">
        <v>4769</v>
      </c>
      <c r="D6773" s="29"/>
      <c r="E6773" s="38" t="s">
        <v>7425</v>
      </c>
      <c r="F6773" s="32" t="s">
        <v>7426</v>
      </c>
      <c r="G6773" s="17" t="s">
        <v>69</v>
      </c>
      <c r="H6773"/>
      <c r="I6773" s="18" t="s">
        <v>7427</v>
      </c>
      <c r="J6773" s="47"/>
      <c r="K6773" s="47">
        <f>33000*2.2</f>
        <v>72600</v>
      </c>
      <c r="L6773" s="48">
        <v>136</v>
      </c>
      <c r="M6773" s="47"/>
      <c r="N6773" s="47"/>
      <c r="O6773" s="47"/>
      <c r="P6773" s="47"/>
      <c r="Q6773" s="47"/>
      <c r="R6773" s="47"/>
      <c r="S6773" s="48"/>
      <c r="T6773" s="47">
        <v>1</v>
      </c>
      <c r="U6773" s="47"/>
      <c r="V6773" s="47"/>
      <c r="W6773" s="47"/>
      <c r="X6773" s="47"/>
      <c r="Y6773" s="47"/>
      <c r="Z6773" s="47"/>
      <c r="AA6773" s="49"/>
      <c r="AB6773" s="49"/>
      <c r="AC6773" s="49"/>
      <c r="AD6773" s="50"/>
      <c r="AE6773" s="47"/>
      <c r="AF6773" s="47"/>
      <c r="AG6773"/>
      <c r="AH6773"/>
      <c r="AI6773"/>
      <c r="AJ6773"/>
      <c r="AK6773"/>
      <c r="AL6773"/>
      <c r="AM6773"/>
      <c r="AN6773"/>
      <c r="AO6773"/>
      <c r="AP6773"/>
      <c r="AQ6773" t="s">
        <v>7384</v>
      </c>
      <c r="AU6773">
        <v>6772</v>
      </c>
    </row>
    <row r="6774" spans="1:47" x14ac:dyDescent="0.2">
      <c r="A6774" s="37">
        <v>6857</v>
      </c>
      <c r="B6774" s="38" t="s">
        <v>85</v>
      </c>
      <c r="C6774" s="39" t="s">
        <v>6990</v>
      </c>
      <c r="D6774" s="29"/>
      <c r="E6774" s="38" t="s">
        <v>7325</v>
      </c>
      <c r="F6774" s="32"/>
      <c r="G6774" s="47"/>
      <c r="H6774"/>
      <c r="I6774" s="32" t="s">
        <v>7428</v>
      </c>
      <c r="J6774" s="47"/>
      <c r="K6774" s="47"/>
      <c r="L6774" s="48">
        <v>10</v>
      </c>
      <c r="M6774" s="47"/>
      <c r="N6774" s="47"/>
      <c r="O6774" s="47"/>
      <c r="P6774" s="47"/>
      <c r="Q6774" s="47"/>
      <c r="R6774" s="47"/>
      <c r="S6774" s="48"/>
      <c r="T6774" s="47"/>
      <c r="U6774" s="47"/>
      <c r="V6774" s="47"/>
      <c r="W6774" s="47"/>
      <c r="X6774" s="47"/>
      <c r="Y6774" s="47"/>
      <c r="Z6774" s="47" t="s">
        <v>3618</v>
      </c>
      <c r="AA6774" s="49"/>
      <c r="AB6774" s="49"/>
      <c r="AC6774" s="49"/>
      <c r="AD6774" s="50"/>
      <c r="AE6774" s="47" t="s">
        <v>2743</v>
      </c>
      <c r="AF6774" s="47">
        <v>75</v>
      </c>
      <c r="AG6774"/>
      <c r="AH6774"/>
      <c r="AI6774"/>
      <c r="AJ6774"/>
      <c r="AK6774"/>
      <c r="AL6774"/>
      <c r="AM6774"/>
      <c r="AN6774"/>
      <c r="AO6774"/>
      <c r="AP6774"/>
      <c r="AQ6774"/>
      <c r="AU6774">
        <v>6773</v>
      </c>
    </row>
    <row r="6775" spans="1:47" x14ac:dyDescent="0.2">
      <c r="A6775" s="37">
        <v>6857</v>
      </c>
      <c r="B6775" s="38" t="s">
        <v>85</v>
      </c>
      <c r="C6775" s="39" t="s">
        <v>6997</v>
      </c>
      <c r="D6775" s="29"/>
      <c r="E6775" s="38" t="s">
        <v>7429</v>
      </c>
      <c r="F6775" s="32"/>
      <c r="G6775" s="47"/>
      <c r="H6775"/>
      <c r="I6775" s="32" t="s">
        <v>7430</v>
      </c>
      <c r="J6775" s="47"/>
      <c r="K6775" s="47"/>
      <c r="L6775" s="48">
        <v>13</v>
      </c>
      <c r="M6775" s="47"/>
      <c r="N6775" s="47"/>
      <c r="O6775" s="47"/>
      <c r="P6775" s="47"/>
      <c r="Q6775" s="47"/>
      <c r="R6775" s="47"/>
      <c r="S6775" s="48">
        <v>13</v>
      </c>
      <c r="T6775" s="47"/>
      <c r="U6775" s="47"/>
      <c r="V6775" s="47"/>
      <c r="W6775" s="47">
        <v>13000</v>
      </c>
      <c r="X6775" s="47"/>
      <c r="Y6775" s="47" t="s">
        <v>51</v>
      </c>
      <c r="Z6775" s="47" t="s">
        <v>3618</v>
      </c>
      <c r="AA6775" s="49">
        <v>0.59722222222222221</v>
      </c>
      <c r="AB6775" s="49">
        <v>0.67708333333333337</v>
      </c>
      <c r="AC6775" s="49">
        <f>AVERAGE(AA6775:AB6775)</f>
        <v>0.63715277777777779</v>
      </c>
      <c r="AD6775" s="50">
        <f>(AB6775-AA6775)*24</f>
        <v>1.9166666666666679</v>
      </c>
      <c r="AE6775" s="47" t="s">
        <v>2743</v>
      </c>
      <c r="AF6775" s="47">
        <v>75</v>
      </c>
      <c r="AG6775"/>
      <c r="AH6775"/>
      <c r="AI6775"/>
      <c r="AJ6775"/>
      <c r="AK6775">
        <v>26</v>
      </c>
      <c r="AL6775"/>
      <c r="AM6775"/>
      <c r="AN6775"/>
      <c r="AO6775"/>
      <c r="AP6775"/>
      <c r="AQ6775" t="s">
        <v>7167</v>
      </c>
      <c r="AU6775">
        <v>6774</v>
      </c>
    </row>
    <row r="6776" spans="1:47" x14ac:dyDescent="0.2">
      <c r="A6776" s="133">
        <v>6857</v>
      </c>
      <c r="B6776" s="39" t="s">
        <v>45</v>
      </c>
      <c r="C6776" s="39">
        <v>97</v>
      </c>
      <c r="D6776" s="29" t="b">
        <v>0</v>
      </c>
      <c r="E6776" s="39" t="s">
        <v>1168</v>
      </c>
      <c r="F6776" s="47" t="s">
        <v>2398</v>
      </c>
      <c r="G6776" s="47" t="s">
        <v>49</v>
      </c>
      <c r="H6776"/>
      <c r="I6776" s="47" t="b">
        <v>0</v>
      </c>
      <c r="J6776" s="47" t="b">
        <v>1</v>
      </c>
      <c r="K6776" s="47">
        <v>5104</v>
      </c>
      <c r="L6776" s="48">
        <v>7</v>
      </c>
      <c r="M6776" s="47">
        <v>2</v>
      </c>
      <c r="N6776" s="47">
        <v>1</v>
      </c>
      <c r="O6776" s="47">
        <v>1</v>
      </c>
      <c r="P6776" s="47">
        <v>3</v>
      </c>
      <c r="Q6776" s="47">
        <v>0</v>
      </c>
      <c r="R6776" s="47">
        <v>0</v>
      </c>
      <c r="S6776" s="48">
        <v>3</v>
      </c>
      <c r="T6776" s="47">
        <v>0</v>
      </c>
      <c r="U6776" s="47">
        <v>0</v>
      </c>
      <c r="V6776" s="47">
        <v>0</v>
      </c>
      <c r="W6776" s="47">
        <v>4700</v>
      </c>
      <c r="X6776" s="47">
        <v>1136</v>
      </c>
      <c r="Y6776" s="47"/>
      <c r="Z6776" s="47" t="s">
        <v>2466</v>
      </c>
      <c r="AA6776" s="49"/>
      <c r="AB6776" s="49"/>
      <c r="AC6776" s="49"/>
      <c r="AD6776" s="50"/>
      <c r="AE6776" s="47"/>
      <c r="AF6776" s="47"/>
      <c r="AG6776"/>
      <c r="AH6776"/>
      <c r="AI6776"/>
      <c r="AJ6776"/>
      <c r="AK6776"/>
      <c r="AL6776"/>
      <c r="AM6776"/>
      <c r="AN6776"/>
      <c r="AO6776"/>
      <c r="AP6776"/>
      <c r="AQ6776" t="s">
        <v>2526</v>
      </c>
      <c r="AU6776">
        <v>6775</v>
      </c>
    </row>
    <row r="6777" spans="1:47" x14ac:dyDescent="0.2">
      <c r="A6777" s="133">
        <v>6857</v>
      </c>
      <c r="B6777" s="39" t="s">
        <v>45</v>
      </c>
      <c r="C6777" s="39">
        <v>100</v>
      </c>
      <c r="D6777" s="29" t="b">
        <v>0</v>
      </c>
      <c r="E6777" s="39" t="s">
        <v>4823</v>
      </c>
      <c r="F6777" s="47" t="s">
        <v>2398</v>
      </c>
      <c r="G6777" s="47" t="s">
        <v>49</v>
      </c>
      <c r="H6777"/>
      <c r="I6777" s="47" t="b">
        <v>0</v>
      </c>
      <c r="J6777" s="47" t="b">
        <v>1</v>
      </c>
      <c r="K6777" s="47">
        <v>2892</v>
      </c>
      <c r="L6777" s="48">
        <v>5</v>
      </c>
      <c r="M6777" s="47">
        <v>3</v>
      </c>
      <c r="N6777" s="47">
        <v>0</v>
      </c>
      <c r="O6777" s="47">
        <v>0</v>
      </c>
      <c r="P6777" s="47">
        <v>2</v>
      </c>
      <c r="Q6777" s="47">
        <v>0</v>
      </c>
      <c r="R6777" s="47">
        <v>0</v>
      </c>
      <c r="S6777" s="48">
        <v>2</v>
      </c>
      <c r="T6777" s="47">
        <v>0</v>
      </c>
      <c r="U6777" s="47">
        <v>0</v>
      </c>
      <c r="V6777" s="47">
        <v>0</v>
      </c>
      <c r="W6777" s="47">
        <v>3500</v>
      </c>
      <c r="X6777" s="47">
        <v>1134</v>
      </c>
      <c r="Y6777" s="47"/>
      <c r="Z6777" s="47" t="s">
        <v>2466</v>
      </c>
      <c r="AA6777" s="49"/>
      <c r="AB6777" s="49"/>
      <c r="AC6777" s="49"/>
      <c r="AD6777" s="50"/>
      <c r="AE6777" s="47" t="s">
        <v>6445</v>
      </c>
      <c r="AF6777" s="47">
        <v>95</v>
      </c>
      <c r="AG6777"/>
      <c r="AH6777"/>
      <c r="AI6777"/>
      <c r="AJ6777"/>
      <c r="AK6777"/>
      <c r="AL6777"/>
      <c r="AM6777"/>
      <c r="AN6777"/>
      <c r="AO6777"/>
      <c r="AP6777"/>
      <c r="AQ6777" t="s">
        <v>2526</v>
      </c>
      <c r="AU6777">
        <v>6776</v>
      </c>
    </row>
    <row r="6778" spans="1:47" x14ac:dyDescent="0.2">
      <c r="A6778" s="133">
        <v>6857</v>
      </c>
      <c r="B6778" s="39" t="s">
        <v>45</v>
      </c>
      <c r="C6778" s="39">
        <v>115</v>
      </c>
      <c r="D6778" s="29" t="b">
        <v>0</v>
      </c>
      <c r="E6778" s="39" t="s">
        <v>7431</v>
      </c>
      <c r="F6778" s="47" t="s">
        <v>6795</v>
      </c>
      <c r="G6778" s="47" t="s">
        <v>49</v>
      </c>
      <c r="H6778"/>
      <c r="I6778" s="47" t="b">
        <v>1</v>
      </c>
      <c r="J6778" s="47" t="b">
        <v>1</v>
      </c>
      <c r="K6778" s="47">
        <v>7728</v>
      </c>
      <c r="L6778" s="48">
        <v>6</v>
      </c>
      <c r="M6778" s="47">
        <v>1</v>
      </c>
      <c r="N6778" s="47">
        <v>0</v>
      </c>
      <c r="O6778" s="47">
        <v>0</v>
      </c>
      <c r="P6778" s="47">
        <v>0</v>
      </c>
      <c r="Q6778" s="47">
        <v>0</v>
      </c>
      <c r="R6778" s="47">
        <v>0</v>
      </c>
      <c r="S6778" s="48">
        <v>5</v>
      </c>
      <c r="T6778" s="47">
        <v>0</v>
      </c>
      <c r="U6778" s="47">
        <v>0</v>
      </c>
      <c r="V6778" s="47">
        <v>0</v>
      </c>
      <c r="W6778" s="47">
        <v>2000</v>
      </c>
      <c r="X6778" s="47">
        <v>1132</v>
      </c>
      <c r="Y6778" s="47"/>
      <c r="Z6778" s="47" t="s">
        <v>2466</v>
      </c>
      <c r="AA6778" s="49"/>
      <c r="AB6778" s="49"/>
      <c r="AC6778" s="49"/>
      <c r="AD6778" s="50"/>
      <c r="AE6778" s="47" t="s">
        <v>7118</v>
      </c>
      <c r="AF6778" s="47">
        <v>95</v>
      </c>
      <c r="AG6778"/>
      <c r="AH6778"/>
      <c r="AI6778"/>
      <c r="AJ6778"/>
      <c r="AK6778"/>
      <c r="AL6778"/>
      <c r="AM6778"/>
      <c r="AN6778"/>
      <c r="AO6778"/>
      <c r="AP6778"/>
      <c r="AQ6778" t="s">
        <v>2526</v>
      </c>
      <c r="AR6778" s="32" t="s">
        <v>7119</v>
      </c>
      <c r="AU6778">
        <v>6777</v>
      </c>
    </row>
    <row r="6779" spans="1:47" x14ac:dyDescent="0.2">
      <c r="A6779" s="133">
        <v>6857</v>
      </c>
      <c r="B6779" s="39" t="s">
        <v>45</v>
      </c>
      <c r="C6779" s="39">
        <v>115</v>
      </c>
      <c r="D6779" s="29" t="b">
        <v>0</v>
      </c>
      <c r="E6779" s="39" t="s">
        <v>1551</v>
      </c>
      <c r="F6779" s="47" t="s">
        <v>529</v>
      </c>
      <c r="G6779" s="47" t="s">
        <v>205</v>
      </c>
      <c r="H6779"/>
      <c r="I6779" s="47" t="b">
        <v>0</v>
      </c>
      <c r="J6779" s="47" t="b">
        <v>0</v>
      </c>
      <c r="K6779" s="47">
        <v>1456</v>
      </c>
      <c r="L6779" s="48">
        <v>6</v>
      </c>
      <c r="M6779" s="47">
        <v>1</v>
      </c>
      <c r="N6779" s="47">
        <v>0</v>
      </c>
      <c r="O6779" s="47">
        <v>0</v>
      </c>
      <c r="P6779" s="47">
        <v>0</v>
      </c>
      <c r="Q6779" s="47">
        <v>0</v>
      </c>
      <c r="R6779" s="47">
        <v>0</v>
      </c>
      <c r="S6779" s="48">
        <v>1</v>
      </c>
      <c r="T6779" s="47">
        <v>0</v>
      </c>
      <c r="U6779" s="47">
        <v>0</v>
      </c>
      <c r="V6779" s="47">
        <v>0</v>
      </c>
      <c r="W6779" s="47">
        <v>2000</v>
      </c>
      <c r="X6779" s="47">
        <v>1138</v>
      </c>
      <c r="Y6779" s="47"/>
      <c r="Z6779" s="47" t="s">
        <v>2466</v>
      </c>
      <c r="AA6779" s="49"/>
      <c r="AB6779" s="49"/>
      <c r="AC6779" s="49"/>
      <c r="AD6779" s="50"/>
      <c r="AE6779" s="47" t="s">
        <v>7118</v>
      </c>
      <c r="AF6779" s="47">
        <v>55</v>
      </c>
      <c r="AG6779"/>
      <c r="AH6779"/>
      <c r="AI6779"/>
      <c r="AJ6779"/>
      <c r="AK6779"/>
      <c r="AL6779"/>
      <c r="AM6779"/>
      <c r="AN6779"/>
      <c r="AO6779"/>
      <c r="AP6779"/>
      <c r="AQ6779" t="s">
        <v>2526</v>
      </c>
      <c r="AR6779" s="32" t="s">
        <v>7119</v>
      </c>
      <c r="AU6779">
        <v>6778</v>
      </c>
    </row>
    <row r="6780" spans="1:47" x14ac:dyDescent="0.2">
      <c r="A6780" s="133">
        <v>6857</v>
      </c>
      <c r="B6780" s="39" t="s">
        <v>45</v>
      </c>
      <c r="C6780" s="39">
        <v>115</v>
      </c>
      <c r="D6780" s="29" t="b">
        <v>0</v>
      </c>
      <c r="E6780" s="39" t="s">
        <v>1764</v>
      </c>
      <c r="F6780" s="47" t="s">
        <v>2398</v>
      </c>
      <c r="G6780" s="47" t="s">
        <v>49</v>
      </c>
      <c r="H6780"/>
      <c r="I6780" s="47" t="b">
        <v>0</v>
      </c>
      <c r="J6780" s="47" t="b">
        <v>0</v>
      </c>
      <c r="K6780" s="47">
        <v>6272</v>
      </c>
      <c r="L6780" s="48">
        <v>6</v>
      </c>
      <c r="M6780" s="47">
        <v>1</v>
      </c>
      <c r="N6780" s="47">
        <v>0</v>
      </c>
      <c r="O6780" s="47">
        <v>0</v>
      </c>
      <c r="P6780" s="47">
        <v>0</v>
      </c>
      <c r="Q6780" s="47">
        <v>0</v>
      </c>
      <c r="R6780" s="47">
        <v>0</v>
      </c>
      <c r="S6780" s="48">
        <v>4</v>
      </c>
      <c r="T6780" s="47">
        <v>0</v>
      </c>
      <c r="U6780" s="47">
        <v>0</v>
      </c>
      <c r="V6780" s="47">
        <v>0</v>
      </c>
      <c r="W6780" s="47">
        <v>2000</v>
      </c>
      <c r="X6780" s="47">
        <v>1143</v>
      </c>
      <c r="Y6780" s="47"/>
      <c r="Z6780" s="47" t="s">
        <v>2466</v>
      </c>
      <c r="AA6780" s="49"/>
      <c r="AB6780" s="49"/>
      <c r="AC6780" s="49"/>
      <c r="AD6780" s="50"/>
      <c r="AE6780" s="47" t="s">
        <v>7118</v>
      </c>
      <c r="AF6780" s="47">
        <v>95</v>
      </c>
      <c r="AG6780"/>
      <c r="AH6780"/>
      <c r="AI6780"/>
      <c r="AJ6780"/>
      <c r="AK6780"/>
      <c r="AL6780"/>
      <c r="AM6780"/>
      <c r="AN6780"/>
      <c r="AO6780"/>
      <c r="AP6780"/>
      <c r="AQ6780" t="s">
        <v>2526</v>
      </c>
      <c r="AR6780" s="32" t="s">
        <v>7119</v>
      </c>
      <c r="AU6780">
        <v>6779</v>
      </c>
    </row>
    <row r="6781" spans="1:47" x14ac:dyDescent="0.2">
      <c r="A6781" s="133">
        <v>6857</v>
      </c>
      <c r="B6781" s="39" t="s">
        <v>45</v>
      </c>
      <c r="C6781" s="39">
        <v>215</v>
      </c>
      <c r="D6781" s="29" t="b">
        <v>0</v>
      </c>
      <c r="E6781" s="39" t="s">
        <v>7272</v>
      </c>
      <c r="F6781" s="47" t="s">
        <v>6795</v>
      </c>
      <c r="G6781" s="47" t="s">
        <v>205</v>
      </c>
      <c r="H6781"/>
      <c r="I6781" s="47" t="b">
        <v>1</v>
      </c>
      <c r="J6781" s="47" t="b">
        <v>1</v>
      </c>
      <c r="K6781" s="47">
        <v>3860</v>
      </c>
      <c r="L6781" s="48">
        <v>4</v>
      </c>
      <c r="M6781" s="47">
        <v>1</v>
      </c>
      <c r="N6781" s="47">
        <v>1</v>
      </c>
      <c r="O6781" s="47">
        <v>0</v>
      </c>
      <c r="P6781" s="47">
        <v>0</v>
      </c>
      <c r="Q6781" s="47">
        <v>0</v>
      </c>
      <c r="R6781" s="47">
        <v>0</v>
      </c>
      <c r="S6781" s="48">
        <v>2</v>
      </c>
      <c r="T6781" s="47">
        <v>0</v>
      </c>
      <c r="U6781" s="47">
        <v>0</v>
      </c>
      <c r="V6781" s="47">
        <v>0</v>
      </c>
      <c r="W6781" s="47">
        <v>2400</v>
      </c>
      <c r="X6781" s="47">
        <v>1144</v>
      </c>
      <c r="Y6781" s="47"/>
      <c r="Z6781" s="47" t="s">
        <v>2466</v>
      </c>
      <c r="AA6781" s="49"/>
      <c r="AB6781" s="49"/>
      <c r="AC6781" s="49"/>
      <c r="AD6781" s="50"/>
      <c r="AE6781" s="47"/>
      <c r="AF6781" s="47"/>
      <c r="AG6781"/>
      <c r="AH6781"/>
      <c r="AI6781"/>
      <c r="AJ6781"/>
      <c r="AK6781"/>
      <c r="AL6781"/>
      <c r="AM6781"/>
      <c r="AN6781"/>
      <c r="AO6781"/>
      <c r="AP6781"/>
      <c r="AQ6781" t="s">
        <v>2526</v>
      </c>
      <c r="AU6781">
        <v>6780</v>
      </c>
    </row>
    <row r="6782" spans="1:47" x14ac:dyDescent="0.2">
      <c r="A6782" s="133">
        <v>6857</v>
      </c>
      <c r="B6782" s="39" t="s">
        <v>45</v>
      </c>
      <c r="C6782" s="39">
        <v>215</v>
      </c>
      <c r="D6782" s="29" t="b">
        <v>0</v>
      </c>
      <c r="E6782" s="39" t="s">
        <v>1168</v>
      </c>
      <c r="F6782" s="47" t="s">
        <v>2398</v>
      </c>
      <c r="G6782" s="47" t="s">
        <v>49</v>
      </c>
      <c r="H6782"/>
      <c r="I6782" s="47" t="b">
        <v>0</v>
      </c>
      <c r="J6782" s="47" t="b">
        <v>0</v>
      </c>
      <c r="K6782" s="47">
        <v>1818</v>
      </c>
      <c r="L6782" s="48">
        <v>3</v>
      </c>
      <c r="M6782" s="47">
        <v>1</v>
      </c>
      <c r="N6782" s="47">
        <v>1</v>
      </c>
      <c r="O6782" s="47">
        <v>0</v>
      </c>
      <c r="P6782" s="47">
        <v>0</v>
      </c>
      <c r="Q6782" s="47">
        <v>0</v>
      </c>
      <c r="R6782" s="47">
        <v>0</v>
      </c>
      <c r="S6782" s="48">
        <v>1</v>
      </c>
      <c r="T6782" s="47">
        <v>0</v>
      </c>
      <c r="U6782" s="47">
        <v>0</v>
      </c>
      <c r="V6782" s="47">
        <v>0</v>
      </c>
      <c r="W6782" s="47">
        <v>2800</v>
      </c>
      <c r="X6782" s="47">
        <v>1145</v>
      </c>
      <c r="Y6782" s="47"/>
      <c r="Z6782" s="47" t="s">
        <v>2466</v>
      </c>
      <c r="AA6782" s="49"/>
      <c r="AB6782" s="49"/>
      <c r="AC6782" s="49"/>
      <c r="AD6782" s="50"/>
      <c r="AE6782" s="47"/>
      <c r="AF6782" s="47"/>
      <c r="AG6782"/>
      <c r="AH6782"/>
      <c r="AI6782"/>
      <c r="AJ6782"/>
      <c r="AK6782"/>
      <c r="AL6782"/>
      <c r="AM6782"/>
      <c r="AN6782"/>
      <c r="AO6782"/>
      <c r="AP6782"/>
      <c r="AQ6782" t="s">
        <v>2526</v>
      </c>
      <c r="AU6782">
        <v>6781</v>
      </c>
    </row>
    <row r="6783" spans="1:47" x14ac:dyDescent="0.2">
      <c r="A6783" s="133">
        <v>6857</v>
      </c>
      <c r="B6783" s="39" t="s">
        <v>45</v>
      </c>
      <c r="C6783" s="39">
        <v>215</v>
      </c>
      <c r="D6783" s="29" t="b">
        <v>0</v>
      </c>
      <c r="E6783" s="39" t="s">
        <v>649</v>
      </c>
      <c r="F6783" s="47" t="s">
        <v>529</v>
      </c>
      <c r="G6783" s="47" t="s">
        <v>205</v>
      </c>
      <c r="H6783"/>
      <c r="I6783" s="47" t="b">
        <v>0</v>
      </c>
      <c r="J6783" s="47" t="b">
        <v>0</v>
      </c>
      <c r="K6783" s="47">
        <v>2042</v>
      </c>
      <c r="L6783" s="48">
        <v>1</v>
      </c>
      <c r="M6783" s="47">
        <v>0</v>
      </c>
      <c r="N6783" s="47">
        <v>0</v>
      </c>
      <c r="O6783" s="47">
        <v>0</v>
      </c>
      <c r="P6783" s="47">
        <v>0</v>
      </c>
      <c r="Q6783" s="47">
        <v>0</v>
      </c>
      <c r="R6783" s="47">
        <v>0</v>
      </c>
      <c r="S6783" s="48">
        <v>1</v>
      </c>
      <c r="T6783" s="47">
        <v>0</v>
      </c>
      <c r="U6783" s="47">
        <v>0</v>
      </c>
      <c r="V6783" s="47">
        <v>0</v>
      </c>
      <c r="W6783" s="47">
        <v>2000</v>
      </c>
      <c r="X6783" s="47">
        <v>1140</v>
      </c>
      <c r="Y6783" s="47"/>
      <c r="Z6783" s="47" t="s">
        <v>2466</v>
      </c>
      <c r="AA6783" s="49"/>
      <c r="AB6783" s="49"/>
      <c r="AC6783" s="49"/>
      <c r="AD6783" s="50"/>
      <c r="AE6783" s="47"/>
      <c r="AF6783" s="47"/>
      <c r="AG6783"/>
      <c r="AH6783"/>
      <c r="AI6783"/>
      <c r="AJ6783"/>
      <c r="AK6783"/>
      <c r="AL6783"/>
      <c r="AM6783"/>
      <c r="AN6783"/>
      <c r="AO6783"/>
      <c r="AP6783"/>
      <c r="AQ6783" t="s">
        <v>2526</v>
      </c>
      <c r="AU6783">
        <v>6782</v>
      </c>
    </row>
    <row r="6784" spans="1:47" x14ac:dyDescent="0.2">
      <c r="A6784" s="133">
        <v>6857</v>
      </c>
      <c r="B6784" s="39" t="s">
        <v>45</v>
      </c>
      <c r="C6784" s="39">
        <v>216</v>
      </c>
      <c r="D6784" s="29" t="b">
        <v>0</v>
      </c>
      <c r="E6784" s="39" t="s">
        <v>7432</v>
      </c>
      <c r="F6784" s="47" t="s">
        <v>7433</v>
      </c>
      <c r="G6784" s="47" t="s">
        <v>49</v>
      </c>
      <c r="H6784"/>
      <c r="I6784" s="47" t="b">
        <v>1</v>
      </c>
      <c r="J6784" s="47" t="b">
        <v>1</v>
      </c>
      <c r="K6784" s="47">
        <v>7942</v>
      </c>
      <c r="L6784" s="48">
        <v>8</v>
      </c>
      <c r="M6784" s="47">
        <v>2</v>
      </c>
      <c r="N6784" s="47">
        <v>0</v>
      </c>
      <c r="O6784" s="47">
        <v>0</v>
      </c>
      <c r="P6784" s="47">
        <v>6</v>
      </c>
      <c r="Q6784" s="47">
        <v>0</v>
      </c>
      <c r="R6784" s="47">
        <v>0</v>
      </c>
      <c r="S6784" s="48">
        <v>6</v>
      </c>
      <c r="T6784" s="47">
        <v>0</v>
      </c>
      <c r="U6784" s="47">
        <v>0</v>
      </c>
      <c r="V6784" s="47">
        <v>0</v>
      </c>
      <c r="W6784" s="47">
        <v>5583</v>
      </c>
      <c r="X6784" s="47">
        <v>1141</v>
      </c>
      <c r="Y6784" s="47"/>
      <c r="Z6784" s="47" t="s">
        <v>2466</v>
      </c>
      <c r="AA6784" s="49"/>
      <c r="AB6784" s="49"/>
      <c r="AC6784" s="49"/>
      <c r="AD6784" s="50"/>
      <c r="AE6784" s="47" t="s">
        <v>1312</v>
      </c>
      <c r="AF6784" s="47">
        <v>85</v>
      </c>
      <c r="AG6784"/>
      <c r="AH6784"/>
      <c r="AI6784"/>
      <c r="AJ6784"/>
      <c r="AK6784"/>
      <c r="AL6784"/>
      <c r="AM6784"/>
      <c r="AN6784"/>
      <c r="AO6784"/>
      <c r="AP6784"/>
      <c r="AQ6784" t="s">
        <v>2526</v>
      </c>
      <c r="AU6784">
        <v>6783</v>
      </c>
    </row>
    <row r="6785" spans="1:47" x14ac:dyDescent="0.2">
      <c r="A6785" s="133">
        <v>6857</v>
      </c>
      <c r="B6785" s="39" t="s">
        <v>45</v>
      </c>
      <c r="C6785" s="39">
        <v>216</v>
      </c>
      <c r="D6785" s="29" t="b">
        <v>0</v>
      </c>
      <c r="E6785" s="39" t="s">
        <v>1168</v>
      </c>
      <c r="F6785" s="47" t="s">
        <v>2398</v>
      </c>
      <c r="G6785" s="47" t="s">
        <v>49</v>
      </c>
      <c r="H6785"/>
      <c r="I6785" s="47" t="b">
        <v>0</v>
      </c>
      <c r="J6785" s="47" t="b">
        <v>0</v>
      </c>
      <c r="K6785" s="47">
        <v>3238</v>
      </c>
      <c r="L6785" s="48">
        <v>8</v>
      </c>
      <c r="M6785" s="47">
        <v>2</v>
      </c>
      <c r="N6785" s="47">
        <v>0</v>
      </c>
      <c r="O6785" s="47">
        <v>0</v>
      </c>
      <c r="P6785" s="47">
        <v>6</v>
      </c>
      <c r="Q6785" s="47">
        <v>0</v>
      </c>
      <c r="R6785" s="47">
        <v>0</v>
      </c>
      <c r="S6785" s="48">
        <v>3</v>
      </c>
      <c r="T6785" s="47">
        <v>0</v>
      </c>
      <c r="U6785" s="47">
        <v>0</v>
      </c>
      <c r="V6785" s="47">
        <v>0</v>
      </c>
      <c r="W6785" s="47">
        <v>6000</v>
      </c>
      <c r="X6785" s="47">
        <v>1133</v>
      </c>
      <c r="Y6785" s="47"/>
      <c r="Z6785" s="47" t="s">
        <v>2466</v>
      </c>
      <c r="AA6785" s="49"/>
      <c r="AB6785" s="49"/>
      <c r="AC6785" s="49"/>
      <c r="AD6785" s="50"/>
      <c r="AE6785" s="47" t="s">
        <v>1312</v>
      </c>
      <c r="AF6785" s="47">
        <v>60</v>
      </c>
      <c r="AG6785"/>
      <c r="AH6785"/>
      <c r="AI6785"/>
      <c r="AJ6785"/>
      <c r="AK6785"/>
      <c r="AL6785"/>
      <c r="AM6785"/>
      <c r="AN6785"/>
      <c r="AO6785"/>
      <c r="AP6785"/>
      <c r="AQ6785" t="s">
        <v>2526</v>
      </c>
      <c r="AU6785">
        <v>6784</v>
      </c>
    </row>
    <row r="6786" spans="1:47" x14ac:dyDescent="0.2">
      <c r="A6786" s="133">
        <v>6857</v>
      </c>
      <c r="B6786" s="39" t="s">
        <v>45</v>
      </c>
      <c r="C6786" s="39">
        <v>216</v>
      </c>
      <c r="D6786" s="29" t="b">
        <v>0</v>
      </c>
      <c r="E6786" s="39" t="s">
        <v>4823</v>
      </c>
      <c r="F6786" s="47" t="s">
        <v>2398</v>
      </c>
      <c r="G6786" s="47" t="s">
        <v>49</v>
      </c>
      <c r="H6786"/>
      <c r="I6786" s="47" t="b">
        <v>0</v>
      </c>
      <c r="J6786" s="47" t="b">
        <v>0</v>
      </c>
      <c r="K6786" s="47">
        <v>3136</v>
      </c>
      <c r="L6786" s="48">
        <v>8</v>
      </c>
      <c r="M6786" s="47">
        <v>2</v>
      </c>
      <c r="N6786" s="47">
        <v>0</v>
      </c>
      <c r="O6786" s="47">
        <v>0</v>
      </c>
      <c r="P6786" s="47">
        <v>6</v>
      </c>
      <c r="Q6786" s="47">
        <v>0</v>
      </c>
      <c r="R6786" s="47">
        <v>0</v>
      </c>
      <c r="S6786" s="48">
        <v>2</v>
      </c>
      <c r="T6786" s="47">
        <v>0</v>
      </c>
      <c r="U6786" s="47">
        <v>0</v>
      </c>
      <c r="V6786" s="47">
        <v>0</v>
      </c>
      <c r="W6786" s="47">
        <v>6250</v>
      </c>
      <c r="X6786" s="47">
        <v>1135</v>
      </c>
      <c r="Y6786" s="47"/>
      <c r="Z6786" s="47" t="s">
        <v>2466</v>
      </c>
      <c r="AA6786" s="49"/>
      <c r="AB6786" s="49"/>
      <c r="AC6786" s="49"/>
      <c r="AD6786" s="50"/>
      <c r="AE6786" s="47" t="s">
        <v>1312</v>
      </c>
      <c r="AF6786" s="47">
        <v>70</v>
      </c>
      <c r="AG6786"/>
      <c r="AH6786"/>
      <c r="AI6786"/>
      <c r="AJ6786"/>
      <c r="AK6786"/>
      <c r="AL6786"/>
      <c r="AM6786"/>
      <c r="AN6786"/>
      <c r="AO6786"/>
      <c r="AP6786"/>
      <c r="AQ6786" t="s">
        <v>2526</v>
      </c>
      <c r="AU6786">
        <v>6785</v>
      </c>
    </row>
    <row r="6787" spans="1:47" x14ac:dyDescent="0.2">
      <c r="A6787" s="133">
        <v>6857</v>
      </c>
      <c r="B6787" s="39" t="s">
        <v>45</v>
      </c>
      <c r="C6787" s="39">
        <v>216</v>
      </c>
      <c r="D6787" s="29" t="b">
        <v>0</v>
      </c>
      <c r="E6787" s="39" t="s">
        <v>1764</v>
      </c>
      <c r="F6787" s="47" t="s">
        <v>7434</v>
      </c>
      <c r="G6787" s="47" t="s">
        <v>481</v>
      </c>
      <c r="H6787"/>
      <c r="I6787" s="47" t="b">
        <v>0</v>
      </c>
      <c r="J6787" s="47" t="b">
        <v>0</v>
      </c>
      <c r="K6787" s="47">
        <v>1568</v>
      </c>
      <c r="L6787" s="48">
        <v>8</v>
      </c>
      <c r="M6787" s="47">
        <v>2</v>
      </c>
      <c r="N6787" s="47">
        <v>0</v>
      </c>
      <c r="O6787" s="47">
        <v>0</v>
      </c>
      <c r="P6787" s="47">
        <v>6</v>
      </c>
      <c r="Q6787" s="47">
        <v>0</v>
      </c>
      <c r="R6787" s="47">
        <v>0</v>
      </c>
      <c r="S6787" s="48">
        <v>1</v>
      </c>
      <c r="T6787" s="47">
        <v>0</v>
      </c>
      <c r="U6787" s="47">
        <v>0</v>
      </c>
      <c r="V6787" s="47">
        <v>0</v>
      </c>
      <c r="W6787" s="47">
        <v>3000</v>
      </c>
      <c r="X6787" s="47">
        <v>1137</v>
      </c>
      <c r="Y6787" s="47"/>
      <c r="Z6787" s="47" t="s">
        <v>2466</v>
      </c>
      <c r="AA6787" s="49"/>
      <c r="AB6787" s="49"/>
      <c r="AC6787" s="49"/>
      <c r="AD6787" s="50"/>
      <c r="AE6787" s="47" t="s">
        <v>1312</v>
      </c>
      <c r="AF6787" s="31">
        <v>85</v>
      </c>
      <c r="AG6787"/>
      <c r="AH6787"/>
      <c r="AI6787"/>
      <c r="AJ6787"/>
      <c r="AK6787"/>
      <c r="AL6787"/>
      <c r="AM6787"/>
      <c r="AN6787"/>
      <c r="AO6787"/>
      <c r="AP6787"/>
      <c r="AQ6787" t="s">
        <v>2526</v>
      </c>
      <c r="AU6787">
        <v>6786</v>
      </c>
    </row>
    <row r="6788" spans="1:47" x14ac:dyDescent="0.2">
      <c r="A6788" s="13">
        <v>6857</v>
      </c>
      <c r="B6788" s="57" t="s">
        <v>45</v>
      </c>
      <c r="C6788" s="57" t="s">
        <v>4179</v>
      </c>
      <c r="D6788" s="29"/>
      <c r="E6788" s="57" t="s">
        <v>4197</v>
      </c>
      <c r="F6788" s="31" t="s">
        <v>204</v>
      </c>
      <c r="G6788" s="31" t="s">
        <v>205</v>
      </c>
      <c r="K6788" s="31">
        <v>550</v>
      </c>
      <c r="Z6788" s="31" t="s">
        <v>3814</v>
      </c>
      <c r="AE6788" s="31" t="s">
        <v>5034</v>
      </c>
      <c r="AF6788" s="31">
        <v>80</v>
      </c>
      <c r="AK6788" s="32">
        <v>8</v>
      </c>
      <c r="AQ6788" s="32" t="s">
        <v>7333</v>
      </c>
      <c r="AU6788">
        <v>6787</v>
      </c>
    </row>
    <row r="6789" spans="1:47" x14ac:dyDescent="0.2">
      <c r="A6789" s="13">
        <v>6857</v>
      </c>
      <c r="B6789" s="57" t="s">
        <v>45</v>
      </c>
      <c r="C6789" s="57" t="s">
        <v>1367</v>
      </c>
      <c r="D6789" s="29"/>
      <c r="E6789" s="57" t="s">
        <v>3063</v>
      </c>
      <c r="F6789" s="31" t="s">
        <v>76</v>
      </c>
      <c r="G6789" s="31" t="s">
        <v>49</v>
      </c>
      <c r="K6789" s="31">
        <v>4620</v>
      </c>
      <c r="AE6789" s="31" t="s">
        <v>4176</v>
      </c>
      <c r="AF6789" s="31">
        <v>100</v>
      </c>
      <c r="AK6789" s="32">
        <v>42</v>
      </c>
      <c r="AQ6789" s="32" t="s">
        <v>7335</v>
      </c>
      <c r="AU6789">
        <v>6788</v>
      </c>
    </row>
    <row r="6790" spans="1:47" x14ac:dyDescent="0.2">
      <c r="A6790" s="13">
        <v>6857</v>
      </c>
      <c r="B6790" s="57" t="s">
        <v>45</v>
      </c>
      <c r="C6790" s="57" t="s">
        <v>1367</v>
      </c>
      <c r="D6790" s="29"/>
      <c r="E6790" s="57" t="s">
        <v>2191</v>
      </c>
      <c r="F6790" s="31" t="s">
        <v>76</v>
      </c>
      <c r="G6790" s="31" t="s">
        <v>49</v>
      </c>
      <c r="K6790" s="31">
        <v>4844.3999999999996</v>
      </c>
      <c r="AE6790" s="31" t="s">
        <v>4176</v>
      </c>
      <c r="AF6790" s="31">
        <v>80</v>
      </c>
      <c r="AK6790" s="32">
        <v>54</v>
      </c>
      <c r="AQ6790" s="32" t="s">
        <v>7335</v>
      </c>
      <c r="AU6790">
        <v>6789</v>
      </c>
    </row>
    <row r="6791" spans="1:47" x14ac:dyDescent="0.2">
      <c r="A6791" s="26">
        <v>6857</v>
      </c>
      <c r="B6791" s="27">
        <v>0.4236111111111111</v>
      </c>
      <c r="C6791" s="28"/>
      <c r="D6791" s="29"/>
      <c r="E6791" s="30" t="s">
        <v>1124</v>
      </c>
      <c r="H6791" s="32">
        <v>1</v>
      </c>
      <c r="I6791" s="32" t="s">
        <v>1246</v>
      </c>
      <c r="AG6791" s="32">
        <v>0</v>
      </c>
      <c r="AH6791" s="32">
        <v>0</v>
      </c>
      <c r="AK6791" s="32">
        <v>9</v>
      </c>
      <c r="AL6791" s="32">
        <v>0.25</v>
      </c>
      <c r="AO6791" s="46" t="s">
        <v>1126</v>
      </c>
      <c r="AP6791" s="32">
        <v>0.25</v>
      </c>
      <c r="AQ6791" s="32" t="s">
        <v>589</v>
      </c>
      <c r="AU6791">
        <v>6790</v>
      </c>
    </row>
    <row r="6792" spans="1:47" x14ac:dyDescent="0.2">
      <c r="A6792" s="26">
        <v>6857</v>
      </c>
      <c r="B6792" s="27">
        <v>0.84375</v>
      </c>
      <c r="C6792" s="28"/>
      <c r="D6792" s="29"/>
      <c r="E6792" s="30" t="s">
        <v>1282</v>
      </c>
      <c r="H6792" s="32">
        <v>1</v>
      </c>
      <c r="I6792" s="32" t="s">
        <v>7435</v>
      </c>
      <c r="AG6792" s="32">
        <v>0</v>
      </c>
      <c r="AH6792" s="32">
        <v>1</v>
      </c>
      <c r="AL6792" s="32">
        <f>3+1/3</f>
        <v>3.3333333333333335</v>
      </c>
      <c r="AP6792" s="32">
        <f>3+1/3</f>
        <v>3.3333333333333335</v>
      </c>
      <c r="AQ6792" s="32" t="s">
        <v>1101</v>
      </c>
      <c r="AU6792">
        <v>6791</v>
      </c>
    </row>
    <row r="6793" spans="1:47" x14ac:dyDescent="0.2">
      <c r="A6793" s="26">
        <v>6857</v>
      </c>
      <c r="B6793" s="27">
        <v>0.875</v>
      </c>
      <c r="C6793" s="28"/>
      <c r="D6793" s="29"/>
      <c r="E6793" s="30" t="s">
        <v>4219</v>
      </c>
      <c r="H6793" s="32">
        <v>0</v>
      </c>
      <c r="I6793" s="32" t="s">
        <v>4249</v>
      </c>
      <c r="AG6793" s="32">
        <v>0</v>
      </c>
      <c r="AH6793" s="32">
        <v>0</v>
      </c>
      <c r="AI6793" s="32">
        <v>0</v>
      </c>
      <c r="AK6793" s="32">
        <v>0</v>
      </c>
      <c r="AL6793" s="32">
        <v>0.25</v>
      </c>
      <c r="AO6793" s="32" t="s">
        <v>858</v>
      </c>
      <c r="AP6793" s="32">
        <v>0.25</v>
      </c>
      <c r="AQ6793" s="32" t="s">
        <v>1101</v>
      </c>
      <c r="AU6793">
        <v>6792</v>
      </c>
    </row>
    <row r="6794" spans="1:47" x14ac:dyDescent="0.2">
      <c r="A6794" s="26">
        <v>6857</v>
      </c>
      <c r="B6794" s="27">
        <v>0.875</v>
      </c>
      <c r="C6794" s="28"/>
      <c r="D6794" s="29"/>
      <c r="E6794" s="30" t="s">
        <v>3737</v>
      </c>
      <c r="H6794" s="32">
        <v>0</v>
      </c>
      <c r="I6794" s="32" t="s">
        <v>4926</v>
      </c>
      <c r="AG6794" s="32">
        <v>0</v>
      </c>
      <c r="AH6794" s="32">
        <v>0</v>
      </c>
      <c r="AI6794" s="32">
        <v>0</v>
      </c>
      <c r="AK6794" s="32">
        <v>0</v>
      </c>
      <c r="AM6794" s="74"/>
      <c r="AQ6794" s="32" t="s">
        <v>1101</v>
      </c>
      <c r="AU6794">
        <v>6793</v>
      </c>
    </row>
    <row r="6795" spans="1:47" x14ac:dyDescent="0.2">
      <c r="A6795" s="26">
        <v>6857</v>
      </c>
      <c r="B6795" s="27">
        <v>0.88541666666666663</v>
      </c>
      <c r="C6795" s="28"/>
      <c r="D6795" s="29"/>
      <c r="E6795" s="30" t="s">
        <v>464</v>
      </c>
      <c r="H6795" s="32">
        <v>1</v>
      </c>
      <c r="I6795" s="32" t="s">
        <v>7436</v>
      </c>
      <c r="AG6795" s="32">
        <v>0</v>
      </c>
      <c r="AH6795" s="32">
        <v>0</v>
      </c>
      <c r="AK6795" s="32">
        <f>5+2</f>
        <v>7</v>
      </c>
      <c r="AL6795" s="32">
        <f>2+43/60</f>
        <v>2.7166666666666668</v>
      </c>
      <c r="AO6795" s="32" t="s">
        <v>3085</v>
      </c>
      <c r="AP6795" s="32">
        <f>2+43/60</f>
        <v>2.7166666666666668</v>
      </c>
      <c r="AQ6795" s="32" t="s">
        <v>7437</v>
      </c>
      <c r="AU6795">
        <v>6794</v>
      </c>
    </row>
    <row r="6796" spans="1:47" x14ac:dyDescent="0.2">
      <c r="A6796" s="26">
        <v>6857</v>
      </c>
      <c r="B6796" s="27">
        <v>0.88888888888888884</v>
      </c>
      <c r="C6796" s="28"/>
      <c r="D6796" s="29"/>
      <c r="E6796" s="102" t="s">
        <v>1102</v>
      </c>
      <c r="H6796" s="32">
        <v>0</v>
      </c>
      <c r="I6796" s="32" t="s">
        <v>1103</v>
      </c>
      <c r="AG6796" s="32">
        <v>0</v>
      </c>
      <c r="AH6796" s="32">
        <v>0</v>
      </c>
      <c r="AI6796" s="32">
        <v>0</v>
      </c>
      <c r="AK6796" s="32">
        <v>0</v>
      </c>
      <c r="AL6796" s="32">
        <v>0.33300000000000002</v>
      </c>
      <c r="AO6796" s="73" t="s">
        <v>1006</v>
      </c>
      <c r="AP6796" s="32">
        <v>0.33300000000000002</v>
      </c>
      <c r="AQ6796" s="32" t="s">
        <v>589</v>
      </c>
      <c r="AU6796">
        <v>6795</v>
      </c>
    </row>
    <row r="6797" spans="1:47" x14ac:dyDescent="0.2">
      <c r="A6797" s="26">
        <v>6857</v>
      </c>
      <c r="B6797" s="27" t="s">
        <v>85</v>
      </c>
      <c r="C6797" s="28"/>
      <c r="D6797" s="29"/>
      <c r="E6797" s="30" t="s">
        <v>586</v>
      </c>
      <c r="H6797" s="32">
        <v>1</v>
      </c>
      <c r="I6797" s="32" t="s">
        <v>7438</v>
      </c>
      <c r="AI6797" s="32">
        <v>591</v>
      </c>
      <c r="AO6797" s="46" t="s">
        <v>588</v>
      </c>
      <c r="AQ6797" s="32" t="s">
        <v>589</v>
      </c>
      <c r="AU6797">
        <v>6796</v>
      </c>
    </row>
    <row r="6798" spans="1:47" x14ac:dyDescent="0.2">
      <c r="A6798" s="26">
        <v>6857</v>
      </c>
      <c r="B6798" s="27" t="s">
        <v>45</v>
      </c>
      <c r="C6798" s="28"/>
      <c r="D6798" s="29"/>
      <c r="E6798" s="30" t="s">
        <v>1461</v>
      </c>
      <c r="H6798" s="32">
        <v>1</v>
      </c>
      <c r="I6798" s="32" t="s">
        <v>7439</v>
      </c>
      <c r="AG6798" s="32">
        <v>0</v>
      </c>
      <c r="AH6798" s="32">
        <v>0</v>
      </c>
      <c r="AI6798" s="32">
        <v>60</v>
      </c>
      <c r="AK6798" s="32">
        <v>7</v>
      </c>
      <c r="AO6798" s="32" t="s">
        <v>1463</v>
      </c>
      <c r="AQ6798" s="32">
        <v>404</v>
      </c>
      <c r="AU6798">
        <v>6797</v>
      </c>
    </row>
    <row r="6799" spans="1:47" x14ac:dyDescent="0.2">
      <c r="A6799" s="26">
        <v>6857</v>
      </c>
      <c r="B6799" s="27" t="s">
        <v>45</v>
      </c>
      <c r="C6799" s="28"/>
      <c r="D6799" s="29"/>
      <c r="E6799" s="30" t="s">
        <v>364</v>
      </c>
      <c r="H6799" s="32">
        <v>1</v>
      </c>
      <c r="I6799" s="32" t="s">
        <v>7440</v>
      </c>
      <c r="AI6799" s="32">
        <v>1000000</v>
      </c>
      <c r="AL6799" s="32">
        <f>4*24</f>
        <v>96</v>
      </c>
      <c r="AQ6799" s="32" t="s">
        <v>7441</v>
      </c>
      <c r="AU6799">
        <v>6798</v>
      </c>
    </row>
    <row r="6800" spans="1:47" x14ac:dyDescent="0.2">
      <c r="A6800" s="26">
        <v>6857</v>
      </c>
      <c r="B6800" s="27" t="s">
        <v>45</v>
      </c>
      <c r="C6800" s="28"/>
      <c r="D6800" s="29"/>
      <c r="E6800" s="30" t="s">
        <v>1531</v>
      </c>
      <c r="H6800" s="32">
        <v>0</v>
      </c>
      <c r="I6800" s="32" t="s">
        <v>1706</v>
      </c>
      <c r="AG6800" s="32">
        <v>0</v>
      </c>
      <c r="AH6800" s="32">
        <v>0</v>
      </c>
      <c r="AI6800" s="32">
        <v>0</v>
      </c>
      <c r="AK6800" s="32">
        <v>0</v>
      </c>
      <c r="AM6800" s="32">
        <f>498*44</f>
        <v>21912</v>
      </c>
      <c r="AO6800" s="32" t="s">
        <v>1533</v>
      </c>
      <c r="AQ6800" s="32" t="s">
        <v>1101</v>
      </c>
      <c r="AU6800">
        <v>6799</v>
      </c>
    </row>
    <row r="6801" spans="1:47" x14ac:dyDescent="0.2">
      <c r="A6801" s="26">
        <v>6857</v>
      </c>
      <c r="B6801" s="27" t="s">
        <v>45</v>
      </c>
      <c r="C6801" s="28"/>
      <c r="D6801" s="29"/>
      <c r="E6801" s="150" t="s">
        <v>2286</v>
      </c>
      <c r="H6801" s="32">
        <v>0</v>
      </c>
      <c r="I6801" s="32" t="s">
        <v>1824</v>
      </c>
      <c r="AG6801" s="32">
        <v>0</v>
      </c>
      <c r="AH6801" s="32">
        <v>0</v>
      </c>
      <c r="AI6801" s="32">
        <v>0</v>
      </c>
      <c r="AK6801" s="32">
        <v>0</v>
      </c>
      <c r="AM6801" s="32">
        <v>3500</v>
      </c>
      <c r="AO6801" s="73" t="s">
        <v>75</v>
      </c>
      <c r="AQ6801" s="32" t="s">
        <v>589</v>
      </c>
      <c r="AU6801">
        <v>6800</v>
      </c>
    </row>
    <row r="6802" spans="1:47" x14ac:dyDescent="0.2">
      <c r="A6802" s="26">
        <v>6857</v>
      </c>
      <c r="B6802" s="27"/>
      <c r="C6802" s="28"/>
      <c r="D6802" s="29"/>
      <c r="E6802" s="102" t="s">
        <v>1421</v>
      </c>
      <c r="H6802" s="32">
        <v>1</v>
      </c>
      <c r="I6802" s="32" t="s">
        <v>1422</v>
      </c>
      <c r="AK6802" s="32">
        <v>7</v>
      </c>
      <c r="AO6802" s="73"/>
      <c r="AQ6802" s="32" t="s">
        <v>589</v>
      </c>
      <c r="AU6802">
        <v>6801</v>
      </c>
    </row>
    <row r="6803" spans="1:47" x14ac:dyDescent="0.2">
      <c r="A6803" s="133">
        <v>6858</v>
      </c>
      <c r="B6803" s="39" t="s">
        <v>85</v>
      </c>
      <c r="C6803" s="39">
        <v>99</v>
      </c>
      <c r="D6803" s="29" t="b">
        <v>0</v>
      </c>
      <c r="E6803" s="39" t="s">
        <v>1168</v>
      </c>
      <c r="F6803" s="47" t="s">
        <v>2398</v>
      </c>
      <c r="G6803" s="47" t="s">
        <v>49</v>
      </c>
      <c r="H6803"/>
      <c r="I6803" s="47" t="b">
        <v>0</v>
      </c>
      <c r="J6803" s="47" t="b">
        <v>1</v>
      </c>
      <c r="K6803" s="47">
        <v>1822</v>
      </c>
      <c r="L6803" s="48">
        <v>12</v>
      </c>
      <c r="M6803" s="47">
        <v>0</v>
      </c>
      <c r="N6803" s="47">
        <v>4</v>
      </c>
      <c r="O6803" s="47">
        <v>0</v>
      </c>
      <c r="P6803" s="47">
        <v>0</v>
      </c>
      <c r="Q6803" s="47">
        <v>0</v>
      </c>
      <c r="R6803" s="47">
        <v>0</v>
      </c>
      <c r="S6803" s="48">
        <v>8</v>
      </c>
      <c r="T6803" s="47">
        <v>0</v>
      </c>
      <c r="U6803" s="47">
        <v>0</v>
      </c>
      <c r="V6803" s="47">
        <v>0</v>
      </c>
      <c r="W6803" s="47">
        <v>11000</v>
      </c>
      <c r="X6803" s="47">
        <v>1148</v>
      </c>
      <c r="Y6803" s="47" t="s">
        <v>51</v>
      </c>
      <c r="Z6803" s="47" t="s">
        <v>5139</v>
      </c>
      <c r="AA6803" s="49">
        <v>0.53472222222222221</v>
      </c>
      <c r="AB6803" s="49">
        <v>0.61111111111111105</v>
      </c>
      <c r="AC6803" s="49">
        <v>0.59722222222222221</v>
      </c>
      <c r="AD6803" s="50">
        <f>(AB6803-AA6803)*24</f>
        <v>1.8333333333333321</v>
      </c>
      <c r="AE6803" s="47" t="s">
        <v>5433</v>
      </c>
      <c r="AF6803" s="47">
        <v>55</v>
      </c>
      <c r="AG6803"/>
      <c r="AH6803"/>
      <c r="AI6803"/>
      <c r="AJ6803"/>
      <c r="AK6803">
        <v>11</v>
      </c>
      <c r="AL6803"/>
      <c r="AM6803"/>
      <c r="AN6803"/>
      <c r="AO6803"/>
      <c r="AP6803"/>
      <c r="AQ6803" t="s">
        <v>2526</v>
      </c>
      <c r="AU6803">
        <v>6802</v>
      </c>
    </row>
    <row r="6804" spans="1:47" x14ac:dyDescent="0.2">
      <c r="A6804" s="133">
        <v>6858</v>
      </c>
      <c r="B6804" s="39" t="s">
        <v>85</v>
      </c>
      <c r="C6804" s="39">
        <v>104</v>
      </c>
      <c r="D6804" s="29" t="b">
        <v>0</v>
      </c>
      <c r="E6804" s="39" t="s">
        <v>1168</v>
      </c>
      <c r="F6804" s="47" t="s">
        <v>2398</v>
      </c>
      <c r="G6804" s="47" t="s">
        <v>49</v>
      </c>
      <c r="H6804"/>
      <c r="I6804" s="47" t="b">
        <v>0</v>
      </c>
      <c r="J6804" s="47" t="b">
        <v>1</v>
      </c>
      <c r="K6804" s="47">
        <v>2724</v>
      </c>
      <c r="L6804" s="48">
        <v>12</v>
      </c>
      <c r="M6804" s="47">
        <v>0</v>
      </c>
      <c r="N6804" s="47">
        <v>0</v>
      </c>
      <c r="O6804" s="47">
        <v>0</v>
      </c>
      <c r="P6804" s="47">
        <v>0</v>
      </c>
      <c r="Q6804" s="47">
        <v>0</v>
      </c>
      <c r="R6804" s="47">
        <v>0</v>
      </c>
      <c r="S6804" s="48">
        <v>12</v>
      </c>
      <c r="T6804" s="47">
        <v>0</v>
      </c>
      <c r="U6804" s="47">
        <v>0</v>
      </c>
      <c r="V6804" s="47">
        <v>0</v>
      </c>
      <c r="W6804" s="47">
        <v>11500</v>
      </c>
      <c r="X6804" s="47">
        <v>1146</v>
      </c>
      <c r="Y6804" s="47" t="s">
        <v>120</v>
      </c>
      <c r="Z6804" s="47" t="s">
        <v>5139</v>
      </c>
      <c r="AA6804" s="49">
        <v>0.53125</v>
      </c>
      <c r="AB6804" s="49">
        <v>0.625</v>
      </c>
      <c r="AC6804" s="49">
        <v>0.59722222222222221</v>
      </c>
      <c r="AD6804" s="50">
        <f>(AB6804-AA6804)*24</f>
        <v>2.25</v>
      </c>
      <c r="AE6804" s="47" t="s">
        <v>5433</v>
      </c>
      <c r="AF6804" s="47">
        <v>55</v>
      </c>
      <c r="AG6804"/>
      <c r="AH6804"/>
      <c r="AI6804"/>
      <c r="AJ6804"/>
      <c r="AK6804">
        <v>18</v>
      </c>
      <c r="AL6804"/>
      <c r="AM6804"/>
      <c r="AN6804"/>
      <c r="AO6804"/>
      <c r="AP6804"/>
      <c r="AQ6804" t="s">
        <v>5485</v>
      </c>
      <c r="AU6804">
        <v>6803</v>
      </c>
    </row>
    <row r="6805" spans="1:47" x14ac:dyDescent="0.2">
      <c r="A6805" s="37">
        <v>6858</v>
      </c>
      <c r="B6805" s="38" t="s">
        <v>85</v>
      </c>
      <c r="C6805" s="39" t="s">
        <v>4769</v>
      </c>
      <c r="D6805" s="29"/>
      <c r="E6805" s="38" t="s">
        <v>1088</v>
      </c>
      <c r="F6805" s="32" t="s">
        <v>7442</v>
      </c>
      <c r="G6805" s="47"/>
      <c r="H6805"/>
      <c r="I6805" s="32" t="s">
        <v>7443</v>
      </c>
      <c r="J6805" s="47"/>
      <c r="K6805" s="47">
        <f>36000*2.2</f>
        <v>79200</v>
      </c>
      <c r="L6805" s="48">
        <v>148</v>
      </c>
      <c r="M6805" s="47"/>
      <c r="N6805" s="47"/>
      <c r="O6805" s="47"/>
      <c r="P6805" s="47"/>
      <c r="Q6805" s="47"/>
      <c r="R6805" s="47"/>
      <c r="S6805" s="48"/>
      <c r="T6805" s="47"/>
      <c r="U6805" s="47"/>
      <c r="V6805" s="47"/>
      <c r="W6805" s="47"/>
      <c r="X6805" s="47"/>
      <c r="Y6805" s="47"/>
      <c r="Z6805" s="47"/>
      <c r="AA6805" s="49"/>
      <c r="AB6805" s="49"/>
      <c r="AC6805" s="49"/>
      <c r="AD6805" s="50"/>
      <c r="AE6805" s="47"/>
      <c r="AF6805" s="47"/>
      <c r="AG6805"/>
      <c r="AH6805"/>
      <c r="AI6805"/>
      <c r="AJ6805"/>
      <c r="AK6805"/>
      <c r="AL6805"/>
      <c r="AM6805"/>
      <c r="AN6805"/>
      <c r="AO6805"/>
      <c r="AP6805"/>
      <c r="AQ6805" t="s">
        <v>7444</v>
      </c>
      <c r="AU6805">
        <v>6804</v>
      </c>
    </row>
    <row r="6806" spans="1:47" x14ac:dyDescent="0.2">
      <c r="A6806" s="37">
        <v>6858</v>
      </c>
      <c r="B6806" s="38" t="s">
        <v>85</v>
      </c>
      <c r="C6806" s="206" t="s">
        <v>6990</v>
      </c>
      <c r="D6806" s="29"/>
      <c r="E6806" s="38" t="s">
        <v>7445</v>
      </c>
      <c r="F6806" s="32"/>
      <c r="G6806" s="47"/>
      <c r="H6806"/>
      <c r="I6806" s="32" t="s">
        <v>7446</v>
      </c>
      <c r="J6806" s="47"/>
      <c r="K6806" s="47"/>
      <c r="L6806" s="48"/>
      <c r="M6806" s="47"/>
      <c r="N6806" s="47"/>
      <c r="O6806" s="47"/>
      <c r="P6806" s="47"/>
      <c r="Q6806" s="47"/>
      <c r="R6806" s="47"/>
      <c r="S6806" s="48">
        <v>8</v>
      </c>
      <c r="T6806" s="47"/>
      <c r="U6806" s="47"/>
      <c r="V6806" s="47"/>
      <c r="W6806" s="47"/>
      <c r="X6806" s="47"/>
      <c r="Y6806" s="47"/>
      <c r="Z6806" s="47" t="s">
        <v>3618</v>
      </c>
      <c r="AA6806" s="49"/>
      <c r="AB6806" s="49"/>
      <c r="AC6806" s="49"/>
      <c r="AD6806" s="50"/>
      <c r="AE6806" s="47" t="s">
        <v>2743</v>
      </c>
      <c r="AF6806" s="47">
        <v>80</v>
      </c>
      <c r="AG6806"/>
      <c r="AH6806"/>
      <c r="AI6806"/>
      <c r="AJ6806"/>
      <c r="AK6806"/>
      <c r="AL6806"/>
      <c r="AM6806"/>
      <c r="AN6806"/>
      <c r="AO6806"/>
      <c r="AP6806"/>
      <c r="AQ6806"/>
      <c r="AU6806">
        <v>6805</v>
      </c>
    </row>
    <row r="6807" spans="1:47" x14ac:dyDescent="0.2">
      <c r="A6807" s="37">
        <v>6858</v>
      </c>
      <c r="B6807" s="38" t="s">
        <v>85</v>
      </c>
      <c r="C6807" s="206" t="s">
        <v>7447</v>
      </c>
      <c r="D6807" s="29"/>
      <c r="E6807" s="38" t="s">
        <v>1347</v>
      </c>
      <c r="F6807" s="32"/>
      <c r="G6807" s="47"/>
      <c r="H6807"/>
      <c r="I6807" s="32" t="s">
        <v>7448</v>
      </c>
      <c r="J6807" s="47"/>
      <c r="K6807" s="47"/>
      <c r="L6807" s="48">
        <v>13</v>
      </c>
      <c r="M6807" s="47"/>
      <c r="N6807" s="47"/>
      <c r="O6807" s="47"/>
      <c r="P6807" s="47"/>
      <c r="Q6807" s="47"/>
      <c r="R6807" s="47"/>
      <c r="S6807" s="48">
        <v>7</v>
      </c>
      <c r="T6807" s="47"/>
      <c r="U6807" s="47"/>
      <c r="V6807" s="47"/>
      <c r="W6807" s="47"/>
      <c r="X6807" s="47"/>
      <c r="Y6807" s="47"/>
      <c r="Z6807" s="47" t="s">
        <v>7262</v>
      </c>
      <c r="AA6807" s="49">
        <v>0.29166666666666669</v>
      </c>
      <c r="AB6807" s="49"/>
      <c r="AC6807" s="49"/>
      <c r="AD6807" s="50"/>
      <c r="AE6807" s="47" t="s">
        <v>2743</v>
      </c>
      <c r="AF6807" s="47">
        <v>80</v>
      </c>
      <c r="AG6807"/>
      <c r="AH6807"/>
      <c r="AI6807"/>
      <c r="AJ6807"/>
      <c r="AK6807"/>
      <c r="AL6807"/>
      <c r="AM6807"/>
      <c r="AN6807"/>
      <c r="AO6807"/>
      <c r="AP6807"/>
      <c r="AQ6807"/>
      <c r="AU6807">
        <v>6806</v>
      </c>
    </row>
    <row r="6808" spans="1:47" x14ac:dyDescent="0.2">
      <c r="A6808" s="37">
        <v>6858</v>
      </c>
      <c r="B6808" s="38" t="s">
        <v>85</v>
      </c>
      <c r="C6808" s="39" t="s">
        <v>6997</v>
      </c>
      <c r="D6808" s="29"/>
      <c r="E6808" s="38" t="s">
        <v>7445</v>
      </c>
      <c r="F6808" s="32"/>
      <c r="G6808" s="47"/>
      <c r="H6808"/>
      <c r="I6808" s="32" t="s">
        <v>7449</v>
      </c>
      <c r="J6808" s="47"/>
      <c r="K6808" s="31">
        <f>1100*2.2</f>
        <v>2420</v>
      </c>
      <c r="L6808" s="48">
        <v>14</v>
      </c>
      <c r="M6808" s="47"/>
      <c r="N6808" s="47"/>
      <c r="O6808" s="47"/>
      <c r="P6808" s="47"/>
      <c r="Q6808" s="47"/>
      <c r="R6808" s="47"/>
      <c r="S6808" s="48">
        <v>11</v>
      </c>
      <c r="T6808" s="47"/>
      <c r="U6808" s="47"/>
      <c r="V6808" s="47"/>
      <c r="W6808" s="47">
        <v>12000</v>
      </c>
      <c r="X6808" s="47"/>
      <c r="Y6808" s="47" t="s">
        <v>51</v>
      </c>
      <c r="Z6808" s="47" t="s">
        <v>3618</v>
      </c>
      <c r="AA6808" s="49">
        <v>0.29166666666666669</v>
      </c>
      <c r="AB6808" s="49">
        <v>0.37847222222222227</v>
      </c>
      <c r="AC6808" s="49">
        <f>AVERAGE(AA6808:AB6808)</f>
        <v>0.33506944444444448</v>
      </c>
      <c r="AD6808" s="50">
        <f>(AB6808-AA6808)*24</f>
        <v>2.0833333333333339</v>
      </c>
      <c r="AE6808" s="47" t="s">
        <v>2743</v>
      </c>
      <c r="AF6808" s="47">
        <v>80</v>
      </c>
      <c r="AG6808"/>
      <c r="AH6808"/>
      <c r="AI6808"/>
      <c r="AJ6808"/>
      <c r="AK6808">
        <v>22</v>
      </c>
      <c r="AL6808"/>
      <c r="AM6808"/>
      <c r="AN6808"/>
      <c r="AO6808"/>
      <c r="AP6808"/>
      <c r="AQ6808" t="s">
        <v>7167</v>
      </c>
      <c r="AU6808">
        <v>6807</v>
      </c>
    </row>
    <row r="6809" spans="1:47" x14ac:dyDescent="0.2">
      <c r="A6809" s="37">
        <v>6858</v>
      </c>
      <c r="B6809" s="38" t="s">
        <v>85</v>
      </c>
      <c r="C6809" s="206" t="s">
        <v>7447</v>
      </c>
      <c r="D6809" s="29"/>
      <c r="E6809" s="38" t="s">
        <v>7450</v>
      </c>
      <c r="F6809" s="32" t="s">
        <v>7451</v>
      </c>
      <c r="G6809" s="47"/>
      <c r="H6809"/>
      <c r="I6809" s="32" t="s">
        <v>7452</v>
      </c>
      <c r="J6809" s="47"/>
      <c r="L6809" s="48"/>
      <c r="M6809" s="47"/>
      <c r="N6809" s="47"/>
      <c r="O6809" s="47"/>
      <c r="P6809" s="47"/>
      <c r="Q6809" s="47"/>
      <c r="R6809" s="47"/>
      <c r="S6809" s="48">
        <f>10+10</f>
        <v>20</v>
      </c>
      <c r="T6809" s="47"/>
      <c r="U6809" s="47"/>
      <c r="V6809" s="47"/>
      <c r="W6809" s="47"/>
      <c r="X6809" s="47"/>
      <c r="Y6809" s="47"/>
      <c r="Z6809" s="47" t="s">
        <v>7262</v>
      </c>
      <c r="AA6809" s="49"/>
      <c r="AB6809" s="49"/>
      <c r="AC6809" s="49"/>
      <c r="AD6809" s="50"/>
      <c r="AE6809" s="47" t="s">
        <v>2743</v>
      </c>
      <c r="AF6809" s="47">
        <v>80</v>
      </c>
      <c r="AG6809"/>
      <c r="AH6809"/>
      <c r="AI6809"/>
      <c r="AJ6809"/>
      <c r="AK6809"/>
      <c r="AL6809"/>
      <c r="AM6809"/>
      <c r="AN6809"/>
      <c r="AO6809"/>
      <c r="AP6809"/>
      <c r="AQ6809"/>
      <c r="AU6809">
        <v>6808</v>
      </c>
    </row>
    <row r="6810" spans="1:47" x14ac:dyDescent="0.2">
      <c r="A6810" s="59">
        <v>6858</v>
      </c>
      <c r="B6810" s="60" t="s">
        <v>85</v>
      </c>
      <c r="C6810" s="61" t="s">
        <v>6997</v>
      </c>
      <c r="D6810" s="62"/>
      <c r="E6810" s="60" t="s">
        <v>7450</v>
      </c>
      <c r="F6810" s="64" t="s">
        <v>7451</v>
      </c>
      <c r="G6810" s="66"/>
      <c r="H6810" s="67"/>
      <c r="I6810" s="64" t="s">
        <v>7453</v>
      </c>
      <c r="J6810" s="47"/>
      <c r="L6810" s="48"/>
      <c r="M6810" s="47"/>
      <c r="N6810" s="47"/>
      <c r="O6810" s="47"/>
      <c r="P6810" s="47"/>
      <c r="Q6810" s="47"/>
      <c r="R6810" s="47"/>
      <c r="S6810" s="48">
        <v>12</v>
      </c>
      <c r="T6810" s="47">
        <v>1</v>
      </c>
      <c r="U6810" s="47"/>
      <c r="V6810" s="47"/>
      <c r="W6810" s="47"/>
      <c r="X6810" s="47"/>
      <c r="Y6810" s="47"/>
      <c r="Z6810" s="47" t="s">
        <v>3618</v>
      </c>
      <c r="AA6810" s="49"/>
      <c r="AB6810" s="49"/>
      <c r="AC6810" s="49"/>
      <c r="AD6810" s="50"/>
      <c r="AE6810" s="47" t="s">
        <v>2743</v>
      </c>
      <c r="AF6810" s="47">
        <v>80</v>
      </c>
      <c r="AG6810"/>
      <c r="AH6810"/>
      <c r="AI6810"/>
      <c r="AJ6810"/>
      <c r="AK6810"/>
      <c r="AL6810"/>
      <c r="AM6810"/>
      <c r="AN6810"/>
      <c r="AO6810"/>
      <c r="AP6810"/>
      <c r="AQ6810"/>
      <c r="AU6810">
        <v>6809</v>
      </c>
    </row>
    <row r="6811" spans="1:47" x14ac:dyDescent="0.2">
      <c r="A6811" s="133">
        <v>6858</v>
      </c>
      <c r="B6811" s="39" t="s">
        <v>45</v>
      </c>
      <c r="C6811" s="39">
        <v>100</v>
      </c>
      <c r="D6811" s="29" t="b">
        <v>0</v>
      </c>
      <c r="E6811" s="39" t="s">
        <v>1764</v>
      </c>
      <c r="F6811" s="47" t="s">
        <v>2398</v>
      </c>
      <c r="G6811" s="47" t="s">
        <v>49</v>
      </c>
      <c r="H6811"/>
      <c r="I6811" s="47" t="b">
        <v>0</v>
      </c>
      <c r="J6811" s="47" t="b">
        <v>1</v>
      </c>
      <c r="K6811" s="47">
        <v>1792</v>
      </c>
      <c r="L6811" s="48">
        <v>2</v>
      </c>
      <c r="M6811" s="47">
        <v>1</v>
      </c>
      <c r="N6811" s="47">
        <v>0</v>
      </c>
      <c r="O6811" s="47">
        <v>0</v>
      </c>
      <c r="P6811" s="47">
        <v>0</v>
      </c>
      <c r="Q6811" s="47">
        <v>0</v>
      </c>
      <c r="R6811" s="47">
        <v>0</v>
      </c>
      <c r="S6811" s="48">
        <v>1</v>
      </c>
      <c r="T6811" s="47">
        <v>0</v>
      </c>
      <c r="U6811" s="47">
        <v>0</v>
      </c>
      <c r="V6811" s="47">
        <v>0</v>
      </c>
      <c r="W6811" s="47">
        <v>5000</v>
      </c>
      <c r="X6811" s="47">
        <v>1147</v>
      </c>
      <c r="Y6811" s="47"/>
      <c r="Z6811" s="47" t="s">
        <v>2466</v>
      </c>
      <c r="AA6811" s="49"/>
      <c r="AB6811" s="49"/>
      <c r="AC6811" s="49"/>
      <c r="AD6811" s="50"/>
      <c r="AE6811" s="47" t="s">
        <v>6445</v>
      </c>
      <c r="AF6811" s="47">
        <v>105</v>
      </c>
      <c r="AG6811"/>
      <c r="AH6811"/>
      <c r="AI6811"/>
      <c r="AJ6811"/>
      <c r="AK6811"/>
      <c r="AL6811"/>
      <c r="AM6811"/>
      <c r="AN6811"/>
      <c r="AO6811"/>
      <c r="AP6811"/>
      <c r="AQ6811" t="s">
        <v>2526</v>
      </c>
      <c r="AU6811">
        <v>6810</v>
      </c>
    </row>
    <row r="6812" spans="1:47" x14ac:dyDescent="0.2">
      <c r="A6812" s="133">
        <v>6858</v>
      </c>
      <c r="B6812" s="39" t="s">
        <v>45</v>
      </c>
      <c r="C6812" s="39">
        <v>115</v>
      </c>
      <c r="D6812" s="29" t="b">
        <v>1</v>
      </c>
      <c r="E6812" s="39" t="s">
        <v>7454</v>
      </c>
      <c r="F6812" s="47" t="s">
        <v>2398</v>
      </c>
      <c r="G6812" s="47" t="s">
        <v>49</v>
      </c>
      <c r="H6812"/>
      <c r="I6812" s="47" t="b">
        <v>0</v>
      </c>
      <c r="J6812" s="47" t="b">
        <v>1</v>
      </c>
      <c r="K6812" s="47">
        <v>0</v>
      </c>
      <c r="L6812" s="48">
        <v>4</v>
      </c>
      <c r="M6812" s="47">
        <v>4</v>
      </c>
      <c r="N6812" s="47">
        <v>0</v>
      </c>
      <c r="O6812" s="47">
        <v>0</v>
      </c>
      <c r="P6812" s="47">
        <v>0</v>
      </c>
      <c r="Q6812" s="47">
        <v>0</v>
      </c>
      <c r="R6812" s="47">
        <v>0</v>
      </c>
      <c r="S6812" s="48">
        <v>0</v>
      </c>
      <c r="T6812" s="47">
        <v>0</v>
      </c>
      <c r="U6812" s="47">
        <v>0</v>
      </c>
      <c r="V6812" s="47">
        <v>0</v>
      </c>
      <c r="W6812" s="47"/>
      <c r="X6812" s="47">
        <v>1152</v>
      </c>
      <c r="Y6812" s="47"/>
      <c r="Z6812" s="47" t="s">
        <v>2466</v>
      </c>
      <c r="AA6812" s="49"/>
      <c r="AB6812" s="49"/>
      <c r="AC6812" s="49"/>
      <c r="AD6812" s="50"/>
      <c r="AE6812" s="47" t="s">
        <v>7118</v>
      </c>
      <c r="AF6812" s="47">
        <v>120</v>
      </c>
      <c r="AG6812"/>
      <c r="AH6812"/>
      <c r="AI6812"/>
      <c r="AJ6812"/>
      <c r="AK6812"/>
      <c r="AL6812"/>
      <c r="AM6812"/>
      <c r="AN6812"/>
      <c r="AO6812"/>
      <c r="AP6812"/>
      <c r="AQ6812" t="s">
        <v>2526</v>
      </c>
      <c r="AR6812" s="32" t="s">
        <v>7119</v>
      </c>
      <c r="AU6812">
        <v>6811</v>
      </c>
    </row>
    <row r="6813" spans="1:47" x14ac:dyDescent="0.2">
      <c r="A6813" s="133">
        <v>6858</v>
      </c>
      <c r="B6813" s="39" t="s">
        <v>45</v>
      </c>
      <c r="C6813" s="39">
        <v>215</v>
      </c>
      <c r="D6813" s="29" t="b">
        <v>0</v>
      </c>
      <c r="E6813" s="39" t="s">
        <v>649</v>
      </c>
      <c r="F6813" s="47" t="s">
        <v>529</v>
      </c>
      <c r="G6813" s="47" t="s">
        <v>205</v>
      </c>
      <c r="H6813"/>
      <c r="I6813" s="47" t="b">
        <v>0</v>
      </c>
      <c r="J6813" s="47" t="b">
        <v>1</v>
      </c>
      <c r="K6813" s="47">
        <v>4084</v>
      </c>
      <c r="L6813" s="48">
        <v>-1</v>
      </c>
      <c r="M6813" s="47">
        <v>-1</v>
      </c>
      <c r="N6813" s="47">
        <v>0</v>
      </c>
      <c r="O6813" s="47">
        <v>0</v>
      </c>
      <c r="P6813" s="47">
        <v>0</v>
      </c>
      <c r="Q6813" s="47">
        <v>0</v>
      </c>
      <c r="R6813" s="47">
        <v>0</v>
      </c>
      <c r="S6813" s="48">
        <v>2</v>
      </c>
      <c r="T6813" s="47">
        <v>0</v>
      </c>
      <c r="U6813" s="47">
        <v>0</v>
      </c>
      <c r="V6813" s="47">
        <v>0</v>
      </c>
      <c r="W6813" s="47">
        <v>3000</v>
      </c>
      <c r="X6813" s="47">
        <v>1149</v>
      </c>
      <c r="Y6813" s="47"/>
      <c r="Z6813" s="47" t="s">
        <v>2466</v>
      </c>
      <c r="AA6813" s="49"/>
      <c r="AB6813" s="49"/>
      <c r="AC6813" s="49"/>
      <c r="AD6813" s="50"/>
      <c r="AE6813" s="47"/>
      <c r="AF6813" s="47"/>
      <c r="AG6813"/>
      <c r="AH6813"/>
      <c r="AI6813"/>
      <c r="AJ6813"/>
      <c r="AK6813"/>
      <c r="AL6813"/>
      <c r="AM6813"/>
      <c r="AN6813"/>
      <c r="AO6813"/>
      <c r="AP6813"/>
      <c r="AQ6813" t="s">
        <v>2526</v>
      </c>
      <c r="AU6813">
        <v>6812</v>
      </c>
    </row>
    <row r="6814" spans="1:47" x14ac:dyDescent="0.2">
      <c r="A6814" s="133">
        <v>6858</v>
      </c>
      <c r="B6814" s="39" t="s">
        <v>45</v>
      </c>
      <c r="C6814" s="39">
        <v>216</v>
      </c>
      <c r="D6814" s="29" t="b">
        <v>0</v>
      </c>
      <c r="E6814" s="39" t="s">
        <v>7455</v>
      </c>
      <c r="F6814" s="47" t="s">
        <v>7456</v>
      </c>
      <c r="G6814" s="47" t="s">
        <v>73</v>
      </c>
      <c r="H6814"/>
      <c r="I6814" s="47" t="b">
        <v>1</v>
      </c>
      <c r="J6814" s="47" t="b">
        <v>1</v>
      </c>
      <c r="K6814" s="47">
        <v>3136</v>
      </c>
      <c r="L6814" s="48">
        <v>8</v>
      </c>
      <c r="M6814" s="47">
        <v>2</v>
      </c>
      <c r="N6814" s="47">
        <v>2</v>
      </c>
      <c r="O6814" s="47">
        <v>1</v>
      </c>
      <c r="P6814" s="47">
        <v>0</v>
      </c>
      <c r="Q6814" s="47">
        <v>0</v>
      </c>
      <c r="R6814" s="47">
        <v>0</v>
      </c>
      <c r="S6814" s="48">
        <v>2</v>
      </c>
      <c r="T6814" s="47">
        <v>0</v>
      </c>
      <c r="U6814" s="47">
        <v>0</v>
      </c>
      <c r="V6814" s="47">
        <v>0</v>
      </c>
      <c r="W6814" s="47">
        <v>6500</v>
      </c>
      <c r="X6814" s="47">
        <v>1150</v>
      </c>
      <c r="Y6814" s="47"/>
      <c r="Z6814" s="47" t="s">
        <v>2466</v>
      </c>
      <c r="AA6814" s="49"/>
      <c r="AB6814" s="49"/>
      <c r="AC6814" s="49"/>
      <c r="AD6814" s="50"/>
      <c r="AE6814" s="47" t="s">
        <v>1312</v>
      </c>
      <c r="AF6814" s="47">
        <v>75</v>
      </c>
      <c r="AG6814"/>
      <c r="AH6814"/>
      <c r="AI6814"/>
      <c r="AJ6814"/>
      <c r="AK6814"/>
      <c r="AL6814"/>
      <c r="AM6814"/>
      <c r="AN6814"/>
      <c r="AO6814"/>
      <c r="AP6814"/>
      <c r="AQ6814" t="s">
        <v>2526</v>
      </c>
      <c r="AU6814">
        <v>6813</v>
      </c>
    </row>
    <row r="6815" spans="1:47" x14ac:dyDescent="0.2">
      <c r="A6815" s="133">
        <v>6858</v>
      </c>
      <c r="B6815" s="39" t="s">
        <v>45</v>
      </c>
      <c r="C6815" s="39">
        <v>216</v>
      </c>
      <c r="D6815" s="29" t="b">
        <v>0</v>
      </c>
      <c r="E6815" s="39" t="s">
        <v>1455</v>
      </c>
      <c r="F6815" s="47" t="s">
        <v>1663</v>
      </c>
      <c r="G6815" s="47" t="s">
        <v>481</v>
      </c>
      <c r="H6815"/>
      <c r="I6815" s="47" t="b">
        <v>0</v>
      </c>
      <c r="J6815" s="47" t="b">
        <v>0</v>
      </c>
      <c r="K6815" s="47">
        <v>1568</v>
      </c>
      <c r="L6815" s="48">
        <v>8</v>
      </c>
      <c r="M6815" s="47">
        <v>2</v>
      </c>
      <c r="N6815" s="47">
        <v>2</v>
      </c>
      <c r="O6815" s="47">
        <v>1</v>
      </c>
      <c r="P6815" s="47">
        <v>0</v>
      </c>
      <c r="Q6815" s="47">
        <v>0</v>
      </c>
      <c r="R6815" s="47">
        <v>0</v>
      </c>
      <c r="S6815" s="48">
        <v>1</v>
      </c>
      <c r="T6815" s="47">
        <v>0</v>
      </c>
      <c r="U6815" s="47">
        <v>0</v>
      </c>
      <c r="V6815" s="47">
        <v>0</v>
      </c>
      <c r="W6815" s="47">
        <v>6000</v>
      </c>
      <c r="X6815" s="47">
        <v>1151</v>
      </c>
      <c r="Y6815" s="47"/>
      <c r="Z6815" s="47" t="s">
        <v>2466</v>
      </c>
      <c r="AA6815" s="49"/>
      <c r="AB6815" s="49"/>
      <c r="AC6815" s="49"/>
      <c r="AD6815" s="50"/>
      <c r="AE6815" s="47" t="s">
        <v>1312</v>
      </c>
      <c r="AF6815" s="47">
        <v>75</v>
      </c>
      <c r="AG6815"/>
      <c r="AH6815"/>
      <c r="AI6815"/>
      <c r="AJ6815"/>
      <c r="AK6815"/>
      <c r="AL6815"/>
      <c r="AM6815"/>
      <c r="AN6815"/>
      <c r="AO6815"/>
      <c r="AP6815"/>
      <c r="AQ6815" t="s">
        <v>2526</v>
      </c>
      <c r="AU6815">
        <v>6814</v>
      </c>
    </row>
    <row r="6816" spans="1:47" x14ac:dyDescent="0.2">
      <c r="A6816" s="133">
        <v>6858</v>
      </c>
      <c r="B6816" s="39" t="s">
        <v>45</v>
      </c>
      <c r="C6816" s="39">
        <v>216</v>
      </c>
      <c r="D6816" s="29" t="b">
        <v>0</v>
      </c>
      <c r="E6816" s="39" t="s">
        <v>4823</v>
      </c>
      <c r="F6816" s="47" t="s">
        <v>2398</v>
      </c>
      <c r="G6816" s="47" t="s">
        <v>49</v>
      </c>
      <c r="H6816"/>
      <c r="I6816" s="47" t="b">
        <v>0</v>
      </c>
      <c r="J6816" s="47" t="b">
        <v>0</v>
      </c>
      <c r="K6816" s="47">
        <v>1568</v>
      </c>
      <c r="L6816" s="48">
        <v>8</v>
      </c>
      <c r="M6816" s="47">
        <v>2</v>
      </c>
      <c r="N6816" s="47">
        <v>2</v>
      </c>
      <c r="O6816" s="47">
        <v>1</v>
      </c>
      <c r="P6816" s="47">
        <v>0</v>
      </c>
      <c r="Q6816" s="47">
        <v>0</v>
      </c>
      <c r="R6816" s="47">
        <v>0</v>
      </c>
      <c r="S6816" s="48">
        <v>1</v>
      </c>
      <c r="T6816" s="47">
        <v>0</v>
      </c>
      <c r="U6816" s="47">
        <v>0</v>
      </c>
      <c r="V6816" s="47">
        <v>0</v>
      </c>
      <c r="W6816" s="47">
        <v>7000</v>
      </c>
      <c r="X6816" s="47">
        <v>1153</v>
      </c>
      <c r="Y6816" s="47"/>
      <c r="Z6816" s="47" t="s">
        <v>2466</v>
      </c>
      <c r="AA6816" s="49"/>
      <c r="AB6816" s="49"/>
      <c r="AC6816" s="49"/>
      <c r="AD6816" s="50"/>
      <c r="AE6816" s="47" t="s">
        <v>1312</v>
      </c>
      <c r="AF6816" s="47">
        <v>70</v>
      </c>
      <c r="AG6816"/>
      <c r="AH6816"/>
      <c r="AI6816"/>
      <c r="AJ6816"/>
      <c r="AK6816"/>
      <c r="AL6816"/>
      <c r="AM6816"/>
      <c r="AN6816"/>
      <c r="AO6816"/>
      <c r="AP6816"/>
      <c r="AQ6816" t="s">
        <v>2526</v>
      </c>
      <c r="AU6816">
        <v>6815</v>
      </c>
    </row>
    <row r="6817" spans="1:47" x14ac:dyDescent="0.2">
      <c r="A6817" s="37">
        <v>6858</v>
      </c>
      <c r="B6817" s="38" t="s">
        <v>45</v>
      </c>
      <c r="C6817" s="39" t="s">
        <v>253</v>
      </c>
      <c r="D6817" s="29"/>
      <c r="E6817" s="38" t="s">
        <v>7457</v>
      </c>
      <c r="F6817" s="32" t="s">
        <v>246</v>
      </c>
      <c r="G6817" s="47"/>
      <c r="H6817"/>
      <c r="I6817" s="32"/>
      <c r="J6817" s="47"/>
      <c r="K6817" s="47"/>
      <c r="L6817" s="48"/>
      <c r="M6817" s="47"/>
      <c r="N6817" s="47"/>
      <c r="O6817" s="47"/>
      <c r="P6817" s="47"/>
      <c r="Q6817" s="47"/>
      <c r="R6817" s="47"/>
      <c r="S6817" s="48"/>
      <c r="T6817" s="47"/>
      <c r="U6817" s="47"/>
      <c r="V6817" s="47"/>
      <c r="W6817" s="47"/>
      <c r="X6817" s="47"/>
      <c r="Y6817" s="47"/>
      <c r="Z6817" s="47"/>
      <c r="AA6817" s="49"/>
      <c r="AB6817" s="49"/>
      <c r="AC6817" s="49"/>
      <c r="AD6817" s="50"/>
      <c r="AE6817" s="47"/>
      <c r="AF6817" s="47"/>
      <c r="AG6817"/>
      <c r="AH6817"/>
      <c r="AI6817"/>
      <c r="AJ6817"/>
      <c r="AK6817"/>
      <c r="AL6817"/>
      <c r="AM6817"/>
      <c r="AN6817"/>
      <c r="AO6817"/>
      <c r="AP6817"/>
      <c r="AQ6817"/>
      <c r="AU6817">
        <v>6816</v>
      </c>
    </row>
    <row r="6818" spans="1:47" x14ac:dyDescent="0.2">
      <c r="A6818" s="37">
        <v>6858</v>
      </c>
      <c r="B6818" s="38" t="s">
        <v>45</v>
      </c>
      <c r="C6818" s="39" t="s">
        <v>253</v>
      </c>
      <c r="D6818" s="29"/>
      <c r="E6818" s="38" t="s">
        <v>7458</v>
      </c>
      <c r="F6818" s="32" t="s">
        <v>4771</v>
      </c>
      <c r="G6818" s="47"/>
      <c r="H6818"/>
      <c r="I6818" s="32"/>
      <c r="J6818" s="47"/>
      <c r="K6818" s="47"/>
      <c r="L6818" s="48"/>
      <c r="M6818" s="47"/>
      <c r="N6818" s="47"/>
      <c r="O6818" s="47"/>
      <c r="P6818" s="47"/>
      <c r="Q6818" s="47"/>
      <c r="R6818" s="47"/>
      <c r="S6818" s="48"/>
      <c r="T6818" s="47"/>
      <c r="U6818" s="47"/>
      <c r="V6818" s="47"/>
      <c r="W6818" s="47"/>
      <c r="X6818" s="47"/>
      <c r="Y6818" s="47"/>
      <c r="Z6818" s="47"/>
      <c r="AA6818" s="49"/>
      <c r="AB6818" s="49"/>
      <c r="AC6818" s="49"/>
      <c r="AD6818" s="50"/>
      <c r="AE6818" s="47"/>
      <c r="AF6818" s="47"/>
      <c r="AG6818"/>
      <c r="AH6818"/>
      <c r="AI6818"/>
      <c r="AJ6818"/>
      <c r="AK6818"/>
      <c r="AL6818"/>
      <c r="AM6818"/>
      <c r="AN6818"/>
      <c r="AO6818"/>
      <c r="AP6818"/>
      <c r="AQ6818"/>
      <c r="AU6818">
        <v>6817</v>
      </c>
    </row>
    <row r="6819" spans="1:47" x14ac:dyDescent="0.2">
      <c r="A6819" s="37">
        <v>6858</v>
      </c>
      <c r="B6819" s="38" t="s">
        <v>45</v>
      </c>
      <c r="C6819" s="39" t="s">
        <v>4171</v>
      </c>
      <c r="D6819" s="29"/>
      <c r="E6819" s="38" t="s">
        <v>7459</v>
      </c>
      <c r="F6819" s="32"/>
      <c r="G6819" s="47"/>
      <c r="H6819"/>
      <c r="I6819" s="32" t="s">
        <v>7460</v>
      </c>
      <c r="J6819" s="47"/>
      <c r="K6819" s="47">
        <f>1386*2.2</f>
        <v>3049.2000000000003</v>
      </c>
      <c r="L6819" s="48"/>
      <c r="M6819" s="47"/>
      <c r="N6819" s="47"/>
      <c r="O6819" s="47"/>
      <c r="P6819" s="47"/>
      <c r="Q6819" s="47"/>
      <c r="R6819" s="47"/>
      <c r="S6819" s="48"/>
      <c r="T6819" s="47"/>
      <c r="U6819" s="47"/>
      <c r="V6819" s="47"/>
      <c r="W6819" s="47"/>
      <c r="X6819" s="47"/>
      <c r="Y6819" s="47"/>
      <c r="Z6819" s="31" t="s">
        <v>1846</v>
      </c>
      <c r="AA6819" s="49"/>
      <c r="AB6819" s="49"/>
      <c r="AC6819" s="49"/>
      <c r="AD6819" s="50"/>
      <c r="AE6819" s="47" t="s">
        <v>4173</v>
      </c>
      <c r="AF6819" s="47">
        <v>90</v>
      </c>
      <c r="AG6819"/>
      <c r="AH6819"/>
      <c r="AI6819"/>
      <c r="AJ6819"/>
      <c r="AK6819"/>
      <c r="AL6819"/>
      <c r="AM6819"/>
      <c r="AN6819"/>
      <c r="AO6819"/>
      <c r="AP6819"/>
      <c r="AQ6819" t="s">
        <v>7461</v>
      </c>
      <c r="AU6819">
        <v>6818</v>
      </c>
    </row>
    <row r="6820" spans="1:47" x14ac:dyDescent="0.2">
      <c r="A6820" s="13">
        <v>6858</v>
      </c>
      <c r="B6820" s="57" t="s">
        <v>45</v>
      </c>
      <c r="C6820" s="57" t="s">
        <v>142</v>
      </c>
      <c r="D6820" s="29"/>
      <c r="E6820" s="144" t="s">
        <v>7462</v>
      </c>
      <c r="F6820" s="31" t="s">
        <v>7463</v>
      </c>
      <c r="G6820" s="31" t="s">
        <v>49</v>
      </c>
      <c r="I6820" s="47" t="b">
        <v>1</v>
      </c>
      <c r="J6820" s="47" t="b">
        <v>1</v>
      </c>
      <c r="K6820" s="31">
        <f>4925*2.2</f>
        <v>10835</v>
      </c>
      <c r="L6820" s="33">
        <v>13</v>
      </c>
      <c r="N6820" s="31">
        <v>1</v>
      </c>
      <c r="S6820" s="33">
        <v>12</v>
      </c>
      <c r="T6820" s="31">
        <v>0</v>
      </c>
      <c r="U6820" s="31">
        <v>0</v>
      </c>
      <c r="V6820" s="31">
        <v>0</v>
      </c>
      <c r="Y6820" s="31" t="s">
        <v>51</v>
      </c>
      <c r="Z6820" s="31" t="s">
        <v>7420</v>
      </c>
      <c r="AE6820" s="31" t="s">
        <v>2470</v>
      </c>
      <c r="AK6820" s="32">
        <f>7+35+42+6+13+7</f>
        <v>110</v>
      </c>
      <c r="AQ6820" s="32" t="s">
        <v>7464</v>
      </c>
      <c r="AR6820" s="32" t="s">
        <v>7465</v>
      </c>
      <c r="AU6820">
        <v>6819</v>
      </c>
    </row>
    <row r="6821" spans="1:47" x14ac:dyDescent="0.2">
      <c r="A6821" s="13">
        <v>6858</v>
      </c>
      <c r="B6821" s="57" t="s">
        <v>45</v>
      </c>
      <c r="C6821" s="57" t="s">
        <v>142</v>
      </c>
      <c r="D6821" s="29"/>
      <c r="E6821" s="57" t="s">
        <v>7466</v>
      </c>
      <c r="F6821" s="31" t="s">
        <v>170</v>
      </c>
      <c r="G6821" s="31" t="s">
        <v>69</v>
      </c>
      <c r="I6821" s="47" t="b">
        <v>0</v>
      </c>
      <c r="J6821" s="47" t="b">
        <v>0</v>
      </c>
      <c r="K6821" s="31">
        <v>3234</v>
      </c>
      <c r="S6821" s="33">
        <v>3</v>
      </c>
      <c r="Z6821" s="31" t="s">
        <v>7420</v>
      </c>
      <c r="AE6821" s="31" t="s">
        <v>2470</v>
      </c>
      <c r="AF6821" s="31">
        <v>85</v>
      </c>
      <c r="AK6821" s="32">
        <v>38</v>
      </c>
      <c r="AQ6821" s="32" t="s">
        <v>7333</v>
      </c>
      <c r="AU6821">
        <v>6820</v>
      </c>
    </row>
    <row r="6822" spans="1:47" x14ac:dyDescent="0.2">
      <c r="A6822" s="13">
        <v>6858</v>
      </c>
      <c r="B6822" s="57" t="s">
        <v>45</v>
      </c>
      <c r="C6822" s="57" t="s">
        <v>142</v>
      </c>
      <c r="D6822" s="29"/>
      <c r="E6822" s="57" t="s">
        <v>3884</v>
      </c>
      <c r="F6822" s="31" t="s">
        <v>76</v>
      </c>
      <c r="G6822" s="31" t="s">
        <v>49</v>
      </c>
      <c r="I6822" s="47" t="b">
        <v>0</v>
      </c>
      <c r="J6822" s="47" t="b">
        <v>0</v>
      </c>
      <c r="K6822" s="31">
        <v>2992</v>
      </c>
      <c r="S6822" s="33">
        <v>3</v>
      </c>
      <c r="Z6822" s="31" t="s">
        <v>7420</v>
      </c>
      <c r="AE6822" s="31" t="s">
        <v>2470</v>
      </c>
      <c r="AF6822" s="31">
        <v>85</v>
      </c>
      <c r="AK6822" s="32">
        <v>27</v>
      </c>
      <c r="AQ6822" s="32" t="s">
        <v>7333</v>
      </c>
      <c r="AU6822">
        <v>6821</v>
      </c>
    </row>
    <row r="6823" spans="1:47" x14ac:dyDescent="0.2">
      <c r="A6823" s="13">
        <v>6858</v>
      </c>
      <c r="B6823" s="57" t="s">
        <v>45</v>
      </c>
      <c r="C6823" s="57" t="s">
        <v>142</v>
      </c>
      <c r="D6823" s="29"/>
      <c r="E6823" s="57" t="s">
        <v>5194</v>
      </c>
      <c r="F6823" s="31" t="s">
        <v>76</v>
      </c>
      <c r="G6823" s="31" t="s">
        <v>49</v>
      </c>
      <c r="I6823" s="47" t="b">
        <v>0</v>
      </c>
      <c r="J6823" s="47" t="b">
        <v>0</v>
      </c>
      <c r="K6823" s="31">
        <v>2673</v>
      </c>
      <c r="S6823" s="33">
        <v>3</v>
      </c>
      <c r="Z6823" s="31" t="s">
        <v>7420</v>
      </c>
      <c r="AE6823" s="31" t="s">
        <v>2470</v>
      </c>
      <c r="AF6823" s="31">
        <v>75</v>
      </c>
      <c r="AK6823" s="32">
        <v>26</v>
      </c>
      <c r="AQ6823" s="32" t="s">
        <v>7333</v>
      </c>
      <c r="AU6823">
        <v>6822</v>
      </c>
    </row>
    <row r="6824" spans="1:47" x14ac:dyDescent="0.2">
      <c r="A6824" s="13">
        <v>6858</v>
      </c>
      <c r="B6824" s="57" t="s">
        <v>45</v>
      </c>
      <c r="C6824" s="57" t="s">
        <v>142</v>
      </c>
      <c r="D6824" s="29"/>
      <c r="E6824" s="57" t="s">
        <v>7467</v>
      </c>
      <c r="F6824" s="31" t="s">
        <v>76</v>
      </c>
      <c r="G6824" s="31" t="s">
        <v>49</v>
      </c>
      <c r="I6824" s="47" t="b">
        <v>0</v>
      </c>
      <c r="J6824" s="47" t="b">
        <v>0</v>
      </c>
      <c r="K6824" s="31">
        <v>902</v>
      </c>
      <c r="S6824" s="33">
        <v>1</v>
      </c>
      <c r="Z6824" s="31" t="s">
        <v>7420</v>
      </c>
      <c r="AE6824" s="31" t="s">
        <v>2470</v>
      </c>
      <c r="AF6824" s="31">
        <v>100</v>
      </c>
      <c r="AK6824" s="32">
        <v>9</v>
      </c>
      <c r="AQ6824" s="32" t="s">
        <v>7333</v>
      </c>
      <c r="AU6824">
        <v>6823</v>
      </c>
    </row>
    <row r="6825" spans="1:47" x14ac:dyDescent="0.2">
      <c r="A6825" s="13">
        <v>6858</v>
      </c>
      <c r="B6825" s="57" t="s">
        <v>45</v>
      </c>
      <c r="C6825" s="57" t="s">
        <v>142</v>
      </c>
      <c r="D6825" s="29"/>
      <c r="E6825" s="57" t="s">
        <v>3816</v>
      </c>
      <c r="F6825" s="31" t="s">
        <v>76</v>
      </c>
      <c r="G6825" s="31" t="s">
        <v>49</v>
      </c>
      <c r="I6825" s="47" t="b">
        <v>0</v>
      </c>
      <c r="J6825" s="47" t="b">
        <v>0</v>
      </c>
      <c r="K6825" s="31">
        <v>330</v>
      </c>
      <c r="S6825" s="33">
        <v>1</v>
      </c>
      <c r="Z6825" s="31" t="s">
        <v>7420</v>
      </c>
      <c r="AE6825" s="31" t="s">
        <v>2470</v>
      </c>
      <c r="AF6825" s="31">
        <v>110</v>
      </c>
      <c r="AK6825" s="32">
        <v>2</v>
      </c>
      <c r="AQ6825" s="32" t="s">
        <v>7333</v>
      </c>
      <c r="AU6825">
        <v>6824</v>
      </c>
    </row>
    <row r="6826" spans="1:47" x14ac:dyDescent="0.2">
      <c r="A6826" s="13">
        <v>6858</v>
      </c>
      <c r="B6826" s="57" t="s">
        <v>45</v>
      </c>
      <c r="C6826" s="57" t="s">
        <v>1367</v>
      </c>
      <c r="D6826" s="29"/>
      <c r="E6826" s="57" t="s">
        <v>3063</v>
      </c>
      <c r="F6826" s="31" t="s">
        <v>76</v>
      </c>
      <c r="G6826" s="31" t="s">
        <v>49</v>
      </c>
      <c r="K6826" s="31">
        <v>6349.2</v>
      </c>
      <c r="AE6826" s="31" t="s">
        <v>4176</v>
      </c>
      <c r="AF6826" s="31">
        <v>100</v>
      </c>
      <c r="AK6826" s="32">
        <v>30</v>
      </c>
      <c r="AQ6826" s="32" t="s">
        <v>7335</v>
      </c>
      <c r="AU6826">
        <v>6825</v>
      </c>
    </row>
    <row r="6827" spans="1:47" x14ac:dyDescent="0.2">
      <c r="A6827" s="13">
        <v>6858</v>
      </c>
      <c r="B6827" s="57" t="s">
        <v>45</v>
      </c>
      <c r="C6827" s="57" t="s">
        <v>1367</v>
      </c>
      <c r="D6827" s="29"/>
      <c r="E6827" s="57" t="s">
        <v>1404</v>
      </c>
      <c r="F6827" s="31" t="s">
        <v>76</v>
      </c>
      <c r="G6827" s="31" t="s">
        <v>49</v>
      </c>
      <c r="K6827" s="31">
        <v>1100</v>
      </c>
      <c r="AE6827" s="31" t="s">
        <v>4176</v>
      </c>
      <c r="AF6827" s="31">
        <v>75</v>
      </c>
      <c r="AK6827" s="32">
        <v>10</v>
      </c>
      <c r="AQ6827" s="32" t="s">
        <v>7335</v>
      </c>
      <c r="AU6827">
        <v>6826</v>
      </c>
    </row>
    <row r="6828" spans="1:47" x14ac:dyDescent="0.2">
      <c r="A6828" s="13">
        <v>6858</v>
      </c>
      <c r="B6828" s="57" t="s">
        <v>45</v>
      </c>
      <c r="C6828" s="57" t="s">
        <v>1367</v>
      </c>
      <c r="D6828" s="29"/>
      <c r="E6828" s="57" t="s">
        <v>199</v>
      </c>
      <c r="F6828" s="31" t="s">
        <v>76</v>
      </c>
      <c r="G6828" s="31" t="s">
        <v>49</v>
      </c>
      <c r="K6828" s="31">
        <v>880</v>
      </c>
      <c r="AE6828" s="31" t="s">
        <v>4176</v>
      </c>
      <c r="AF6828" s="31">
        <v>85</v>
      </c>
      <c r="AK6828" s="32">
        <v>8</v>
      </c>
      <c r="AQ6828" s="32" t="s">
        <v>7335</v>
      </c>
      <c r="AU6828">
        <v>6827</v>
      </c>
    </row>
    <row r="6829" spans="1:47" x14ac:dyDescent="0.2">
      <c r="A6829" s="13">
        <v>6858</v>
      </c>
      <c r="B6829" s="57" t="s">
        <v>45</v>
      </c>
      <c r="C6829" s="57" t="s">
        <v>1367</v>
      </c>
      <c r="D6829" s="29"/>
      <c r="E6829" s="57" t="s">
        <v>2191</v>
      </c>
      <c r="F6829" s="31" t="s">
        <v>76</v>
      </c>
      <c r="G6829" s="31" t="s">
        <v>49</v>
      </c>
      <c r="K6829" s="31">
        <v>880</v>
      </c>
      <c r="AE6829" s="31" t="s">
        <v>4176</v>
      </c>
      <c r="AF6829" s="31">
        <v>80</v>
      </c>
      <c r="AK6829" s="32">
        <v>8</v>
      </c>
      <c r="AQ6829" s="32" t="s">
        <v>7335</v>
      </c>
      <c r="AU6829">
        <v>6828</v>
      </c>
    </row>
    <row r="6830" spans="1:47" x14ac:dyDescent="0.2">
      <c r="A6830" s="13">
        <v>6858</v>
      </c>
      <c r="B6830" s="57" t="s">
        <v>45</v>
      </c>
      <c r="C6830" s="57" t="s">
        <v>4843</v>
      </c>
      <c r="D6830" s="29"/>
      <c r="E6830" s="57" t="s">
        <v>5194</v>
      </c>
      <c r="F6830" s="31" t="s">
        <v>76</v>
      </c>
      <c r="G6830" s="31" t="s">
        <v>49</v>
      </c>
      <c r="K6830" s="31">
        <v>6094</v>
      </c>
      <c r="S6830" s="33">
        <v>12</v>
      </c>
      <c r="AK6830" s="32">
        <v>60</v>
      </c>
      <c r="AQ6830" s="32" t="s">
        <v>7333</v>
      </c>
      <c r="AU6830">
        <v>6829</v>
      </c>
    </row>
    <row r="6831" spans="1:47" x14ac:dyDescent="0.2">
      <c r="A6831" s="168">
        <v>6858</v>
      </c>
      <c r="B6831" s="144" t="s">
        <v>45</v>
      </c>
      <c r="C6831" s="144" t="s">
        <v>4843</v>
      </c>
      <c r="D6831" s="29"/>
      <c r="E6831" s="144" t="s">
        <v>3816</v>
      </c>
      <c r="F6831" s="31" t="s">
        <v>76</v>
      </c>
      <c r="G6831" s="31" t="s">
        <v>49</v>
      </c>
      <c r="K6831" s="31">
        <v>660</v>
      </c>
      <c r="S6831" s="33">
        <v>1</v>
      </c>
      <c r="AK6831" s="32">
        <v>6</v>
      </c>
      <c r="AQ6831" s="32" t="s">
        <v>7333</v>
      </c>
      <c r="AU6831">
        <v>6830</v>
      </c>
    </row>
    <row r="6832" spans="1:47" x14ac:dyDescent="0.2">
      <c r="A6832" s="13">
        <v>6858</v>
      </c>
      <c r="B6832" s="57" t="s">
        <v>45</v>
      </c>
      <c r="C6832" s="57" t="s">
        <v>4843</v>
      </c>
      <c r="D6832" s="29"/>
      <c r="E6832" s="57" t="s">
        <v>7468</v>
      </c>
      <c r="F6832" s="31" t="s">
        <v>76</v>
      </c>
      <c r="G6832" s="31" t="s">
        <v>49</v>
      </c>
      <c r="K6832" s="31">
        <v>660</v>
      </c>
      <c r="S6832" s="33">
        <v>1</v>
      </c>
      <c r="AK6832" s="32">
        <v>6</v>
      </c>
      <c r="AQ6832" s="32" t="s">
        <v>7333</v>
      </c>
      <c r="AU6832">
        <v>6831</v>
      </c>
    </row>
    <row r="6833" spans="1:47" x14ac:dyDescent="0.2">
      <c r="A6833" s="13">
        <v>6858</v>
      </c>
      <c r="B6833" s="57" t="s">
        <v>45</v>
      </c>
      <c r="C6833" s="57" t="s">
        <v>4843</v>
      </c>
      <c r="D6833" s="29"/>
      <c r="E6833" s="57" t="s">
        <v>7424</v>
      </c>
      <c r="F6833" s="31" t="s">
        <v>3183</v>
      </c>
      <c r="G6833" s="31" t="s">
        <v>49</v>
      </c>
      <c r="K6833" s="31">
        <v>440</v>
      </c>
      <c r="S6833" s="33">
        <v>1</v>
      </c>
      <c r="AK6833" s="32">
        <v>4</v>
      </c>
      <c r="AQ6833" s="32" t="s">
        <v>7333</v>
      </c>
      <c r="AU6833">
        <v>6832</v>
      </c>
    </row>
    <row r="6834" spans="1:47" x14ac:dyDescent="0.2">
      <c r="A6834" s="13">
        <v>6858</v>
      </c>
      <c r="B6834" s="57" t="s">
        <v>45</v>
      </c>
      <c r="C6834" s="57" t="s">
        <v>7243</v>
      </c>
      <c r="D6834" s="29"/>
      <c r="E6834" s="57" t="s">
        <v>5194</v>
      </c>
      <c r="F6834" s="31" t="s">
        <v>76</v>
      </c>
      <c r="G6834" s="31" t="s">
        <v>49</v>
      </c>
      <c r="K6834" s="31">
        <v>3080</v>
      </c>
      <c r="S6834" s="33">
        <v>4</v>
      </c>
      <c r="AE6834" s="31" t="s">
        <v>4788</v>
      </c>
      <c r="AF6834" s="31">
        <v>75</v>
      </c>
      <c r="AK6834" s="32">
        <v>28</v>
      </c>
      <c r="AQ6834" s="32" t="s">
        <v>7333</v>
      </c>
      <c r="AU6834">
        <v>6833</v>
      </c>
    </row>
    <row r="6835" spans="1:47" x14ac:dyDescent="0.2">
      <c r="A6835" s="13">
        <v>6858</v>
      </c>
      <c r="B6835" s="57" t="s">
        <v>45</v>
      </c>
      <c r="C6835" s="57" t="s">
        <v>7243</v>
      </c>
      <c r="D6835" s="29"/>
      <c r="E6835" s="57" t="s">
        <v>7469</v>
      </c>
      <c r="F6835" s="31" t="s">
        <v>57</v>
      </c>
      <c r="G6835" s="31" t="s">
        <v>49</v>
      </c>
      <c r="K6835" s="31">
        <v>220</v>
      </c>
      <c r="S6835" s="33">
        <v>1</v>
      </c>
      <c r="AE6835" s="31" t="s">
        <v>4788</v>
      </c>
      <c r="AF6835" s="31">
        <v>75</v>
      </c>
      <c r="AK6835" s="32">
        <v>2</v>
      </c>
      <c r="AQ6835" s="32" t="s">
        <v>7333</v>
      </c>
      <c r="AU6835">
        <v>6834</v>
      </c>
    </row>
    <row r="6836" spans="1:47" x14ac:dyDescent="0.2">
      <c r="A6836" s="13">
        <v>6858</v>
      </c>
      <c r="B6836" s="57" t="s">
        <v>45</v>
      </c>
      <c r="C6836" s="57" t="s">
        <v>7338</v>
      </c>
      <c r="D6836" s="29"/>
      <c r="E6836" s="57" t="s">
        <v>3816</v>
      </c>
      <c r="F6836" s="31" t="s">
        <v>76</v>
      </c>
      <c r="I6836" s="31" t="s">
        <v>7470</v>
      </c>
      <c r="K6836" s="63"/>
      <c r="Z6836" s="31" t="s">
        <v>3814</v>
      </c>
      <c r="AE6836" s="31" t="s">
        <v>5034</v>
      </c>
      <c r="AF6836" s="31">
        <v>85</v>
      </c>
      <c r="AQ6836" s="32" t="s">
        <v>7333</v>
      </c>
      <c r="AU6836">
        <v>6835</v>
      </c>
    </row>
    <row r="6837" spans="1:47" x14ac:dyDescent="0.2">
      <c r="A6837" s="13">
        <v>6858</v>
      </c>
      <c r="B6837" s="57" t="s">
        <v>45</v>
      </c>
      <c r="C6837" s="57" t="s">
        <v>4179</v>
      </c>
      <c r="D6837" s="29"/>
      <c r="E6837" s="57" t="s">
        <v>5703</v>
      </c>
      <c r="F6837" s="31" t="s">
        <v>76</v>
      </c>
      <c r="I6837" s="31" t="s">
        <v>7341</v>
      </c>
      <c r="K6837" s="63"/>
      <c r="Z6837" s="31" t="s">
        <v>3814</v>
      </c>
      <c r="AE6837" s="31" t="s">
        <v>5034</v>
      </c>
      <c r="AF6837" s="31">
        <v>80</v>
      </c>
      <c r="AQ6837" s="32" t="s">
        <v>7333</v>
      </c>
      <c r="AU6837">
        <v>6836</v>
      </c>
    </row>
    <row r="6838" spans="1:47" x14ac:dyDescent="0.2">
      <c r="A6838" s="13">
        <v>6858</v>
      </c>
      <c r="B6838" s="57" t="s">
        <v>45</v>
      </c>
      <c r="C6838" s="57" t="s">
        <v>7338</v>
      </c>
      <c r="D6838" s="29"/>
      <c r="E6838" s="57" t="s">
        <v>4182</v>
      </c>
      <c r="F6838" s="31" t="s">
        <v>76</v>
      </c>
      <c r="I6838" s="31" t="s">
        <v>7342</v>
      </c>
      <c r="K6838" s="63"/>
      <c r="Z6838" s="31" t="s">
        <v>3814</v>
      </c>
      <c r="AE6838" s="31" t="s">
        <v>5034</v>
      </c>
      <c r="AF6838" s="31">
        <v>110</v>
      </c>
      <c r="AQ6838" s="32" t="s">
        <v>7333</v>
      </c>
      <c r="AU6838">
        <v>6837</v>
      </c>
    </row>
    <row r="6839" spans="1:47" x14ac:dyDescent="0.2">
      <c r="A6839" s="13">
        <v>6858</v>
      </c>
      <c r="B6839" s="57" t="s">
        <v>45</v>
      </c>
      <c r="C6839" s="57" t="s">
        <v>4179</v>
      </c>
      <c r="D6839" s="29"/>
      <c r="E6839" s="57" t="s">
        <v>7345</v>
      </c>
      <c r="F6839" s="31" t="s">
        <v>3183</v>
      </c>
      <c r="I6839" s="31" t="s">
        <v>7346</v>
      </c>
      <c r="K6839" s="63"/>
      <c r="Z6839" s="31" t="s">
        <v>3814</v>
      </c>
      <c r="AE6839" s="31" t="s">
        <v>5034</v>
      </c>
      <c r="AF6839" s="31">
        <v>125</v>
      </c>
      <c r="AQ6839" s="32" t="s">
        <v>7333</v>
      </c>
      <c r="AU6839">
        <v>6838</v>
      </c>
    </row>
    <row r="6840" spans="1:47" x14ac:dyDescent="0.2">
      <c r="A6840" s="13">
        <v>6858</v>
      </c>
      <c r="B6840" s="57" t="s">
        <v>45</v>
      </c>
      <c r="C6840" s="57" t="s">
        <v>4179</v>
      </c>
      <c r="D6840" s="29"/>
      <c r="E6840" s="57" t="s">
        <v>5937</v>
      </c>
      <c r="F6840" s="31" t="s">
        <v>76</v>
      </c>
      <c r="I6840" s="31" t="s">
        <v>7471</v>
      </c>
      <c r="K6840" s="63"/>
      <c r="Z6840" s="31" t="s">
        <v>3814</v>
      </c>
      <c r="AE6840" s="31" t="s">
        <v>5034</v>
      </c>
      <c r="AF6840" s="31">
        <v>90</v>
      </c>
      <c r="AQ6840" s="32" t="s">
        <v>7333</v>
      </c>
      <c r="AU6840">
        <v>6839</v>
      </c>
    </row>
    <row r="6841" spans="1:47" x14ac:dyDescent="0.2">
      <c r="A6841" s="13">
        <v>6858</v>
      </c>
      <c r="B6841" s="57" t="s">
        <v>45</v>
      </c>
      <c r="C6841" s="57" t="s">
        <v>7338</v>
      </c>
      <c r="D6841" s="29"/>
      <c r="E6841" s="57" t="s">
        <v>7351</v>
      </c>
      <c r="F6841" s="31" t="s">
        <v>6354</v>
      </c>
      <c r="I6841" s="31" t="s">
        <v>7352</v>
      </c>
      <c r="K6841" s="63"/>
      <c r="Z6841" s="31" t="s">
        <v>3814</v>
      </c>
      <c r="AE6841" s="31" t="s">
        <v>5034</v>
      </c>
      <c r="AF6841" s="31">
        <v>110</v>
      </c>
      <c r="AQ6841" s="32" t="s">
        <v>7333</v>
      </c>
      <c r="AU6841">
        <v>6840</v>
      </c>
    </row>
    <row r="6842" spans="1:47" x14ac:dyDescent="0.2">
      <c r="A6842" s="26">
        <v>6858</v>
      </c>
      <c r="B6842" s="27">
        <v>0.63194444444444442</v>
      </c>
      <c r="C6842" s="28"/>
      <c r="D6842" s="29"/>
      <c r="E6842" s="30" t="s">
        <v>1124</v>
      </c>
      <c r="H6842" s="32">
        <v>1</v>
      </c>
      <c r="I6842" s="32"/>
      <c r="AG6842" s="32">
        <v>0</v>
      </c>
      <c r="AH6842" s="32">
        <v>0</v>
      </c>
      <c r="AK6842" s="32">
        <v>6</v>
      </c>
      <c r="AL6842" s="32">
        <f>1/6</f>
        <v>0.16666666666666666</v>
      </c>
      <c r="AO6842" s="46" t="s">
        <v>1126</v>
      </c>
      <c r="AP6842" s="32">
        <f>1/6</f>
        <v>0.16666666666666666</v>
      </c>
      <c r="AQ6842" s="32" t="s">
        <v>589</v>
      </c>
      <c r="AU6842">
        <v>6841</v>
      </c>
    </row>
    <row r="6843" spans="1:47" x14ac:dyDescent="0.2">
      <c r="A6843" s="26">
        <v>6858</v>
      </c>
      <c r="B6843" s="27">
        <v>0.63680555555555551</v>
      </c>
      <c r="C6843" s="28"/>
      <c r="D6843" s="29"/>
      <c r="E6843" s="30" t="s">
        <v>464</v>
      </c>
      <c r="H6843" s="32">
        <v>0</v>
      </c>
      <c r="I6843" s="32" t="s">
        <v>4220</v>
      </c>
      <c r="AG6843" s="32">
        <v>0</v>
      </c>
      <c r="AH6843" s="32">
        <v>0</v>
      </c>
      <c r="AL6843" s="32">
        <f>18/60</f>
        <v>0.3</v>
      </c>
      <c r="AO6843" s="32" t="s">
        <v>4067</v>
      </c>
      <c r="AP6843" s="32">
        <f>18/60</f>
        <v>0.3</v>
      </c>
      <c r="AQ6843" s="32" t="s">
        <v>1522</v>
      </c>
      <c r="AU6843">
        <v>6842</v>
      </c>
    </row>
    <row r="6844" spans="1:47" x14ac:dyDescent="0.2">
      <c r="A6844" s="26">
        <v>6858</v>
      </c>
      <c r="B6844" s="27">
        <v>0.83680555555555547</v>
      </c>
      <c r="C6844" s="28"/>
      <c r="D6844" s="29"/>
      <c r="E6844" s="30" t="s">
        <v>464</v>
      </c>
      <c r="H6844" s="32">
        <v>0</v>
      </c>
      <c r="I6844" s="32" t="s">
        <v>7472</v>
      </c>
      <c r="AG6844" s="32">
        <v>0</v>
      </c>
      <c r="AH6844" s="32">
        <v>0</v>
      </c>
      <c r="AL6844" s="32">
        <f>110/60</f>
        <v>1.8333333333333333</v>
      </c>
      <c r="AO6844" s="32" t="s">
        <v>4067</v>
      </c>
      <c r="AP6844" s="32">
        <f>110/60</f>
        <v>1.8333333333333333</v>
      </c>
      <c r="AQ6844" s="32" t="s">
        <v>1522</v>
      </c>
      <c r="AU6844">
        <v>6843</v>
      </c>
    </row>
    <row r="6845" spans="1:47" x14ac:dyDescent="0.2">
      <c r="A6845" s="26">
        <v>6858</v>
      </c>
      <c r="B6845" s="27" t="s">
        <v>45</v>
      </c>
      <c r="C6845" s="28"/>
      <c r="D6845" s="29"/>
      <c r="E6845" s="30" t="s">
        <v>1531</v>
      </c>
      <c r="H6845" s="32">
        <v>0</v>
      </c>
      <c r="I6845" s="32" t="s">
        <v>1532</v>
      </c>
      <c r="AG6845" s="32">
        <v>0</v>
      </c>
      <c r="AH6845" s="32">
        <v>0</v>
      </c>
      <c r="AI6845" s="32">
        <v>0</v>
      </c>
      <c r="AK6845" s="32">
        <v>0</v>
      </c>
      <c r="AM6845" s="32">
        <f>498*47</f>
        <v>23406</v>
      </c>
      <c r="AO6845" s="32" t="s">
        <v>1533</v>
      </c>
      <c r="AQ6845" s="32" t="s">
        <v>1101</v>
      </c>
      <c r="AU6845">
        <v>6844</v>
      </c>
    </row>
    <row r="6846" spans="1:47" x14ac:dyDescent="0.2">
      <c r="A6846" s="26">
        <v>6858</v>
      </c>
      <c r="B6846" s="27" t="s">
        <v>45</v>
      </c>
      <c r="C6846" s="28"/>
      <c r="D6846" s="29"/>
      <c r="E6846" s="150" t="s">
        <v>2286</v>
      </c>
      <c r="H6846" s="32">
        <v>0</v>
      </c>
      <c r="I6846" s="32" t="s">
        <v>1824</v>
      </c>
      <c r="AG6846" s="32">
        <v>0</v>
      </c>
      <c r="AH6846" s="32">
        <v>0</v>
      </c>
      <c r="AI6846" s="32">
        <v>0</v>
      </c>
      <c r="AK6846" s="32">
        <v>0</v>
      </c>
      <c r="AM6846" s="32">
        <v>3500</v>
      </c>
      <c r="AO6846" s="73" t="s">
        <v>75</v>
      </c>
      <c r="AQ6846" s="32" t="s">
        <v>589</v>
      </c>
      <c r="AU6846">
        <v>6845</v>
      </c>
    </row>
    <row r="6847" spans="1:47" x14ac:dyDescent="0.2">
      <c r="A6847" s="26">
        <v>6858</v>
      </c>
      <c r="B6847" s="27"/>
      <c r="C6847" s="28"/>
      <c r="D6847" s="29"/>
      <c r="E6847" s="30" t="s">
        <v>75</v>
      </c>
      <c r="H6847" s="32">
        <v>1</v>
      </c>
      <c r="I6847" s="32" t="s">
        <v>7473</v>
      </c>
      <c r="AG6847" s="32">
        <v>0</v>
      </c>
      <c r="AH6847" s="32">
        <v>0</v>
      </c>
      <c r="AI6847" s="32">
        <v>4200</v>
      </c>
      <c r="AL6847" s="32">
        <v>10</v>
      </c>
      <c r="AQ6847" s="32">
        <v>413</v>
      </c>
      <c r="AU6847">
        <v>6846</v>
      </c>
    </row>
    <row r="6848" spans="1:47" x14ac:dyDescent="0.2">
      <c r="A6848" s="26">
        <v>6859</v>
      </c>
      <c r="B6848" s="27"/>
      <c r="C6848" s="28"/>
      <c r="D6848" s="29"/>
      <c r="E6848" s="30" t="s">
        <v>7474</v>
      </c>
      <c r="H6848" s="32">
        <v>1</v>
      </c>
      <c r="I6848" s="32" t="s">
        <v>7475</v>
      </c>
      <c r="AG6848" s="32">
        <v>1</v>
      </c>
      <c r="AH6848" s="32">
        <v>0</v>
      </c>
      <c r="AI6848" s="32">
        <v>9340</v>
      </c>
      <c r="AK6848" s="32">
        <v>20</v>
      </c>
      <c r="AO6848" s="32" t="s">
        <v>5004</v>
      </c>
      <c r="AQ6848" s="32">
        <v>435</v>
      </c>
      <c r="AU6848">
        <v>6847</v>
      </c>
    </row>
    <row r="6849" spans="1:47" x14ac:dyDescent="0.2">
      <c r="A6849" s="37">
        <v>6860</v>
      </c>
      <c r="B6849" s="38" t="s">
        <v>85</v>
      </c>
      <c r="C6849" s="39" t="s">
        <v>6997</v>
      </c>
      <c r="D6849" s="29"/>
      <c r="E6849" s="38" t="s">
        <v>7476</v>
      </c>
      <c r="H6849" s="32"/>
      <c r="I6849" s="32" t="s">
        <v>7477</v>
      </c>
      <c r="K6849" s="31">
        <f>1100*2.2</f>
        <v>2420</v>
      </c>
      <c r="L6849" s="33">
        <v>13</v>
      </c>
      <c r="S6849" s="33">
        <v>11</v>
      </c>
      <c r="T6849" s="31">
        <v>1</v>
      </c>
      <c r="W6849" s="31">
        <v>13000</v>
      </c>
      <c r="Y6849" s="31" t="s">
        <v>120</v>
      </c>
      <c r="Z6849" s="47" t="s">
        <v>3618</v>
      </c>
      <c r="AC6849" s="34">
        <v>0.51388888888888895</v>
      </c>
      <c r="AE6849" s="47" t="s">
        <v>2743</v>
      </c>
      <c r="AK6849" s="32">
        <v>22</v>
      </c>
      <c r="AQ6849" t="s">
        <v>7167</v>
      </c>
      <c r="AU6849">
        <v>6848</v>
      </c>
    </row>
    <row r="6850" spans="1:47" x14ac:dyDescent="0.2">
      <c r="A6850" s="13">
        <v>6861</v>
      </c>
      <c r="B6850" s="57" t="s">
        <v>45</v>
      </c>
      <c r="C6850" s="57" t="s">
        <v>5860</v>
      </c>
      <c r="D6850" s="29"/>
      <c r="E6850" s="57" t="s">
        <v>7478</v>
      </c>
      <c r="F6850" s="31" t="s">
        <v>76</v>
      </c>
      <c r="G6850" s="31" t="s">
        <v>49</v>
      </c>
      <c r="K6850" s="31">
        <v>660</v>
      </c>
      <c r="AE6850" s="31" t="s">
        <v>7241</v>
      </c>
      <c r="AF6850" s="31">
        <v>115</v>
      </c>
      <c r="AK6850" s="32">
        <v>9</v>
      </c>
      <c r="AQ6850" s="32" t="s">
        <v>7333</v>
      </c>
      <c r="AU6850">
        <v>6849</v>
      </c>
    </row>
    <row r="6851" spans="1:47" x14ac:dyDescent="0.2">
      <c r="A6851" s="13">
        <v>6861</v>
      </c>
      <c r="B6851" s="57" t="s">
        <v>45</v>
      </c>
      <c r="C6851" s="57" t="s">
        <v>5860</v>
      </c>
      <c r="D6851" s="29"/>
      <c r="E6851" s="57" t="s">
        <v>7479</v>
      </c>
      <c r="F6851" s="31" t="s">
        <v>6354</v>
      </c>
      <c r="G6851" s="31" t="s">
        <v>69</v>
      </c>
      <c r="K6851" s="31">
        <v>1100</v>
      </c>
      <c r="AE6851" s="31" t="s">
        <v>7241</v>
      </c>
      <c r="AF6851" s="31">
        <v>90</v>
      </c>
      <c r="AK6851" s="32">
        <v>13</v>
      </c>
      <c r="AQ6851" s="32" t="s">
        <v>7333</v>
      </c>
      <c r="AU6851">
        <v>6850</v>
      </c>
    </row>
    <row r="6852" spans="1:47" x14ac:dyDescent="0.2">
      <c r="A6852" s="13">
        <v>6862</v>
      </c>
      <c r="B6852" s="57" t="s">
        <v>45</v>
      </c>
      <c r="C6852" s="57" t="s">
        <v>5860</v>
      </c>
      <c r="D6852" s="29"/>
      <c r="E6852" s="57" t="s">
        <v>3815</v>
      </c>
      <c r="F6852" s="31" t="s">
        <v>76</v>
      </c>
      <c r="G6852" s="31" t="s">
        <v>49</v>
      </c>
      <c r="K6852" s="31">
        <v>660</v>
      </c>
      <c r="AE6852" s="31" t="s">
        <v>7241</v>
      </c>
      <c r="AF6852" s="31">
        <v>100</v>
      </c>
      <c r="AK6852" s="32">
        <v>9</v>
      </c>
      <c r="AQ6852" s="32" t="s">
        <v>7333</v>
      </c>
      <c r="AU6852">
        <v>6851</v>
      </c>
    </row>
    <row r="6853" spans="1:47" x14ac:dyDescent="0.2">
      <c r="A6853" s="13">
        <v>6862</v>
      </c>
      <c r="B6853" s="57" t="s">
        <v>45</v>
      </c>
      <c r="C6853" s="57" t="s">
        <v>7338</v>
      </c>
      <c r="D6853" s="29"/>
      <c r="E6853" s="57" t="s">
        <v>3816</v>
      </c>
      <c r="F6853" s="31" t="s">
        <v>76</v>
      </c>
      <c r="I6853" s="31" t="s">
        <v>7470</v>
      </c>
      <c r="K6853" s="63"/>
      <c r="Z6853" s="31" t="s">
        <v>3814</v>
      </c>
      <c r="AE6853" s="31" t="s">
        <v>5034</v>
      </c>
      <c r="AF6853" s="31">
        <v>85</v>
      </c>
      <c r="AQ6853" s="32" t="s">
        <v>7333</v>
      </c>
      <c r="AU6853">
        <v>6852</v>
      </c>
    </row>
    <row r="6854" spans="1:47" x14ac:dyDescent="0.2">
      <c r="A6854" s="13">
        <v>6862</v>
      </c>
      <c r="B6854" s="57" t="s">
        <v>45</v>
      </c>
      <c r="C6854" s="57" t="s">
        <v>7338</v>
      </c>
      <c r="D6854" s="29"/>
      <c r="E6854" s="57" t="s">
        <v>4182</v>
      </c>
      <c r="F6854" s="31" t="s">
        <v>76</v>
      </c>
      <c r="I6854" s="31" t="s">
        <v>7342</v>
      </c>
      <c r="K6854" s="63"/>
      <c r="Z6854" s="31" t="s">
        <v>3814</v>
      </c>
      <c r="AE6854" s="31" t="s">
        <v>5034</v>
      </c>
      <c r="AF6854" s="31">
        <v>110</v>
      </c>
      <c r="AQ6854" s="32" t="s">
        <v>7333</v>
      </c>
      <c r="AU6854">
        <v>6853</v>
      </c>
    </row>
    <row r="6855" spans="1:47" x14ac:dyDescent="0.2">
      <c r="A6855" s="13">
        <v>6862</v>
      </c>
      <c r="B6855" s="57" t="s">
        <v>45</v>
      </c>
      <c r="C6855" s="57" t="s">
        <v>4179</v>
      </c>
      <c r="D6855" s="29"/>
      <c r="E6855" s="57" t="s">
        <v>7343</v>
      </c>
      <c r="F6855" s="31" t="s">
        <v>3183</v>
      </c>
      <c r="I6855" s="31" t="s">
        <v>7344</v>
      </c>
      <c r="K6855" s="63"/>
      <c r="Z6855" s="31" t="s">
        <v>3814</v>
      </c>
      <c r="AE6855" s="31" t="s">
        <v>5034</v>
      </c>
      <c r="AF6855" s="31">
        <v>100</v>
      </c>
      <c r="AQ6855" s="32" t="s">
        <v>7333</v>
      </c>
      <c r="AU6855">
        <v>6854</v>
      </c>
    </row>
    <row r="6856" spans="1:47" x14ac:dyDescent="0.2">
      <c r="A6856" s="13">
        <v>6862</v>
      </c>
      <c r="B6856" s="57" t="s">
        <v>45</v>
      </c>
      <c r="C6856" s="57" t="s">
        <v>4179</v>
      </c>
      <c r="D6856" s="29"/>
      <c r="E6856" s="57" t="s">
        <v>5937</v>
      </c>
      <c r="F6856" s="31" t="s">
        <v>76</v>
      </c>
      <c r="I6856" s="31" t="s">
        <v>7471</v>
      </c>
      <c r="K6856" s="63"/>
      <c r="Z6856" s="31" t="s">
        <v>3814</v>
      </c>
      <c r="AE6856" s="31" t="s">
        <v>5034</v>
      </c>
      <c r="AF6856" s="31">
        <v>90</v>
      </c>
      <c r="AQ6856" s="32" t="s">
        <v>7333</v>
      </c>
      <c r="AU6856">
        <v>6855</v>
      </c>
    </row>
    <row r="6857" spans="1:47" x14ac:dyDescent="0.2">
      <c r="A6857" s="133">
        <v>6863</v>
      </c>
      <c r="B6857" s="39" t="s">
        <v>85</v>
      </c>
      <c r="C6857" s="39">
        <v>55</v>
      </c>
      <c r="D6857" s="29" t="b">
        <v>0</v>
      </c>
      <c r="E6857" s="39" t="s">
        <v>649</v>
      </c>
      <c r="F6857" s="47" t="s">
        <v>529</v>
      </c>
      <c r="G6857" s="47" t="s">
        <v>205</v>
      </c>
      <c r="H6857"/>
      <c r="I6857" s="47" t="b">
        <v>0</v>
      </c>
      <c r="J6857" s="47" t="b">
        <v>1</v>
      </c>
      <c r="K6857" s="47">
        <v>224</v>
      </c>
      <c r="L6857" s="48">
        <v>-1</v>
      </c>
      <c r="M6857" s="47">
        <v>0</v>
      </c>
      <c r="N6857" s="47">
        <v>0</v>
      </c>
      <c r="O6857" s="47">
        <v>0</v>
      </c>
      <c r="P6857" s="47">
        <v>0</v>
      </c>
      <c r="Q6857" s="47">
        <v>0</v>
      </c>
      <c r="R6857" s="47">
        <v>0</v>
      </c>
      <c r="S6857" s="48">
        <v>1</v>
      </c>
      <c r="T6857" s="47">
        <v>0</v>
      </c>
      <c r="U6857" s="47">
        <v>0</v>
      </c>
      <c r="V6857" s="47">
        <v>0</v>
      </c>
      <c r="W6857" s="47">
        <v>40</v>
      </c>
      <c r="X6857" s="47">
        <v>1154</v>
      </c>
      <c r="Y6857" s="47" t="s">
        <v>51</v>
      </c>
      <c r="Z6857" s="47" t="s">
        <v>3618</v>
      </c>
      <c r="AA6857" s="49">
        <v>0.40972222222222227</v>
      </c>
      <c r="AB6857" s="49">
        <v>0.4548611111111111</v>
      </c>
      <c r="AC6857" s="49">
        <f>AVERAGE(AA6857:AB6857)</f>
        <v>0.43229166666666669</v>
      </c>
      <c r="AD6857" s="50">
        <f>(AB6857-AA6857)*24</f>
        <v>1.0833333333333321</v>
      </c>
      <c r="AE6857" s="47" t="s">
        <v>5433</v>
      </c>
      <c r="AF6857" s="47">
        <v>55</v>
      </c>
      <c r="AG6857"/>
      <c r="AH6857"/>
      <c r="AI6857"/>
      <c r="AJ6857"/>
      <c r="AK6857">
        <v>2</v>
      </c>
      <c r="AL6857"/>
      <c r="AM6857"/>
      <c r="AN6857"/>
      <c r="AO6857"/>
      <c r="AP6857"/>
      <c r="AQ6857" t="s">
        <v>5434</v>
      </c>
      <c r="AU6857">
        <v>6856</v>
      </c>
    </row>
    <row r="6858" spans="1:47" x14ac:dyDescent="0.2">
      <c r="A6858" s="26">
        <v>6864</v>
      </c>
      <c r="B6858" s="27">
        <v>0.89583333333333337</v>
      </c>
      <c r="C6858" s="28"/>
      <c r="D6858" s="29"/>
      <c r="E6858" s="30" t="s">
        <v>2087</v>
      </c>
      <c r="H6858" s="32">
        <v>0</v>
      </c>
      <c r="I6858" s="32"/>
      <c r="AG6858" s="32">
        <v>0</v>
      </c>
      <c r="AH6858" s="32">
        <v>0</v>
      </c>
      <c r="AI6858" s="32">
        <v>0</v>
      </c>
      <c r="AK6858" s="32">
        <v>0</v>
      </c>
      <c r="AL6858" s="32">
        <v>0</v>
      </c>
      <c r="AP6858" s="32">
        <v>0.25</v>
      </c>
      <c r="AQ6858" s="32" t="s">
        <v>1101</v>
      </c>
      <c r="AU6858">
        <v>6857</v>
      </c>
    </row>
    <row r="6859" spans="1:47" x14ac:dyDescent="0.2">
      <c r="A6859" s="26">
        <v>6865</v>
      </c>
      <c r="B6859" s="27">
        <v>0.16666666666666666</v>
      </c>
      <c r="C6859" s="28"/>
      <c r="D6859" s="29"/>
      <c r="E6859" s="30" t="s">
        <v>5718</v>
      </c>
      <c r="H6859" s="32">
        <v>1</v>
      </c>
      <c r="I6859" s="32" t="s">
        <v>7480</v>
      </c>
      <c r="AL6859" s="32">
        <v>4.67</v>
      </c>
      <c r="AO6859" s="32" t="s">
        <v>7481</v>
      </c>
      <c r="AQ6859" s="32">
        <v>382</v>
      </c>
      <c r="AU6859">
        <v>6858</v>
      </c>
    </row>
    <row r="6860" spans="1:47" x14ac:dyDescent="0.2">
      <c r="A6860" s="26">
        <v>6865</v>
      </c>
      <c r="B6860" s="27">
        <v>0.99513888888888891</v>
      </c>
      <c r="C6860" s="28"/>
      <c r="D6860" s="29"/>
      <c r="E6860" s="30" t="s">
        <v>5718</v>
      </c>
      <c r="H6860" s="32">
        <v>1</v>
      </c>
      <c r="I6860" s="32" t="s">
        <v>7482</v>
      </c>
      <c r="AK6860" s="32">
        <v>2</v>
      </c>
      <c r="AL6860" s="32">
        <v>3</v>
      </c>
      <c r="AO6860" s="32" t="s">
        <v>7481</v>
      </c>
      <c r="AQ6860" s="32">
        <v>381</v>
      </c>
      <c r="AU6860">
        <v>6859</v>
      </c>
    </row>
    <row r="6861" spans="1:47" x14ac:dyDescent="0.2">
      <c r="A6861" s="133">
        <v>6866</v>
      </c>
      <c r="B6861" s="39" t="s">
        <v>85</v>
      </c>
      <c r="C6861" s="39">
        <v>99</v>
      </c>
      <c r="D6861" s="29" t="b">
        <v>0</v>
      </c>
      <c r="E6861" s="39" t="s">
        <v>1168</v>
      </c>
      <c r="F6861" s="47" t="s">
        <v>2398</v>
      </c>
      <c r="G6861" s="47" t="s">
        <v>49</v>
      </c>
      <c r="H6861"/>
      <c r="I6861" s="47" t="b">
        <v>0</v>
      </c>
      <c r="J6861" s="47" t="b">
        <v>1</v>
      </c>
      <c r="K6861" s="47">
        <v>1816</v>
      </c>
      <c r="L6861" s="48">
        <v>12</v>
      </c>
      <c r="M6861" s="47">
        <v>0</v>
      </c>
      <c r="N6861" s="47">
        <v>3</v>
      </c>
      <c r="O6861" s="47">
        <v>1</v>
      </c>
      <c r="P6861" s="47">
        <v>0</v>
      </c>
      <c r="Q6861" s="47">
        <v>0</v>
      </c>
      <c r="R6861" s="47">
        <v>0</v>
      </c>
      <c r="S6861" s="48">
        <v>8</v>
      </c>
      <c r="T6861" s="47">
        <v>0</v>
      </c>
      <c r="U6861" s="47">
        <v>0</v>
      </c>
      <c r="V6861" s="47">
        <v>0</v>
      </c>
      <c r="W6861" s="47">
        <v>12500</v>
      </c>
      <c r="X6861" s="47">
        <v>1157</v>
      </c>
      <c r="Y6861" s="47" t="s">
        <v>51</v>
      </c>
      <c r="Z6861" s="47" t="s">
        <v>5139</v>
      </c>
      <c r="AA6861" s="49">
        <v>0.58333333333333337</v>
      </c>
      <c r="AB6861" s="49">
        <v>0.67708333333333337</v>
      </c>
      <c r="AC6861" s="49">
        <v>0.65277777777777779</v>
      </c>
      <c r="AD6861" s="50">
        <f>(AB6861-AA6861)*24</f>
        <v>2.25</v>
      </c>
      <c r="AE6861" s="47" t="s">
        <v>5433</v>
      </c>
      <c r="AF6861" s="47">
        <v>55</v>
      </c>
      <c r="AG6861"/>
      <c r="AH6861"/>
      <c r="AI6861"/>
      <c r="AJ6861"/>
      <c r="AK6861">
        <v>12</v>
      </c>
      <c r="AL6861"/>
      <c r="AM6861"/>
      <c r="AN6861"/>
      <c r="AO6861"/>
      <c r="AP6861"/>
      <c r="AQ6861" t="s">
        <v>2526</v>
      </c>
      <c r="AU6861">
        <v>6860</v>
      </c>
    </row>
    <row r="6862" spans="1:47" x14ac:dyDescent="0.2">
      <c r="A6862" s="133">
        <v>6866</v>
      </c>
      <c r="B6862" s="39" t="s">
        <v>85</v>
      </c>
      <c r="C6862" s="39">
        <v>104</v>
      </c>
      <c r="D6862" s="29" t="b">
        <v>0</v>
      </c>
      <c r="E6862" s="39" t="s">
        <v>1168</v>
      </c>
      <c r="F6862" s="47" t="s">
        <v>2398</v>
      </c>
      <c r="G6862" s="47" t="s">
        <v>49</v>
      </c>
      <c r="H6862"/>
      <c r="I6862" s="47" t="b">
        <v>0</v>
      </c>
      <c r="J6862" s="47" t="b">
        <v>1</v>
      </c>
      <c r="K6862" s="47">
        <v>2942</v>
      </c>
      <c r="L6862" s="48">
        <v>-1</v>
      </c>
      <c r="M6862" s="47">
        <v>0</v>
      </c>
      <c r="N6862" s="47">
        <v>0</v>
      </c>
      <c r="O6862" s="47">
        <v>0</v>
      </c>
      <c r="P6862" s="47">
        <v>0</v>
      </c>
      <c r="Q6862" s="47">
        <v>0</v>
      </c>
      <c r="R6862" s="47">
        <v>0</v>
      </c>
      <c r="S6862" s="48">
        <v>13</v>
      </c>
      <c r="T6862" s="47">
        <v>0</v>
      </c>
      <c r="U6862" s="47">
        <v>0</v>
      </c>
      <c r="V6862" s="47">
        <v>0</v>
      </c>
      <c r="W6862" s="47">
        <v>12000</v>
      </c>
      <c r="X6862" s="47">
        <v>1156</v>
      </c>
      <c r="Y6862" s="47" t="s">
        <v>51</v>
      </c>
      <c r="Z6862" s="47" t="s">
        <v>5139</v>
      </c>
      <c r="AA6862" s="49">
        <v>0.57291666666666663</v>
      </c>
      <c r="AB6862" s="49">
        <v>0.67708333333333337</v>
      </c>
      <c r="AC6862" s="49">
        <v>0.64930555555555558</v>
      </c>
      <c r="AD6862" s="50">
        <f>(AB6862-AA6862)*24</f>
        <v>2.5000000000000018</v>
      </c>
      <c r="AE6862" s="47" t="s">
        <v>5433</v>
      </c>
      <c r="AF6862" s="47">
        <v>55</v>
      </c>
      <c r="AG6862"/>
      <c r="AH6862"/>
      <c r="AI6862"/>
      <c r="AJ6862"/>
      <c r="AK6862">
        <v>21</v>
      </c>
      <c r="AL6862"/>
      <c r="AM6862"/>
      <c r="AN6862"/>
      <c r="AO6862"/>
      <c r="AP6862"/>
      <c r="AQ6862" t="s">
        <v>5485</v>
      </c>
      <c r="AU6862">
        <v>6861</v>
      </c>
    </row>
    <row r="6863" spans="1:47" x14ac:dyDescent="0.2">
      <c r="A6863" s="133">
        <v>6866</v>
      </c>
      <c r="B6863" s="39" t="s">
        <v>85</v>
      </c>
      <c r="C6863" s="39" t="s">
        <v>6997</v>
      </c>
      <c r="D6863" s="29"/>
      <c r="E6863" s="39" t="s">
        <v>7483</v>
      </c>
      <c r="F6863" s="47"/>
      <c r="G6863" s="47"/>
      <c r="H6863"/>
      <c r="I6863" s="32" t="s">
        <v>7484</v>
      </c>
      <c r="J6863" s="47"/>
      <c r="K6863" s="47">
        <f>800*2.2</f>
        <v>1760.0000000000002</v>
      </c>
      <c r="L6863" s="48">
        <v>12</v>
      </c>
      <c r="M6863" s="47"/>
      <c r="N6863" s="47"/>
      <c r="O6863" s="47"/>
      <c r="P6863" s="47"/>
      <c r="Q6863" s="47"/>
      <c r="R6863" s="47"/>
      <c r="S6863" s="48">
        <v>11</v>
      </c>
      <c r="T6863" s="47"/>
      <c r="U6863" s="47"/>
      <c r="V6863" s="47"/>
      <c r="W6863" s="47">
        <v>12000</v>
      </c>
      <c r="X6863" s="47"/>
      <c r="Y6863" s="47" t="s">
        <v>51</v>
      </c>
      <c r="Z6863" s="47" t="s">
        <v>3618</v>
      </c>
      <c r="AA6863" s="49">
        <v>0.59027777777777779</v>
      </c>
      <c r="AB6863" s="49">
        <v>0.65972222222222221</v>
      </c>
      <c r="AC6863" s="49">
        <v>0.63194444444444442</v>
      </c>
      <c r="AD6863" s="50">
        <f>(AB6863-AA6863)*24</f>
        <v>1.6666666666666661</v>
      </c>
      <c r="AE6863" s="47" t="s">
        <v>2743</v>
      </c>
      <c r="AF6863" s="47">
        <v>80</v>
      </c>
      <c r="AG6863"/>
      <c r="AH6863"/>
      <c r="AI6863"/>
      <c r="AJ6863"/>
      <c r="AK6863" s="32">
        <v>16</v>
      </c>
      <c r="AL6863"/>
      <c r="AM6863"/>
      <c r="AN6863"/>
      <c r="AO6863"/>
      <c r="AP6863"/>
      <c r="AQ6863" t="s">
        <v>7167</v>
      </c>
      <c r="AU6863">
        <v>6862</v>
      </c>
    </row>
    <row r="6864" spans="1:47" x14ac:dyDescent="0.2">
      <c r="A6864" s="133">
        <v>6866</v>
      </c>
      <c r="B6864" s="39" t="s">
        <v>85</v>
      </c>
      <c r="C6864" s="206" t="s">
        <v>7485</v>
      </c>
      <c r="D6864" s="29"/>
      <c r="E6864" s="39" t="s">
        <v>1491</v>
      </c>
      <c r="F6864" s="47"/>
      <c r="G6864" s="47"/>
      <c r="H6864"/>
      <c r="I6864" s="32" t="s">
        <v>7486</v>
      </c>
      <c r="J6864" s="47"/>
      <c r="K6864" s="47"/>
      <c r="L6864" s="48">
        <v>42</v>
      </c>
      <c r="M6864" s="47"/>
      <c r="N6864" s="47"/>
      <c r="O6864" s="47"/>
      <c r="P6864" s="47"/>
      <c r="Q6864" s="47"/>
      <c r="R6864" s="47"/>
      <c r="S6864" s="48"/>
      <c r="T6864" s="47"/>
      <c r="U6864" s="47"/>
      <c r="V6864" s="47"/>
      <c r="W6864" s="47">
        <v>12000</v>
      </c>
      <c r="X6864" s="47"/>
      <c r="Y6864" s="47"/>
      <c r="Z6864" s="47" t="s">
        <v>7262</v>
      </c>
      <c r="AA6864" s="49">
        <v>0.59027777777777779</v>
      </c>
      <c r="AB6864" s="49">
        <v>0.65972222222222221</v>
      </c>
      <c r="AC6864" s="49">
        <v>0.63194444444444442</v>
      </c>
      <c r="AD6864" s="50">
        <f>(AB6864-AA6864)*24</f>
        <v>1.6666666666666661</v>
      </c>
      <c r="AE6864" s="47" t="s">
        <v>2743</v>
      </c>
      <c r="AF6864" s="47">
        <v>80</v>
      </c>
      <c r="AG6864"/>
      <c r="AH6864"/>
      <c r="AI6864"/>
      <c r="AJ6864"/>
      <c r="AK6864"/>
      <c r="AL6864"/>
      <c r="AM6864"/>
      <c r="AN6864"/>
      <c r="AO6864"/>
      <c r="AP6864"/>
      <c r="AQ6864" t="s">
        <v>7167</v>
      </c>
      <c r="AU6864">
        <v>6863</v>
      </c>
    </row>
    <row r="6865" spans="1:47" x14ac:dyDescent="0.2">
      <c r="A6865" s="133">
        <v>6866</v>
      </c>
      <c r="B6865" s="39" t="s">
        <v>45</v>
      </c>
      <c r="C6865" s="39">
        <v>100</v>
      </c>
      <c r="D6865" s="29" t="b">
        <v>0</v>
      </c>
      <c r="E6865" s="39" t="s">
        <v>140</v>
      </c>
      <c r="F6865" s="47" t="s">
        <v>2398</v>
      </c>
      <c r="G6865" s="47" t="s">
        <v>49</v>
      </c>
      <c r="H6865"/>
      <c r="I6865" s="47" t="b">
        <v>0</v>
      </c>
      <c r="J6865" s="47" t="b">
        <v>1</v>
      </c>
      <c r="K6865" s="47">
        <v>1792</v>
      </c>
      <c r="L6865" s="48">
        <v>2</v>
      </c>
      <c r="M6865" s="47">
        <v>1</v>
      </c>
      <c r="N6865" s="47">
        <v>0</v>
      </c>
      <c r="O6865" s="47">
        <v>0</v>
      </c>
      <c r="P6865" s="47">
        <v>1</v>
      </c>
      <c r="Q6865" s="47">
        <v>0</v>
      </c>
      <c r="R6865" s="47">
        <v>0</v>
      </c>
      <c r="S6865" s="48">
        <v>1</v>
      </c>
      <c r="T6865" s="47">
        <v>0</v>
      </c>
      <c r="U6865" s="47">
        <v>0</v>
      </c>
      <c r="V6865" s="47">
        <v>0</v>
      </c>
      <c r="W6865" s="47">
        <v>4000</v>
      </c>
      <c r="X6865" s="47">
        <v>1155</v>
      </c>
      <c r="Y6865" s="47"/>
      <c r="Z6865" s="47" t="s">
        <v>2466</v>
      </c>
      <c r="AA6865" s="49"/>
      <c r="AB6865" s="49"/>
      <c r="AC6865" s="49"/>
      <c r="AD6865" s="50"/>
      <c r="AE6865" s="47" t="s">
        <v>6445</v>
      </c>
      <c r="AF6865" s="47">
        <v>130</v>
      </c>
      <c r="AG6865"/>
      <c r="AH6865"/>
      <c r="AI6865"/>
      <c r="AJ6865"/>
      <c r="AK6865"/>
      <c r="AL6865"/>
      <c r="AM6865"/>
      <c r="AN6865"/>
      <c r="AO6865"/>
      <c r="AP6865"/>
      <c r="AQ6865" t="s">
        <v>2526</v>
      </c>
      <c r="AU6865">
        <v>6864</v>
      </c>
    </row>
    <row r="6866" spans="1:47" x14ac:dyDescent="0.2">
      <c r="A6866" s="13">
        <v>6866</v>
      </c>
      <c r="B6866" s="57" t="s">
        <v>45</v>
      </c>
      <c r="C6866" s="57" t="s">
        <v>142</v>
      </c>
      <c r="D6866" s="29"/>
      <c r="E6866" s="144" t="s">
        <v>7487</v>
      </c>
      <c r="F6866" s="31" t="s">
        <v>340</v>
      </c>
      <c r="G6866" s="47" t="s">
        <v>49</v>
      </c>
      <c r="I6866" s="47" t="b">
        <v>1</v>
      </c>
      <c r="J6866" s="47" t="b">
        <v>1</v>
      </c>
      <c r="K6866" s="31">
        <f>3530*2.2</f>
        <v>7766.0000000000009</v>
      </c>
      <c r="L6866" s="33">
        <v>15</v>
      </c>
      <c r="M6866" s="31">
        <v>3</v>
      </c>
      <c r="N6866" s="31">
        <v>3</v>
      </c>
      <c r="O6866" s="31">
        <v>1</v>
      </c>
      <c r="S6866" s="33">
        <v>8</v>
      </c>
      <c r="T6866" s="31">
        <v>0</v>
      </c>
      <c r="U6866" s="31">
        <v>0</v>
      </c>
      <c r="V6866" s="31">
        <v>3</v>
      </c>
      <c r="Y6866" s="31" t="s">
        <v>51</v>
      </c>
      <c r="Z6866" s="31" t="s">
        <v>7420</v>
      </c>
      <c r="AE6866" s="31" t="s">
        <v>2470</v>
      </c>
      <c r="AK6866" s="32">
        <f>8+12+37+2+6+7+2+4</f>
        <v>78</v>
      </c>
      <c r="AQ6866" s="32" t="s">
        <v>7488</v>
      </c>
      <c r="AR6866" s="32" t="s">
        <v>7489</v>
      </c>
      <c r="AU6866">
        <v>6865</v>
      </c>
    </row>
    <row r="6867" spans="1:47" x14ac:dyDescent="0.2">
      <c r="A6867" s="13">
        <v>6866</v>
      </c>
      <c r="B6867" s="57" t="s">
        <v>45</v>
      </c>
      <c r="C6867" s="57" t="s">
        <v>142</v>
      </c>
      <c r="D6867" s="29"/>
      <c r="E6867" s="57" t="s">
        <v>7490</v>
      </c>
      <c r="F6867" s="31" t="s">
        <v>76</v>
      </c>
      <c r="G6867" s="47" t="s">
        <v>49</v>
      </c>
      <c r="I6867" s="47" t="b">
        <v>0</v>
      </c>
      <c r="J6867" s="47" t="b">
        <v>0</v>
      </c>
      <c r="K6867" s="31">
        <v>770</v>
      </c>
      <c r="S6867" s="33">
        <v>1</v>
      </c>
      <c r="Z6867" s="31" t="s">
        <v>7420</v>
      </c>
      <c r="AE6867" s="31" t="s">
        <v>2470</v>
      </c>
      <c r="AF6867" s="31">
        <v>90</v>
      </c>
      <c r="AK6867" s="32">
        <v>15</v>
      </c>
      <c r="AQ6867" s="32" t="s">
        <v>7491</v>
      </c>
      <c r="AU6867">
        <v>6866</v>
      </c>
    </row>
    <row r="6868" spans="1:47" x14ac:dyDescent="0.2">
      <c r="A6868" s="13">
        <v>6866</v>
      </c>
      <c r="B6868" s="57" t="s">
        <v>45</v>
      </c>
      <c r="C6868" s="57" t="s">
        <v>142</v>
      </c>
      <c r="D6868" s="29"/>
      <c r="E6868" s="57" t="s">
        <v>7492</v>
      </c>
      <c r="F6868" s="31" t="s">
        <v>76</v>
      </c>
      <c r="G6868" s="47" t="s">
        <v>49</v>
      </c>
      <c r="I6868" s="47" t="b">
        <v>0</v>
      </c>
      <c r="J6868" s="47" t="b">
        <v>0</v>
      </c>
      <c r="K6868" s="31">
        <v>880</v>
      </c>
      <c r="S6868" s="33">
        <v>1</v>
      </c>
      <c r="Z6868" s="31" t="s">
        <v>7420</v>
      </c>
      <c r="AE6868" s="31" t="s">
        <v>2470</v>
      </c>
      <c r="AF6868" s="31">
        <v>125</v>
      </c>
      <c r="AK6868" s="32">
        <v>6</v>
      </c>
      <c r="AQ6868" s="32" t="s">
        <v>7491</v>
      </c>
      <c r="AU6868">
        <v>6867</v>
      </c>
    </row>
    <row r="6869" spans="1:47" x14ac:dyDescent="0.2">
      <c r="A6869" s="13">
        <v>6866</v>
      </c>
      <c r="B6869" s="57" t="s">
        <v>45</v>
      </c>
      <c r="C6869" s="57" t="s">
        <v>142</v>
      </c>
      <c r="D6869" s="29"/>
      <c r="E6869" s="57" t="s">
        <v>3816</v>
      </c>
      <c r="F6869" s="31" t="s">
        <v>76</v>
      </c>
      <c r="G6869" s="47" t="s">
        <v>49</v>
      </c>
      <c r="I6869" s="47" t="b">
        <v>0</v>
      </c>
      <c r="J6869" s="47" t="b">
        <v>0</v>
      </c>
      <c r="K6869" s="31">
        <v>880</v>
      </c>
      <c r="S6869" s="33">
        <v>1</v>
      </c>
      <c r="Z6869" s="31" t="s">
        <v>7420</v>
      </c>
      <c r="AE6869" s="31" t="s">
        <v>2470</v>
      </c>
      <c r="AF6869" s="31">
        <v>110</v>
      </c>
      <c r="AK6869" s="32">
        <v>6</v>
      </c>
      <c r="AQ6869" s="32" t="s">
        <v>7491</v>
      </c>
      <c r="AU6869">
        <v>6868</v>
      </c>
    </row>
    <row r="6870" spans="1:47" x14ac:dyDescent="0.2">
      <c r="A6870" s="13">
        <v>6866</v>
      </c>
      <c r="B6870" s="57" t="s">
        <v>45</v>
      </c>
      <c r="C6870" s="57" t="s">
        <v>142</v>
      </c>
      <c r="D6870" s="29"/>
      <c r="E6870" s="57" t="s">
        <v>7493</v>
      </c>
      <c r="F6870" s="31" t="s">
        <v>76</v>
      </c>
      <c r="G6870" s="47" t="s">
        <v>49</v>
      </c>
      <c r="I6870" s="47" t="b">
        <v>0</v>
      </c>
      <c r="J6870" s="47" t="b">
        <v>0</v>
      </c>
      <c r="K6870" s="31">
        <v>1100</v>
      </c>
      <c r="S6870" s="33">
        <v>1</v>
      </c>
      <c r="Z6870" s="31" t="s">
        <v>7420</v>
      </c>
      <c r="AE6870" s="31" t="s">
        <v>2470</v>
      </c>
      <c r="AF6870" s="31">
        <v>95</v>
      </c>
      <c r="AK6870" s="32">
        <v>14</v>
      </c>
      <c r="AQ6870" s="32" t="s">
        <v>7491</v>
      </c>
      <c r="AU6870">
        <v>6869</v>
      </c>
    </row>
    <row r="6871" spans="1:47" x14ac:dyDescent="0.2">
      <c r="A6871" s="13">
        <v>6866</v>
      </c>
      <c r="B6871" s="57" t="s">
        <v>45</v>
      </c>
      <c r="C6871" s="57" t="s">
        <v>142</v>
      </c>
      <c r="D6871" s="29"/>
      <c r="E6871" s="57" t="s">
        <v>7227</v>
      </c>
      <c r="F6871" s="31" t="s">
        <v>76</v>
      </c>
      <c r="G6871" s="47" t="s">
        <v>49</v>
      </c>
      <c r="I6871" s="47" t="b">
        <v>0</v>
      </c>
      <c r="J6871" s="47" t="b">
        <v>0</v>
      </c>
      <c r="K6871" s="31">
        <v>1188</v>
      </c>
      <c r="S6871" s="33">
        <v>1</v>
      </c>
      <c r="Z6871" s="31" t="s">
        <v>7420</v>
      </c>
      <c r="AE6871" s="31" t="s">
        <v>2470</v>
      </c>
      <c r="AF6871" s="31">
        <v>80</v>
      </c>
      <c r="AK6871" s="32">
        <v>9</v>
      </c>
      <c r="AQ6871" s="32" t="s">
        <v>7491</v>
      </c>
      <c r="AR6871" s="32" t="s">
        <v>7494</v>
      </c>
      <c r="AU6871">
        <v>6870</v>
      </c>
    </row>
    <row r="6872" spans="1:47" x14ac:dyDescent="0.2">
      <c r="A6872" s="13">
        <v>6866</v>
      </c>
      <c r="B6872" s="57" t="s">
        <v>45</v>
      </c>
      <c r="C6872" s="57" t="s">
        <v>142</v>
      </c>
      <c r="D6872" s="29"/>
      <c r="E6872" s="57" t="s">
        <v>5781</v>
      </c>
      <c r="F6872" s="31" t="s">
        <v>76</v>
      </c>
      <c r="G6872" s="47" t="s">
        <v>49</v>
      </c>
      <c r="I6872" s="47" t="b">
        <v>0</v>
      </c>
      <c r="J6872" s="47" t="b">
        <v>0</v>
      </c>
      <c r="K6872" s="31">
        <v>2948</v>
      </c>
      <c r="S6872" s="33">
        <v>3</v>
      </c>
      <c r="Z6872" s="31" t="s">
        <v>7420</v>
      </c>
      <c r="AE6872" s="31" t="s">
        <v>2470</v>
      </c>
      <c r="AF6872" s="31">
        <v>100</v>
      </c>
      <c r="AK6872" s="32">
        <v>28</v>
      </c>
      <c r="AQ6872" s="32" t="s">
        <v>7491</v>
      </c>
      <c r="AU6872">
        <v>6871</v>
      </c>
    </row>
    <row r="6873" spans="1:47" x14ac:dyDescent="0.2">
      <c r="A6873" s="13">
        <v>6866</v>
      </c>
      <c r="B6873" s="57" t="s">
        <v>45</v>
      </c>
      <c r="C6873" s="57" t="s">
        <v>4179</v>
      </c>
      <c r="D6873" s="29"/>
      <c r="E6873" s="57" t="s">
        <v>5937</v>
      </c>
      <c r="F6873" s="31" t="s">
        <v>76</v>
      </c>
      <c r="G6873" s="47" t="s">
        <v>49</v>
      </c>
      <c r="K6873" s="31">
        <v>6182</v>
      </c>
      <c r="Z6873" s="31" t="s">
        <v>3814</v>
      </c>
      <c r="AE6873" s="31" t="s">
        <v>5034</v>
      </c>
      <c r="AF6873" s="31">
        <v>90</v>
      </c>
      <c r="AK6873" s="32">
        <v>60</v>
      </c>
      <c r="AQ6873" s="32" t="s">
        <v>7491</v>
      </c>
      <c r="AU6873">
        <v>6872</v>
      </c>
    </row>
    <row r="6874" spans="1:47" x14ac:dyDescent="0.2">
      <c r="A6874" s="13">
        <v>6866</v>
      </c>
      <c r="B6874" s="57" t="s">
        <v>45</v>
      </c>
      <c r="C6874" s="57" t="s">
        <v>4179</v>
      </c>
      <c r="D6874" s="29"/>
      <c r="E6874" s="57" t="s">
        <v>3816</v>
      </c>
      <c r="F6874" s="31" t="s">
        <v>76</v>
      </c>
      <c r="G6874" s="47" t="s">
        <v>49</v>
      </c>
      <c r="K6874" s="31">
        <v>4840</v>
      </c>
      <c r="Z6874" s="31" t="s">
        <v>3814</v>
      </c>
      <c r="AE6874" s="31" t="s">
        <v>5034</v>
      </c>
      <c r="AF6874" s="31">
        <v>85</v>
      </c>
      <c r="AK6874" s="32">
        <v>52</v>
      </c>
      <c r="AQ6874" s="32" t="s">
        <v>7491</v>
      </c>
      <c r="AU6874">
        <v>6873</v>
      </c>
    </row>
    <row r="6875" spans="1:47" x14ac:dyDescent="0.2">
      <c r="A6875" s="13">
        <v>6866</v>
      </c>
      <c r="B6875" s="57" t="s">
        <v>45</v>
      </c>
      <c r="C6875" s="57" t="s">
        <v>4179</v>
      </c>
      <c r="D6875" s="29"/>
      <c r="E6875" s="57" t="s">
        <v>3884</v>
      </c>
      <c r="F6875" s="31" t="s">
        <v>76</v>
      </c>
      <c r="G6875" s="47" t="s">
        <v>49</v>
      </c>
      <c r="K6875" s="31">
        <v>605</v>
      </c>
      <c r="Z6875" s="31" t="s">
        <v>3814</v>
      </c>
      <c r="AE6875" s="31" t="s">
        <v>5034</v>
      </c>
      <c r="AF6875" s="31">
        <v>125</v>
      </c>
      <c r="AK6875" s="32">
        <v>5</v>
      </c>
      <c r="AQ6875" s="32" t="s">
        <v>7491</v>
      </c>
      <c r="AU6875">
        <v>6874</v>
      </c>
    </row>
    <row r="6876" spans="1:47" x14ac:dyDescent="0.2">
      <c r="A6876" s="13">
        <v>6866</v>
      </c>
      <c r="B6876" s="57" t="s">
        <v>45</v>
      </c>
      <c r="C6876" s="57" t="s">
        <v>4179</v>
      </c>
      <c r="D6876" s="29"/>
      <c r="E6876" s="57" t="s">
        <v>7495</v>
      </c>
      <c r="F6876" s="31" t="s">
        <v>76</v>
      </c>
      <c r="G6876" s="47" t="s">
        <v>49</v>
      </c>
      <c r="K6876" s="31">
        <v>440</v>
      </c>
      <c r="Z6876" s="31" t="s">
        <v>3814</v>
      </c>
      <c r="AE6876" s="31" t="s">
        <v>5034</v>
      </c>
      <c r="AF6876" s="31">
        <v>70</v>
      </c>
      <c r="AK6876" s="32">
        <v>4</v>
      </c>
      <c r="AQ6876" s="32" t="s">
        <v>7491</v>
      </c>
      <c r="AU6876">
        <v>6875</v>
      </c>
    </row>
    <row r="6877" spans="1:47" x14ac:dyDescent="0.2">
      <c r="A6877" s="211">
        <v>6866</v>
      </c>
      <c r="B6877" s="57" t="s">
        <v>45</v>
      </c>
      <c r="C6877" s="212" t="s">
        <v>4179</v>
      </c>
      <c r="D6877" s="213"/>
      <c r="E6877" s="212" t="s">
        <v>7496</v>
      </c>
      <c r="F6877" s="214" t="s">
        <v>76</v>
      </c>
      <c r="G6877" s="47" t="s">
        <v>49</v>
      </c>
      <c r="H6877" s="214"/>
      <c r="I6877" s="214" t="s">
        <v>7497</v>
      </c>
      <c r="J6877" s="214"/>
      <c r="K6877" s="31">
        <v>550</v>
      </c>
      <c r="L6877" s="215"/>
      <c r="M6877" s="214"/>
      <c r="N6877" s="214"/>
      <c r="O6877" s="214"/>
      <c r="P6877" s="214"/>
      <c r="Q6877" s="214"/>
      <c r="R6877" s="214"/>
      <c r="S6877" s="215"/>
      <c r="T6877" s="214"/>
      <c r="U6877" s="214"/>
      <c r="V6877" s="214"/>
      <c r="X6877" s="214"/>
      <c r="Y6877" s="214"/>
      <c r="Z6877" s="31" t="s">
        <v>3814</v>
      </c>
      <c r="AA6877" s="216"/>
      <c r="AB6877" s="216"/>
      <c r="AC6877" s="216"/>
      <c r="AD6877" s="217"/>
      <c r="AE6877" s="31" t="s">
        <v>5034</v>
      </c>
      <c r="AF6877" s="214">
        <v>110</v>
      </c>
      <c r="AG6877" s="200"/>
      <c r="AH6877" s="200"/>
      <c r="AI6877" s="200"/>
      <c r="AJ6877" s="200"/>
      <c r="AK6877" s="200">
        <v>10</v>
      </c>
      <c r="AL6877" s="200"/>
      <c r="AM6877" s="200"/>
      <c r="AN6877" s="200"/>
      <c r="AO6877" s="200"/>
      <c r="AP6877" s="200"/>
      <c r="AQ6877" s="200" t="s">
        <v>7498</v>
      </c>
      <c r="AU6877">
        <v>6876</v>
      </c>
    </row>
    <row r="6878" spans="1:47" x14ac:dyDescent="0.2">
      <c r="A6878" s="13">
        <v>6866</v>
      </c>
      <c r="B6878" s="57" t="s">
        <v>45</v>
      </c>
      <c r="C6878" s="57" t="s">
        <v>5860</v>
      </c>
      <c r="D6878" s="29"/>
      <c r="E6878" s="57" t="s">
        <v>7495</v>
      </c>
      <c r="F6878" s="31" t="s">
        <v>76</v>
      </c>
      <c r="G6878" s="47" t="s">
        <v>49</v>
      </c>
      <c r="K6878" s="31">
        <v>5654</v>
      </c>
      <c r="AE6878" s="31" t="s">
        <v>7241</v>
      </c>
      <c r="AF6878" s="31">
        <v>95</v>
      </c>
      <c r="AK6878" s="32">
        <v>52</v>
      </c>
      <c r="AQ6878" s="32" t="s">
        <v>7491</v>
      </c>
      <c r="AU6878">
        <v>6877</v>
      </c>
    </row>
    <row r="6879" spans="1:47" x14ac:dyDescent="0.2">
      <c r="A6879" s="13">
        <v>6866</v>
      </c>
      <c r="B6879" s="57" t="s">
        <v>45</v>
      </c>
      <c r="C6879" s="57" t="s">
        <v>5860</v>
      </c>
      <c r="D6879" s="29"/>
      <c r="E6879" s="57" t="s">
        <v>3884</v>
      </c>
      <c r="F6879" s="31" t="s">
        <v>76</v>
      </c>
      <c r="G6879" s="47" t="s">
        <v>49</v>
      </c>
      <c r="K6879" s="31">
        <v>4224</v>
      </c>
      <c r="AE6879" s="31" t="s">
        <v>7241</v>
      </c>
      <c r="AF6879" s="31">
        <v>90</v>
      </c>
      <c r="AK6879" s="32">
        <v>45</v>
      </c>
      <c r="AQ6879" s="32" t="s">
        <v>7491</v>
      </c>
      <c r="AU6879">
        <v>6878</v>
      </c>
    </row>
    <row r="6880" spans="1:47" x14ac:dyDescent="0.2">
      <c r="A6880" s="13">
        <v>6866</v>
      </c>
      <c r="B6880" s="57" t="s">
        <v>45</v>
      </c>
      <c r="C6880" s="57" t="s">
        <v>5860</v>
      </c>
      <c r="D6880" s="29"/>
      <c r="E6880" s="57" t="s">
        <v>3816</v>
      </c>
      <c r="F6880" s="31" t="s">
        <v>76</v>
      </c>
      <c r="G6880" s="47" t="s">
        <v>49</v>
      </c>
      <c r="K6880" s="31">
        <v>1760</v>
      </c>
      <c r="AE6880" s="31" t="s">
        <v>7241</v>
      </c>
      <c r="AF6880" s="31">
        <v>115</v>
      </c>
      <c r="AK6880" s="32">
        <v>20</v>
      </c>
      <c r="AQ6880" s="32" t="s">
        <v>7491</v>
      </c>
      <c r="AU6880">
        <v>6879</v>
      </c>
    </row>
    <row r="6881" spans="1:47" x14ac:dyDescent="0.2">
      <c r="A6881" s="13">
        <v>6866</v>
      </c>
      <c r="B6881" s="57" t="s">
        <v>45</v>
      </c>
      <c r="C6881" s="57" t="s">
        <v>5860</v>
      </c>
      <c r="D6881" s="29"/>
      <c r="E6881" s="57" t="s">
        <v>4182</v>
      </c>
      <c r="F6881" s="31" t="s">
        <v>76</v>
      </c>
      <c r="G6881" s="47" t="s">
        <v>49</v>
      </c>
      <c r="K6881" s="31">
        <v>660</v>
      </c>
      <c r="AE6881" s="31" t="s">
        <v>7241</v>
      </c>
      <c r="AF6881" s="31">
        <v>85</v>
      </c>
      <c r="AK6881" s="32">
        <v>9</v>
      </c>
      <c r="AQ6881" s="32" t="s">
        <v>7491</v>
      </c>
      <c r="AU6881">
        <v>6880</v>
      </c>
    </row>
    <row r="6882" spans="1:47" x14ac:dyDescent="0.2">
      <c r="A6882" s="26">
        <v>6866</v>
      </c>
      <c r="B6882" s="27">
        <v>0.69791666666666663</v>
      </c>
      <c r="C6882" s="28"/>
      <c r="D6882" s="29"/>
      <c r="E6882" s="30" t="s">
        <v>1282</v>
      </c>
      <c r="H6882" s="32">
        <v>0</v>
      </c>
      <c r="I6882" s="32" t="s">
        <v>7499</v>
      </c>
      <c r="AG6882" s="32">
        <v>0</v>
      </c>
      <c r="AH6882" s="32">
        <v>0</v>
      </c>
      <c r="AI6882" s="32">
        <v>0</v>
      </c>
      <c r="AK6882" s="32">
        <v>0</v>
      </c>
      <c r="AL6882" s="32">
        <f>1/6</f>
        <v>0.16666666666666666</v>
      </c>
      <c r="AP6882" s="32">
        <f>1/6</f>
        <v>0.16666666666666666</v>
      </c>
      <c r="AQ6882" s="32" t="s">
        <v>1101</v>
      </c>
      <c r="AU6882">
        <v>6881</v>
      </c>
    </row>
    <row r="6883" spans="1:47" x14ac:dyDescent="0.2">
      <c r="A6883" s="26">
        <v>6866</v>
      </c>
      <c r="B6883" s="27"/>
      <c r="C6883" s="28"/>
      <c r="D6883" s="29"/>
      <c r="E6883" s="30" t="s">
        <v>4666</v>
      </c>
      <c r="H6883" s="32">
        <v>0</v>
      </c>
      <c r="I6883" s="32" t="s">
        <v>7500</v>
      </c>
      <c r="AG6883" s="32">
        <v>0</v>
      </c>
      <c r="AH6883" s="32">
        <v>0</v>
      </c>
      <c r="AI6883" s="32">
        <v>0</v>
      </c>
      <c r="AK6883" s="32">
        <v>0</v>
      </c>
      <c r="AL6883" s="32">
        <v>0.5</v>
      </c>
      <c r="AO6883" s="32" t="s">
        <v>4668</v>
      </c>
      <c r="AP6883" s="32">
        <v>0.5</v>
      </c>
      <c r="AQ6883" s="32">
        <v>411</v>
      </c>
      <c r="AU6883">
        <v>6882</v>
      </c>
    </row>
    <row r="6884" spans="1:47" x14ac:dyDescent="0.2">
      <c r="A6884" s="133">
        <v>6869</v>
      </c>
      <c r="B6884" s="39" t="s">
        <v>85</v>
      </c>
      <c r="C6884" s="39">
        <v>55</v>
      </c>
      <c r="D6884" s="29" t="b">
        <v>0</v>
      </c>
      <c r="E6884" s="39" t="s">
        <v>1764</v>
      </c>
      <c r="F6884" s="47" t="s">
        <v>2398</v>
      </c>
      <c r="G6884" s="47" t="s">
        <v>49</v>
      </c>
      <c r="H6884"/>
      <c r="I6884" s="47" t="b">
        <v>0</v>
      </c>
      <c r="J6884" s="47" t="b">
        <v>1</v>
      </c>
      <c r="K6884" s="47">
        <v>1592</v>
      </c>
      <c r="L6884" s="48">
        <v>12</v>
      </c>
      <c r="M6884" s="47">
        <v>0</v>
      </c>
      <c r="N6884" s="47">
        <v>4</v>
      </c>
      <c r="O6884" s="47">
        <v>1</v>
      </c>
      <c r="P6884" s="47">
        <v>7</v>
      </c>
      <c r="Q6884" s="47">
        <v>0</v>
      </c>
      <c r="R6884" s="47">
        <v>0</v>
      </c>
      <c r="S6884" s="48">
        <v>7</v>
      </c>
      <c r="T6884" s="47">
        <v>0</v>
      </c>
      <c r="U6884" s="47">
        <v>0</v>
      </c>
      <c r="V6884" s="47">
        <v>0</v>
      </c>
      <c r="W6884" s="47">
        <v>16000</v>
      </c>
      <c r="X6884" s="47">
        <v>1158</v>
      </c>
      <c r="Y6884" s="47" t="s">
        <v>120</v>
      </c>
      <c r="Z6884" s="47" t="s">
        <v>3618</v>
      </c>
      <c r="AA6884" s="49">
        <v>0.43055555555555558</v>
      </c>
      <c r="AB6884" s="49">
        <v>0.55902777777777779</v>
      </c>
      <c r="AC6884" s="49">
        <v>0.51041666666666663</v>
      </c>
      <c r="AD6884" s="50">
        <f>(AB6884-AA6884)*24</f>
        <v>3.083333333333333</v>
      </c>
      <c r="AE6884" s="47" t="s">
        <v>5433</v>
      </c>
      <c r="AF6884" s="47">
        <v>85</v>
      </c>
      <c r="AG6884"/>
      <c r="AH6884"/>
      <c r="AI6884"/>
      <c r="AJ6884"/>
      <c r="AK6884">
        <v>10</v>
      </c>
      <c r="AL6884"/>
      <c r="AM6884"/>
      <c r="AN6884"/>
      <c r="AO6884"/>
      <c r="AP6884"/>
      <c r="AQ6884" t="s">
        <v>5434</v>
      </c>
      <c r="AU6884">
        <v>6883</v>
      </c>
    </row>
    <row r="6885" spans="1:47" x14ac:dyDescent="0.2">
      <c r="A6885" s="133">
        <v>6869</v>
      </c>
      <c r="B6885" s="39" t="s">
        <v>85</v>
      </c>
      <c r="C6885" s="39">
        <v>99</v>
      </c>
      <c r="D6885" s="29" t="b">
        <v>0</v>
      </c>
      <c r="E6885" s="39" t="s">
        <v>1168</v>
      </c>
      <c r="F6885" s="47" t="s">
        <v>2398</v>
      </c>
      <c r="G6885" s="47" t="s">
        <v>49</v>
      </c>
      <c r="H6885"/>
      <c r="I6885" s="47" t="b">
        <v>0</v>
      </c>
      <c r="J6885" s="47" t="b">
        <v>1</v>
      </c>
      <c r="K6885" s="47">
        <v>2500</v>
      </c>
      <c r="L6885" s="48">
        <v>11</v>
      </c>
      <c r="M6885" s="47">
        <v>0</v>
      </c>
      <c r="N6885" s="47">
        <v>0</v>
      </c>
      <c r="O6885" s="47">
        <v>0</v>
      </c>
      <c r="P6885" s="47">
        <v>0</v>
      </c>
      <c r="Q6885" s="47">
        <v>0</v>
      </c>
      <c r="R6885" s="47">
        <v>0</v>
      </c>
      <c r="S6885" s="48">
        <v>11</v>
      </c>
      <c r="T6885" s="47">
        <v>0</v>
      </c>
      <c r="U6885" s="47">
        <v>0</v>
      </c>
      <c r="V6885" s="47">
        <v>0</v>
      </c>
      <c r="W6885" s="47">
        <v>12000</v>
      </c>
      <c r="X6885" s="47">
        <v>1164</v>
      </c>
      <c r="Y6885" s="47" t="s">
        <v>51</v>
      </c>
      <c r="Z6885" s="47" t="s">
        <v>5139</v>
      </c>
      <c r="AA6885" s="49">
        <v>0.60069444444444442</v>
      </c>
      <c r="AB6885" s="49">
        <v>0.67361111111111116</v>
      </c>
      <c r="AC6885" s="49">
        <v>0.65972222222222221</v>
      </c>
      <c r="AD6885" s="50">
        <f>(AB6885-AA6885)*24</f>
        <v>1.7500000000000018</v>
      </c>
      <c r="AE6885" s="47" t="s">
        <v>5433</v>
      </c>
      <c r="AF6885" s="47">
        <v>55</v>
      </c>
      <c r="AG6885"/>
      <c r="AH6885"/>
      <c r="AI6885"/>
      <c r="AJ6885"/>
      <c r="AK6885">
        <v>16</v>
      </c>
      <c r="AL6885"/>
      <c r="AM6885"/>
      <c r="AN6885"/>
      <c r="AO6885"/>
      <c r="AP6885"/>
      <c r="AQ6885" t="s">
        <v>2526</v>
      </c>
      <c r="AU6885">
        <v>6884</v>
      </c>
    </row>
    <row r="6886" spans="1:47" x14ac:dyDescent="0.2">
      <c r="A6886" s="133">
        <v>6869</v>
      </c>
      <c r="B6886" s="39" t="s">
        <v>85</v>
      </c>
      <c r="C6886" s="39">
        <v>104</v>
      </c>
      <c r="D6886" s="29" t="b">
        <v>0</v>
      </c>
      <c r="E6886" s="39" t="s">
        <v>1168</v>
      </c>
      <c r="F6886" s="47" t="s">
        <v>2398</v>
      </c>
      <c r="G6886" s="47" t="s">
        <v>49</v>
      </c>
      <c r="H6886"/>
      <c r="I6886" s="47" t="b">
        <v>0</v>
      </c>
      <c r="J6886" s="47" t="b">
        <v>1</v>
      </c>
      <c r="K6886" s="47">
        <v>3178</v>
      </c>
      <c r="L6886" s="48">
        <v>14</v>
      </c>
      <c r="M6886" s="47">
        <v>0</v>
      </c>
      <c r="N6886" s="47">
        <v>0</v>
      </c>
      <c r="O6886" s="47">
        <v>0</v>
      </c>
      <c r="P6886" s="47">
        <v>0</v>
      </c>
      <c r="Q6886" s="47">
        <v>0</v>
      </c>
      <c r="R6886" s="47">
        <v>0</v>
      </c>
      <c r="S6886" s="48">
        <v>14</v>
      </c>
      <c r="T6886" s="47">
        <v>0</v>
      </c>
      <c r="U6886" s="47">
        <v>0</v>
      </c>
      <c r="V6886" s="47">
        <v>0</v>
      </c>
      <c r="W6886" s="47">
        <v>12000</v>
      </c>
      <c r="X6886" s="47">
        <v>1159</v>
      </c>
      <c r="Y6886" s="47" t="s">
        <v>51</v>
      </c>
      <c r="Z6886" s="47" t="s">
        <v>5139</v>
      </c>
      <c r="AA6886" s="49">
        <v>0.59375</v>
      </c>
      <c r="AB6886" s="49">
        <v>0.67708333333333337</v>
      </c>
      <c r="AC6886" s="49">
        <v>0.65972222222222221</v>
      </c>
      <c r="AD6886" s="50">
        <f>(AB6886-AA6886)*24</f>
        <v>2.0000000000000009</v>
      </c>
      <c r="AE6886" s="47" t="s">
        <v>5433</v>
      </c>
      <c r="AF6886" s="47">
        <v>55</v>
      </c>
      <c r="AG6886"/>
      <c r="AH6886"/>
      <c r="AI6886"/>
      <c r="AJ6886"/>
      <c r="AK6886">
        <v>21</v>
      </c>
      <c r="AL6886"/>
      <c r="AM6886"/>
      <c r="AN6886"/>
      <c r="AO6886"/>
      <c r="AP6886"/>
      <c r="AQ6886" t="s">
        <v>5485</v>
      </c>
      <c r="AR6886" s="32" t="s">
        <v>7501</v>
      </c>
      <c r="AU6886">
        <v>6885</v>
      </c>
    </row>
    <row r="6887" spans="1:47" x14ac:dyDescent="0.2">
      <c r="A6887" s="133">
        <v>6869</v>
      </c>
      <c r="B6887" s="39" t="s">
        <v>85</v>
      </c>
      <c r="C6887" s="39">
        <v>110</v>
      </c>
      <c r="D6887" s="29" t="b">
        <v>0</v>
      </c>
      <c r="E6887" s="39" t="s">
        <v>7502</v>
      </c>
      <c r="F6887" s="47" t="s">
        <v>5496</v>
      </c>
      <c r="G6887" s="47" t="s">
        <v>49</v>
      </c>
      <c r="H6887"/>
      <c r="I6887" s="47" t="b">
        <v>0</v>
      </c>
      <c r="J6887" s="47" t="b">
        <v>1</v>
      </c>
      <c r="K6887" s="47">
        <v>1592</v>
      </c>
      <c r="L6887" s="48">
        <v>13</v>
      </c>
      <c r="M6887" s="47">
        <v>1</v>
      </c>
      <c r="N6887" s="47">
        <v>0</v>
      </c>
      <c r="O6887" s="47">
        <v>0</v>
      </c>
      <c r="P6887" s="47">
        <v>12</v>
      </c>
      <c r="Q6887" s="47">
        <v>0</v>
      </c>
      <c r="R6887" s="47">
        <v>0</v>
      </c>
      <c r="S6887" s="48">
        <v>5</v>
      </c>
      <c r="T6887" s="47">
        <v>7</v>
      </c>
      <c r="U6887" s="47">
        <v>0</v>
      </c>
      <c r="V6887" s="47">
        <v>0</v>
      </c>
      <c r="W6887" s="47">
        <v>14000</v>
      </c>
      <c r="X6887" s="47">
        <v>1160</v>
      </c>
      <c r="Y6887" s="47" t="s">
        <v>120</v>
      </c>
      <c r="Z6887" s="47" t="s">
        <v>6984</v>
      </c>
      <c r="AA6887" s="49">
        <v>0.46527777777777773</v>
      </c>
      <c r="AB6887" s="49">
        <v>0.70486111111111116</v>
      </c>
      <c r="AC6887" s="49">
        <f>AVERAGE(AA6887:AB6887)</f>
        <v>0.58506944444444442</v>
      </c>
      <c r="AD6887" s="50">
        <f>(AB6887-AA6887)*24</f>
        <v>5.7500000000000018</v>
      </c>
      <c r="AE6887" s="47" t="s">
        <v>6985</v>
      </c>
      <c r="AF6887" s="47">
        <v>250</v>
      </c>
      <c r="AG6887"/>
      <c r="AH6887"/>
      <c r="AI6887"/>
      <c r="AJ6887"/>
      <c r="AK6887"/>
      <c r="AL6887"/>
      <c r="AM6887"/>
      <c r="AN6887"/>
      <c r="AO6887"/>
      <c r="AP6887"/>
      <c r="AQ6887" t="s">
        <v>5485</v>
      </c>
      <c r="AR6887" s="32" t="s">
        <v>7503</v>
      </c>
      <c r="AU6887">
        <v>6886</v>
      </c>
    </row>
    <row r="6888" spans="1:47" x14ac:dyDescent="0.2">
      <c r="A6888" s="133">
        <v>6869</v>
      </c>
      <c r="B6888" s="39" t="s">
        <v>45</v>
      </c>
      <c r="C6888" s="39">
        <v>97</v>
      </c>
      <c r="D6888" s="29" t="b">
        <v>0</v>
      </c>
      <c r="E6888" s="39" t="s">
        <v>3737</v>
      </c>
      <c r="F6888" s="47" t="s">
        <v>2398</v>
      </c>
      <c r="G6888" s="47" t="s">
        <v>49</v>
      </c>
      <c r="H6888"/>
      <c r="I6888" s="47" t="b">
        <v>0</v>
      </c>
      <c r="J6888" s="47" t="b">
        <v>1</v>
      </c>
      <c r="K6888" s="47">
        <v>5274</v>
      </c>
      <c r="L6888" s="48">
        <v>4</v>
      </c>
      <c r="M6888" s="47">
        <v>0</v>
      </c>
      <c r="N6888" s="47">
        <v>1</v>
      </c>
      <c r="O6888" s="47">
        <v>0</v>
      </c>
      <c r="P6888" s="47">
        <v>0</v>
      </c>
      <c r="Q6888" s="47">
        <v>0</v>
      </c>
      <c r="R6888" s="47">
        <v>0</v>
      </c>
      <c r="S6888" s="48">
        <v>3</v>
      </c>
      <c r="T6888" s="47">
        <v>0</v>
      </c>
      <c r="U6888" s="47">
        <v>0</v>
      </c>
      <c r="V6888" s="47">
        <v>0</v>
      </c>
      <c r="W6888" s="47">
        <v>5000</v>
      </c>
      <c r="X6888" s="47">
        <v>1161</v>
      </c>
      <c r="Y6888" s="47"/>
      <c r="Z6888" s="47" t="s">
        <v>2466</v>
      </c>
      <c r="AA6888" s="49"/>
      <c r="AB6888" s="49"/>
      <c r="AC6888" s="49"/>
      <c r="AD6888" s="50"/>
      <c r="AE6888" s="47"/>
      <c r="AF6888" s="47"/>
      <c r="AG6888"/>
      <c r="AH6888"/>
      <c r="AI6888"/>
      <c r="AJ6888"/>
      <c r="AK6888"/>
      <c r="AL6888"/>
      <c r="AM6888"/>
      <c r="AN6888"/>
      <c r="AO6888"/>
      <c r="AP6888"/>
      <c r="AQ6888" t="s">
        <v>2526</v>
      </c>
      <c r="AU6888">
        <v>6887</v>
      </c>
    </row>
    <row r="6889" spans="1:47" x14ac:dyDescent="0.2">
      <c r="A6889" s="133">
        <v>6869</v>
      </c>
      <c r="B6889" s="39" t="s">
        <v>45</v>
      </c>
      <c r="C6889" s="39">
        <v>100</v>
      </c>
      <c r="D6889" s="29" t="b">
        <v>0</v>
      </c>
      <c r="E6889" s="39" t="s">
        <v>7504</v>
      </c>
      <c r="F6889" s="47" t="s">
        <v>2398</v>
      </c>
      <c r="G6889" s="47" t="s">
        <v>49</v>
      </c>
      <c r="H6889"/>
      <c r="I6889" s="47" t="b">
        <v>1</v>
      </c>
      <c r="J6889" s="47" t="b">
        <v>1</v>
      </c>
      <c r="K6889" s="47">
        <v>4989</v>
      </c>
      <c r="L6889" s="48">
        <v>6</v>
      </c>
      <c r="M6889" s="47">
        <v>2</v>
      </c>
      <c r="N6889" s="47">
        <v>1</v>
      </c>
      <c r="O6889" s="47">
        <v>0</v>
      </c>
      <c r="P6889" s="47">
        <v>0</v>
      </c>
      <c r="Q6889" s="47">
        <v>0</v>
      </c>
      <c r="R6889" s="47">
        <v>0</v>
      </c>
      <c r="S6889" s="48">
        <v>3</v>
      </c>
      <c r="T6889" s="47">
        <v>0</v>
      </c>
      <c r="U6889" s="47">
        <v>0</v>
      </c>
      <c r="V6889" s="47">
        <v>0</v>
      </c>
      <c r="W6889" s="47">
        <v>5667</v>
      </c>
      <c r="X6889" s="47">
        <v>1162</v>
      </c>
      <c r="Y6889" s="47"/>
      <c r="Z6889" s="47" t="s">
        <v>2466</v>
      </c>
      <c r="AA6889" s="49"/>
      <c r="AB6889" s="49"/>
      <c r="AC6889" s="49"/>
      <c r="AD6889" s="50"/>
      <c r="AE6889" s="47" t="s">
        <v>6445</v>
      </c>
      <c r="AF6889" s="47">
        <v>140</v>
      </c>
      <c r="AG6889"/>
      <c r="AH6889"/>
      <c r="AI6889"/>
      <c r="AJ6889"/>
      <c r="AK6889"/>
      <c r="AL6889"/>
      <c r="AM6889"/>
      <c r="AN6889"/>
      <c r="AO6889"/>
      <c r="AP6889"/>
      <c r="AQ6889" t="s">
        <v>2526</v>
      </c>
      <c r="AU6889">
        <v>6888</v>
      </c>
    </row>
    <row r="6890" spans="1:47" x14ac:dyDescent="0.2">
      <c r="A6890" s="133">
        <v>6869</v>
      </c>
      <c r="B6890" s="39" t="s">
        <v>45</v>
      </c>
      <c r="C6890" s="39">
        <v>100</v>
      </c>
      <c r="D6890" s="29" t="b">
        <v>0</v>
      </c>
      <c r="E6890" s="39" t="s">
        <v>4823</v>
      </c>
      <c r="F6890" s="47" t="s">
        <v>2398</v>
      </c>
      <c r="G6890" s="47" t="s">
        <v>49</v>
      </c>
      <c r="H6890"/>
      <c r="I6890" s="47" t="b">
        <v>0</v>
      </c>
      <c r="J6890" s="47" t="b">
        <v>0</v>
      </c>
      <c r="K6890" s="47">
        <v>1792</v>
      </c>
      <c r="L6890" s="48">
        <v>6</v>
      </c>
      <c r="M6890" s="47">
        <v>2</v>
      </c>
      <c r="N6890" s="47">
        <v>1</v>
      </c>
      <c r="O6890" s="47">
        <v>0</v>
      </c>
      <c r="P6890" s="47">
        <v>0</v>
      </c>
      <c r="Q6890" s="47">
        <v>0</v>
      </c>
      <c r="R6890" s="47">
        <v>0</v>
      </c>
      <c r="S6890" s="48">
        <v>1</v>
      </c>
      <c r="T6890" s="47">
        <v>0</v>
      </c>
      <c r="U6890" s="47">
        <v>0</v>
      </c>
      <c r="V6890" s="47">
        <v>0</v>
      </c>
      <c r="W6890" s="47">
        <v>4000</v>
      </c>
      <c r="X6890" s="47">
        <v>1163</v>
      </c>
      <c r="Y6890" s="47"/>
      <c r="Z6890" s="47" t="s">
        <v>2466</v>
      </c>
      <c r="AA6890" s="49"/>
      <c r="AB6890" s="49"/>
      <c r="AC6890" s="49"/>
      <c r="AD6890" s="50"/>
      <c r="AE6890" s="47" t="s">
        <v>6445</v>
      </c>
      <c r="AF6890" s="47">
        <v>95</v>
      </c>
      <c r="AG6890"/>
      <c r="AH6890"/>
      <c r="AI6890"/>
      <c r="AJ6890"/>
      <c r="AK6890"/>
      <c r="AL6890"/>
      <c r="AM6890"/>
      <c r="AN6890"/>
      <c r="AO6890"/>
      <c r="AP6890"/>
      <c r="AQ6890" t="s">
        <v>2526</v>
      </c>
      <c r="AU6890">
        <v>6889</v>
      </c>
    </row>
    <row r="6891" spans="1:47" x14ac:dyDescent="0.2">
      <c r="A6891" s="133">
        <v>6869</v>
      </c>
      <c r="B6891" s="39" t="s">
        <v>45</v>
      </c>
      <c r="C6891" s="39">
        <v>100</v>
      </c>
      <c r="D6891" s="29" t="b">
        <v>0</v>
      </c>
      <c r="E6891" s="39" t="s">
        <v>3737</v>
      </c>
      <c r="F6891" s="47" t="s">
        <v>2398</v>
      </c>
      <c r="G6891" s="47" t="s">
        <v>49</v>
      </c>
      <c r="H6891"/>
      <c r="I6891" s="47" t="b">
        <v>0</v>
      </c>
      <c r="J6891" s="47" t="b">
        <v>0</v>
      </c>
      <c r="K6891" s="47">
        <v>3197</v>
      </c>
      <c r="L6891" s="48">
        <v>6</v>
      </c>
      <c r="M6891" s="47">
        <v>2</v>
      </c>
      <c r="N6891" s="47">
        <v>1</v>
      </c>
      <c r="O6891" s="47">
        <v>0</v>
      </c>
      <c r="P6891" s="47">
        <v>0</v>
      </c>
      <c r="Q6891" s="47">
        <v>0</v>
      </c>
      <c r="R6891" s="47">
        <v>0</v>
      </c>
      <c r="S6891" s="48">
        <v>2</v>
      </c>
      <c r="T6891" s="47">
        <v>0</v>
      </c>
      <c r="U6891" s="47">
        <v>0</v>
      </c>
      <c r="V6891" s="47">
        <v>0</v>
      </c>
      <c r="W6891" s="47">
        <v>6500</v>
      </c>
      <c r="X6891" s="47">
        <v>1165</v>
      </c>
      <c r="Y6891" s="47"/>
      <c r="Z6891" s="47" t="s">
        <v>2466</v>
      </c>
      <c r="AA6891" s="49"/>
      <c r="AB6891" s="49"/>
      <c r="AC6891" s="49"/>
      <c r="AD6891" s="50"/>
      <c r="AE6891" s="47" t="s">
        <v>6445</v>
      </c>
      <c r="AF6891" s="47">
        <v>140</v>
      </c>
      <c r="AG6891"/>
      <c r="AH6891"/>
      <c r="AI6891"/>
      <c r="AJ6891"/>
      <c r="AK6891"/>
      <c r="AL6891"/>
      <c r="AM6891"/>
      <c r="AN6891"/>
      <c r="AO6891"/>
      <c r="AP6891"/>
      <c r="AQ6891" t="s">
        <v>2526</v>
      </c>
      <c r="AU6891">
        <v>6890</v>
      </c>
    </row>
    <row r="6892" spans="1:47" x14ac:dyDescent="0.2">
      <c r="A6892" s="13">
        <v>6869</v>
      </c>
      <c r="B6892" s="57" t="s">
        <v>45</v>
      </c>
      <c r="C6892" s="57" t="s">
        <v>4843</v>
      </c>
      <c r="D6892" s="29"/>
      <c r="E6892" s="57" t="s">
        <v>7505</v>
      </c>
      <c r="F6892" s="31" t="s">
        <v>76</v>
      </c>
      <c r="G6892" s="47" t="s">
        <v>49</v>
      </c>
      <c r="K6892" s="31">
        <v>440</v>
      </c>
      <c r="S6892" s="33">
        <v>1</v>
      </c>
      <c r="AE6892" s="31" t="s">
        <v>4788</v>
      </c>
      <c r="AK6892" s="32">
        <v>4</v>
      </c>
      <c r="AQ6892" s="32" t="s">
        <v>7491</v>
      </c>
      <c r="AU6892">
        <v>6891</v>
      </c>
    </row>
    <row r="6893" spans="1:47" x14ac:dyDescent="0.2">
      <c r="A6893" s="13">
        <v>6869</v>
      </c>
      <c r="B6893" s="57" t="s">
        <v>45</v>
      </c>
      <c r="C6893" s="57" t="s">
        <v>4843</v>
      </c>
      <c r="D6893" s="29"/>
      <c r="E6893" s="57" t="s">
        <v>3884</v>
      </c>
      <c r="F6893" s="31" t="s">
        <v>76</v>
      </c>
      <c r="G6893" s="47" t="s">
        <v>49</v>
      </c>
      <c r="K6893" s="31">
        <v>440</v>
      </c>
      <c r="S6893" s="33">
        <v>1</v>
      </c>
      <c r="AE6893" s="31" t="s">
        <v>4788</v>
      </c>
      <c r="AF6893" s="31">
        <v>95</v>
      </c>
      <c r="AK6893" s="32">
        <v>4</v>
      </c>
      <c r="AQ6893" s="32" t="s">
        <v>7491</v>
      </c>
      <c r="AU6893">
        <v>6892</v>
      </c>
    </row>
    <row r="6894" spans="1:47" x14ac:dyDescent="0.2">
      <c r="A6894" s="13">
        <v>6869</v>
      </c>
      <c r="B6894" s="57" t="s">
        <v>45</v>
      </c>
      <c r="C6894" s="57" t="s">
        <v>4843</v>
      </c>
      <c r="D6894" s="29"/>
      <c r="E6894" s="57" t="s">
        <v>7506</v>
      </c>
      <c r="F6894" s="31" t="s">
        <v>7507</v>
      </c>
      <c r="G6894" s="47" t="s">
        <v>49</v>
      </c>
      <c r="K6894" s="31">
        <v>440</v>
      </c>
      <c r="S6894" s="33">
        <v>1</v>
      </c>
      <c r="AE6894" s="31" t="s">
        <v>4788</v>
      </c>
      <c r="AF6894" s="31">
        <v>85</v>
      </c>
      <c r="AK6894" s="32">
        <v>4</v>
      </c>
      <c r="AQ6894" s="32" t="s">
        <v>7491</v>
      </c>
      <c r="AU6894">
        <v>6893</v>
      </c>
    </row>
    <row r="6895" spans="1:47" x14ac:dyDescent="0.2">
      <c r="A6895" s="13">
        <v>6869</v>
      </c>
      <c r="B6895" s="57" t="s">
        <v>45</v>
      </c>
      <c r="C6895" s="57" t="s">
        <v>7243</v>
      </c>
      <c r="D6895" s="29"/>
      <c r="E6895" s="57" t="s">
        <v>5781</v>
      </c>
      <c r="F6895" s="31" t="s">
        <v>76</v>
      </c>
      <c r="G6895" s="47" t="s">
        <v>49</v>
      </c>
      <c r="K6895" s="31">
        <v>660</v>
      </c>
      <c r="S6895" s="33">
        <v>1</v>
      </c>
      <c r="AE6895" s="31" t="s">
        <v>4411</v>
      </c>
      <c r="AF6895" s="31">
        <v>95</v>
      </c>
      <c r="AK6895" s="32">
        <v>6</v>
      </c>
      <c r="AQ6895" s="32" t="s">
        <v>7491</v>
      </c>
      <c r="AU6895">
        <v>6894</v>
      </c>
    </row>
    <row r="6896" spans="1:47" x14ac:dyDescent="0.2">
      <c r="A6896" s="13">
        <v>6869</v>
      </c>
      <c r="B6896" s="57" t="s">
        <v>45</v>
      </c>
      <c r="C6896" s="57" t="s">
        <v>7243</v>
      </c>
      <c r="D6896" s="29"/>
      <c r="E6896" s="57" t="s">
        <v>7508</v>
      </c>
      <c r="F6896" s="31" t="s">
        <v>6354</v>
      </c>
      <c r="G6896" s="47" t="s">
        <v>69</v>
      </c>
      <c r="K6896" s="31">
        <v>660</v>
      </c>
      <c r="S6896" s="33">
        <v>1</v>
      </c>
      <c r="AE6896" s="31" t="s">
        <v>4411</v>
      </c>
      <c r="AF6896" s="31">
        <v>70</v>
      </c>
      <c r="AK6896" s="32">
        <v>6</v>
      </c>
      <c r="AQ6896" s="32" t="s">
        <v>7491</v>
      </c>
      <c r="AU6896">
        <v>6895</v>
      </c>
    </row>
    <row r="6897" spans="1:47" x14ac:dyDescent="0.2">
      <c r="A6897" s="13">
        <v>6869</v>
      </c>
      <c r="B6897" s="57" t="s">
        <v>45</v>
      </c>
      <c r="C6897" s="57" t="s">
        <v>1367</v>
      </c>
      <c r="D6897" s="29"/>
      <c r="E6897" s="57" t="s">
        <v>673</v>
      </c>
      <c r="F6897" s="31" t="s">
        <v>76</v>
      </c>
      <c r="G6897" s="47" t="s">
        <v>49</v>
      </c>
      <c r="K6897" s="31">
        <v>880</v>
      </c>
      <c r="AE6897" s="31" t="s">
        <v>4176</v>
      </c>
      <c r="AF6897" s="31">
        <v>110</v>
      </c>
      <c r="AK6897" s="32">
        <v>8</v>
      </c>
      <c r="AQ6897" s="32" t="s">
        <v>7509</v>
      </c>
      <c r="AU6897">
        <v>6896</v>
      </c>
    </row>
    <row r="6898" spans="1:47" x14ac:dyDescent="0.2">
      <c r="A6898" s="13">
        <v>6869</v>
      </c>
      <c r="B6898" s="57" t="s">
        <v>45</v>
      </c>
      <c r="C6898" s="57" t="s">
        <v>4179</v>
      </c>
      <c r="D6898" s="29"/>
      <c r="E6898" s="57" t="s">
        <v>3816</v>
      </c>
      <c r="F6898" s="31" t="s">
        <v>76</v>
      </c>
      <c r="G6898" s="47" t="s">
        <v>49</v>
      </c>
      <c r="K6898" s="31">
        <v>2200</v>
      </c>
      <c r="Z6898" s="31" t="s">
        <v>3814</v>
      </c>
      <c r="AE6898" s="31" t="s">
        <v>5034</v>
      </c>
      <c r="AF6898" s="31">
        <v>85</v>
      </c>
      <c r="AK6898" s="32">
        <v>23</v>
      </c>
      <c r="AQ6898" s="32" t="s">
        <v>7491</v>
      </c>
      <c r="AU6898">
        <v>6897</v>
      </c>
    </row>
    <row r="6899" spans="1:47" x14ac:dyDescent="0.2">
      <c r="A6899" s="13">
        <v>6869</v>
      </c>
      <c r="B6899" s="57" t="s">
        <v>45</v>
      </c>
      <c r="C6899" s="57" t="s">
        <v>4179</v>
      </c>
      <c r="D6899" s="29"/>
      <c r="E6899" s="57" t="s">
        <v>4182</v>
      </c>
      <c r="F6899" s="31" t="s">
        <v>76</v>
      </c>
      <c r="G6899" s="47" t="s">
        <v>49</v>
      </c>
      <c r="K6899" s="31">
        <v>2497</v>
      </c>
      <c r="Z6899" s="31" t="s">
        <v>3814</v>
      </c>
      <c r="AE6899" s="31" t="s">
        <v>5034</v>
      </c>
      <c r="AF6899" s="31">
        <v>110</v>
      </c>
      <c r="AK6899" s="32">
        <v>44</v>
      </c>
      <c r="AQ6899" s="32" t="s">
        <v>7491</v>
      </c>
      <c r="AU6899">
        <v>6898</v>
      </c>
    </row>
    <row r="6900" spans="1:47" x14ac:dyDescent="0.2">
      <c r="A6900" s="13">
        <v>6869</v>
      </c>
      <c r="B6900" s="57" t="s">
        <v>45</v>
      </c>
      <c r="C6900" s="57" t="s">
        <v>5860</v>
      </c>
      <c r="D6900" s="29"/>
      <c r="E6900" s="57" t="s">
        <v>7495</v>
      </c>
      <c r="F6900" s="31" t="s">
        <v>76</v>
      </c>
      <c r="G6900" s="47" t="s">
        <v>49</v>
      </c>
      <c r="K6900" s="31">
        <v>2750</v>
      </c>
      <c r="AE6900" s="31" t="s">
        <v>7241</v>
      </c>
      <c r="AF6900" s="31">
        <v>95</v>
      </c>
      <c r="AK6900" s="32">
        <v>25</v>
      </c>
      <c r="AQ6900" s="32" t="s">
        <v>7491</v>
      </c>
      <c r="AU6900">
        <v>6899</v>
      </c>
    </row>
    <row r="6901" spans="1:47" x14ac:dyDescent="0.2">
      <c r="A6901" s="13">
        <v>6869</v>
      </c>
      <c r="B6901" s="57" t="s">
        <v>45</v>
      </c>
      <c r="C6901" s="57" t="s">
        <v>1367</v>
      </c>
      <c r="D6901" s="29"/>
      <c r="E6901" s="57" t="s">
        <v>3063</v>
      </c>
      <c r="F6901" s="31" t="s">
        <v>76</v>
      </c>
      <c r="G6901" s="47" t="s">
        <v>49</v>
      </c>
      <c r="K6901" s="31">
        <v>3440.8</v>
      </c>
      <c r="AE6901" s="31" t="s">
        <v>4176</v>
      </c>
      <c r="AF6901" s="31">
        <v>100</v>
      </c>
      <c r="AK6901" s="32">
        <v>20</v>
      </c>
      <c r="AQ6901" s="32" t="s">
        <v>7509</v>
      </c>
      <c r="AU6901">
        <v>6900</v>
      </c>
    </row>
    <row r="6902" spans="1:47" x14ac:dyDescent="0.2">
      <c r="A6902" s="13">
        <v>6869</v>
      </c>
      <c r="B6902" s="57" t="s">
        <v>45</v>
      </c>
      <c r="C6902" s="57" t="s">
        <v>5860</v>
      </c>
      <c r="D6902" s="29"/>
      <c r="E6902" s="57" t="s">
        <v>3816</v>
      </c>
      <c r="F6902" s="31" t="s">
        <v>76</v>
      </c>
      <c r="G6902" s="47" t="s">
        <v>49</v>
      </c>
      <c r="K6902" s="31">
        <v>4620</v>
      </c>
      <c r="AE6902" s="31" t="s">
        <v>7241</v>
      </c>
      <c r="AF6902" s="31">
        <v>115</v>
      </c>
      <c r="AK6902" s="32">
        <v>42</v>
      </c>
      <c r="AQ6902" s="32" t="s">
        <v>7491</v>
      </c>
      <c r="AU6902">
        <v>6901</v>
      </c>
    </row>
    <row r="6903" spans="1:47" x14ac:dyDescent="0.2">
      <c r="A6903" s="13">
        <v>6869</v>
      </c>
      <c r="B6903" s="57" t="s">
        <v>45</v>
      </c>
      <c r="C6903" s="57" t="s">
        <v>5860</v>
      </c>
      <c r="D6903" s="29"/>
      <c r="E6903" s="57" t="s">
        <v>7510</v>
      </c>
      <c r="F6903" s="31" t="s">
        <v>3183</v>
      </c>
      <c r="G6903" s="47" t="s">
        <v>49</v>
      </c>
      <c r="K6903" s="31">
        <v>4620</v>
      </c>
      <c r="AE6903" s="31" t="s">
        <v>7241</v>
      </c>
      <c r="AF6903" s="31">
        <v>90</v>
      </c>
      <c r="AK6903" s="32">
        <v>42</v>
      </c>
      <c r="AQ6903" s="32" t="s">
        <v>7491</v>
      </c>
      <c r="AU6903">
        <v>6902</v>
      </c>
    </row>
    <row r="6904" spans="1:47" x14ac:dyDescent="0.2">
      <c r="A6904" s="13">
        <v>6869</v>
      </c>
      <c r="B6904" s="57" t="s">
        <v>45</v>
      </c>
      <c r="C6904" s="57" t="s">
        <v>4179</v>
      </c>
      <c r="D6904" s="29"/>
      <c r="E6904" s="57" t="s">
        <v>5937</v>
      </c>
      <c r="F6904" s="31" t="s">
        <v>76</v>
      </c>
      <c r="G6904" s="47" t="s">
        <v>49</v>
      </c>
      <c r="K6904" s="31">
        <v>6424</v>
      </c>
      <c r="Z6904" s="31" t="s">
        <v>3814</v>
      </c>
      <c r="AE6904" s="31" t="s">
        <v>5034</v>
      </c>
      <c r="AF6904" s="31">
        <v>90</v>
      </c>
      <c r="AK6904" s="32">
        <v>55</v>
      </c>
      <c r="AQ6904" s="32" t="s">
        <v>7491</v>
      </c>
      <c r="AU6904">
        <v>6903</v>
      </c>
    </row>
    <row r="6905" spans="1:47" x14ac:dyDescent="0.2">
      <c r="A6905" s="13">
        <v>6869</v>
      </c>
      <c r="B6905" s="57" t="s">
        <v>45</v>
      </c>
      <c r="C6905" s="57" t="s">
        <v>7243</v>
      </c>
      <c r="D6905" s="29"/>
      <c r="E6905" s="57" t="s">
        <v>7227</v>
      </c>
      <c r="F6905" s="31" t="s">
        <v>76</v>
      </c>
      <c r="G6905" s="47" t="s">
        <v>49</v>
      </c>
      <c r="I6905" s="31" t="s">
        <v>7494</v>
      </c>
      <c r="K6905" s="31">
        <v>10923</v>
      </c>
      <c r="S6905" s="33">
        <v>18</v>
      </c>
      <c r="AE6905" s="31" t="s">
        <v>4411</v>
      </c>
      <c r="AF6905" s="31">
        <v>75</v>
      </c>
      <c r="AK6905" s="32">
        <v>106</v>
      </c>
      <c r="AQ6905" s="32" t="s">
        <v>7491</v>
      </c>
      <c r="AU6905">
        <v>6904</v>
      </c>
    </row>
    <row r="6906" spans="1:47" x14ac:dyDescent="0.2">
      <c r="A6906" s="26">
        <v>6869</v>
      </c>
      <c r="B6906" s="27">
        <v>0.52083333333333337</v>
      </c>
      <c r="C6906" s="28"/>
      <c r="D6906" s="29"/>
      <c r="E6906" s="30" t="s">
        <v>464</v>
      </c>
      <c r="H6906" s="32">
        <v>0</v>
      </c>
      <c r="I6906" s="32" t="s">
        <v>7511</v>
      </c>
      <c r="AG6906" s="32">
        <v>0</v>
      </c>
      <c r="AH6906" s="32">
        <v>0</v>
      </c>
      <c r="AL6906" s="32">
        <f>10/60</f>
        <v>0.16666666666666666</v>
      </c>
      <c r="AO6906" s="32" t="s">
        <v>4067</v>
      </c>
      <c r="AP6906" s="32">
        <f>10/60</f>
        <v>0.16666666666666666</v>
      </c>
      <c r="AQ6906" s="32" t="s">
        <v>1522</v>
      </c>
      <c r="AU6906">
        <v>6905</v>
      </c>
    </row>
    <row r="6907" spans="1:47" x14ac:dyDescent="0.2">
      <c r="A6907" s="26">
        <v>6869</v>
      </c>
      <c r="B6907" s="27">
        <v>0.5625</v>
      </c>
      <c r="C6907" s="28"/>
      <c r="D6907" s="29"/>
      <c r="E6907" s="30" t="s">
        <v>4666</v>
      </c>
      <c r="H6907" s="32">
        <v>1</v>
      </c>
      <c r="I6907" s="32" t="s">
        <v>7512</v>
      </c>
      <c r="AG6907" s="32">
        <v>0</v>
      </c>
      <c r="AH6907" s="32">
        <v>0</v>
      </c>
      <c r="AI6907" s="32">
        <v>1000</v>
      </c>
      <c r="AK6907" s="32">
        <v>4</v>
      </c>
      <c r="AL6907" s="32">
        <v>5.5</v>
      </c>
      <c r="AO6907" s="32" t="s">
        <v>4668</v>
      </c>
      <c r="AQ6907" s="32">
        <v>411</v>
      </c>
      <c r="AU6907">
        <v>6906</v>
      </c>
    </row>
    <row r="6908" spans="1:47" x14ac:dyDescent="0.2">
      <c r="A6908" s="26">
        <v>6869</v>
      </c>
      <c r="B6908" s="27">
        <v>0.59722222222222221</v>
      </c>
      <c r="C6908" s="28"/>
      <c r="D6908" s="29"/>
      <c r="E6908" s="102" t="s">
        <v>1102</v>
      </c>
      <c r="H6908" s="32">
        <v>0</v>
      </c>
      <c r="I6908" s="32" t="s">
        <v>7513</v>
      </c>
      <c r="AG6908" s="32">
        <v>0</v>
      </c>
      <c r="AH6908" s="32">
        <v>0</v>
      </c>
      <c r="AI6908" s="32">
        <v>0</v>
      </c>
      <c r="AK6908" s="32">
        <v>0</v>
      </c>
      <c r="AL6908" s="32">
        <v>1</v>
      </c>
      <c r="AO6908" s="73" t="s">
        <v>1006</v>
      </c>
      <c r="AP6908" s="32">
        <v>1</v>
      </c>
      <c r="AQ6908" s="32" t="s">
        <v>589</v>
      </c>
      <c r="AU6908">
        <v>6907</v>
      </c>
    </row>
    <row r="6909" spans="1:47" x14ac:dyDescent="0.2">
      <c r="A6909" s="26">
        <v>6869</v>
      </c>
      <c r="B6909" s="27">
        <v>0.63402777777777775</v>
      </c>
      <c r="C6909" s="28"/>
      <c r="D6909" s="29"/>
      <c r="E6909" s="30" t="s">
        <v>3155</v>
      </c>
      <c r="H6909" s="32">
        <v>0</v>
      </c>
      <c r="I6909" s="32" t="s">
        <v>3156</v>
      </c>
      <c r="AG6909" s="32">
        <v>0</v>
      </c>
      <c r="AH6909" s="32">
        <v>0</v>
      </c>
      <c r="AI6909" s="32">
        <v>0</v>
      </c>
      <c r="AK6909" s="32">
        <v>0</v>
      </c>
      <c r="AP6909" s="32">
        <f>137/60</f>
        <v>2.2833333333333332</v>
      </c>
      <c r="AQ6909" s="32" t="s">
        <v>1101</v>
      </c>
      <c r="AU6909">
        <v>6908</v>
      </c>
    </row>
    <row r="6910" spans="1:47" x14ac:dyDescent="0.2">
      <c r="A6910" s="26">
        <v>6869</v>
      </c>
      <c r="B6910" s="27">
        <v>0.63472222222222219</v>
      </c>
      <c r="C6910" s="28"/>
      <c r="D6910" s="29"/>
      <c r="E6910" s="30" t="s">
        <v>5224</v>
      </c>
      <c r="H6910" s="32">
        <v>0</v>
      </c>
      <c r="I6910" s="32" t="s">
        <v>7514</v>
      </c>
      <c r="AG6910" s="32">
        <v>0</v>
      </c>
      <c r="AH6910" s="32">
        <v>0</v>
      </c>
      <c r="AI6910" s="32">
        <v>0</v>
      </c>
      <c r="AK6910" s="32">
        <v>0</v>
      </c>
      <c r="AL6910" s="32">
        <v>2.75</v>
      </c>
      <c r="AP6910" s="32">
        <v>2.75</v>
      </c>
      <c r="AQ6910" s="32" t="s">
        <v>1101</v>
      </c>
      <c r="AU6910">
        <v>6909</v>
      </c>
    </row>
    <row r="6911" spans="1:47" x14ac:dyDescent="0.2">
      <c r="A6911" s="26">
        <v>6869</v>
      </c>
      <c r="B6911" s="27">
        <v>0.63541666666666663</v>
      </c>
      <c r="C6911" s="28"/>
      <c r="D6911" s="29"/>
      <c r="E6911" s="102" t="s">
        <v>5200</v>
      </c>
      <c r="H6911" s="32">
        <v>0</v>
      </c>
      <c r="I6911" s="32" t="s">
        <v>7515</v>
      </c>
      <c r="AG6911" s="32">
        <v>0</v>
      </c>
      <c r="AH6911" s="32">
        <v>0</v>
      </c>
      <c r="AI6911" s="32">
        <v>0</v>
      </c>
      <c r="AK6911" s="32">
        <v>0</v>
      </c>
      <c r="AL6911" s="32">
        <f>106/60</f>
        <v>1.7666666666666666</v>
      </c>
      <c r="AO6911" s="73"/>
      <c r="AP6911" s="32">
        <f>106/60</f>
        <v>1.7666666666666666</v>
      </c>
      <c r="AQ6911" s="32" t="s">
        <v>589</v>
      </c>
      <c r="AU6911">
        <v>6910</v>
      </c>
    </row>
    <row r="6912" spans="1:47" x14ac:dyDescent="0.2">
      <c r="A6912" s="26">
        <v>6869</v>
      </c>
      <c r="B6912" s="27">
        <v>0.63888888888888895</v>
      </c>
      <c r="C6912" s="28"/>
      <c r="D6912" s="29"/>
      <c r="E6912" s="30" t="s">
        <v>3737</v>
      </c>
      <c r="H6912" s="32">
        <v>0</v>
      </c>
      <c r="I6912" s="32" t="s">
        <v>4926</v>
      </c>
      <c r="AG6912" s="32">
        <v>0</v>
      </c>
      <c r="AH6912" s="32">
        <v>0</v>
      </c>
      <c r="AI6912" s="32">
        <v>0</v>
      </c>
      <c r="AK6912" s="32">
        <v>0</v>
      </c>
      <c r="AM6912" s="74"/>
      <c r="AQ6912" s="32" t="s">
        <v>1101</v>
      </c>
      <c r="AU6912">
        <v>6911</v>
      </c>
    </row>
    <row r="6913" spans="1:47" x14ac:dyDescent="0.2">
      <c r="A6913" s="26">
        <v>6869</v>
      </c>
      <c r="B6913" s="27">
        <v>0.63888888888888895</v>
      </c>
      <c r="C6913" s="28"/>
      <c r="D6913" s="29"/>
      <c r="E6913" s="30" t="s">
        <v>464</v>
      </c>
      <c r="H6913" s="32">
        <v>0</v>
      </c>
      <c r="I6913" s="32" t="s">
        <v>7516</v>
      </c>
      <c r="AG6913" s="32">
        <v>0</v>
      </c>
      <c r="AH6913" s="32">
        <v>0</v>
      </c>
      <c r="AL6913" s="32">
        <f>43/60</f>
        <v>0.71666666666666667</v>
      </c>
      <c r="AO6913" s="32" t="s">
        <v>4067</v>
      </c>
      <c r="AP6913" s="32">
        <f>43/60</f>
        <v>0.71666666666666667</v>
      </c>
      <c r="AQ6913" s="32" t="s">
        <v>1522</v>
      </c>
      <c r="AU6913">
        <v>6912</v>
      </c>
    </row>
    <row r="6914" spans="1:47" x14ac:dyDescent="0.2">
      <c r="A6914" s="26">
        <v>6869</v>
      </c>
      <c r="B6914" s="27">
        <v>0.67013888888888884</v>
      </c>
      <c r="C6914" s="28"/>
      <c r="D6914" s="29"/>
      <c r="E6914" s="30" t="s">
        <v>631</v>
      </c>
      <c r="H6914" s="32">
        <v>0</v>
      </c>
      <c r="I6914" s="32" t="s">
        <v>7517</v>
      </c>
      <c r="AG6914" s="32">
        <v>0</v>
      </c>
      <c r="AH6914" s="32">
        <v>0</v>
      </c>
      <c r="AI6914" s="32">
        <v>0</v>
      </c>
      <c r="AK6914" s="32">
        <v>0</v>
      </c>
      <c r="AL6914" s="32">
        <f>10/60</f>
        <v>0.16666666666666666</v>
      </c>
      <c r="AM6914" s="32">
        <v>256</v>
      </c>
      <c r="AP6914" s="32">
        <f>10/60</f>
        <v>0.16666666666666666</v>
      </c>
      <c r="AQ6914" s="32">
        <v>465</v>
      </c>
      <c r="AU6914">
        <v>6913</v>
      </c>
    </row>
    <row r="6915" spans="1:47" x14ac:dyDescent="0.2">
      <c r="A6915" s="26">
        <v>6869</v>
      </c>
      <c r="B6915" s="27">
        <v>0.68402777777777779</v>
      </c>
      <c r="C6915" s="28"/>
      <c r="D6915" s="29"/>
      <c r="E6915" s="30" t="s">
        <v>3737</v>
      </c>
      <c r="H6915" s="32">
        <v>0</v>
      </c>
      <c r="I6915" s="32" t="s">
        <v>4926</v>
      </c>
      <c r="AG6915" s="32">
        <v>0</v>
      </c>
      <c r="AH6915" s="32">
        <v>0</v>
      </c>
      <c r="AI6915" s="32">
        <v>0</v>
      </c>
      <c r="AK6915" s="32">
        <v>0</v>
      </c>
      <c r="AL6915" s="32">
        <f>51/60</f>
        <v>0.85</v>
      </c>
      <c r="AM6915" s="33">
        <f>(3125+3691)*AL6915</f>
        <v>5793.5999999999995</v>
      </c>
      <c r="AP6915" s="32">
        <f>51/60</f>
        <v>0.85</v>
      </c>
      <c r="AQ6915" s="32" t="s">
        <v>1101</v>
      </c>
      <c r="AU6915">
        <v>6914</v>
      </c>
    </row>
    <row r="6916" spans="1:47" x14ac:dyDescent="0.2">
      <c r="A6916" s="26">
        <v>6869</v>
      </c>
      <c r="B6916" s="27">
        <v>0.69236111111111109</v>
      </c>
      <c r="C6916" s="28"/>
      <c r="D6916" s="29"/>
      <c r="E6916" s="30" t="s">
        <v>1124</v>
      </c>
      <c r="H6916" s="32">
        <v>1</v>
      </c>
      <c r="I6916" s="32" t="s">
        <v>1246</v>
      </c>
      <c r="AG6916" s="32">
        <v>0</v>
      </c>
      <c r="AH6916" s="32">
        <v>0</v>
      </c>
      <c r="AK6916" s="32">
        <v>10</v>
      </c>
      <c r="AL6916" s="32">
        <f>13/60</f>
        <v>0.21666666666666667</v>
      </c>
      <c r="AO6916" s="46" t="s">
        <v>1126</v>
      </c>
      <c r="AP6916" s="32">
        <f>13/60</f>
        <v>0.21666666666666667</v>
      </c>
      <c r="AQ6916" s="32" t="s">
        <v>589</v>
      </c>
      <c r="AU6916">
        <v>6915</v>
      </c>
    </row>
    <row r="6917" spans="1:47" x14ac:dyDescent="0.2">
      <c r="A6917" s="26">
        <v>6869</v>
      </c>
      <c r="B6917" s="27">
        <v>0.69861111111111107</v>
      </c>
      <c r="C6917" s="28"/>
      <c r="D6917" s="29"/>
      <c r="E6917" s="30" t="s">
        <v>869</v>
      </c>
      <c r="H6917" s="32">
        <v>0</v>
      </c>
      <c r="I6917" s="32" t="s">
        <v>2344</v>
      </c>
      <c r="AG6917" s="32">
        <v>0</v>
      </c>
      <c r="AH6917" s="32">
        <v>0</v>
      </c>
      <c r="AI6917" s="32">
        <v>0</v>
      </c>
      <c r="AK6917" s="32">
        <v>0</v>
      </c>
      <c r="AL6917" s="32">
        <f>41/60</f>
        <v>0.68333333333333335</v>
      </c>
      <c r="AP6917" s="32">
        <f>41/60</f>
        <v>0.68333333333333335</v>
      </c>
      <c r="AQ6917" s="32" t="s">
        <v>589</v>
      </c>
      <c r="AU6917">
        <v>6916</v>
      </c>
    </row>
    <row r="6918" spans="1:47" x14ac:dyDescent="0.2">
      <c r="A6918" s="26">
        <v>6869</v>
      </c>
      <c r="B6918" s="27">
        <v>0.70138888888888884</v>
      </c>
      <c r="C6918" s="28"/>
      <c r="D6918" s="29"/>
      <c r="E6918" s="30" t="s">
        <v>4219</v>
      </c>
      <c r="H6918" s="32">
        <v>1</v>
      </c>
      <c r="I6918" s="32" t="s">
        <v>7518</v>
      </c>
      <c r="AL6918" s="32">
        <f>5/6</f>
        <v>0.83333333333333337</v>
      </c>
      <c r="AO6918" s="32" t="s">
        <v>858</v>
      </c>
      <c r="AP6918" s="32">
        <f>5/6</f>
        <v>0.83333333333333337</v>
      </c>
      <c r="AQ6918" s="32" t="s">
        <v>1101</v>
      </c>
      <c r="AU6918">
        <v>6917</v>
      </c>
    </row>
    <row r="6919" spans="1:47" x14ac:dyDescent="0.2">
      <c r="A6919" s="26">
        <v>6869</v>
      </c>
      <c r="B6919" s="27">
        <v>0.70486111111111116</v>
      </c>
      <c r="C6919" s="28"/>
      <c r="D6919" s="29"/>
      <c r="E6919" s="30" t="s">
        <v>4713</v>
      </c>
      <c r="H6919" s="32">
        <v>0</v>
      </c>
      <c r="I6919" s="32" t="s">
        <v>4714</v>
      </c>
      <c r="AG6919" s="32">
        <v>0</v>
      </c>
      <c r="AH6919" s="32">
        <v>0</v>
      </c>
      <c r="AI6919" s="32">
        <v>0</v>
      </c>
      <c r="AK6919" s="32">
        <v>0</v>
      </c>
      <c r="AL6919" s="32">
        <f>25/60</f>
        <v>0.41666666666666669</v>
      </c>
      <c r="AP6919" s="32">
        <f>25/60</f>
        <v>0.41666666666666669</v>
      </c>
      <c r="AQ6919" s="32" t="s">
        <v>1101</v>
      </c>
      <c r="AU6919">
        <v>6918</v>
      </c>
    </row>
    <row r="6920" spans="1:47" x14ac:dyDescent="0.2">
      <c r="A6920" s="26">
        <v>6869</v>
      </c>
      <c r="B6920" s="27">
        <v>0.70833333333333337</v>
      </c>
      <c r="C6920" s="28"/>
      <c r="D6920" s="29"/>
      <c r="E6920" s="30" t="s">
        <v>110</v>
      </c>
      <c r="H6920" s="32">
        <v>0</v>
      </c>
      <c r="I6920" s="32" t="s">
        <v>3587</v>
      </c>
      <c r="AG6920" s="32">
        <v>0</v>
      </c>
      <c r="AH6920" s="32">
        <v>0</v>
      </c>
      <c r="AI6920" s="32">
        <v>0</v>
      </c>
      <c r="AK6920" s="32">
        <v>0</v>
      </c>
      <c r="AL6920" s="32">
        <v>0.5</v>
      </c>
      <c r="AP6920" s="32">
        <v>0.5</v>
      </c>
      <c r="AQ6920" s="32" t="s">
        <v>1101</v>
      </c>
      <c r="AU6920">
        <v>6919</v>
      </c>
    </row>
    <row r="6921" spans="1:47" x14ac:dyDescent="0.2">
      <c r="A6921" s="26">
        <v>6869</v>
      </c>
      <c r="B6921" s="27">
        <v>0.71180555555555547</v>
      </c>
      <c r="C6921" s="28"/>
      <c r="D6921" s="29"/>
      <c r="E6921" s="30" t="s">
        <v>4519</v>
      </c>
      <c r="H6921" s="32">
        <v>0</v>
      </c>
      <c r="I6921" s="32" t="s">
        <v>7519</v>
      </c>
      <c r="AG6921" s="32">
        <v>0</v>
      </c>
      <c r="AH6921" s="32">
        <v>0</v>
      </c>
      <c r="AI6921" s="32">
        <v>0</v>
      </c>
      <c r="AK6921" s="32">
        <v>0</v>
      </c>
      <c r="AL6921" s="32">
        <f>35/60</f>
        <v>0.58333333333333337</v>
      </c>
      <c r="AM6921" s="32">
        <f>AL6921*(261300+974800)/18.75</f>
        <v>38456.444444444445</v>
      </c>
      <c r="AP6921" s="32">
        <f>35/60</f>
        <v>0.58333333333333337</v>
      </c>
      <c r="AQ6921" s="32" t="s">
        <v>589</v>
      </c>
      <c r="AU6921">
        <v>6920</v>
      </c>
    </row>
    <row r="6922" spans="1:47" x14ac:dyDescent="0.2">
      <c r="A6922" s="26">
        <v>6869</v>
      </c>
      <c r="B6922" s="27">
        <v>0.7715277777777777</v>
      </c>
      <c r="C6922" s="28"/>
      <c r="D6922" s="29"/>
      <c r="E6922" s="30" t="s">
        <v>5224</v>
      </c>
      <c r="H6922" s="32">
        <v>0</v>
      </c>
      <c r="I6922" s="32" t="s">
        <v>7520</v>
      </c>
      <c r="AG6922" s="32">
        <v>0</v>
      </c>
      <c r="AH6922" s="32">
        <v>0</v>
      </c>
      <c r="AI6922" s="32">
        <v>0</v>
      </c>
      <c r="AK6922" s="32">
        <v>0</v>
      </c>
      <c r="AL6922" s="32">
        <f>28/60</f>
        <v>0.46666666666666667</v>
      </c>
      <c r="AP6922" s="32">
        <f>28/60</f>
        <v>0.46666666666666667</v>
      </c>
      <c r="AQ6922" s="32" t="s">
        <v>1101</v>
      </c>
      <c r="AU6922">
        <v>6921</v>
      </c>
    </row>
    <row r="6923" spans="1:47" x14ac:dyDescent="0.2">
      <c r="A6923" s="26">
        <v>6869</v>
      </c>
      <c r="B6923" s="27">
        <v>0.81944444444444453</v>
      </c>
      <c r="C6923" s="28"/>
      <c r="D6923" s="29"/>
      <c r="E6923" s="30" t="s">
        <v>464</v>
      </c>
      <c r="H6923" s="32">
        <v>0</v>
      </c>
      <c r="I6923" s="32" t="s">
        <v>7521</v>
      </c>
      <c r="AG6923" s="32">
        <v>0</v>
      </c>
      <c r="AH6923" s="32">
        <v>0</v>
      </c>
      <c r="AL6923" s="32">
        <f>18/60</f>
        <v>0.3</v>
      </c>
      <c r="AO6923" s="32" t="s">
        <v>4067</v>
      </c>
      <c r="AP6923" s="32">
        <f>18/60</f>
        <v>0.3</v>
      </c>
      <c r="AQ6923" s="32" t="s">
        <v>1522</v>
      </c>
      <c r="AU6923">
        <v>6922</v>
      </c>
    </row>
    <row r="6924" spans="1:47" x14ac:dyDescent="0.2">
      <c r="A6924" s="26">
        <v>6869</v>
      </c>
      <c r="B6924" s="27">
        <v>0.83750000000000002</v>
      </c>
      <c r="C6924" s="28"/>
      <c r="D6924" s="29"/>
      <c r="E6924" s="30" t="s">
        <v>869</v>
      </c>
      <c r="H6924" s="32">
        <v>0</v>
      </c>
      <c r="I6924" s="32" t="s">
        <v>7522</v>
      </c>
      <c r="AG6924" s="32">
        <v>0</v>
      </c>
      <c r="AH6924" s="32">
        <v>0</v>
      </c>
      <c r="AI6924" s="32">
        <v>0</v>
      </c>
      <c r="AK6924" s="32">
        <v>0</v>
      </c>
      <c r="AL6924" s="32">
        <f>65/60</f>
        <v>1.0833333333333333</v>
      </c>
      <c r="AP6924" s="32">
        <f>65/60</f>
        <v>1.0833333333333333</v>
      </c>
      <c r="AQ6924" s="32" t="s">
        <v>589</v>
      </c>
      <c r="AU6924">
        <v>6923</v>
      </c>
    </row>
    <row r="6925" spans="1:47" x14ac:dyDescent="0.2">
      <c r="A6925" s="26">
        <v>6869</v>
      </c>
      <c r="B6925" s="27">
        <v>0.84166666666666667</v>
      </c>
      <c r="C6925" s="28"/>
      <c r="D6925" s="29"/>
      <c r="E6925" s="30" t="s">
        <v>3737</v>
      </c>
      <c r="H6925" s="32">
        <v>1</v>
      </c>
      <c r="I6925" s="32" t="s">
        <v>7523</v>
      </c>
      <c r="AG6925" s="32">
        <v>1</v>
      </c>
      <c r="AH6925" s="32">
        <v>5</v>
      </c>
      <c r="AI6925" s="32">
        <v>831309</v>
      </c>
      <c r="AK6925" s="32">
        <v>4</v>
      </c>
      <c r="AL6925" s="32">
        <v>2.7</v>
      </c>
      <c r="AP6925" s="32">
        <v>2.7</v>
      </c>
      <c r="AQ6925" s="32" t="s">
        <v>7246</v>
      </c>
      <c r="AU6925">
        <v>6924</v>
      </c>
    </row>
    <row r="6926" spans="1:47" x14ac:dyDescent="0.2">
      <c r="A6926" s="26">
        <v>6869</v>
      </c>
      <c r="B6926" s="27">
        <v>0.85069444444444453</v>
      </c>
      <c r="C6926" s="28"/>
      <c r="D6926" s="29"/>
      <c r="E6926" s="30" t="s">
        <v>631</v>
      </c>
      <c r="H6926" s="32">
        <v>0</v>
      </c>
      <c r="I6926" s="32" t="s">
        <v>7524</v>
      </c>
      <c r="AG6926" s="32">
        <v>0</v>
      </c>
      <c r="AH6926" s="32">
        <v>0</v>
      </c>
      <c r="AI6926" s="32">
        <v>0</v>
      </c>
      <c r="AK6926" s="32">
        <v>0</v>
      </c>
      <c r="AL6926" s="32">
        <f>70/60</f>
        <v>1.1666666666666667</v>
      </c>
      <c r="AM6926" s="32">
        <v>256</v>
      </c>
      <c r="AP6926" s="32">
        <f>70/60</f>
        <v>1.1666666666666667</v>
      </c>
      <c r="AQ6926" s="32">
        <v>465</v>
      </c>
      <c r="AU6926">
        <v>6925</v>
      </c>
    </row>
    <row r="6927" spans="1:47" x14ac:dyDescent="0.2">
      <c r="A6927" s="26">
        <v>6869</v>
      </c>
      <c r="B6927" s="27">
        <v>0.90625</v>
      </c>
      <c r="C6927" s="28"/>
      <c r="D6927" s="29"/>
      <c r="E6927" s="30" t="s">
        <v>464</v>
      </c>
      <c r="H6927" s="32">
        <v>0</v>
      </c>
      <c r="I6927" s="32" t="s">
        <v>7525</v>
      </c>
      <c r="AG6927" s="32">
        <v>0</v>
      </c>
      <c r="AH6927" s="32">
        <v>0</v>
      </c>
      <c r="AL6927" s="32">
        <f>37/60</f>
        <v>0.6166666666666667</v>
      </c>
      <c r="AO6927" s="32" t="s">
        <v>4067</v>
      </c>
      <c r="AP6927" s="32">
        <f>37/60</f>
        <v>0.6166666666666667</v>
      </c>
      <c r="AQ6927" s="32" t="s">
        <v>1522</v>
      </c>
      <c r="AU6927">
        <v>6926</v>
      </c>
    </row>
    <row r="6928" spans="1:47" x14ac:dyDescent="0.2">
      <c r="A6928" s="26">
        <v>6869</v>
      </c>
      <c r="B6928" s="27">
        <v>0.91111111111111109</v>
      </c>
      <c r="C6928" s="28"/>
      <c r="D6928" s="29"/>
      <c r="E6928" s="30" t="s">
        <v>3155</v>
      </c>
      <c r="H6928" s="32">
        <v>0</v>
      </c>
      <c r="I6928" s="32" t="s">
        <v>3156</v>
      </c>
      <c r="AG6928" s="32">
        <v>0</v>
      </c>
      <c r="AH6928" s="32">
        <v>0</v>
      </c>
      <c r="AI6928" s="32">
        <v>0</v>
      </c>
      <c r="AK6928" s="32">
        <v>0</v>
      </c>
      <c r="AP6928" s="32">
        <f>66/60</f>
        <v>1.1000000000000001</v>
      </c>
      <c r="AQ6928" s="32" t="s">
        <v>1101</v>
      </c>
      <c r="AU6928">
        <v>6927</v>
      </c>
    </row>
    <row r="6929" spans="1:47" x14ac:dyDescent="0.2">
      <c r="A6929" s="26">
        <v>6869</v>
      </c>
      <c r="B6929" s="27">
        <v>0.98958333333333337</v>
      </c>
      <c r="C6929" s="28"/>
      <c r="D6929" s="29"/>
      <c r="E6929" s="30" t="s">
        <v>3737</v>
      </c>
      <c r="H6929" s="32">
        <v>0</v>
      </c>
      <c r="I6929" s="32" t="s">
        <v>4926</v>
      </c>
      <c r="AG6929" s="32">
        <v>0</v>
      </c>
      <c r="AH6929" s="32">
        <v>0</v>
      </c>
      <c r="AI6929" s="32">
        <v>0</v>
      </c>
      <c r="AK6929" s="32">
        <v>0</v>
      </c>
      <c r="AM6929" s="74"/>
      <c r="AQ6929" s="32" t="s">
        <v>1101</v>
      </c>
      <c r="AU6929">
        <v>6928</v>
      </c>
    </row>
    <row r="6930" spans="1:47" x14ac:dyDescent="0.2">
      <c r="A6930" s="26">
        <v>6869</v>
      </c>
      <c r="B6930" s="27" t="s">
        <v>45</v>
      </c>
      <c r="C6930" s="28"/>
      <c r="D6930" s="29"/>
      <c r="E6930" s="30" t="s">
        <v>1531</v>
      </c>
      <c r="H6930" s="32">
        <v>0</v>
      </c>
      <c r="I6930" s="32" t="s">
        <v>1706</v>
      </c>
      <c r="AG6930" s="32">
        <v>0</v>
      </c>
      <c r="AH6930" s="32">
        <v>0</v>
      </c>
      <c r="AI6930" s="32">
        <v>0</v>
      </c>
      <c r="AK6930" s="32">
        <v>0</v>
      </c>
      <c r="AM6930" s="32">
        <f>498*35</f>
        <v>17430</v>
      </c>
      <c r="AO6930" s="32" t="s">
        <v>1533</v>
      </c>
      <c r="AQ6930" s="32" t="s">
        <v>1101</v>
      </c>
      <c r="AU6930">
        <v>6929</v>
      </c>
    </row>
    <row r="6931" spans="1:47" x14ac:dyDescent="0.2">
      <c r="A6931" s="26">
        <v>6869</v>
      </c>
      <c r="B6931" s="27" t="s">
        <v>45</v>
      </c>
      <c r="C6931" s="28"/>
      <c r="D6931" s="29"/>
      <c r="E6931" s="150" t="s">
        <v>2286</v>
      </c>
      <c r="H6931" s="32">
        <v>0</v>
      </c>
      <c r="I6931" s="32" t="s">
        <v>1824</v>
      </c>
      <c r="AG6931" s="32">
        <v>0</v>
      </c>
      <c r="AH6931" s="32">
        <v>0</v>
      </c>
      <c r="AI6931" s="32">
        <v>0</v>
      </c>
      <c r="AK6931" s="32">
        <v>0</v>
      </c>
      <c r="AM6931" s="32">
        <v>4000</v>
      </c>
      <c r="AO6931" s="73" t="s">
        <v>75</v>
      </c>
      <c r="AQ6931" s="32" t="s">
        <v>589</v>
      </c>
      <c r="AU6931">
        <v>6930</v>
      </c>
    </row>
    <row r="6932" spans="1:47" x14ac:dyDescent="0.2">
      <c r="A6932" s="26">
        <v>6869</v>
      </c>
      <c r="B6932" s="27"/>
      <c r="C6932" s="28"/>
      <c r="D6932" s="29"/>
      <c r="E6932" s="102" t="s">
        <v>1421</v>
      </c>
      <c r="H6932" s="32">
        <v>1</v>
      </c>
      <c r="I6932" s="32" t="s">
        <v>1422</v>
      </c>
      <c r="AK6932" s="32">
        <v>14</v>
      </c>
      <c r="AO6932" s="73"/>
      <c r="AQ6932" s="32" t="s">
        <v>589</v>
      </c>
      <c r="AU6932">
        <v>6931</v>
      </c>
    </row>
    <row r="6933" spans="1:47" x14ac:dyDescent="0.2">
      <c r="A6933" s="26">
        <v>6869</v>
      </c>
      <c r="B6933" s="27"/>
      <c r="C6933" s="28"/>
      <c r="D6933" s="29"/>
      <c r="E6933" s="30" t="s">
        <v>2964</v>
      </c>
      <c r="H6933" s="32">
        <v>0</v>
      </c>
      <c r="I6933" s="32" t="s">
        <v>7526</v>
      </c>
      <c r="AG6933" s="32">
        <v>0</v>
      </c>
      <c r="AH6933" s="32">
        <v>0</v>
      </c>
      <c r="AI6933" s="32">
        <v>0</v>
      </c>
      <c r="AK6933" s="32">
        <v>0</v>
      </c>
      <c r="AM6933" s="32">
        <f>871+490</f>
        <v>1361</v>
      </c>
      <c r="AQ6933" s="91">
        <v>479480</v>
      </c>
      <c r="AU6933">
        <v>6932</v>
      </c>
    </row>
    <row r="6934" spans="1:47" x14ac:dyDescent="0.2">
      <c r="A6934" s="26">
        <v>6869</v>
      </c>
      <c r="B6934" s="27"/>
      <c r="C6934" s="28"/>
      <c r="D6934" s="29"/>
      <c r="E6934" s="30" t="s">
        <v>4469</v>
      </c>
      <c r="H6934" s="32">
        <v>0</v>
      </c>
      <c r="I6934" s="32" t="s">
        <v>7527</v>
      </c>
      <c r="AG6934" s="32">
        <v>0</v>
      </c>
      <c r="AH6934" s="32">
        <v>0</v>
      </c>
      <c r="AI6934" s="32">
        <v>0</v>
      </c>
      <c r="AK6934" s="32">
        <v>0</v>
      </c>
      <c r="AL6934" s="32">
        <f>107/60</f>
        <v>1.7833333333333334</v>
      </c>
      <c r="AO6934" s="32" t="s">
        <v>5210</v>
      </c>
      <c r="AP6934" s="32">
        <f>107/60</f>
        <v>1.7833333333333334</v>
      </c>
      <c r="AQ6934" s="32" t="s">
        <v>5211</v>
      </c>
      <c r="AU6934">
        <v>6933</v>
      </c>
    </row>
    <row r="6935" spans="1:47" x14ac:dyDescent="0.2">
      <c r="A6935" s="13">
        <v>6870</v>
      </c>
      <c r="B6935" s="57" t="s">
        <v>45</v>
      </c>
      <c r="C6935" s="57" t="s">
        <v>142</v>
      </c>
      <c r="D6935" s="29"/>
      <c r="E6935" s="57" t="s">
        <v>7528</v>
      </c>
      <c r="F6935" s="31" t="s">
        <v>7529</v>
      </c>
      <c r="G6935" s="31" t="s">
        <v>49</v>
      </c>
      <c r="I6935" s="47" t="b">
        <v>1</v>
      </c>
      <c r="J6935" s="47" t="b">
        <v>1</v>
      </c>
      <c r="K6935" s="31">
        <f>4470*2.2</f>
        <v>9834</v>
      </c>
      <c r="L6935" s="33">
        <v>13</v>
      </c>
      <c r="M6935" s="31">
        <v>1</v>
      </c>
      <c r="N6935" s="31">
        <v>2</v>
      </c>
      <c r="S6935" s="33">
        <v>10</v>
      </c>
      <c r="T6935" s="31">
        <v>0</v>
      </c>
      <c r="U6935" s="31">
        <v>1</v>
      </c>
      <c r="V6935" s="31">
        <v>3</v>
      </c>
      <c r="Y6935" s="31" t="s">
        <v>120</v>
      </c>
      <c r="Z6935" s="31" t="s">
        <v>7420</v>
      </c>
      <c r="AE6935" s="31" t="s">
        <v>2470</v>
      </c>
      <c r="AF6935" s="31">
        <v>110</v>
      </c>
      <c r="AK6935" s="32">
        <f>16+6+55+7+4+2</f>
        <v>90</v>
      </c>
      <c r="AQ6935" s="32" t="s">
        <v>7530</v>
      </c>
      <c r="AR6935" s="32" t="s">
        <v>7531</v>
      </c>
      <c r="AU6935">
        <v>6934</v>
      </c>
    </row>
    <row r="6936" spans="1:47" x14ac:dyDescent="0.2">
      <c r="A6936" s="13">
        <v>6870</v>
      </c>
      <c r="B6936" s="57" t="s">
        <v>45</v>
      </c>
      <c r="C6936" s="57" t="s">
        <v>142</v>
      </c>
      <c r="D6936" s="29"/>
      <c r="E6936" s="57" t="s">
        <v>5781</v>
      </c>
      <c r="F6936" s="31" t="s">
        <v>76</v>
      </c>
      <c r="G6936" s="31" t="s">
        <v>49</v>
      </c>
      <c r="I6936" s="47" t="b">
        <v>0</v>
      </c>
      <c r="J6936" s="47" t="b">
        <v>0</v>
      </c>
      <c r="K6936" s="31">
        <v>5434</v>
      </c>
      <c r="S6936" s="33">
        <v>5</v>
      </c>
      <c r="Z6936" s="31" t="s">
        <v>7420</v>
      </c>
      <c r="AE6936" s="31" t="s">
        <v>2470</v>
      </c>
      <c r="AF6936" s="31">
        <v>100</v>
      </c>
      <c r="AK6936" s="32">
        <v>55</v>
      </c>
      <c r="AQ6936" s="32" t="s">
        <v>7491</v>
      </c>
      <c r="AU6936">
        <v>6935</v>
      </c>
    </row>
    <row r="6937" spans="1:47" x14ac:dyDescent="0.2">
      <c r="A6937" s="13">
        <v>6870</v>
      </c>
      <c r="B6937" s="57" t="s">
        <v>45</v>
      </c>
      <c r="C6937" s="57" t="s">
        <v>142</v>
      </c>
      <c r="D6937" s="29"/>
      <c r="E6937" s="57" t="s">
        <v>3816</v>
      </c>
      <c r="F6937" s="31" t="s">
        <v>76</v>
      </c>
      <c r="G6937" s="31" t="s">
        <v>49</v>
      </c>
      <c r="I6937" s="47" t="b">
        <v>0</v>
      </c>
      <c r="J6937" s="47" t="b">
        <v>0</v>
      </c>
      <c r="K6937" s="31">
        <v>3300</v>
      </c>
      <c r="S6937" s="33">
        <v>4</v>
      </c>
      <c r="Z6937" s="31" t="s">
        <v>7420</v>
      </c>
      <c r="AE6937" s="31" t="s">
        <v>2470</v>
      </c>
      <c r="AF6937" s="31">
        <v>110</v>
      </c>
      <c r="AK6937" s="32">
        <v>26</v>
      </c>
      <c r="AQ6937" s="32" t="s">
        <v>7491</v>
      </c>
      <c r="AU6937">
        <v>6936</v>
      </c>
    </row>
    <row r="6938" spans="1:47" x14ac:dyDescent="0.2">
      <c r="A6938" s="13">
        <v>6870</v>
      </c>
      <c r="B6938" s="57" t="s">
        <v>45</v>
      </c>
      <c r="C6938" s="57" t="s">
        <v>142</v>
      </c>
      <c r="D6938" s="29"/>
      <c r="E6938" s="57" t="s">
        <v>7227</v>
      </c>
      <c r="F6938" s="31" t="s">
        <v>76</v>
      </c>
      <c r="G6938" s="31" t="s">
        <v>49</v>
      </c>
      <c r="I6938" s="47" t="b">
        <v>0</v>
      </c>
      <c r="J6938" s="47" t="b">
        <v>0</v>
      </c>
      <c r="K6938" s="31">
        <v>1100</v>
      </c>
      <c r="S6938" s="33">
        <v>1</v>
      </c>
      <c r="Z6938" s="31" t="s">
        <v>7420</v>
      </c>
      <c r="AE6938" s="31" t="s">
        <v>2470</v>
      </c>
      <c r="AF6938" s="31">
        <v>80</v>
      </c>
      <c r="AK6938" s="32">
        <v>9</v>
      </c>
      <c r="AQ6938" s="32" t="s">
        <v>7491</v>
      </c>
      <c r="AR6938" s="32" t="s">
        <v>7494</v>
      </c>
      <c r="AU6938">
        <v>6937</v>
      </c>
    </row>
    <row r="6939" spans="1:47" x14ac:dyDescent="0.2">
      <c r="A6939" s="13">
        <v>6870</v>
      </c>
      <c r="B6939" s="57" t="s">
        <v>45</v>
      </c>
      <c r="C6939" s="57" t="s">
        <v>7243</v>
      </c>
      <c r="D6939" s="29"/>
      <c r="E6939" s="57" t="s">
        <v>7532</v>
      </c>
      <c r="F6939" s="31" t="s">
        <v>76</v>
      </c>
      <c r="G6939" s="31" t="s">
        <v>49</v>
      </c>
      <c r="K6939" s="31">
        <v>6160</v>
      </c>
      <c r="S6939" s="33">
        <v>10</v>
      </c>
      <c r="AE6939" s="31" t="s">
        <v>4411</v>
      </c>
      <c r="AF6939" s="31">
        <v>75</v>
      </c>
      <c r="AK6939" s="32">
        <v>67</v>
      </c>
      <c r="AQ6939" s="32" t="s">
        <v>7491</v>
      </c>
      <c r="AU6939">
        <v>6938</v>
      </c>
    </row>
    <row r="6940" spans="1:47" x14ac:dyDescent="0.2">
      <c r="A6940" s="13">
        <v>6870</v>
      </c>
      <c r="B6940" s="57" t="s">
        <v>45</v>
      </c>
      <c r="C6940" s="57" t="s">
        <v>7243</v>
      </c>
      <c r="D6940" s="29"/>
      <c r="E6940" s="57" t="s">
        <v>7533</v>
      </c>
      <c r="F6940" s="31" t="s">
        <v>6354</v>
      </c>
      <c r="G6940" s="31" t="s">
        <v>69</v>
      </c>
      <c r="K6940" s="31">
        <v>660</v>
      </c>
      <c r="S6940" s="33">
        <v>1</v>
      </c>
      <c r="AE6940" s="31" t="s">
        <v>4411</v>
      </c>
      <c r="AK6940" s="32">
        <v>6</v>
      </c>
      <c r="AQ6940" s="32" t="s">
        <v>7491</v>
      </c>
      <c r="AU6940">
        <v>6939</v>
      </c>
    </row>
    <row r="6941" spans="1:47" x14ac:dyDescent="0.2">
      <c r="A6941" s="26">
        <v>6870</v>
      </c>
      <c r="B6941" s="27">
        <v>4.8611111111111112E-2</v>
      </c>
      <c r="C6941" s="28"/>
      <c r="D6941" s="29"/>
      <c r="E6941" s="30" t="s">
        <v>1282</v>
      </c>
      <c r="H6941" s="32">
        <v>1</v>
      </c>
      <c r="I6941" s="32" t="s">
        <v>7534</v>
      </c>
      <c r="AG6941" s="32">
        <v>0</v>
      </c>
      <c r="AH6941" s="32">
        <v>0</v>
      </c>
      <c r="AL6941" s="32">
        <v>2.5</v>
      </c>
      <c r="AP6941" s="32">
        <v>2.5</v>
      </c>
      <c r="AQ6941" s="32" t="s">
        <v>1101</v>
      </c>
      <c r="AU6941">
        <v>6940</v>
      </c>
    </row>
    <row r="6942" spans="1:47" x14ac:dyDescent="0.2">
      <c r="A6942" s="26">
        <v>6870</v>
      </c>
      <c r="B6942" s="27">
        <v>0.60416666666666663</v>
      </c>
      <c r="C6942" s="28"/>
      <c r="D6942" s="29"/>
      <c r="E6942" s="30" t="s">
        <v>2964</v>
      </c>
      <c r="H6942" s="32">
        <v>0</v>
      </c>
      <c r="I6942" s="32" t="s">
        <v>7535</v>
      </c>
      <c r="AG6942" s="32">
        <v>0</v>
      </c>
      <c r="AH6942" s="32">
        <v>0</v>
      </c>
      <c r="AI6942" s="32">
        <v>0</v>
      </c>
      <c r="AK6942" s="32">
        <v>0</v>
      </c>
      <c r="AL6942" s="32">
        <f>(64+32+36)/60</f>
        <v>2.2000000000000002</v>
      </c>
      <c r="AP6942" s="32">
        <f>(64+32+36)/60</f>
        <v>2.2000000000000002</v>
      </c>
      <c r="AQ6942" s="32" t="s">
        <v>1101</v>
      </c>
      <c r="AU6942">
        <v>6941</v>
      </c>
    </row>
    <row r="6943" spans="1:47" x14ac:dyDescent="0.2">
      <c r="A6943" s="26">
        <v>6870</v>
      </c>
      <c r="B6943" s="27">
        <v>0.65208333333333335</v>
      </c>
      <c r="C6943" s="28"/>
      <c r="D6943" s="29"/>
      <c r="E6943" s="30" t="s">
        <v>3155</v>
      </c>
      <c r="H6943" s="32">
        <v>0</v>
      </c>
      <c r="I6943" s="32" t="s">
        <v>7536</v>
      </c>
      <c r="AG6943" s="32">
        <v>0</v>
      </c>
      <c r="AH6943" s="32">
        <v>0</v>
      </c>
      <c r="AI6943" s="32">
        <v>0</v>
      </c>
      <c r="AK6943" s="32">
        <v>0</v>
      </c>
      <c r="AP6943" s="32">
        <f>53/60</f>
        <v>0.8833333333333333</v>
      </c>
      <c r="AQ6943" s="32" t="s">
        <v>1101</v>
      </c>
      <c r="AU6943">
        <v>6942</v>
      </c>
    </row>
    <row r="6944" spans="1:47" x14ac:dyDescent="0.2">
      <c r="A6944" s="26">
        <v>6870</v>
      </c>
      <c r="B6944" s="27">
        <v>0.89583333333333337</v>
      </c>
      <c r="C6944" s="28"/>
      <c r="D6944" s="29"/>
      <c r="E6944" s="30" t="s">
        <v>2087</v>
      </c>
      <c r="H6944" s="32">
        <v>0</v>
      </c>
      <c r="I6944" s="32" t="s">
        <v>7537</v>
      </c>
      <c r="AG6944" s="32">
        <v>0</v>
      </c>
      <c r="AH6944" s="32">
        <v>0</v>
      </c>
      <c r="AI6944" s="32">
        <v>0</v>
      </c>
      <c r="AK6944" s="32">
        <v>0</v>
      </c>
      <c r="AL6944" s="32">
        <v>0</v>
      </c>
      <c r="AP6944" s="32">
        <v>1</v>
      </c>
      <c r="AQ6944" s="32" t="s">
        <v>1101</v>
      </c>
      <c r="AU6944">
        <v>6943</v>
      </c>
    </row>
    <row r="6945" spans="1:47" x14ac:dyDescent="0.2">
      <c r="A6945" s="26">
        <v>6870</v>
      </c>
      <c r="B6945" s="27" t="s">
        <v>45</v>
      </c>
      <c r="C6945" s="28"/>
      <c r="D6945" s="29"/>
      <c r="E6945" s="30" t="s">
        <v>1531</v>
      </c>
      <c r="H6945" s="32">
        <v>1</v>
      </c>
      <c r="I6945" s="32" t="s">
        <v>7538</v>
      </c>
      <c r="AM6945" s="32">
        <f>498*20</f>
        <v>9960</v>
      </c>
      <c r="AO6945" s="32" t="s">
        <v>1533</v>
      </c>
      <c r="AQ6945" s="32" t="s">
        <v>1101</v>
      </c>
      <c r="AU6945">
        <v>6944</v>
      </c>
    </row>
    <row r="6946" spans="1:47" x14ac:dyDescent="0.2">
      <c r="A6946" s="26">
        <v>6870</v>
      </c>
      <c r="B6946" s="27" t="s">
        <v>45</v>
      </c>
      <c r="C6946" s="28"/>
      <c r="D6946" s="29"/>
      <c r="E6946" s="150" t="s">
        <v>2286</v>
      </c>
      <c r="H6946" s="32">
        <v>0</v>
      </c>
      <c r="I6946" s="32" t="s">
        <v>1824</v>
      </c>
      <c r="AG6946" s="32">
        <v>0</v>
      </c>
      <c r="AH6946" s="32">
        <v>0</v>
      </c>
      <c r="AI6946" s="32">
        <v>0</v>
      </c>
      <c r="AK6946" s="32">
        <v>0</v>
      </c>
      <c r="AM6946" s="32">
        <v>3500</v>
      </c>
      <c r="AO6946" s="73" t="s">
        <v>75</v>
      </c>
      <c r="AQ6946" s="32" t="s">
        <v>589</v>
      </c>
      <c r="AU6946">
        <v>6945</v>
      </c>
    </row>
    <row r="6947" spans="1:47" x14ac:dyDescent="0.2">
      <c r="A6947" s="133">
        <v>6871</v>
      </c>
      <c r="B6947" s="39" t="s">
        <v>85</v>
      </c>
      <c r="C6947" s="39">
        <v>55</v>
      </c>
      <c r="D6947" s="29" t="b">
        <v>0</v>
      </c>
      <c r="E6947" s="39" t="s">
        <v>1168</v>
      </c>
      <c r="F6947" s="47" t="s">
        <v>2398</v>
      </c>
      <c r="G6947" s="47" t="s">
        <v>49</v>
      </c>
      <c r="H6947"/>
      <c r="I6947" s="47" t="b">
        <v>0</v>
      </c>
      <c r="J6947" s="47" t="b">
        <v>1</v>
      </c>
      <c r="K6947" s="47">
        <v>2264</v>
      </c>
      <c r="L6947" s="48">
        <v>12</v>
      </c>
      <c r="M6947" s="47">
        <v>0</v>
      </c>
      <c r="N6947" s="47">
        <v>1</v>
      </c>
      <c r="O6947" s="47">
        <v>0</v>
      </c>
      <c r="P6947" s="47">
        <v>0</v>
      </c>
      <c r="Q6947" s="47">
        <v>11</v>
      </c>
      <c r="R6947" s="47">
        <v>0</v>
      </c>
      <c r="S6947" s="48">
        <v>11</v>
      </c>
      <c r="T6947" s="47">
        <v>0</v>
      </c>
      <c r="U6947" s="47">
        <v>0</v>
      </c>
      <c r="V6947" s="47">
        <v>1</v>
      </c>
      <c r="W6947" s="47">
        <v>14500</v>
      </c>
      <c r="X6947" s="47">
        <v>1181</v>
      </c>
      <c r="Y6947" s="47" t="s">
        <v>51</v>
      </c>
      <c r="Z6947" s="47" t="s">
        <v>3618</v>
      </c>
      <c r="AA6947" s="49">
        <v>0.43402777777777773</v>
      </c>
      <c r="AB6947" s="49">
        <v>0.53819444444444442</v>
      </c>
      <c r="AC6947" s="49">
        <v>0.50694444444444442</v>
      </c>
      <c r="AD6947" s="50">
        <f>(AB6947-AA6947)*24</f>
        <v>2.5000000000000004</v>
      </c>
      <c r="AE6947" s="47" t="s">
        <v>5433</v>
      </c>
      <c r="AF6947" s="47">
        <v>55</v>
      </c>
      <c r="AG6947"/>
      <c r="AH6947"/>
      <c r="AI6947"/>
      <c r="AJ6947"/>
      <c r="AK6947">
        <v>16</v>
      </c>
      <c r="AL6947"/>
      <c r="AM6947"/>
      <c r="AN6947"/>
      <c r="AO6947"/>
      <c r="AP6947"/>
      <c r="AQ6947" t="s">
        <v>5434</v>
      </c>
      <c r="AU6947">
        <v>6946</v>
      </c>
    </row>
    <row r="6948" spans="1:47" x14ac:dyDescent="0.2">
      <c r="A6948" s="133">
        <v>6871</v>
      </c>
      <c r="B6948" s="39" t="s">
        <v>85</v>
      </c>
      <c r="C6948" s="39">
        <v>99</v>
      </c>
      <c r="D6948" s="29" t="b">
        <v>0</v>
      </c>
      <c r="E6948" s="39" t="s">
        <v>1168</v>
      </c>
      <c r="F6948" s="47" t="s">
        <v>2398</v>
      </c>
      <c r="G6948" s="47" t="s">
        <v>49</v>
      </c>
      <c r="H6948"/>
      <c r="I6948" s="47" t="b">
        <v>0</v>
      </c>
      <c r="J6948" s="47" t="b">
        <v>1</v>
      </c>
      <c r="K6948" s="47">
        <v>2500</v>
      </c>
      <c r="L6948" s="48">
        <v>12</v>
      </c>
      <c r="M6948" s="47">
        <v>0</v>
      </c>
      <c r="N6948" s="47">
        <v>1</v>
      </c>
      <c r="O6948" s="47">
        <v>0</v>
      </c>
      <c r="P6948" s="47">
        <v>0</v>
      </c>
      <c r="Q6948" s="47">
        <v>0</v>
      </c>
      <c r="R6948" s="47">
        <v>0</v>
      </c>
      <c r="S6948" s="48">
        <v>11</v>
      </c>
      <c r="T6948" s="47">
        <v>0</v>
      </c>
      <c r="U6948" s="47">
        <v>0</v>
      </c>
      <c r="V6948" s="47">
        <v>1</v>
      </c>
      <c r="W6948" s="47">
        <v>12000</v>
      </c>
      <c r="X6948" s="47">
        <v>1180</v>
      </c>
      <c r="Y6948" s="47" t="s">
        <v>120</v>
      </c>
      <c r="Z6948" s="47" t="s">
        <v>5139</v>
      </c>
      <c r="AA6948" s="49">
        <v>0.4375</v>
      </c>
      <c r="AB6948" s="49">
        <v>0.53472222222222221</v>
      </c>
      <c r="AC6948" s="49">
        <v>0.50138888888888888</v>
      </c>
      <c r="AD6948" s="50">
        <f>(AB6948-AA6948)*24</f>
        <v>2.333333333333333</v>
      </c>
      <c r="AE6948" s="47" t="s">
        <v>5433</v>
      </c>
      <c r="AF6948" s="47">
        <v>55</v>
      </c>
      <c r="AG6948"/>
      <c r="AH6948"/>
      <c r="AI6948"/>
      <c r="AJ6948"/>
      <c r="AK6948">
        <v>16</v>
      </c>
      <c r="AL6948"/>
      <c r="AM6948"/>
      <c r="AN6948"/>
      <c r="AO6948"/>
      <c r="AP6948"/>
      <c r="AQ6948" t="s">
        <v>2526</v>
      </c>
      <c r="AU6948">
        <v>6947</v>
      </c>
    </row>
    <row r="6949" spans="1:47" x14ac:dyDescent="0.2">
      <c r="A6949" s="133">
        <v>6871</v>
      </c>
      <c r="B6949" s="39" t="s">
        <v>85</v>
      </c>
      <c r="C6949" s="39">
        <v>104</v>
      </c>
      <c r="D6949" s="29" t="b">
        <v>0</v>
      </c>
      <c r="E6949" s="39" t="s">
        <v>1168</v>
      </c>
      <c r="F6949" s="47" t="s">
        <v>2398</v>
      </c>
      <c r="G6949" s="47" t="s">
        <v>49</v>
      </c>
      <c r="H6949"/>
      <c r="I6949" s="47" t="b">
        <v>0</v>
      </c>
      <c r="J6949" s="47" t="b">
        <v>1</v>
      </c>
      <c r="K6949" s="47">
        <v>2494</v>
      </c>
      <c r="L6949" s="48">
        <v>12</v>
      </c>
      <c r="M6949" s="47">
        <v>0</v>
      </c>
      <c r="N6949" s="47">
        <v>1</v>
      </c>
      <c r="O6949" s="47">
        <v>0</v>
      </c>
      <c r="P6949" s="47">
        <v>0</v>
      </c>
      <c r="Q6949" s="47">
        <v>0</v>
      </c>
      <c r="R6949" s="47">
        <v>0</v>
      </c>
      <c r="S6949" s="48">
        <v>11</v>
      </c>
      <c r="T6949" s="47">
        <v>1</v>
      </c>
      <c r="U6949" s="47">
        <v>0</v>
      </c>
      <c r="V6949" s="47">
        <v>0</v>
      </c>
      <c r="W6949" s="47">
        <v>11500</v>
      </c>
      <c r="X6949" s="47">
        <v>1179</v>
      </c>
      <c r="Y6949" s="47" t="s">
        <v>120</v>
      </c>
      <c r="Z6949" s="47" t="s">
        <v>5139</v>
      </c>
      <c r="AA6949" s="49">
        <v>0.4375</v>
      </c>
      <c r="AB6949" s="49">
        <v>0.52430555555555558</v>
      </c>
      <c r="AC6949" s="49">
        <v>0.50347222222222221</v>
      </c>
      <c r="AD6949" s="50">
        <f>(AB6949-AA6949)*24</f>
        <v>2.0833333333333339</v>
      </c>
      <c r="AE6949" s="47" t="s">
        <v>5433</v>
      </c>
      <c r="AF6949" s="47">
        <v>55</v>
      </c>
      <c r="AG6949"/>
      <c r="AH6949"/>
      <c r="AI6949"/>
      <c r="AJ6949"/>
      <c r="AK6949">
        <v>17</v>
      </c>
      <c r="AL6949"/>
      <c r="AM6949"/>
      <c r="AN6949"/>
      <c r="AO6949"/>
      <c r="AP6949"/>
      <c r="AQ6949" t="s">
        <v>5485</v>
      </c>
      <c r="AU6949">
        <v>6948</v>
      </c>
    </row>
    <row r="6950" spans="1:47" x14ac:dyDescent="0.2">
      <c r="A6950" s="133">
        <v>6871</v>
      </c>
      <c r="B6950" s="39" t="s">
        <v>85</v>
      </c>
      <c r="C6950" s="39" t="s">
        <v>6990</v>
      </c>
      <c r="D6950" s="29"/>
      <c r="E6950" s="39" t="s">
        <v>3106</v>
      </c>
      <c r="F6950" s="47"/>
      <c r="G6950" s="47"/>
      <c r="H6950"/>
      <c r="I6950" s="47" t="s">
        <v>7539</v>
      </c>
      <c r="J6950" s="47"/>
      <c r="K6950" s="47">
        <f>16*50*2.2</f>
        <v>1760.0000000000002</v>
      </c>
      <c r="L6950" s="48"/>
      <c r="M6950" s="47"/>
      <c r="N6950" s="47"/>
      <c r="O6950" s="47"/>
      <c r="P6950" s="47"/>
      <c r="Q6950" s="47"/>
      <c r="R6950" s="47"/>
      <c r="S6950" s="48"/>
      <c r="T6950" s="47"/>
      <c r="U6950" s="47"/>
      <c r="V6950" s="47"/>
      <c r="W6950" s="47"/>
      <c r="X6950" s="47"/>
      <c r="Y6950" s="47"/>
      <c r="Z6950" s="47" t="s">
        <v>3618</v>
      </c>
      <c r="AA6950" s="49"/>
      <c r="AB6950" s="49"/>
      <c r="AC6950" s="49"/>
      <c r="AD6950" s="50"/>
      <c r="AE6950" s="47" t="s">
        <v>2743</v>
      </c>
      <c r="AF6950" s="47">
        <v>85</v>
      </c>
      <c r="AG6950"/>
      <c r="AH6950"/>
      <c r="AI6950"/>
      <c r="AJ6950"/>
      <c r="AK6950"/>
      <c r="AL6950"/>
      <c r="AM6950"/>
      <c r="AN6950"/>
      <c r="AO6950"/>
      <c r="AP6950"/>
      <c r="AQ6950"/>
      <c r="AU6950">
        <v>6949</v>
      </c>
    </row>
    <row r="6951" spans="1:47" x14ac:dyDescent="0.2">
      <c r="A6951" s="133">
        <v>6871</v>
      </c>
      <c r="B6951" s="39" t="s">
        <v>85</v>
      </c>
      <c r="C6951" s="39" t="s">
        <v>6997</v>
      </c>
      <c r="D6951" s="29"/>
      <c r="E6951" s="39" t="s">
        <v>3106</v>
      </c>
      <c r="F6951" s="47"/>
      <c r="G6951" s="47"/>
      <c r="H6951"/>
      <c r="I6951" s="47" t="s">
        <v>7540</v>
      </c>
      <c r="J6951" s="47"/>
      <c r="K6951" s="47"/>
      <c r="L6951" s="48">
        <v>12</v>
      </c>
      <c r="M6951" s="47"/>
      <c r="N6951" s="47"/>
      <c r="O6951" s="47"/>
      <c r="P6951" s="47"/>
      <c r="Q6951" s="47"/>
      <c r="R6951" s="47"/>
      <c r="S6951" s="48">
        <v>11</v>
      </c>
      <c r="T6951" s="47">
        <v>1</v>
      </c>
      <c r="U6951" s="47"/>
      <c r="V6951" s="47"/>
      <c r="W6951" s="47">
        <v>13000</v>
      </c>
      <c r="X6951" s="47"/>
      <c r="Y6951" s="47" t="s">
        <v>51</v>
      </c>
      <c r="Z6951" s="47" t="s">
        <v>3618</v>
      </c>
      <c r="AA6951" s="49">
        <v>0.3576388888888889</v>
      </c>
      <c r="AB6951" s="49">
        <v>0.44097222222222227</v>
      </c>
      <c r="AC6951" s="49">
        <f>AVERAGE(AA6951:AB6951)</f>
        <v>0.39930555555555558</v>
      </c>
      <c r="AD6951" s="50">
        <f>(AB6951-AA6951)*24</f>
        <v>2.0000000000000009</v>
      </c>
      <c r="AE6951" s="47" t="s">
        <v>2743</v>
      </c>
      <c r="AF6951" s="47">
        <v>85</v>
      </c>
      <c r="AG6951"/>
      <c r="AH6951"/>
      <c r="AI6951"/>
      <c r="AJ6951"/>
      <c r="AK6951" s="32">
        <v>150</v>
      </c>
      <c r="AL6951"/>
      <c r="AM6951"/>
      <c r="AN6951"/>
      <c r="AO6951"/>
      <c r="AP6951"/>
      <c r="AQ6951" t="s">
        <v>7167</v>
      </c>
      <c r="AU6951">
        <v>6950</v>
      </c>
    </row>
    <row r="6952" spans="1:47" x14ac:dyDescent="0.2">
      <c r="A6952" s="133">
        <v>6871</v>
      </c>
      <c r="B6952" s="39" t="s">
        <v>85</v>
      </c>
      <c r="C6952" s="39" t="s">
        <v>5533</v>
      </c>
      <c r="D6952" s="29"/>
      <c r="E6952" s="39" t="s">
        <v>7541</v>
      </c>
      <c r="F6952" s="47" t="s">
        <v>7542</v>
      </c>
      <c r="G6952" s="47" t="s">
        <v>69</v>
      </c>
      <c r="H6952"/>
      <c r="I6952" s="47" t="s">
        <v>206</v>
      </c>
      <c r="J6952" s="47"/>
      <c r="K6952" s="47"/>
      <c r="L6952" s="48">
        <v>7</v>
      </c>
      <c r="M6952" s="47"/>
      <c r="N6952" s="47"/>
      <c r="O6952" s="47"/>
      <c r="P6952" s="47"/>
      <c r="Q6952" s="47"/>
      <c r="R6952" s="47"/>
      <c r="S6952" s="48"/>
      <c r="T6952" s="47"/>
      <c r="U6952" s="47"/>
      <c r="V6952" s="47"/>
      <c r="W6952" s="47"/>
      <c r="X6952" s="47"/>
      <c r="Y6952" s="47"/>
      <c r="Z6952" s="31" t="s">
        <v>3724</v>
      </c>
      <c r="AA6952" s="49"/>
      <c r="AB6952" s="49"/>
      <c r="AC6952" s="49"/>
      <c r="AD6952" s="50"/>
      <c r="AE6952" s="47" t="s">
        <v>2743</v>
      </c>
      <c r="AF6952" s="47">
        <v>85</v>
      </c>
      <c r="AG6952"/>
      <c r="AH6952"/>
      <c r="AI6952"/>
      <c r="AJ6952"/>
      <c r="AK6952"/>
      <c r="AL6952"/>
      <c r="AM6952"/>
      <c r="AN6952"/>
      <c r="AO6952"/>
      <c r="AP6952"/>
      <c r="AQ6952"/>
      <c r="AU6952">
        <v>6951</v>
      </c>
    </row>
    <row r="6953" spans="1:47" x14ac:dyDescent="0.2">
      <c r="A6953" s="133">
        <v>6871</v>
      </c>
      <c r="B6953" s="39" t="s">
        <v>85</v>
      </c>
      <c r="C6953" s="39" t="s">
        <v>6997</v>
      </c>
      <c r="D6953" s="29"/>
      <c r="E6953" s="39" t="s">
        <v>7543</v>
      </c>
      <c r="F6953" s="47" t="s">
        <v>7544</v>
      </c>
      <c r="G6953" s="47" t="s">
        <v>69</v>
      </c>
      <c r="H6953"/>
      <c r="I6953" s="47" t="s">
        <v>206</v>
      </c>
      <c r="J6953" s="47"/>
      <c r="K6953" s="47"/>
      <c r="L6953" s="48">
        <v>10</v>
      </c>
      <c r="M6953" s="47"/>
      <c r="N6953" s="47"/>
      <c r="O6953" s="47"/>
      <c r="P6953" s="47"/>
      <c r="Q6953" s="47"/>
      <c r="R6953" s="47"/>
      <c r="S6953" s="48">
        <v>8</v>
      </c>
      <c r="T6953" s="47">
        <v>1</v>
      </c>
      <c r="U6953" s="47"/>
      <c r="V6953" s="47">
        <v>1</v>
      </c>
      <c r="W6953" s="47">
        <v>13000</v>
      </c>
      <c r="X6953" s="47"/>
      <c r="Y6953" s="47" t="s">
        <v>120</v>
      </c>
      <c r="Z6953" s="47" t="s">
        <v>3618</v>
      </c>
      <c r="AA6953" s="49">
        <v>0.59027777777777779</v>
      </c>
      <c r="AB6953" s="49">
        <v>0.66666666666666663</v>
      </c>
      <c r="AC6953" s="49">
        <v>0.64236111111111105</v>
      </c>
      <c r="AD6953" s="50">
        <f>(AB6953-AA6953)*24</f>
        <v>1.8333333333333321</v>
      </c>
      <c r="AE6953" s="47" t="s">
        <v>2743</v>
      </c>
      <c r="AF6953" s="47">
        <v>85</v>
      </c>
      <c r="AG6953"/>
      <c r="AH6953"/>
      <c r="AI6953"/>
      <c r="AJ6953"/>
      <c r="AK6953" s="32">
        <v>16</v>
      </c>
      <c r="AL6953"/>
      <c r="AM6953"/>
      <c r="AN6953"/>
      <c r="AO6953"/>
      <c r="AP6953"/>
      <c r="AQ6953" t="s">
        <v>7545</v>
      </c>
      <c r="AU6953">
        <v>6952</v>
      </c>
    </row>
    <row r="6954" spans="1:47" x14ac:dyDescent="0.2">
      <c r="A6954" s="133">
        <v>6871</v>
      </c>
      <c r="B6954" s="39" t="s">
        <v>85</v>
      </c>
      <c r="C6954" s="39" t="s">
        <v>7546</v>
      </c>
      <c r="D6954" s="29"/>
      <c r="E6954" s="39" t="s">
        <v>7547</v>
      </c>
      <c r="F6954" s="47" t="s">
        <v>7542</v>
      </c>
      <c r="G6954" s="47"/>
      <c r="H6954"/>
      <c r="I6954" s="47" t="s">
        <v>7548</v>
      </c>
      <c r="J6954" s="47"/>
      <c r="K6954" s="47"/>
      <c r="L6954" s="48"/>
      <c r="M6954" s="47"/>
      <c r="N6954" s="47"/>
      <c r="O6954" s="47"/>
      <c r="P6954" s="47"/>
      <c r="Q6954" s="47"/>
      <c r="R6954" s="47"/>
      <c r="S6954" s="48"/>
      <c r="T6954" s="47"/>
      <c r="U6954" s="47"/>
      <c r="V6954" s="47"/>
      <c r="W6954" s="47"/>
      <c r="X6954" s="47"/>
      <c r="Y6954" s="47"/>
      <c r="Z6954" s="47" t="s">
        <v>3618</v>
      </c>
      <c r="AA6954" s="49"/>
      <c r="AB6954" s="49"/>
      <c r="AC6954" s="49"/>
      <c r="AD6954" s="50"/>
      <c r="AE6954" s="47" t="s">
        <v>2743</v>
      </c>
      <c r="AF6954" s="47">
        <v>85</v>
      </c>
      <c r="AG6954"/>
      <c r="AH6954"/>
      <c r="AI6954"/>
      <c r="AJ6954"/>
      <c r="AK6954"/>
      <c r="AL6954"/>
      <c r="AM6954"/>
      <c r="AN6954"/>
      <c r="AO6954"/>
      <c r="AP6954"/>
      <c r="AQ6954"/>
      <c r="AU6954">
        <v>6953</v>
      </c>
    </row>
    <row r="6955" spans="1:47" x14ac:dyDescent="0.2">
      <c r="A6955" s="133">
        <v>6871</v>
      </c>
      <c r="B6955" s="39" t="s">
        <v>45</v>
      </c>
      <c r="C6955" s="39">
        <v>97</v>
      </c>
      <c r="D6955" s="29" t="b">
        <v>0</v>
      </c>
      <c r="E6955" s="39" t="s">
        <v>7549</v>
      </c>
      <c r="F6955" s="47" t="s">
        <v>529</v>
      </c>
      <c r="G6955" s="47" t="s">
        <v>205</v>
      </c>
      <c r="H6955"/>
      <c r="I6955" s="47" t="b">
        <v>0</v>
      </c>
      <c r="J6955" s="47" t="b">
        <v>1</v>
      </c>
      <c r="K6955" s="47">
        <v>1750</v>
      </c>
      <c r="L6955" s="48">
        <v>6</v>
      </c>
      <c r="M6955" s="47">
        <v>5</v>
      </c>
      <c r="N6955" s="47">
        <v>0</v>
      </c>
      <c r="O6955" s="47">
        <v>0</v>
      </c>
      <c r="P6955" s="47">
        <v>1</v>
      </c>
      <c r="Q6955" s="47">
        <v>0</v>
      </c>
      <c r="R6955" s="47">
        <v>0</v>
      </c>
      <c r="S6955" s="48">
        <v>1</v>
      </c>
      <c r="T6955" s="47">
        <v>0</v>
      </c>
      <c r="U6955" s="47">
        <v>0</v>
      </c>
      <c r="V6955" s="47">
        <v>0</v>
      </c>
      <c r="W6955" s="47">
        <v>4500</v>
      </c>
      <c r="X6955" s="47">
        <v>1178</v>
      </c>
      <c r="Y6955" s="47"/>
      <c r="Z6955" s="47" t="s">
        <v>2466</v>
      </c>
      <c r="AA6955" s="49"/>
      <c r="AB6955" s="49"/>
      <c r="AC6955" s="49"/>
      <c r="AD6955" s="50"/>
      <c r="AE6955" s="47"/>
      <c r="AF6955" s="47"/>
      <c r="AG6955"/>
      <c r="AH6955"/>
      <c r="AI6955"/>
      <c r="AJ6955"/>
      <c r="AK6955"/>
      <c r="AL6955"/>
      <c r="AM6955"/>
      <c r="AN6955"/>
      <c r="AO6955"/>
      <c r="AP6955"/>
      <c r="AQ6955" t="s">
        <v>2526</v>
      </c>
      <c r="AU6955">
        <v>6954</v>
      </c>
    </row>
    <row r="6956" spans="1:47" x14ac:dyDescent="0.2">
      <c r="A6956" s="133">
        <v>6871</v>
      </c>
      <c r="B6956" s="39" t="s">
        <v>45</v>
      </c>
      <c r="C6956" s="39">
        <v>100</v>
      </c>
      <c r="D6956" s="29" t="b">
        <v>0</v>
      </c>
      <c r="E6956" s="39" t="s">
        <v>7550</v>
      </c>
      <c r="F6956" s="47" t="s">
        <v>7551</v>
      </c>
      <c r="G6956" s="47" t="s">
        <v>49</v>
      </c>
      <c r="H6956"/>
      <c r="I6956" s="47" t="b">
        <v>1</v>
      </c>
      <c r="J6956" s="47" t="b">
        <v>1</v>
      </c>
      <c r="K6956" s="47">
        <v>6680</v>
      </c>
      <c r="L6956" s="48">
        <v>6</v>
      </c>
      <c r="M6956" s="47">
        <v>2</v>
      </c>
      <c r="N6956" s="47">
        <v>0</v>
      </c>
      <c r="O6956" s="47">
        <v>0</v>
      </c>
      <c r="P6956" s="47">
        <v>4</v>
      </c>
      <c r="Q6956" s="47">
        <v>0</v>
      </c>
      <c r="R6956" s="47">
        <v>0</v>
      </c>
      <c r="S6956" s="48">
        <v>4</v>
      </c>
      <c r="T6956" s="47">
        <v>0</v>
      </c>
      <c r="U6956" s="47">
        <v>0</v>
      </c>
      <c r="V6956" s="47">
        <v>0</v>
      </c>
      <c r="W6956" s="47">
        <v>4750</v>
      </c>
      <c r="X6956" s="47">
        <v>1177</v>
      </c>
      <c r="Y6956" s="47"/>
      <c r="Z6956" s="47" t="s">
        <v>2466</v>
      </c>
      <c r="AA6956" s="49"/>
      <c r="AB6956" s="49"/>
      <c r="AC6956" s="49"/>
      <c r="AD6956" s="50"/>
      <c r="AE6956" s="47" t="s">
        <v>6445</v>
      </c>
      <c r="AF6956" s="47">
        <v>95</v>
      </c>
      <c r="AG6956"/>
      <c r="AH6956"/>
      <c r="AI6956"/>
      <c r="AJ6956"/>
      <c r="AK6956"/>
      <c r="AL6956"/>
      <c r="AM6956"/>
      <c r="AN6956"/>
      <c r="AO6956"/>
      <c r="AP6956"/>
      <c r="AQ6956" t="s">
        <v>2526</v>
      </c>
      <c r="AU6956">
        <v>6955</v>
      </c>
    </row>
    <row r="6957" spans="1:47" x14ac:dyDescent="0.2">
      <c r="A6957" s="133">
        <v>6871</v>
      </c>
      <c r="B6957" s="39" t="s">
        <v>45</v>
      </c>
      <c r="C6957" s="39">
        <v>100</v>
      </c>
      <c r="D6957" s="29" t="b">
        <v>0</v>
      </c>
      <c r="E6957" s="39" t="s">
        <v>364</v>
      </c>
      <c r="F6957" s="47" t="s">
        <v>2398</v>
      </c>
      <c r="G6957" s="47" t="s">
        <v>49</v>
      </c>
      <c r="H6957"/>
      <c r="I6957" s="47" t="b">
        <v>0</v>
      </c>
      <c r="J6957" s="47" t="b">
        <v>0</v>
      </c>
      <c r="K6957" s="47">
        <v>1792</v>
      </c>
      <c r="L6957" s="48">
        <v>6</v>
      </c>
      <c r="M6957" s="47">
        <v>2</v>
      </c>
      <c r="N6957" s="47">
        <v>0</v>
      </c>
      <c r="O6957" s="47">
        <v>0</v>
      </c>
      <c r="P6957" s="47">
        <v>4</v>
      </c>
      <c r="Q6957" s="47">
        <v>0</v>
      </c>
      <c r="R6957" s="47">
        <v>0</v>
      </c>
      <c r="S6957" s="48">
        <v>1</v>
      </c>
      <c r="T6957" s="47">
        <v>0</v>
      </c>
      <c r="U6957" s="47">
        <v>0</v>
      </c>
      <c r="V6957" s="47">
        <v>0</v>
      </c>
      <c r="W6957" s="47">
        <v>4000</v>
      </c>
      <c r="X6957" s="47">
        <v>1174</v>
      </c>
      <c r="Y6957" s="47"/>
      <c r="Z6957" s="47" t="s">
        <v>2466</v>
      </c>
      <c r="AA6957" s="49"/>
      <c r="AB6957" s="49"/>
      <c r="AC6957" s="49"/>
      <c r="AD6957" s="50"/>
      <c r="AE6957" s="47" t="s">
        <v>6445</v>
      </c>
      <c r="AF6957" s="47">
        <v>80</v>
      </c>
      <c r="AG6957"/>
      <c r="AH6957"/>
      <c r="AI6957"/>
      <c r="AJ6957"/>
      <c r="AK6957"/>
      <c r="AL6957"/>
      <c r="AM6957"/>
      <c r="AN6957"/>
      <c r="AO6957"/>
      <c r="AP6957"/>
      <c r="AQ6957" t="s">
        <v>2526</v>
      </c>
      <c r="AU6957">
        <v>6956</v>
      </c>
    </row>
    <row r="6958" spans="1:47" x14ac:dyDescent="0.2">
      <c r="A6958" s="133">
        <v>6871</v>
      </c>
      <c r="B6958" s="39" t="s">
        <v>45</v>
      </c>
      <c r="C6958" s="39">
        <v>100</v>
      </c>
      <c r="D6958" s="29" t="b">
        <v>0</v>
      </c>
      <c r="E6958" s="39" t="s">
        <v>858</v>
      </c>
      <c r="F6958" s="47" t="s">
        <v>7552</v>
      </c>
      <c r="G6958" s="47" t="s">
        <v>481</v>
      </c>
      <c r="H6958"/>
      <c r="I6958" s="47" t="b">
        <v>0</v>
      </c>
      <c r="J6958" s="47" t="b">
        <v>0</v>
      </c>
      <c r="K6958" s="47">
        <v>1792</v>
      </c>
      <c r="L6958" s="48">
        <v>6</v>
      </c>
      <c r="M6958" s="47">
        <v>2</v>
      </c>
      <c r="N6958" s="47">
        <v>0</v>
      </c>
      <c r="O6958" s="47">
        <v>0</v>
      </c>
      <c r="P6958" s="47">
        <v>4</v>
      </c>
      <c r="Q6958" s="47">
        <v>0</v>
      </c>
      <c r="R6958" s="47">
        <v>0</v>
      </c>
      <c r="S6958" s="48">
        <v>1</v>
      </c>
      <c r="T6958" s="47">
        <v>0</v>
      </c>
      <c r="U6958" s="47">
        <v>0</v>
      </c>
      <c r="V6958" s="47">
        <v>0</v>
      </c>
      <c r="W6958" s="47">
        <v>4000</v>
      </c>
      <c r="X6958" s="47">
        <v>1175</v>
      </c>
      <c r="Y6958" s="47"/>
      <c r="Z6958" s="47" t="s">
        <v>2466</v>
      </c>
      <c r="AA6958" s="49"/>
      <c r="AB6958" s="49"/>
      <c r="AC6958" s="49"/>
      <c r="AD6958" s="50"/>
      <c r="AE6958" s="47" t="s">
        <v>6445</v>
      </c>
      <c r="AF6958" s="47">
        <v>95</v>
      </c>
      <c r="AG6958"/>
      <c r="AH6958"/>
      <c r="AI6958"/>
      <c r="AJ6958"/>
      <c r="AK6958"/>
      <c r="AL6958"/>
      <c r="AM6958"/>
      <c r="AN6958"/>
      <c r="AO6958"/>
      <c r="AP6958"/>
      <c r="AQ6958" t="s">
        <v>2526</v>
      </c>
      <c r="AU6958">
        <v>6957</v>
      </c>
    </row>
    <row r="6959" spans="1:47" x14ac:dyDescent="0.2">
      <c r="A6959" s="133">
        <v>6871</v>
      </c>
      <c r="B6959" s="39" t="s">
        <v>45</v>
      </c>
      <c r="C6959" s="39">
        <v>100</v>
      </c>
      <c r="D6959" s="29" t="b">
        <v>0</v>
      </c>
      <c r="E6959" s="39" t="s">
        <v>858</v>
      </c>
      <c r="F6959" s="47" t="s">
        <v>2398</v>
      </c>
      <c r="G6959" s="47" t="s">
        <v>49</v>
      </c>
      <c r="H6959"/>
      <c r="I6959" s="47" t="b">
        <v>0</v>
      </c>
      <c r="J6959" s="47" t="b">
        <v>0</v>
      </c>
      <c r="K6959" s="47">
        <v>3096</v>
      </c>
      <c r="L6959" s="48">
        <v>6</v>
      </c>
      <c r="M6959" s="47">
        <v>2</v>
      </c>
      <c r="N6959" s="47">
        <v>0</v>
      </c>
      <c r="O6959" s="47">
        <v>0</v>
      </c>
      <c r="P6959" s="47">
        <v>4</v>
      </c>
      <c r="Q6959" s="47">
        <v>0</v>
      </c>
      <c r="R6959" s="47">
        <v>0</v>
      </c>
      <c r="S6959" s="48">
        <v>2</v>
      </c>
      <c r="T6959" s="47">
        <v>0</v>
      </c>
      <c r="U6959" s="47">
        <v>0</v>
      </c>
      <c r="V6959" s="47">
        <v>0</v>
      </c>
      <c r="W6959" s="47">
        <v>5500</v>
      </c>
      <c r="X6959" s="47">
        <v>1176</v>
      </c>
      <c r="Y6959" s="47"/>
      <c r="Z6959" s="47" t="s">
        <v>2466</v>
      </c>
      <c r="AA6959" s="49"/>
      <c r="AB6959" s="49"/>
      <c r="AC6959" s="49"/>
      <c r="AD6959" s="50"/>
      <c r="AE6959" s="47" t="s">
        <v>6445</v>
      </c>
      <c r="AF6959" s="47">
        <v>95</v>
      </c>
      <c r="AG6959"/>
      <c r="AH6959"/>
      <c r="AI6959"/>
      <c r="AJ6959"/>
      <c r="AK6959"/>
      <c r="AL6959"/>
      <c r="AM6959"/>
      <c r="AN6959"/>
      <c r="AO6959"/>
      <c r="AP6959"/>
      <c r="AQ6959" t="s">
        <v>2526</v>
      </c>
      <c r="AU6959">
        <v>6958</v>
      </c>
    </row>
    <row r="6960" spans="1:47" x14ac:dyDescent="0.2">
      <c r="A6960" s="133">
        <v>6871</v>
      </c>
      <c r="B6960" s="39" t="s">
        <v>45</v>
      </c>
      <c r="C6960" s="39">
        <v>215</v>
      </c>
      <c r="D6960" s="29" t="b">
        <v>0</v>
      </c>
      <c r="E6960" s="39" t="s">
        <v>7553</v>
      </c>
      <c r="F6960" s="47" t="s">
        <v>5806</v>
      </c>
      <c r="G6960" s="47" t="s">
        <v>49</v>
      </c>
      <c r="H6960"/>
      <c r="I6960" s="47" t="b">
        <v>1</v>
      </c>
      <c r="J6960" s="47" t="b">
        <v>1</v>
      </c>
      <c r="K6960" s="47">
        <v>8208</v>
      </c>
      <c r="L6960" s="48">
        <v>6</v>
      </c>
      <c r="M6960" s="47">
        <v>0</v>
      </c>
      <c r="N6960" s="47">
        <v>2</v>
      </c>
      <c r="O6960" s="47">
        <v>0</v>
      </c>
      <c r="P6960" s="47">
        <v>0</v>
      </c>
      <c r="Q6960" s="47">
        <v>0</v>
      </c>
      <c r="R6960" s="47">
        <v>0</v>
      </c>
      <c r="S6960" s="48">
        <v>4</v>
      </c>
      <c r="T6960" s="47">
        <v>0</v>
      </c>
      <c r="U6960" s="47">
        <v>0</v>
      </c>
      <c r="V6960" s="47">
        <v>0</v>
      </c>
      <c r="W6960" s="47">
        <v>5500</v>
      </c>
      <c r="X6960" s="47">
        <v>1173</v>
      </c>
      <c r="Y6960" s="47"/>
      <c r="Z6960" s="47" t="s">
        <v>2466</v>
      </c>
      <c r="AA6960" s="49"/>
      <c r="AB6960" s="49"/>
      <c r="AC6960" s="49"/>
      <c r="AD6960" s="50"/>
      <c r="AE6960" s="47"/>
      <c r="AF6960" s="47"/>
      <c r="AG6960"/>
      <c r="AH6960"/>
      <c r="AI6960"/>
      <c r="AJ6960"/>
      <c r="AK6960"/>
      <c r="AL6960"/>
      <c r="AM6960"/>
      <c r="AN6960"/>
      <c r="AO6960"/>
      <c r="AP6960"/>
      <c r="AQ6960" t="s">
        <v>2526</v>
      </c>
      <c r="AU6960">
        <v>6959</v>
      </c>
    </row>
    <row r="6961" spans="1:47" x14ac:dyDescent="0.2">
      <c r="A6961" s="133">
        <v>6871</v>
      </c>
      <c r="B6961" s="39" t="s">
        <v>45</v>
      </c>
      <c r="C6961" s="39">
        <v>215</v>
      </c>
      <c r="D6961" s="29" t="b">
        <v>0</v>
      </c>
      <c r="E6961" s="39" t="s">
        <v>858</v>
      </c>
      <c r="F6961" s="47" t="s">
        <v>76</v>
      </c>
      <c r="G6961" s="47" t="s">
        <v>49</v>
      </c>
      <c r="H6961"/>
      <c r="I6961" s="47" t="b">
        <v>0</v>
      </c>
      <c r="J6961" s="47" t="b">
        <v>0</v>
      </c>
      <c r="K6961" s="47">
        <v>4460</v>
      </c>
      <c r="L6961" s="48">
        <v>6</v>
      </c>
      <c r="M6961" s="47">
        <v>0</v>
      </c>
      <c r="N6961" s="47">
        <v>2</v>
      </c>
      <c r="O6961" s="47">
        <v>0</v>
      </c>
      <c r="P6961" s="47">
        <v>0</v>
      </c>
      <c r="Q6961" s="47">
        <v>0</v>
      </c>
      <c r="R6961" s="47">
        <v>0</v>
      </c>
      <c r="S6961" s="48">
        <v>2</v>
      </c>
      <c r="T6961" s="47">
        <v>0</v>
      </c>
      <c r="U6961" s="47">
        <v>0</v>
      </c>
      <c r="V6961" s="47">
        <v>0</v>
      </c>
      <c r="W6961" s="47">
        <v>4000</v>
      </c>
      <c r="X6961" s="47">
        <v>1171</v>
      </c>
      <c r="Y6961" s="47"/>
      <c r="Z6961" s="47" t="s">
        <v>2466</v>
      </c>
      <c r="AA6961" s="49"/>
      <c r="AB6961" s="49"/>
      <c r="AC6961" s="49"/>
      <c r="AD6961" s="50"/>
      <c r="AE6961" s="47"/>
      <c r="AF6961" s="47"/>
      <c r="AG6961"/>
      <c r="AH6961"/>
      <c r="AI6961"/>
      <c r="AJ6961"/>
      <c r="AK6961"/>
      <c r="AL6961"/>
      <c r="AM6961"/>
      <c r="AN6961"/>
      <c r="AO6961"/>
      <c r="AP6961"/>
      <c r="AQ6961" t="s">
        <v>2526</v>
      </c>
      <c r="AU6961">
        <v>6960</v>
      </c>
    </row>
    <row r="6962" spans="1:47" x14ac:dyDescent="0.2">
      <c r="A6962" s="133">
        <v>6871</v>
      </c>
      <c r="B6962" s="39" t="s">
        <v>45</v>
      </c>
      <c r="C6962" s="39">
        <v>215</v>
      </c>
      <c r="D6962" s="29" t="b">
        <v>0</v>
      </c>
      <c r="E6962" s="39" t="s">
        <v>3737</v>
      </c>
      <c r="F6962" s="47" t="s">
        <v>1743</v>
      </c>
      <c r="G6962" s="47" t="s">
        <v>49</v>
      </c>
      <c r="H6962"/>
      <c r="I6962" s="47" t="b">
        <v>0</v>
      </c>
      <c r="J6962" s="47" t="b">
        <v>0</v>
      </c>
      <c r="K6962" s="47">
        <v>3748</v>
      </c>
      <c r="L6962" s="48">
        <v>6</v>
      </c>
      <c r="M6962" s="47">
        <v>0</v>
      </c>
      <c r="N6962" s="47">
        <v>2</v>
      </c>
      <c r="O6962" s="47">
        <v>0</v>
      </c>
      <c r="P6962" s="47">
        <v>0</v>
      </c>
      <c r="Q6962" s="47">
        <v>0</v>
      </c>
      <c r="R6962" s="47">
        <v>0</v>
      </c>
      <c r="S6962" s="48">
        <v>2</v>
      </c>
      <c r="T6962" s="47">
        <v>0</v>
      </c>
      <c r="U6962" s="47">
        <v>0</v>
      </c>
      <c r="V6962" s="47">
        <v>0</v>
      </c>
      <c r="W6962" s="47">
        <v>7000</v>
      </c>
      <c r="X6962" s="47">
        <v>1172</v>
      </c>
      <c r="Y6962" s="47"/>
      <c r="Z6962" s="47" t="s">
        <v>2466</v>
      </c>
      <c r="AA6962" s="49"/>
      <c r="AB6962" s="49"/>
      <c r="AC6962" s="49"/>
      <c r="AD6962" s="50"/>
      <c r="AE6962" s="47"/>
      <c r="AF6962" s="47"/>
      <c r="AG6962"/>
      <c r="AH6962"/>
      <c r="AI6962"/>
      <c r="AJ6962"/>
      <c r="AK6962"/>
      <c r="AL6962"/>
      <c r="AM6962"/>
      <c r="AN6962"/>
      <c r="AO6962"/>
      <c r="AP6962"/>
      <c r="AQ6962" t="s">
        <v>2526</v>
      </c>
      <c r="AU6962">
        <v>6961</v>
      </c>
    </row>
    <row r="6963" spans="1:47" x14ac:dyDescent="0.2">
      <c r="A6963" s="133">
        <v>6871</v>
      </c>
      <c r="B6963" s="39" t="s">
        <v>45</v>
      </c>
      <c r="C6963" s="39">
        <v>216</v>
      </c>
      <c r="D6963" s="29" t="b">
        <v>0</v>
      </c>
      <c r="E6963" s="39" t="s">
        <v>7554</v>
      </c>
      <c r="F6963" s="47" t="s">
        <v>7555</v>
      </c>
      <c r="G6963" s="47" t="s">
        <v>73</v>
      </c>
      <c r="H6963"/>
      <c r="I6963" s="47" t="b">
        <v>1</v>
      </c>
      <c r="J6963" s="47" t="b">
        <v>1</v>
      </c>
      <c r="K6963" s="47">
        <v>7882</v>
      </c>
      <c r="L6963" s="48">
        <v>9</v>
      </c>
      <c r="M6963" s="47">
        <v>1</v>
      </c>
      <c r="N6963" s="47">
        <v>3</v>
      </c>
      <c r="O6963" s="47">
        <v>0</v>
      </c>
      <c r="P6963" s="47">
        <v>0</v>
      </c>
      <c r="Q6963" s="47">
        <v>0</v>
      </c>
      <c r="R6963" s="47">
        <v>0</v>
      </c>
      <c r="S6963" s="48">
        <v>5</v>
      </c>
      <c r="T6963" s="47">
        <v>0</v>
      </c>
      <c r="U6963" s="47">
        <v>0</v>
      </c>
      <c r="V6963" s="47">
        <v>0</v>
      </c>
      <c r="W6963" s="47">
        <v>5350</v>
      </c>
      <c r="X6963" s="47">
        <v>1170</v>
      </c>
      <c r="Y6963" s="47"/>
      <c r="Z6963" s="47" t="s">
        <v>2466</v>
      </c>
      <c r="AA6963" s="49"/>
      <c r="AB6963" s="49"/>
      <c r="AC6963" s="49"/>
      <c r="AD6963" s="50"/>
      <c r="AE6963" s="47" t="s">
        <v>1312</v>
      </c>
      <c r="AF6963" s="47">
        <v>210</v>
      </c>
      <c r="AG6963"/>
      <c r="AH6963"/>
      <c r="AI6963"/>
      <c r="AJ6963"/>
      <c r="AK6963"/>
      <c r="AL6963"/>
      <c r="AM6963"/>
      <c r="AN6963"/>
      <c r="AO6963"/>
      <c r="AP6963"/>
      <c r="AQ6963" t="s">
        <v>2526</v>
      </c>
      <c r="AU6963">
        <v>6962</v>
      </c>
    </row>
    <row r="6964" spans="1:47" x14ac:dyDescent="0.2">
      <c r="A6964" s="133">
        <v>6871</v>
      </c>
      <c r="B6964" s="39" t="s">
        <v>45</v>
      </c>
      <c r="C6964" s="39">
        <v>216</v>
      </c>
      <c r="D6964" s="29" t="b">
        <v>0</v>
      </c>
      <c r="E6964" s="39" t="s">
        <v>7556</v>
      </c>
      <c r="F6964" s="47" t="s">
        <v>7557</v>
      </c>
      <c r="G6964" s="47" t="s">
        <v>73</v>
      </c>
      <c r="H6964"/>
      <c r="I6964" s="47" t="b">
        <v>0</v>
      </c>
      <c r="J6964" s="47" t="b">
        <v>0</v>
      </c>
      <c r="K6964" s="47">
        <v>1446</v>
      </c>
      <c r="L6964" s="48">
        <v>1</v>
      </c>
      <c r="M6964" s="47">
        <v>0</v>
      </c>
      <c r="N6964" s="47">
        <v>0</v>
      </c>
      <c r="O6964" s="47">
        <v>0</v>
      </c>
      <c r="P6964" s="47">
        <v>0</v>
      </c>
      <c r="Q6964" s="47">
        <v>0</v>
      </c>
      <c r="R6964" s="47">
        <v>0</v>
      </c>
      <c r="S6964" s="48">
        <v>1</v>
      </c>
      <c r="T6964" s="47">
        <v>0</v>
      </c>
      <c r="U6964" s="47">
        <v>0</v>
      </c>
      <c r="V6964" s="47">
        <v>0</v>
      </c>
      <c r="W6964" s="47">
        <v>4400</v>
      </c>
      <c r="X6964" s="47">
        <v>1166</v>
      </c>
      <c r="Y6964" s="47"/>
      <c r="Z6964" s="47" t="s">
        <v>2466</v>
      </c>
      <c r="AA6964" s="49"/>
      <c r="AB6964" s="49"/>
      <c r="AC6964" s="49"/>
      <c r="AD6964" s="50"/>
      <c r="AE6964" s="47" t="s">
        <v>1312</v>
      </c>
      <c r="AF6964" s="47">
        <v>245</v>
      </c>
      <c r="AG6964"/>
      <c r="AH6964"/>
      <c r="AI6964"/>
      <c r="AJ6964"/>
      <c r="AK6964"/>
      <c r="AL6964"/>
      <c r="AM6964"/>
      <c r="AN6964"/>
      <c r="AO6964"/>
      <c r="AP6964"/>
      <c r="AQ6964" t="s">
        <v>2526</v>
      </c>
      <c r="AU6964">
        <v>6963</v>
      </c>
    </row>
    <row r="6965" spans="1:47" x14ac:dyDescent="0.2">
      <c r="A6965" s="133">
        <v>6871</v>
      </c>
      <c r="B6965" s="39" t="s">
        <v>45</v>
      </c>
      <c r="C6965" s="39">
        <v>216</v>
      </c>
      <c r="D6965" s="29" t="b">
        <v>0</v>
      </c>
      <c r="E6965" s="39" t="s">
        <v>1168</v>
      </c>
      <c r="F6965" s="47" t="s">
        <v>348</v>
      </c>
      <c r="G6965" s="47" t="s">
        <v>49</v>
      </c>
      <c r="H6965"/>
      <c r="I6965" s="47" t="b">
        <v>0</v>
      </c>
      <c r="J6965" s="47" t="b">
        <v>0</v>
      </c>
      <c r="K6965" s="47">
        <v>1650</v>
      </c>
      <c r="L6965" s="48">
        <v>1</v>
      </c>
      <c r="M6965" s="47">
        <v>0</v>
      </c>
      <c r="N6965" s="47">
        <v>0</v>
      </c>
      <c r="O6965" s="47">
        <v>0</v>
      </c>
      <c r="P6965" s="47">
        <v>0</v>
      </c>
      <c r="Q6965" s="47">
        <v>0</v>
      </c>
      <c r="R6965" s="47">
        <v>0</v>
      </c>
      <c r="S6965" s="48">
        <v>1</v>
      </c>
      <c r="T6965" s="47">
        <v>0</v>
      </c>
      <c r="U6965" s="47">
        <v>0</v>
      </c>
      <c r="V6965" s="47">
        <v>0</v>
      </c>
      <c r="W6965" s="47"/>
      <c r="X6965" s="47">
        <v>1167</v>
      </c>
      <c r="Y6965" s="47"/>
      <c r="Z6965" s="47" t="s">
        <v>2466</v>
      </c>
      <c r="AA6965" s="49"/>
      <c r="AB6965" s="49"/>
      <c r="AC6965" s="49"/>
      <c r="AD6965" s="50"/>
      <c r="AE6965" s="47" t="s">
        <v>1312</v>
      </c>
      <c r="AF6965" s="47">
        <v>60</v>
      </c>
      <c r="AG6965"/>
      <c r="AH6965"/>
      <c r="AI6965"/>
      <c r="AJ6965"/>
      <c r="AK6965"/>
      <c r="AL6965"/>
      <c r="AM6965"/>
      <c r="AN6965"/>
      <c r="AO6965"/>
      <c r="AP6965"/>
      <c r="AQ6965" t="s">
        <v>2526</v>
      </c>
      <c r="AU6965">
        <v>6964</v>
      </c>
    </row>
    <row r="6966" spans="1:47" x14ac:dyDescent="0.2">
      <c r="A6966" s="133">
        <v>6871</v>
      </c>
      <c r="B6966" s="39" t="s">
        <v>45</v>
      </c>
      <c r="C6966" s="39">
        <v>216</v>
      </c>
      <c r="D6966" s="29" t="b">
        <v>0</v>
      </c>
      <c r="E6966" s="39" t="s">
        <v>858</v>
      </c>
      <c r="F6966" s="47" t="s">
        <v>7558</v>
      </c>
      <c r="G6966" s="47" t="s">
        <v>481</v>
      </c>
      <c r="H6966"/>
      <c r="I6966" s="47" t="b">
        <v>0</v>
      </c>
      <c r="J6966" s="47" t="b">
        <v>0</v>
      </c>
      <c r="K6966" s="47">
        <v>3218</v>
      </c>
      <c r="L6966" s="48">
        <v>2</v>
      </c>
      <c r="M6966" s="47">
        <v>0</v>
      </c>
      <c r="N6966" s="47">
        <v>0</v>
      </c>
      <c r="O6966" s="47">
        <v>0</v>
      </c>
      <c r="P6966" s="47">
        <v>0</v>
      </c>
      <c r="Q6966" s="47">
        <v>0</v>
      </c>
      <c r="R6966" s="47">
        <v>0</v>
      </c>
      <c r="S6966" s="48">
        <v>2</v>
      </c>
      <c r="T6966" s="47">
        <v>0</v>
      </c>
      <c r="U6966" s="47">
        <v>0</v>
      </c>
      <c r="V6966" s="47">
        <v>0</v>
      </c>
      <c r="W6966" s="47">
        <v>5500</v>
      </c>
      <c r="X6966" s="47">
        <v>1168</v>
      </c>
      <c r="Y6966" s="47"/>
      <c r="Z6966" s="47" t="s">
        <v>2466</v>
      </c>
      <c r="AA6966" s="49"/>
      <c r="AB6966" s="49"/>
      <c r="AC6966" s="49"/>
      <c r="AD6966" s="50"/>
      <c r="AE6966" s="47" t="s">
        <v>1312</v>
      </c>
      <c r="AF6966" s="47">
        <v>105</v>
      </c>
      <c r="AG6966"/>
      <c r="AH6966"/>
      <c r="AI6966"/>
      <c r="AJ6966"/>
      <c r="AK6966"/>
      <c r="AL6966"/>
      <c r="AM6966"/>
      <c r="AN6966"/>
      <c r="AO6966"/>
      <c r="AP6966"/>
      <c r="AQ6966" t="s">
        <v>2526</v>
      </c>
      <c r="AU6966">
        <v>6965</v>
      </c>
    </row>
    <row r="6967" spans="1:47" x14ac:dyDescent="0.2">
      <c r="A6967" s="133">
        <v>6871</v>
      </c>
      <c r="B6967" s="39" t="s">
        <v>45</v>
      </c>
      <c r="C6967" s="39">
        <v>216</v>
      </c>
      <c r="D6967" s="29" t="b">
        <v>0</v>
      </c>
      <c r="E6967" s="39" t="s">
        <v>3909</v>
      </c>
      <c r="F6967" s="47" t="s">
        <v>626</v>
      </c>
      <c r="G6967" s="47" t="s">
        <v>274</v>
      </c>
      <c r="H6967"/>
      <c r="I6967" s="47" t="b">
        <v>0</v>
      </c>
      <c r="J6967" s="47" t="b">
        <v>0</v>
      </c>
      <c r="K6967" s="47">
        <v>1568</v>
      </c>
      <c r="L6967" s="48">
        <v>5</v>
      </c>
      <c r="M6967" s="47">
        <v>1</v>
      </c>
      <c r="N6967" s="47">
        <v>3</v>
      </c>
      <c r="O6967" s="47">
        <v>0</v>
      </c>
      <c r="P6967" s="47">
        <v>0</v>
      </c>
      <c r="Q6967" s="47">
        <v>0</v>
      </c>
      <c r="R6967" s="47">
        <v>0</v>
      </c>
      <c r="S6967" s="48">
        <v>1</v>
      </c>
      <c r="T6967" s="47">
        <v>0</v>
      </c>
      <c r="U6967" s="47">
        <v>0</v>
      </c>
      <c r="V6967" s="47">
        <v>0</v>
      </c>
      <c r="W6967" s="47">
        <v>6000</v>
      </c>
      <c r="X6967" s="47">
        <v>1169</v>
      </c>
      <c r="Y6967" s="47"/>
      <c r="Z6967" s="47" t="s">
        <v>2466</v>
      </c>
      <c r="AA6967" s="49"/>
      <c r="AB6967" s="49"/>
      <c r="AC6967" s="49"/>
      <c r="AD6967" s="50"/>
      <c r="AE6967" s="47" t="s">
        <v>1312</v>
      </c>
      <c r="AF6967" s="47">
        <v>210</v>
      </c>
      <c r="AG6967"/>
      <c r="AH6967"/>
      <c r="AI6967"/>
      <c r="AJ6967"/>
      <c r="AK6967"/>
      <c r="AL6967"/>
      <c r="AM6967"/>
      <c r="AN6967"/>
      <c r="AO6967"/>
      <c r="AP6967"/>
      <c r="AQ6967" t="s">
        <v>2526</v>
      </c>
      <c r="AU6967">
        <v>6966</v>
      </c>
    </row>
    <row r="6968" spans="1:47" x14ac:dyDescent="0.2">
      <c r="A6968" s="13">
        <v>6871</v>
      </c>
      <c r="B6968" s="57" t="s">
        <v>45</v>
      </c>
      <c r="C6968" s="57" t="s">
        <v>142</v>
      </c>
      <c r="D6968" s="29"/>
      <c r="E6968" s="39" t="s">
        <v>7559</v>
      </c>
      <c r="F6968" s="47" t="s">
        <v>7560</v>
      </c>
      <c r="G6968" s="47" t="s">
        <v>49</v>
      </c>
      <c r="H6968"/>
      <c r="I6968" s="47" t="b">
        <v>1</v>
      </c>
      <c r="J6968" s="47" t="b">
        <v>1</v>
      </c>
      <c r="K6968" s="47">
        <f>4395*2.2</f>
        <v>9669</v>
      </c>
      <c r="L6968" s="48">
        <v>13</v>
      </c>
      <c r="M6968" s="47"/>
      <c r="N6968" s="47">
        <v>4</v>
      </c>
      <c r="O6968" s="47"/>
      <c r="P6968" s="47"/>
      <c r="Q6968" s="47"/>
      <c r="R6968" s="47"/>
      <c r="S6968" s="48">
        <v>9</v>
      </c>
      <c r="T6968" s="47">
        <v>0</v>
      </c>
      <c r="U6968" s="47">
        <v>0</v>
      </c>
      <c r="V6968" s="47">
        <v>3</v>
      </c>
      <c r="W6968" s="47"/>
      <c r="X6968" s="47"/>
      <c r="Y6968" s="47" t="s">
        <v>51</v>
      </c>
      <c r="Z6968" s="31" t="s">
        <v>7420</v>
      </c>
      <c r="AE6968" s="31" t="s">
        <v>2470</v>
      </c>
      <c r="AF6968" s="47"/>
      <c r="AG6968"/>
      <c r="AH6968"/>
      <c r="AI6968"/>
      <c r="AJ6968"/>
      <c r="AK6968">
        <f>15+61+1+9+2+1</f>
        <v>89</v>
      </c>
      <c r="AL6968"/>
      <c r="AM6968"/>
      <c r="AN6968"/>
      <c r="AO6968"/>
      <c r="AP6968"/>
      <c r="AQ6968" t="s">
        <v>7561</v>
      </c>
      <c r="AR6968" s="32" t="s">
        <v>7562</v>
      </c>
      <c r="AU6968">
        <v>6967</v>
      </c>
    </row>
    <row r="6969" spans="1:47" x14ac:dyDescent="0.2">
      <c r="A6969" s="13">
        <v>6871</v>
      </c>
      <c r="B6969" s="57" t="s">
        <v>45</v>
      </c>
      <c r="C6969" s="57" t="s">
        <v>142</v>
      </c>
      <c r="D6969" s="29"/>
      <c r="E6969" s="57" t="s">
        <v>7227</v>
      </c>
      <c r="F6969" s="31" t="s">
        <v>76</v>
      </c>
      <c r="G6969" s="47" t="s">
        <v>49</v>
      </c>
      <c r="I6969" s="47" t="b">
        <v>0</v>
      </c>
      <c r="J6969" s="47" t="b">
        <v>0</v>
      </c>
      <c r="K6969" s="31">
        <v>6831</v>
      </c>
      <c r="S6969" s="33">
        <v>6</v>
      </c>
      <c r="Z6969" s="31" t="s">
        <v>7420</v>
      </c>
      <c r="AE6969" s="31" t="s">
        <v>2470</v>
      </c>
      <c r="AF6969" s="31">
        <v>80</v>
      </c>
      <c r="AK6969" s="32">
        <v>50</v>
      </c>
      <c r="AQ6969" s="32" t="s">
        <v>7491</v>
      </c>
      <c r="AU6969">
        <v>6968</v>
      </c>
    </row>
    <row r="6970" spans="1:47" x14ac:dyDescent="0.2">
      <c r="A6970" s="13">
        <v>6871</v>
      </c>
      <c r="B6970" s="57" t="s">
        <v>45</v>
      </c>
      <c r="C6970" s="57" t="s">
        <v>142</v>
      </c>
      <c r="D6970" s="29"/>
      <c r="E6970" s="57" t="s">
        <v>3789</v>
      </c>
      <c r="F6970" s="31" t="s">
        <v>76</v>
      </c>
      <c r="G6970" s="47" t="s">
        <v>49</v>
      </c>
      <c r="I6970" s="47" t="b">
        <v>0</v>
      </c>
      <c r="J6970" s="47" t="b">
        <v>0</v>
      </c>
      <c r="K6970" s="31">
        <v>1958</v>
      </c>
      <c r="S6970" s="33">
        <v>2</v>
      </c>
      <c r="Z6970" s="31" t="s">
        <v>7420</v>
      </c>
      <c r="AE6970" s="31" t="s">
        <v>2470</v>
      </c>
      <c r="AF6970" s="31">
        <v>125</v>
      </c>
      <c r="AK6970" s="32">
        <v>16</v>
      </c>
      <c r="AQ6970" s="32" t="s">
        <v>7491</v>
      </c>
      <c r="AU6970">
        <v>6969</v>
      </c>
    </row>
    <row r="6971" spans="1:47" x14ac:dyDescent="0.2">
      <c r="A6971" s="13">
        <v>6871</v>
      </c>
      <c r="B6971" s="57" t="s">
        <v>45</v>
      </c>
      <c r="C6971" s="57" t="s">
        <v>142</v>
      </c>
      <c r="D6971" s="29"/>
      <c r="E6971" s="57" t="s">
        <v>7563</v>
      </c>
      <c r="F6971" s="31" t="s">
        <v>76</v>
      </c>
      <c r="G6971" s="47" t="s">
        <v>49</v>
      </c>
      <c r="I6971" s="47" t="b">
        <v>0</v>
      </c>
      <c r="J6971" s="47" t="b">
        <v>0</v>
      </c>
      <c r="K6971" s="31">
        <v>660</v>
      </c>
      <c r="S6971" s="33">
        <v>1</v>
      </c>
      <c r="Z6971" s="31" t="s">
        <v>7420</v>
      </c>
      <c r="AE6971" s="31" t="s">
        <v>2470</v>
      </c>
      <c r="AF6971" s="31">
        <v>80</v>
      </c>
      <c r="AK6971" s="32">
        <v>8</v>
      </c>
      <c r="AQ6971" s="32" t="s">
        <v>7491</v>
      </c>
      <c r="AU6971">
        <v>6970</v>
      </c>
    </row>
    <row r="6972" spans="1:47" x14ac:dyDescent="0.2">
      <c r="A6972" s="13">
        <v>6871</v>
      </c>
      <c r="B6972" s="57" t="s">
        <v>45</v>
      </c>
      <c r="C6972" s="57" t="s">
        <v>4843</v>
      </c>
      <c r="D6972" s="29"/>
      <c r="E6972" s="57" t="s">
        <v>7227</v>
      </c>
      <c r="F6972" s="31" t="s">
        <v>76</v>
      </c>
      <c r="G6972" s="47" t="s">
        <v>49</v>
      </c>
      <c r="K6972" s="31">
        <v>1320</v>
      </c>
      <c r="S6972" s="33">
        <v>5</v>
      </c>
      <c r="AE6972" s="31" t="s">
        <v>4788</v>
      </c>
      <c r="AF6972" s="31">
        <v>80</v>
      </c>
      <c r="AK6972" s="32">
        <v>12</v>
      </c>
      <c r="AQ6972" s="32" t="s">
        <v>7491</v>
      </c>
      <c r="AU6972">
        <v>6971</v>
      </c>
    </row>
    <row r="6973" spans="1:47" x14ac:dyDescent="0.2">
      <c r="A6973" s="13">
        <v>6871</v>
      </c>
      <c r="B6973" s="57" t="s">
        <v>45</v>
      </c>
      <c r="C6973" s="57" t="s">
        <v>4843</v>
      </c>
      <c r="D6973" s="29"/>
      <c r="E6973" s="57" t="s">
        <v>5781</v>
      </c>
      <c r="F6973" s="31" t="s">
        <v>76</v>
      </c>
      <c r="G6973" s="47" t="s">
        <v>49</v>
      </c>
      <c r="K6973" s="31">
        <v>440</v>
      </c>
      <c r="S6973" s="33">
        <v>1</v>
      </c>
      <c r="AE6973" s="31" t="s">
        <v>4788</v>
      </c>
      <c r="AF6973" s="31">
        <v>100</v>
      </c>
      <c r="AK6973" s="32">
        <v>4</v>
      </c>
      <c r="AQ6973" s="32" t="s">
        <v>7491</v>
      </c>
      <c r="AU6973">
        <v>6972</v>
      </c>
    </row>
    <row r="6974" spans="1:47" x14ac:dyDescent="0.2">
      <c r="A6974" s="168">
        <v>6871</v>
      </c>
      <c r="B6974" s="57" t="s">
        <v>45</v>
      </c>
      <c r="C6974" s="57" t="s">
        <v>4843</v>
      </c>
      <c r="D6974" s="29"/>
      <c r="E6974" s="144" t="s">
        <v>7506</v>
      </c>
      <c r="F6974" s="31" t="s">
        <v>7507</v>
      </c>
      <c r="G6974" s="47" t="s">
        <v>49</v>
      </c>
      <c r="K6974" s="31">
        <v>440</v>
      </c>
      <c r="S6974" s="33">
        <v>1</v>
      </c>
      <c r="AE6974" s="31" t="s">
        <v>4788</v>
      </c>
      <c r="AF6974" s="31">
        <v>85</v>
      </c>
      <c r="AK6974" s="32">
        <v>4</v>
      </c>
      <c r="AQ6974" s="32" t="s">
        <v>7491</v>
      </c>
      <c r="AU6974">
        <v>6973</v>
      </c>
    </row>
    <row r="6975" spans="1:47" x14ac:dyDescent="0.2">
      <c r="A6975" s="13">
        <v>6871</v>
      </c>
      <c r="B6975" s="57" t="s">
        <v>45</v>
      </c>
      <c r="C6975" s="57" t="s">
        <v>4179</v>
      </c>
      <c r="D6975" s="29"/>
      <c r="E6975" s="57" t="s">
        <v>4182</v>
      </c>
      <c r="F6975" s="31" t="s">
        <v>76</v>
      </c>
      <c r="G6975" s="47" t="s">
        <v>49</v>
      </c>
      <c r="K6975" s="31">
        <v>1100</v>
      </c>
      <c r="Z6975" s="31" t="s">
        <v>3814</v>
      </c>
      <c r="AE6975" s="31" t="s">
        <v>5034</v>
      </c>
      <c r="AF6975" s="31">
        <v>110</v>
      </c>
      <c r="AK6975" s="32">
        <v>16</v>
      </c>
      <c r="AQ6975" s="32" t="s">
        <v>7491</v>
      </c>
      <c r="AU6975">
        <v>6974</v>
      </c>
    </row>
    <row r="6976" spans="1:47" x14ac:dyDescent="0.2">
      <c r="A6976" s="13">
        <v>6871</v>
      </c>
      <c r="B6976" s="57" t="s">
        <v>45</v>
      </c>
      <c r="C6976" s="57" t="s">
        <v>4179</v>
      </c>
      <c r="D6976" s="29"/>
      <c r="E6976" s="57" t="s">
        <v>5937</v>
      </c>
      <c r="F6976" s="31" t="s">
        <v>76</v>
      </c>
      <c r="G6976" s="47" t="s">
        <v>49</v>
      </c>
      <c r="K6976" s="31">
        <v>550</v>
      </c>
      <c r="Z6976" s="31" t="s">
        <v>3814</v>
      </c>
      <c r="AE6976" s="31" t="s">
        <v>5034</v>
      </c>
      <c r="AF6976" s="31">
        <v>90</v>
      </c>
      <c r="AK6976" s="32">
        <v>10</v>
      </c>
      <c r="AQ6976" s="32" t="s">
        <v>7491</v>
      </c>
      <c r="AU6976">
        <v>6975</v>
      </c>
    </row>
    <row r="6977" spans="1:47" x14ac:dyDescent="0.2">
      <c r="A6977" s="13">
        <v>6871</v>
      </c>
      <c r="B6977" s="57" t="s">
        <v>45</v>
      </c>
      <c r="C6977" s="57" t="s">
        <v>5860</v>
      </c>
      <c r="D6977" s="29"/>
      <c r="E6977" s="57" t="s">
        <v>3884</v>
      </c>
      <c r="F6977" s="31" t="s">
        <v>76</v>
      </c>
      <c r="G6977" s="47" t="s">
        <v>49</v>
      </c>
      <c r="K6977" s="31">
        <v>4840</v>
      </c>
      <c r="AE6977" s="31" t="s">
        <v>7241</v>
      </c>
      <c r="AF6977" s="31">
        <v>90</v>
      </c>
      <c r="AK6977" s="32">
        <v>44</v>
      </c>
      <c r="AQ6977" s="32" t="s">
        <v>7491</v>
      </c>
      <c r="AU6977">
        <v>6976</v>
      </c>
    </row>
    <row r="6978" spans="1:47" x14ac:dyDescent="0.2">
      <c r="A6978" s="13">
        <v>6871</v>
      </c>
      <c r="B6978" s="57" t="s">
        <v>45</v>
      </c>
      <c r="C6978" s="57" t="s">
        <v>5860</v>
      </c>
      <c r="D6978" s="29"/>
      <c r="E6978" s="57" t="s">
        <v>7564</v>
      </c>
      <c r="F6978" s="31" t="s">
        <v>83</v>
      </c>
      <c r="G6978" s="47" t="s">
        <v>69</v>
      </c>
      <c r="K6978" s="31">
        <v>2420</v>
      </c>
      <c r="AE6978" s="31" t="s">
        <v>7241</v>
      </c>
      <c r="AF6978" s="31">
        <v>90</v>
      </c>
      <c r="AK6978" s="32">
        <v>22</v>
      </c>
      <c r="AQ6978" s="32" t="s">
        <v>7491</v>
      </c>
      <c r="AU6978">
        <v>6977</v>
      </c>
    </row>
    <row r="6979" spans="1:47" x14ac:dyDescent="0.2">
      <c r="A6979" s="13">
        <v>6871</v>
      </c>
      <c r="B6979" s="57" t="s">
        <v>45</v>
      </c>
      <c r="C6979" s="57" t="s">
        <v>5860</v>
      </c>
      <c r="D6979" s="29"/>
      <c r="E6979" s="57" t="s">
        <v>5937</v>
      </c>
      <c r="F6979" s="31" t="s">
        <v>76</v>
      </c>
      <c r="G6979" s="47" t="s">
        <v>49</v>
      </c>
      <c r="K6979" s="31">
        <v>1980</v>
      </c>
      <c r="AE6979" s="31" t="s">
        <v>7241</v>
      </c>
      <c r="AF6979" s="31">
        <v>100</v>
      </c>
      <c r="AK6979" s="32">
        <v>27</v>
      </c>
      <c r="AQ6979" s="32" t="s">
        <v>7491</v>
      </c>
      <c r="AU6979">
        <v>6978</v>
      </c>
    </row>
    <row r="6980" spans="1:47" x14ac:dyDescent="0.2">
      <c r="A6980" s="13">
        <v>6871</v>
      </c>
      <c r="B6980" s="57" t="s">
        <v>45</v>
      </c>
      <c r="C6980" s="57" t="s">
        <v>5860</v>
      </c>
      <c r="D6980" s="29"/>
      <c r="E6980" s="57" t="s">
        <v>3816</v>
      </c>
      <c r="F6980" s="31" t="s">
        <v>76</v>
      </c>
      <c r="G6980" s="47" t="s">
        <v>49</v>
      </c>
      <c r="K6980" s="31">
        <v>660</v>
      </c>
      <c r="AE6980" s="31" t="s">
        <v>7241</v>
      </c>
      <c r="AF6980" s="31">
        <v>115</v>
      </c>
      <c r="AK6980" s="32">
        <v>9</v>
      </c>
      <c r="AQ6980" s="32" t="s">
        <v>7491</v>
      </c>
      <c r="AU6980">
        <v>6979</v>
      </c>
    </row>
    <row r="6981" spans="1:47" x14ac:dyDescent="0.2">
      <c r="A6981" s="13">
        <v>6871</v>
      </c>
      <c r="B6981" s="57" t="s">
        <v>45</v>
      </c>
      <c r="C6981" s="57" t="s">
        <v>5860</v>
      </c>
      <c r="D6981" s="29"/>
      <c r="E6981" s="57" t="s">
        <v>7495</v>
      </c>
      <c r="F6981" s="31" t="s">
        <v>76</v>
      </c>
      <c r="G6981" s="47" t="s">
        <v>49</v>
      </c>
      <c r="K6981" s="31">
        <v>660</v>
      </c>
      <c r="AE6981" s="31" t="s">
        <v>7241</v>
      </c>
      <c r="AF6981" s="31">
        <v>95</v>
      </c>
      <c r="AK6981" s="32">
        <v>9</v>
      </c>
      <c r="AQ6981" s="32" t="s">
        <v>7491</v>
      </c>
      <c r="AU6981">
        <v>6980</v>
      </c>
    </row>
    <row r="6982" spans="1:47" x14ac:dyDescent="0.2">
      <c r="A6982" s="13">
        <v>6871</v>
      </c>
      <c r="B6982" s="57" t="s">
        <v>45</v>
      </c>
      <c r="C6982" s="57" t="s">
        <v>7243</v>
      </c>
      <c r="D6982" s="29"/>
      <c r="E6982" s="57" t="s">
        <v>7227</v>
      </c>
      <c r="F6982" s="31" t="s">
        <v>76</v>
      </c>
      <c r="G6982" s="47" t="s">
        <v>49</v>
      </c>
      <c r="I6982" s="31" t="s">
        <v>7494</v>
      </c>
      <c r="K6982" s="31">
        <v>7480</v>
      </c>
      <c r="S6982" s="33">
        <v>14</v>
      </c>
      <c r="AE6982" s="31" t="s">
        <v>4411</v>
      </c>
      <c r="AF6982" s="31">
        <v>75</v>
      </c>
      <c r="AK6982" s="32">
        <v>88</v>
      </c>
      <c r="AQ6982" s="32" t="s">
        <v>7491</v>
      </c>
      <c r="AU6982">
        <v>6981</v>
      </c>
    </row>
    <row r="6983" spans="1:47" x14ac:dyDescent="0.2">
      <c r="A6983" s="26">
        <v>6871</v>
      </c>
      <c r="B6983" s="27">
        <v>9.7222222222222224E-3</v>
      </c>
      <c r="C6983" s="28"/>
      <c r="D6983" s="29"/>
      <c r="E6983" s="30" t="s">
        <v>464</v>
      </c>
      <c r="H6983" s="32">
        <v>0</v>
      </c>
      <c r="I6983" s="32" t="s">
        <v>4220</v>
      </c>
      <c r="AG6983" s="32">
        <v>0</v>
      </c>
      <c r="AH6983" s="32">
        <v>0</v>
      </c>
      <c r="AL6983" s="32">
        <f>16/60</f>
        <v>0.26666666666666666</v>
      </c>
      <c r="AO6983" s="32" t="s">
        <v>4067</v>
      </c>
      <c r="AP6983" s="32">
        <f>16/60</f>
        <v>0.26666666666666666</v>
      </c>
      <c r="AQ6983" s="32" t="s">
        <v>1522</v>
      </c>
      <c r="AU6983">
        <v>6982</v>
      </c>
    </row>
    <row r="6984" spans="1:47" x14ac:dyDescent="0.2">
      <c r="A6984" s="26">
        <v>6871</v>
      </c>
      <c r="B6984" s="27">
        <v>0.10416666666666667</v>
      </c>
      <c r="C6984" s="28"/>
      <c r="D6984" s="29"/>
      <c r="E6984" s="30" t="s">
        <v>2087</v>
      </c>
      <c r="H6984" s="32">
        <v>0</v>
      </c>
      <c r="I6984" s="32"/>
      <c r="AG6984" s="32">
        <v>0</v>
      </c>
      <c r="AH6984" s="32">
        <v>0</v>
      </c>
      <c r="AI6984" s="32">
        <v>0</v>
      </c>
      <c r="AK6984" s="32">
        <v>0</v>
      </c>
      <c r="AL6984" s="32">
        <v>0</v>
      </c>
      <c r="AP6984" s="32">
        <v>0.25</v>
      </c>
      <c r="AQ6984" s="32" t="s">
        <v>1101</v>
      </c>
      <c r="AU6984">
        <v>6983</v>
      </c>
    </row>
    <row r="6985" spans="1:47" x14ac:dyDescent="0.2">
      <c r="A6985" s="26">
        <v>6871</v>
      </c>
      <c r="B6985" s="27">
        <v>0.54027777777777775</v>
      </c>
      <c r="C6985" s="28"/>
      <c r="D6985" s="29"/>
      <c r="E6985" s="30" t="s">
        <v>1124</v>
      </c>
      <c r="H6985" s="32">
        <v>1</v>
      </c>
      <c r="I6985" s="32" t="s">
        <v>1246</v>
      </c>
      <c r="AG6985" s="32">
        <v>0</v>
      </c>
      <c r="AH6985" s="32">
        <v>0</v>
      </c>
      <c r="AK6985" s="32">
        <v>20</v>
      </c>
      <c r="AL6985" s="32">
        <f>2/60</f>
        <v>3.3333333333333333E-2</v>
      </c>
      <c r="AO6985" s="46" t="s">
        <v>1126</v>
      </c>
      <c r="AP6985" s="32">
        <f>2/60</f>
        <v>3.3333333333333333E-2</v>
      </c>
      <c r="AQ6985" s="32" t="s">
        <v>589</v>
      </c>
      <c r="AU6985">
        <v>6984</v>
      </c>
    </row>
    <row r="6986" spans="1:47" x14ac:dyDescent="0.2">
      <c r="A6986" s="26">
        <v>6871</v>
      </c>
      <c r="B6986" s="27">
        <v>0.60416666666666663</v>
      </c>
      <c r="C6986" s="28"/>
      <c r="D6986" s="29"/>
      <c r="E6986" s="30" t="s">
        <v>3737</v>
      </c>
      <c r="H6986" s="32">
        <v>0</v>
      </c>
      <c r="I6986" s="32" t="s">
        <v>4926</v>
      </c>
      <c r="AG6986" s="32">
        <v>0</v>
      </c>
      <c r="AH6986" s="32">
        <v>0</v>
      </c>
      <c r="AI6986" s="32">
        <v>0</v>
      </c>
      <c r="AK6986" s="32">
        <v>0</v>
      </c>
      <c r="AL6986" s="32">
        <v>0.66700000000000004</v>
      </c>
      <c r="AM6986" s="33">
        <f>3125*AL6986</f>
        <v>2084.375</v>
      </c>
      <c r="AP6986" s="32">
        <v>0.66700000000000004</v>
      </c>
      <c r="AQ6986" s="32" t="s">
        <v>1101</v>
      </c>
      <c r="AU6986">
        <v>6985</v>
      </c>
    </row>
    <row r="6987" spans="1:47" x14ac:dyDescent="0.2">
      <c r="A6987" s="26">
        <v>6871</v>
      </c>
      <c r="B6987" s="27">
        <v>0.60555555555555551</v>
      </c>
      <c r="C6987" s="28"/>
      <c r="D6987" s="29"/>
      <c r="E6987" s="30" t="s">
        <v>869</v>
      </c>
      <c r="H6987" s="32">
        <v>0</v>
      </c>
      <c r="I6987" s="32" t="s">
        <v>7565</v>
      </c>
      <c r="AG6987" s="32">
        <v>0</v>
      </c>
      <c r="AH6987" s="32">
        <v>0</v>
      </c>
      <c r="AI6987" s="32">
        <v>0</v>
      </c>
      <c r="AK6987" s="32">
        <v>0</v>
      </c>
      <c r="AL6987" s="32">
        <f>29/60</f>
        <v>0.48333333333333334</v>
      </c>
      <c r="AP6987" s="32">
        <f>29/60</f>
        <v>0.48333333333333334</v>
      </c>
      <c r="AQ6987" s="32" t="s">
        <v>589</v>
      </c>
      <c r="AU6987">
        <v>6986</v>
      </c>
    </row>
    <row r="6988" spans="1:47" x14ac:dyDescent="0.2">
      <c r="A6988" s="26">
        <v>6871</v>
      </c>
      <c r="B6988" s="27">
        <v>0.61111111111111105</v>
      </c>
      <c r="C6988" s="28"/>
      <c r="D6988" s="29"/>
      <c r="E6988" s="30" t="s">
        <v>3155</v>
      </c>
      <c r="H6988" s="32">
        <v>0</v>
      </c>
      <c r="I6988" s="32" t="s">
        <v>3156</v>
      </c>
      <c r="AG6988" s="32">
        <v>0</v>
      </c>
      <c r="AH6988" s="32">
        <v>0</v>
      </c>
      <c r="AI6988" s="32">
        <v>0</v>
      </c>
      <c r="AK6988" s="32">
        <v>0</v>
      </c>
      <c r="AP6988" s="32">
        <f>32/60</f>
        <v>0.53333333333333333</v>
      </c>
      <c r="AQ6988" s="32" t="s">
        <v>1101</v>
      </c>
      <c r="AU6988">
        <v>6987</v>
      </c>
    </row>
    <row r="6989" spans="1:47" x14ac:dyDescent="0.2">
      <c r="A6989" s="26">
        <v>6871</v>
      </c>
      <c r="B6989" s="27">
        <v>0.79861111111111116</v>
      </c>
      <c r="C6989" s="28"/>
      <c r="D6989" s="29"/>
      <c r="E6989" s="30" t="s">
        <v>464</v>
      </c>
      <c r="H6989" s="32">
        <v>0</v>
      </c>
      <c r="I6989" s="32" t="s">
        <v>4220</v>
      </c>
      <c r="AG6989" s="32">
        <v>0</v>
      </c>
      <c r="AH6989" s="32">
        <v>0</v>
      </c>
      <c r="AL6989" s="32">
        <f>70/60</f>
        <v>1.1666666666666667</v>
      </c>
      <c r="AO6989" s="32" t="s">
        <v>4067</v>
      </c>
      <c r="AP6989" s="32">
        <f>70/60</f>
        <v>1.1666666666666667</v>
      </c>
      <c r="AQ6989" s="32" t="s">
        <v>1522</v>
      </c>
      <c r="AU6989">
        <v>6988</v>
      </c>
    </row>
    <row r="6990" spans="1:47" x14ac:dyDescent="0.2">
      <c r="A6990" s="26">
        <v>6871</v>
      </c>
      <c r="B6990" s="27">
        <v>0.85069444444444453</v>
      </c>
      <c r="C6990" s="28"/>
      <c r="D6990" s="29"/>
      <c r="E6990" s="30" t="s">
        <v>3737</v>
      </c>
      <c r="H6990" s="32">
        <v>0</v>
      </c>
      <c r="I6990" s="32" t="s">
        <v>7566</v>
      </c>
      <c r="AG6990" s="32">
        <v>0</v>
      </c>
      <c r="AH6990" s="32">
        <v>0</v>
      </c>
      <c r="AI6990" s="32">
        <v>0</v>
      </c>
      <c r="AK6990" s="32">
        <v>0</v>
      </c>
      <c r="AL6990" s="32">
        <f>174/60</f>
        <v>2.9</v>
      </c>
      <c r="AM6990" s="33">
        <f>3125*AL6990</f>
        <v>9062.5</v>
      </c>
      <c r="AP6990" s="32">
        <f>174/60</f>
        <v>2.9</v>
      </c>
      <c r="AQ6990" s="32" t="s">
        <v>1101</v>
      </c>
      <c r="AU6990">
        <v>6989</v>
      </c>
    </row>
    <row r="6991" spans="1:47" x14ac:dyDescent="0.2">
      <c r="A6991" s="26">
        <v>6871</v>
      </c>
      <c r="B6991" s="27">
        <v>0.85069444444444453</v>
      </c>
      <c r="C6991" s="28"/>
      <c r="D6991" s="29"/>
      <c r="E6991" s="30" t="s">
        <v>869</v>
      </c>
      <c r="H6991" s="32">
        <v>0</v>
      </c>
      <c r="I6991" s="32" t="s">
        <v>2344</v>
      </c>
      <c r="AG6991" s="32">
        <v>0</v>
      </c>
      <c r="AH6991" s="32">
        <v>0</v>
      </c>
      <c r="AI6991" s="32">
        <v>0</v>
      </c>
      <c r="AK6991" s="32">
        <v>0</v>
      </c>
      <c r="AL6991" s="32">
        <f>21/60</f>
        <v>0.35</v>
      </c>
      <c r="AP6991" s="32">
        <f>21/60</f>
        <v>0.35</v>
      </c>
      <c r="AQ6991" s="32" t="s">
        <v>589</v>
      </c>
      <c r="AU6991">
        <v>6990</v>
      </c>
    </row>
    <row r="6992" spans="1:47" x14ac:dyDescent="0.2">
      <c r="A6992" s="26">
        <v>6871</v>
      </c>
      <c r="B6992" s="27">
        <v>0.85069444444444453</v>
      </c>
      <c r="C6992" s="28"/>
      <c r="D6992" s="29"/>
      <c r="E6992" s="30" t="s">
        <v>4219</v>
      </c>
      <c r="H6992" s="32">
        <v>0</v>
      </c>
      <c r="I6992" s="32" t="s">
        <v>7567</v>
      </c>
      <c r="AG6992" s="32">
        <v>0</v>
      </c>
      <c r="AH6992" s="32">
        <v>0</v>
      </c>
      <c r="AI6992" s="32">
        <v>0</v>
      </c>
      <c r="AL6992" s="32">
        <f>35/60</f>
        <v>0.58333333333333337</v>
      </c>
      <c r="AO6992" s="32" t="s">
        <v>858</v>
      </c>
      <c r="AP6992" s="32">
        <f>35/60</f>
        <v>0.58333333333333337</v>
      </c>
      <c r="AQ6992" s="32" t="s">
        <v>7568</v>
      </c>
      <c r="AU6992">
        <v>6991</v>
      </c>
    </row>
    <row r="6993" spans="1:47" x14ac:dyDescent="0.2">
      <c r="A6993" s="26">
        <v>6871</v>
      </c>
      <c r="B6993" s="27">
        <v>0.86111111111111116</v>
      </c>
      <c r="C6993" s="28"/>
      <c r="D6993" s="29"/>
      <c r="E6993" s="30" t="s">
        <v>464</v>
      </c>
      <c r="H6993" s="32">
        <v>1</v>
      </c>
      <c r="I6993" s="32" t="s">
        <v>7569</v>
      </c>
      <c r="AG6993" s="32">
        <v>0</v>
      </c>
      <c r="AH6993" s="32">
        <v>0</v>
      </c>
      <c r="AL6993" s="32">
        <f>10/60+3+21/60</f>
        <v>3.5166666666666666</v>
      </c>
      <c r="AO6993" s="32" t="s">
        <v>7570</v>
      </c>
      <c r="AP6993" s="32">
        <f>10/60+3+21/60</f>
        <v>3.5166666666666666</v>
      </c>
      <c r="AQ6993" s="32" t="s">
        <v>6661</v>
      </c>
      <c r="AU6993">
        <v>6992</v>
      </c>
    </row>
    <row r="6994" spans="1:47" x14ac:dyDescent="0.2">
      <c r="A6994" s="26">
        <v>6871</v>
      </c>
      <c r="B6994" s="27">
        <v>0.89027777777777783</v>
      </c>
      <c r="C6994" s="28"/>
      <c r="D6994" s="29"/>
      <c r="E6994" s="30" t="s">
        <v>3155</v>
      </c>
      <c r="H6994" s="32">
        <v>0</v>
      </c>
      <c r="I6994" s="32" t="s">
        <v>7571</v>
      </c>
      <c r="AG6994" s="32">
        <v>0</v>
      </c>
      <c r="AH6994" s="32">
        <v>0</v>
      </c>
      <c r="AI6994" s="32">
        <v>0</v>
      </c>
      <c r="AK6994" s="32">
        <v>0</v>
      </c>
      <c r="AP6994" s="32">
        <f>86/60</f>
        <v>1.4333333333333333</v>
      </c>
      <c r="AQ6994" s="32" t="s">
        <v>1101</v>
      </c>
      <c r="AU6994">
        <v>6993</v>
      </c>
    </row>
    <row r="6995" spans="1:47" x14ac:dyDescent="0.2">
      <c r="A6995" s="26">
        <v>6871</v>
      </c>
      <c r="B6995" s="27">
        <v>0.90625</v>
      </c>
      <c r="C6995" s="28"/>
      <c r="D6995" s="29"/>
      <c r="E6995" s="30" t="s">
        <v>4219</v>
      </c>
      <c r="H6995" s="32">
        <v>1</v>
      </c>
      <c r="I6995" s="32" t="s">
        <v>7572</v>
      </c>
      <c r="AK6995" s="32">
        <v>10</v>
      </c>
      <c r="AL6995" s="32">
        <f>25/60</f>
        <v>0.41666666666666669</v>
      </c>
      <c r="AO6995" s="32" t="s">
        <v>858</v>
      </c>
      <c r="AP6995" s="32">
        <f>25/60</f>
        <v>0.41666666666666669</v>
      </c>
      <c r="AQ6995" s="32" t="s">
        <v>7568</v>
      </c>
      <c r="AU6995">
        <v>6994</v>
      </c>
    </row>
    <row r="6996" spans="1:47" x14ac:dyDescent="0.2">
      <c r="A6996" s="26">
        <v>6871</v>
      </c>
      <c r="B6996" s="27">
        <v>0.97777777777777775</v>
      </c>
      <c r="C6996" s="28"/>
      <c r="D6996" s="29"/>
      <c r="E6996" s="30" t="s">
        <v>869</v>
      </c>
      <c r="H6996" s="32">
        <v>0</v>
      </c>
      <c r="I6996" s="32" t="s">
        <v>2344</v>
      </c>
      <c r="AG6996" s="32">
        <v>0</v>
      </c>
      <c r="AH6996" s="32">
        <v>0</v>
      </c>
      <c r="AI6996" s="32">
        <v>0</v>
      </c>
      <c r="AK6996" s="32">
        <v>0</v>
      </c>
      <c r="AL6996" s="32">
        <f>18/60</f>
        <v>0.3</v>
      </c>
      <c r="AP6996" s="32">
        <f>18/60</f>
        <v>0.3</v>
      </c>
      <c r="AQ6996" s="32" t="s">
        <v>589</v>
      </c>
      <c r="AU6996">
        <v>6995</v>
      </c>
    </row>
    <row r="6997" spans="1:47" x14ac:dyDescent="0.2">
      <c r="A6997" s="26">
        <v>6871</v>
      </c>
      <c r="B6997" s="27" t="s">
        <v>45</v>
      </c>
      <c r="C6997" s="28"/>
      <c r="D6997" s="29"/>
      <c r="E6997" s="30" t="s">
        <v>858</v>
      </c>
      <c r="H6997" s="32">
        <v>1</v>
      </c>
      <c r="I6997" s="32" t="s">
        <v>7573</v>
      </c>
      <c r="AG6997" s="32">
        <v>0</v>
      </c>
      <c r="AH6997" s="32">
        <v>0</v>
      </c>
      <c r="AI6997" s="32">
        <v>1100</v>
      </c>
      <c r="AK6997" s="32">
        <v>7</v>
      </c>
      <c r="AQ6997" s="32" t="s">
        <v>7574</v>
      </c>
      <c r="AU6997">
        <v>6996</v>
      </c>
    </row>
    <row r="6998" spans="1:47" x14ac:dyDescent="0.2">
      <c r="A6998" s="26">
        <v>6871</v>
      </c>
      <c r="B6998" s="27" t="s">
        <v>45</v>
      </c>
      <c r="C6998" s="28"/>
      <c r="D6998" s="29"/>
      <c r="E6998" s="30" t="s">
        <v>626</v>
      </c>
      <c r="H6998" s="32">
        <v>1</v>
      </c>
      <c r="I6998" s="32" t="s">
        <v>7575</v>
      </c>
      <c r="AI6998" s="32">
        <v>56300</v>
      </c>
      <c r="AK6998" s="32">
        <v>4</v>
      </c>
      <c r="AO6998" s="32" t="s">
        <v>631</v>
      </c>
      <c r="AQ6998" s="32" t="s">
        <v>7576</v>
      </c>
      <c r="AU6998">
        <v>6997</v>
      </c>
    </row>
    <row r="6999" spans="1:47" x14ac:dyDescent="0.2">
      <c r="A6999" s="26">
        <v>6871</v>
      </c>
      <c r="B6999" s="27" t="s">
        <v>45</v>
      </c>
      <c r="C6999" s="28"/>
      <c r="D6999" s="29"/>
      <c r="E6999" s="30" t="s">
        <v>1531</v>
      </c>
      <c r="H6999" s="32">
        <v>0</v>
      </c>
      <c r="I6999" s="32" t="s">
        <v>2553</v>
      </c>
      <c r="AG6999" s="32">
        <v>0</v>
      </c>
      <c r="AH6999" s="32">
        <v>0</v>
      </c>
      <c r="AI6999" s="32">
        <v>0</v>
      </c>
      <c r="AK6999" s="32">
        <v>0</v>
      </c>
      <c r="AM6999" s="32">
        <f>498*112</f>
        <v>55776</v>
      </c>
      <c r="AO6999" s="32" t="s">
        <v>1533</v>
      </c>
      <c r="AQ6999" s="32" t="s">
        <v>1101</v>
      </c>
      <c r="AU6999">
        <v>6998</v>
      </c>
    </row>
    <row r="7000" spans="1:47" x14ac:dyDescent="0.2">
      <c r="A7000" s="26">
        <v>6871</v>
      </c>
      <c r="B7000" s="27" t="s">
        <v>45</v>
      </c>
      <c r="C7000" s="28"/>
      <c r="D7000" s="29"/>
      <c r="E7000" s="150" t="s">
        <v>2286</v>
      </c>
      <c r="H7000" s="32">
        <v>0</v>
      </c>
      <c r="I7000" s="32" t="s">
        <v>1824</v>
      </c>
      <c r="AG7000" s="32">
        <v>0</v>
      </c>
      <c r="AH7000" s="32">
        <v>0</v>
      </c>
      <c r="AI7000" s="32">
        <v>0</v>
      </c>
      <c r="AK7000" s="32">
        <v>0</v>
      </c>
      <c r="AM7000" s="32">
        <v>4000</v>
      </c>
      <c r="AO7000" s="73" t="s">
        <v>75</v>
      </c>
      <c r="AQ7000" s="32" t="s">
        <v>589</v>
      </c>
      <c r="AU7000">
        <v>6999</v>
      </c>
    </row>
    <row r="7001" spans="1:47" x14ac:dyDescent="0.2">
      <c r="A7001" s="26">
        <v>6871</v>
      </c>
      <c r="B7001" s="27"/>
      <c r="C7001" s="28"/>
      <c r="D7001" s="29"/>
      <c r="E7001" s="30" t="s">
        <v>7549</v>
      </c>
      <c r="H7001" s="32">
        <v>1</v>
      </c>
      <c r="I7001" s="32" t="s">
        <v>7577</v>
      </c>
      <c r="AG7001" s="32">
        <v>14</v>
      </c>
      <c r="AH7001" s="32">
        <v>20</v>
      </c>
      <c r="AI7001" s="46">
        <v>1250000</v>
      </c>
      <c r="AQ7001" s="32">
        <v>476</v>
      </c>
      <c r="AU7001">
        <v>7000</v>
      </c>
    </row>
    <row r="7002" spans="1:47" x14ac:dyDescent="0.2">
      <c r="A7002" s="26">
        <v>6871</v>
      </c>
      <c r="B7002" s="27"/>
      <c r="C7002" s="28"/>
      <c r="D7002" s="29"/>
      <c r="E7002" s="30" t="s">
        <v>4469</v>
      </c>
      <c r="H7002" s="32">
        <v>0</v>
      </c>
      <c r="I7002" s="32" t="s">
        <v>7578</v>
      </c>
      <c r="AG7002" s="32">
        <v>0</v>
      </c>
      <c r="AH7002" s="32">
        <v>0</v>
      </c>
      <c r="AI7002" s="32">
        <v>0</v>
      </c>
      <c r="AK7002" s="32">
        <v>0</v>
      </c>
      <c r="AL7002" s="32">
        <f>83/60</f>
        <v>1.3833333333333333</v>
      </c>
      <c r="AO7002" s="32" t="s">
        <v>5210</v>
      </c>
      <c r="AP7002" s="32">
        <f>83/60</f>
        <v>1.3833333333333333</v>
      </c>
      <c r="AQ7002" s="32" t="s">
        <v>5211</v>
      </c>
      <c r="AU7002">
        <v>7001</v>
      </c>
    </row>
    <row r="7003" spans="1:47" x14ac:dyDescent="0.2">
      <c r="A7003" s="26">
        <v>6872</v>
      </c>
      <c r="B7003" s="27">
        <v>3.125E-2</v>
      </c>
      <c r="C7003" s="28"/>
      <c r="D7003" s="29"/>
      <c r="E7003" s="30" t="s">
        <v>464</v>
      </c>
      <c r="H7003" s="32">
        <v>0</v>
      </c>
      <c r="I7003" s="32" t="s">
        <v>4220</v>
      </c>
      <c r="AG7003" s="32">
        <v>0</v>
      </c>
      <c r="AH7003" s="32">
        <v>0</v>
      </c>
      <c r="AL7003" s="32">
        <f>23/60</f>
        <v>0.38333333333333336</v>
      </c>
      <c r="AO7003" s="32" t="s">
        <v>4067</v>
      </c>
      <c r="AP7003" s="32">
        <f>23/60</f>
        <v>0.38333333333333336</v>
      </c>
      <c r="AQ7003" s="32" t="s">
        <v>1522</v>
      </c>
      <c r="AU7003">
        <v>7002</v>
      </c>
    </row>
    <row r="7004" spans="1:47" x14ac:dyDescent="0.2">
      <c r="A7004" s="26">
        <v>6872</v>
      </c>
      <c r="B7004" s="27">
        <v>0.86111111111111116</v>
      </c>
      <c r="C7004" s="28"/>
      <c r="D7004" s="29"/>
      <c r="E7004" s="30" t="s">
        <v>631</v>
      </c>
      <c r="H7004" s="32">
        <v>1</v>
      </c>
      <c r="I7004" s="32" t="s">
        <v>7579</v>
      </c>
      <c r="AG7004" s="32">
        <v>0</v>
      </c>
      <c r="AH7004" s="32">
        <v>0</v>
      </c>
      <c r="AK7004" s="32">
        <v>4</v>
      </c>
      <c r="AL7004" s="32">
        <v>1.67</v>
      </c>
      <c r="AO7004" s="32" t="s">
        <v>633</v>
      </c>
      <c r="AP7004" s="32">
        <v>1.67</v>
      </c>
      <c r="AQ7004" s="32">
        <v>464</v>
      </c>
      <c r="AU7004">
        <v>7003</v>
      </c>
    </row>
    <row r="7005" spans="1:47" x14ac:dyDescent="0.2">
      <c r="A7005" s="26">
        <v>6872</v>
      </c>
      <c r="B7005" s="27">
        <v>0.90972222222222221</v>
      </c>
      <c r="C7005" s="28"/>
      <c r="D7005" s="29"/>
      <c r="E7005" s="30" t="s">
        <v>2964</v>
      </c>
      <c r="H7005" s="32">
        <v>0</v>
      </c>
      <c r="I7005" s="32" t="s">
        <v>7580</v>
      </c>
      <c r="AG7005" s="32">
        <v>0</v>
      </c>
      <c r="AH7005" s="32">
        <v>0</v>
      </c>
      <c r="AI7005" s="32">
        <v>0</v>
      </c>
      <c r="AK7005" s="32">
        <v>0</v>
      </c>
      <c r="AL7005" s="32">
        <f>70/60</f>
        <v>1.1666666666666667</v>
      </c>
      <c r="AP7005" s="32">
        <f>70/60</f>
        <v>1.1666666666666667</v>
      </c>
      <c r="AQ7005" s="32" t="s">
        <v>1101</v>
      </c>
      <c r="AU7005">
        <v>7004</v>
      </c>
    </row>
    <row r="7006" spans="1:47" x14ac:dyDescent="0.2">
      <c r="A7006" s="26">
        <v>6872</v>
      </c>
      <c r="B7006" s="27">
        <v>0.96875</v>
      </c>
      <c r="C7006" s="28"/>
      <c r="D7006" s="29"/>
      <c r="E7006" s="30" t="s">
        <v>5224</v>
      </c>
      <c r="H7006" s="32">
        <v>0</v>
      </c>
      <c r="I7006" s="32" t="s">
        <v>5225</v>
      </c>
      <c r="AG7006" s="32">
        <v>0</v>
      </c>
      <c r="AH7006" s="32">
        <v>0</v>
      </c>
      <c r="AI7006" s="32">
        <v>0</v>
      </c>
      <c r="AK7006" s="32">
        <v>0</v>
      </c>
      <c r="AL7006" s="32">
        <f>19/60</f>
        <v>0.31666666666666665</v>
      </c>
      <c r="AP7006" s="32">
        <f>19/60</f>
        <v>0.31666666666666665</v>
      </c>
      <c r="AQ7006" s="32" t="s">
        <v>1101</v>
      </c>
      <c r="AU7006">
        <v>7005</v>
      </c>
    </row>
    <row r="7007" spans="1:47" x14ac:dyDescent="0.2">
      <c r="A7007" s="26">
        <v>6874</v>
      </c>
      <c r="B7007" s="27">
        <v>0.79166666666666663</v>
      </c>
      <c r="C7007" s="28"/>
      <c r="D7007" s="29"/>
      <c r="E7007" s="30" t="s">
        <v>1282</v>
      </c>
      <c r="H7007" s="32">
        <v>1</v>
      </c>
      <c r="I7007" s="32" t="s">
        <v>7581</v>
      </c>
      <c r="AG7007" s="32">
        <v>0</v>
      </c>
      <c r="AH7007" s="32">
        <v>0</v>
      </c>
      <c r="AL7007" s="32">
        <v>0.25</v>
      </c>
      <c r="AP7007" s="32">
        <v>0.25</v>
      </c>
      <c r="AQ7007" s="32" t="s">
        <v>1101</v>
      </c>
      <c r="AU7007">
        <v>7006</v>
      </c>
    </row>
    <row r="7008" spans="1:47" x14ac:dyDescent="0.2">
      <c r="A7008" s="26">
        <v>6874</v>
      </c>
      <c r="B7008" s="27">
        <v>0.875</v>
      </c>
      <c r="C7008" s="28"/>
      <c r="D7008" s="29"/>
      <c r="E7008" s="30" t="s">
        <v>1124</v>
      </c>
      <c r="H7008" s="32">
        <v>1</v>
      </c>
      <c r="I7008" s="32" t="s">
        <v>7582</v>
      </c>
      <c r="AG7008" s="32">
        <v>0</v>
      </c>
      <c r="AH7008" s="32">
        <v>0</v>
      </c>
      <c r="AK7008" s="32">
        <v>1</v>
      </c>
      <c r="AL7008" s="32">
        <v>0.33300000000000002</v>
      </c>
      <c r="AO7008" s="46" t="s">
        <v>1126</v>
      </c>
      <c r="AP7008" s="32">
        <v>0.33300000000000002</v>
      </c>
      <c r="AQ7008" s="32" t="s">
        <v>589</v>
      </c>
      <c r="AU7008">
        <v>7007</v>
      </c>
    </row>
    <row r="7009" spans="1:47" x14ac:dyDescent="0.2">
      <c r="A7009" s="26">
        <v>6874</v>
      </c>
      <c r="B7009" s="27"/>
      <c r="C7009" s="28"/>
      <c r="D7009" s="29"/>
      <c r="E7009" s="30" t="s">
        <v>4666</v>
      </c>
      <c r="H7009" s="32">
        <v>0</v>
      </c>
      <c r="I7009" s="32" t="s">
        <v>7583</v>
      </c>
      <c r="AG7009" s="32">
        <v>0</v>
      </c>
      <c r="AH7009" s="32">
        <v>0</v>
      </c>
      <c r="AI7009" s="32">
        <v>0</v>
      </c>
      <c r="AK7009" s="32">
        <v>0</v>
      </c>
      <c r="AL7009" s="32">
        <v>0.5</v>
      </c>
      <c r="AO7009" s="32" t="s">
        <v>4668</v>
      </c>
      <c r="AP7009" s="32">
        <v>0.5</v>
      </c>
      <c r="AQ7009" s="32">
        <v>411</v>
      </c>
      <c r="AU7009">
        <v>7008</v>
      </c>
    </row>
    <row r="7010" spans="1:47" x14ac:dyDescent="0.2">
      <c r="A7010" s="133">
        <v>6875</v>
      </c>
      <c r="B7010" s="39" t="s">
        <v>85</v>
      </c>
      <c r="C7010" s="39">
        <v>99</v>
      </c>
      <c r="D7010" s="29" t="b">
        <v>0</v>
      </c>
      <c r="E7010" s="39" t="s">
        <v>649</v>
      </c>
      <c r="F7010" s="47" t="s">
        <v>529</v>
      </c>
      <c r="G7010" s="47" t="s">
        <v>205</v>
      </c>
      <c r="H7010"/>
      <c r="I7010" s="47" t="b">
        <v>0</v>
      </c>
      <c r="J7010" s="47" t="b">
        <v>1</v>
      </c>
      <c r="K7010" s="47">
        <v>1144</v>
      </c>
      <c r="L7010" s="48">
        <v>-1</v>
      </c>
      <c r="M7010" s="47">
        <v>0</v>
      </c>
      <c r="N7010" s="47">
        <v>0</v>
      </c>
      <c r="O7010" s="47">
        <v>0</v>
      </c>
      <c r="P7010" s="47">
        <v>0</v>
      </c>
      <c r="Q7010" s="47">
        <v>0</v>
      </c>
      <c r="R7010" s="47">
        <v>0</v>
      </c>
      <c r="S7010" s="48">
        <v>5</v>
      </c>
      <c r="T7010" s="47">
        <v>0</v>
      </c>
      <c r="U7010" s="47">
        <v>0</v>
      </c>
      <c r="V7010" s="47">
        <v>0</v>
      </c>
      <c r="W7010" s="47">
        <v>12000</v>
      </c>
      <c r="X7010" s="47">
        <v>1182</v>
      </c>
      <c r="Y7010" s="47" t="s">
        <v>51</v>
      </c>
      <c r="Z7010" s="47" t="s">
        <v>5139</v>
      </c>
      <c r="AA7010" s="49">
        <v>0.51736111111111105</v>
      </c>
      <c r="AB7010" s="49">
        <v>0.58333333333333337</v>
      </c>
      <c r="AC7010" s="49">
        <v>0.56597222222222221</v>
      </c>
      <c r="AD7010" s="50">
        <f>(AB7010-AA7010)*24</f>
        <v>1.5833333333333357</v>
      </c>
      <c r="AE7010" s="47" t="s">
        <v>5433</v>
      </c>
      <c r="AF7010" s="47">
        <v>55</v>
      </c>
      <c r="AG7010"/>
      <c r="AH7010"/>
      <c r="AI7010"/>
      <c r="AJ7010"/>
      <c r="AK7010">
        <v>6</v>
      </c>
      <c r="AL7010"/>
      <c r="AM7010"/>
      <c r="AN7010"/>
      <c r="AO7010"/>
      <c r="AP7010"/>
      <c r="AQ7010" t="s">
        <v>2526</v>
      </c>
      <c r="AU7010">
        <v>7009</v>
      </c>
    </row>
    <row r="7011" spans="1:47" x14ac:dyDescent="0.2">
      <c r="A7011" s="133">
        <v>6875</v>
      </c>
      <c r="B7011" s="39" t="s">
        <v>85</v>
      </c>
      <c r="C7011" s="39">
        <v>104</v>
      </c>
      <c r="D7011" s="29" t="b">
        <v>0</v>
      </c>
      <c r="E7011" s="39" t="s">
        <v>649</v>
      </c>
      <c r="F7011" s="47" t="s">
        <v>529</v>
      </c>
      <c r="G7011" s="47" t="s">
        <v>205</v>
      </c>
      <c r="H7011"/>
      <c r="I7011" s="47" t="b">
        <v>0</v>
      </c>
      <c r="J7011" s="47" t="b">
        <v>1</v>
      </c>
      <c r="K7011" s="47">
        <v>1810</v>
      </c>
      <c r="L7011" s="48">
        <v>14</v>
      </c>
      <c r="M7011" s="47">
        <v>2</v>
      </c>
      <c r="N7011" s="47">
        <v>3</v>
      </c>
      <c r="O7011" s="47">
        <v>1</v>
      </c>
      <c r="P7011" s="47">
        <v>0</v>
      </c>
      <c r="Q7011" s="47">
        <v>0</v>
      </c>
      <c r="R7011" s="47">
        <v>0</v>
      </c>
      <c r="S7011" s="48">
        <v>8</v>
      </c>
      <c r="T7011" s="47">
        <v>0</v>
      </c>
      <c r="U7011" s="47">
        <v>0</v>
      </c>
      <c r="V7011" s="47">
        <v>0</v>
      </c>
      <c r="W7011" s="47">
        <v>10000</v>
      </c>
      <c r="X7011" s="47">
        <v>1183</v>
      </c>
      <c r="Y7011" s="47" t="s">
        <v>51</v>
      </c>
      <c r="Z7011" s="47" t="s">
        <v>5139</v>
      </c>
      <c r="AA7011" s="49">
        <v>0.51041666666666663</v>
      </c>
      <c r="AB7011" s="49">
        <v>0.58680555555555558</v>
      </c>
      <c r="AC7011" s="49">
        <v>0.5625</v>
      </c>
      <c r="AD7011" s="50">
        <f>(AB7011-AA7011)*24</f>
        <v>1.8333333333333348</v>
      </c>
      <c r="AE7011" s="47" t="s">
        <v>5433</v>
      </c>
      <c r="AF7011" s="47">
        <v>55</v>
      </c>
      <c r="AG7011"/>
      <c r="AH7011"/>
      <c r="AI7011"/>
      <c r="AJ7011"/>
      <c r="AK7011">
        <v>13</v>
      </c>
      <c r="AL7011"/>
      <c r="AM7011"/>
      <c r="AN7011"/>
      <c r="AO7011"/>
      <c r="AP7011"/>
      <c r="AQ7011" t="s">
        <v>5485</v>
      </c>
      <c r="AU7011">
        <v>7010</v>
      </c>
    </row>
    <row r="7012" spans="1:47" x14ac:dyDescent="0.2">
      <c r="A7012" s="37">
        <v>6875</v>
      </c>
      <c r="B7012" s="38" t="s">
        <v>85</v>
      </c>
      <c r="C7012" s="39" t="s">
        <v>4769</v>
      </c>
      <c r="D7012" s="29"/>
      <c r="E7012" s="38" t="s">
        <v>7584</v>
      </c>
      <c r="F7012" s="32" t="s">
        <v>170</v>
      </c>
      <c r="G7012" s="47"/>
      <c r="H7012"/>
      <c r="I7012" s="32" t="s">
        <v>7585</v>
      </c>
      <c r="J7012" s="47"/>
      <c r="K7012" s="47">
        <f>33000*2.2</f>
        <v>72600</v>
      </c>
      <c r="L7012" s="48">
        <v>131</v>
      </c>
      <c r="M7012" s="47"/>
      <c r="N7012" s="47"/>
      <c r="O7012" s="47"/>
      <c r="P7012" s="47"/>
      <c r="Q7012" s="47"/>
      <c r="R7012" s="47"/>
      <c r="S7012" s="48"/>
      <c r="T7012" s="47"/>
      <c r="U7012" s="47"/>
      <c r="V7012" s="47"/>
      <c r="W7012" s="47"/>
      <c r="X7012" s="47"/>
      <c r="Y7012" s="47"/>
      <c r="Z7012" s="47"/>
      <c r="AA7012" s="49"/>
      <c r="AB7012" s="49"/>
      <c r="AC7012" s="49"/>
      <c r="AD7012" s="50"/>
      <c r="AE7012" s="47"/>
      <c r="AF7012" s="47"/>
      <c r="AG7012"/>
      <c r="AH7012"/>
      <c r="AI7012"/>
      <c r="AJ7012"/>
      <c r="AK7012"/>
      <c r="AL7012"/>
      <c r="AM7012"/>
      <c r="AN7012"/>
      <c r="AO7012"/>
      <c r="AP7012"/>
      <c r="AQ7012" t="s">
        <v>7586</v>
      </c>
      <c r="AU7012">
        <v>7011</v>
      </c>
    </row>
    <row r="7013" spans="1:47" x14ac:dyDescent="0.2">
      <c r="A7013" s="37">
        <v>6875</v>
      </c>
      <c r="B7013" s="38" t="s">
        <v>85</v>
      </c>
      <c r="C7013" s="206" t="s">
        <v>7485</v>
      </c>
      <c r="D7013" s="29"/>
      <c r="E7013" s="38" t="s">
        <v>7587</v>
      </c>
      <c r="F7013" s="32"/>
      <c r="G7013" s="47"/>
      <c r="H7013"/>
      <c r="I7013" s="32" t="s">
        <v>7588</v>
      </c>
      <c r="J7013" s="47"/>
      <c r="K7013" s="47"/>
      <c r="L7013" s="48"/>
      <c r="M7013" s="47"/>
      <c r="N7013" s="47"/>
      <c r="O7013" s="47"/>
      <c r="P7013" s="47"/>
      <c r="Q7013" s="47"/>
      <c r="R7013" s="47"/>
      <c r="S7013" s="48"/>
      <c r="T7013" s="47"/>
      <c r="U7013" s="47"/>
      <c r="V7013" s="47"/>
      <c r="W7013" s="47">
        <v>12000</v>
      </c>
      <c r="X7013" s="47"/>
      <c r="Y7013" s="47"/>
      <c r="Z7013" s="47" t="s">
        <v>7262</v>
      </c>
      <c r="AA7013" s="49">
        <v>0.56944444444444442</v>
      </c>
      <c r="AB7013" s="49">
        <v>0.66666666666666663</v>
      </c>
      <c r="AC7013" s="49">
        <v>0.62847222222222221</v>
      </c>
      <c r="AD7013" s="50">
        <f>(AB7013-AA7013)*24</f>
        <v>2.333333333333333</v>
      </c>
      <c r="AE7013" s="47" t="s">
        <v>2743</v>
      </c>
      <c r="AF7013" s="47">
        <v>85</v>
      </c>
      <c r="AG7013"/>
      <c r="AH7013"/>
      <c r="AI7013"/>
      <c r="AJ7013"/>
      <c r="AK7013"/>
      <c r="AL7013"/>
      <c r="AM7013"/>
      <c r="AN7013"/>
      <c r="AO7013"/>
      <c r="AP7013"/>
      <c r="AQ7013" t="s">
        <v>7167</v>
      </c>
      <c r="AU7013">
        <v>7012</v>
      </c>
    </row>
    <row r="7014" spans="1:47" x14ac:dyDescent="0.2">
      <c r="A7014" s="13">
        <v>6875</v>
      </c>
      <c r="B7014" s="57" t="s">
        <v>85</v>
      </c>
      <c r="C7014" s="57" t="s">
        <v>1234</v>
      </c>
      <c r="D7014" s="29"/>
      <c r="E7014" s="57" t="s">
        <v>7589</v>
      </c>
      <c r="F7014" s="31" t="s">
        <v>170</v>
      </c>
      <c r="G7014" s="31" t="s">
        <v>69</v>
      </c>
      <c r="I7014" s="31" t="s">
        <v>7590</v>
      </c>
      <c r="K7014" s="31">
        <v>7876</v>
      </c>
      <c r="S7014" s="33">
        <v>23</v>
      </c>
      <c r="Z7014" s="31" t="s">
        <v>3724</v>
      </c>
      <c r="AE7014" s="31" t="s">
        <v>7173</v>
      </c>
      <c r="AK7014" s="32">
        <v>294</v>
      </c>
      <c r="AQ7014" s="32" t="s">
        <v>7591</v>
      </c>
      <c r="AU7014">
        <v>7013</v>
      </c>
    </row>
    <row r="7015" spans="1:47" x14ac:dyDescent="0.2">
      <c r="A7015" s="13">
        <v>6875</v>
      </c>
      <c r="B7015" s="57" t="s">
        <v>85</v>
      </c>
      <c r="C7015" s="57" t="s">
        <v>332</v>
      </c>
      <c r="D7015" s="29"/>
      <c r="E7015" s="57" t="s">
        <v>7592</v>
      </c>
      <c r="F7015" s="31" t="s">
        <v>170</v>
      </c>
      <c r="G7015" s="31" t="s">
        <v>69</v>
      </c>
      <c r="I7015" s="31" t="s">
        <v>7590</v>
      </c>
      <c r="K7015" s="31">
        <v>13464</v>
      </c>
      <c r="S7015" s="33">
        <v>36</v>
      </c>
      <c r="Z7015" s="31" t="s">
        <v>3724</v>
      </c>
      <c r="AE7015" s="31" t="s">
        <v>7593</v>
      </c>
      <c r="AK7015" s="32">
        <v>470</v>
      </c>
      <c r="AQ7015" s="32" t="s">
        <v>7591</v>
      </c>
      <c r="AU7015">
        <v>7014</v>
      </c>
    </row>
    <row r="7016" spans="1:47" x14ac:dyDescent="0.2">
      <c r="A7016" s="13">
        <v>6875</v>
      </c>
      <c r="B7016" s="57" t="s">
        <v>85</v>
      </c>
      <c r="C7016" s="57" t="s">
        <v>1077</v>
      </c>
      <c r="D7016" s="29"/>
      <c r="E7016" s="57" t="s">
        <v>6422</v>
      </c>
      <c r="F7016" s="31" t="s">
        <v>7594</v>
      </c>
      <c r="G7016" s="31" t="s">
        <v>73</v>
      </c>
      <c r="I7016" s="31" t="s">
        <v>7590</v>
      </c>
      <c r="K7016" s="31">
        <v>13904</v>
      </c>
      <c r="S7016" s="33">
        <v>25</v>
      </c>
      <c r="Z7016" s="31" t="s">
        <v>3724</v>
      </c>
      <c r="AK7016" s="32">
        <v>478</v>
      </c>
      <c r="AQ7016" s="32" t="s">
        <v>7591</v>
      </c>
      <c r="AU7016">
        <v>7015</v>
      </c>
    </row>
    <row r="7017" spans="1:47" x14ac:dyDescent="0.2">
      <c r="A7017" s="13">
        <v>6875</v>
      </c>
      <c r="B7017" s="57" t="s">
        <v>85</v>
      </c>
      <c r="C7017" s="57" t="s">
        <v>4940</v>
      </c>
      <c r="D7017" s="29"/>
      <c r="E7017" s="57" t="s">
        <v>6422</v>
      </c>
      <c r="F7017" s="31" t="s">
        <v>7594</v>
      </c>
      <c r="G7017" s="31" t="s">
        <v>73</v>
      </c>
      <c r="I7017" s="31" t="s">
        <v>7590</v>
      </c>
      <c r="K7017" s="31">
        <v>18524</v>
      </c>
      <c r="S7017" s="33">
        <v>34</v>
      </c>
      <c r="Z7017" s="31" t="s">
        <v>3724</v>
      </c>
      <c r="AE7017" s="31" t="s">
        <v>7595</v>
      </c>
      <c r="AF7017" s="31">
        <v>100</v>
      </c>
      <c r="AK7017" s="32">
        <v>650</v>
      </c>
      <c r="AQ7017" s="32" t="s">
        <v>7591</v>
      </c>
      <c r="AU7017">
        <v>7016</v>
      </c>
    </row>
    <row r="7018" spans="1:47" x14ac:dyDescent="0.2">
      <c r="A7018" s="13">
        <v>6875</v>
      </c>
      <c r="B7018" s="57" t="s">
        <v>85</v>
      </c>
      <c r="C7018" s="57" t="s">
        <v>4213</v>
      </c>
      <c r="D7018" s="29"/>
      <c r="E7018" s="57" t="s">
        <v>6422</v>
      </c>
      <c r="F7018" s="31" t="s">
        <v>7594</v>
      </c>
      <c r="G7018" s="31" t="s">
        <v>73</v>
      </c>
      <c r="I7018" s="31" t="s">
        <v>7590</v>
      </c>
      <c r="K7018" s="31">
        <v>19184</v>
      </c>
      <c r="S7018" s="33">
        <v>35</v>
      </c>
      <c r="Z7018" s="31" t="s">
        <v>3724</v>
      </c>
      <c r="AE7018" s="31" t="s">
        <v>7596</v>
      </c>
      <c r="AF7018" s="31">
        <v>90</v>
      </c>
      <c r="AK7018" s="32">
        <v>668</v>
      </c>
      <c r="AQ7018" s="32" t="s">
        <v>7591</v>
      </c>
      <c r="AU7018">
        <v>7017</v>
      </c>
    </row>
    <row r="7019" spans="1:47" x14ac:dyDescent="0.2">
      <c r="A7019" s="26">
        <v>6875</v>
      </c>
      <c r="B7019" s="27">
        <v>0.60277777777777775</v>
      </c>
      <c r="C7019" s="28"/>
      <c r="D7019" s="29"/>
      <c r="E7019" s="30" t="s">
        <v>464</v>
      </c>
      <c r="H7019" s="32">
        <v>0</v>
      </c>
      <c r="I7019" s="32" t="s">
        <v>4561</v>
      </c>
      <c r="AG7019" s="32">
        <v>0</v>
      </c>
      <c r="AH7019" s="32">
        <v>0</v>
      </c>
      <c r="AL7019" s="32">
        <v>0.33300000000000002</v>
      </c>
      <c r="AO7019" s="32" t="s">
        <v>4067</v>
      </c>
      <c r="AP7019" s="32">
        <v>0.33300000000000002</v>
      </c>
      <c r="AQ7019" s="32" t="s">
        <v>1522</v>
      </c>
      <c r="AU7019">
        <v>7018</v>
      </c>
    </row>
    <row r="7020" spans="1:47" x14ac:dyDescent="0.2">
      <c r="A7020" s="26">
        <v>6875</v>
      </c>
      <c r="B7020" s="27">
        <v>0.63055555555555554</v>
      </c>
      <c r="C7020" s="28"/>
      <c r="D7020" s="29"/>
      <c r="E7020" s="30" t="s">
        <v>3737</v>
      </c>
      <c r="H7020" s="32">
        <v>0</v>
      </c>
      <c r="I7020" s="32" t="s">
        <v>4926</v>
      </c>
      <c r="AG7020" s="32">
        <v>0</v>
      </c>
      <c r="AH7020" s="32">
        <v>0</v>
      </c>
      <c r="AI7020" s="32">
        <v>0</v>
      </c>
      <c r="AK7020" s="32">
        <v>0</v>
      </c>
      <c r="AM7020" s="74"/>
      <c r="AQ7020" s="32" t="s">
        <v>1101</v>
      </c>
      <c r="AU7020">
        <v>7019</v>
      </c>
    </row>
    <row r="7021" spans="1:47" x14ac:dyDescent="0.2">
      <c r="A7021" s="133">
        <v>6876</v>
      </c>
      <c r="B7021" s="39" t="s">
        <v>85</v>
      </c>
      <c r="C7021" s="39">
        <v>99</v>
      </c>
      <c r="D7021" s="29" t="b">
        <v>0</v>
      </c>
      <c r="E7021" s="39" t="s">
        <v>1551</v>
      </c>
      <c r="F7021" s="47" t="s">
        <v>529</v>
      </c>
      <c r="G7021" s="47" t="s">
        <v>205</v>
      </c>
      <c r="H7021"/>
      <c r="I7021" s="47" t="b">
        <v>0</v>
      </c>
      <c r="J7021" s="47" t="b">
        <v>1</v>
      </c>
      <c r="K7021" s="47">
        <v>2506</v>
      </c>
      <c r="L7021" s="48">
        <v>12</v>
      </c>
      <c r="M7021" s="47">
        <v>0</v>
      </c>
      <c r="N7021" s="47">
        <v>1</v>
      </c>
      <c r="O7021" s="47">
        <v>0</v>
      </c>
      <c r="P7021" s="47">
        <v>11</v>
      </c>
      <c r="Q7021" s="47">
        <v>0</v>
      </c>
      <c r="R7021" s="47">
        <v>0</v>
      </c>
      <c r="S7021" s="48">
        <v>11</v>
      </c>
      <c r="T7021" s="47">
        <v>0</v>
      </c>
      <c r="U7021" s="47">
        <v>0</v>
      </c>
      <c r="V7021" s="47">
        <v>0</v>
      </c>
      <c r="W7021" s="47">
        <v>12000</v>
      </c>
      <c r="X7021" s="47">
        <v>1186</v>
      </c>
      <c r="Y7021" s="47" t="s">
        <v>120</v>
      </c>
      <c r="Z7021" s="47" t="s">
        <v>5139</v>
      </c>
      <c r="AA7021" s="49">
        <v>0.58680555555555558</v>
      </c>
      <c r="AB7021" s="49">
        <v>0.66319444444444442</v>
      </c>
      <c r="AC7021" s="49">
        <v>0.64583333333333337</v>
      </c>
      <c r="AD7021" s="50">
        <f>(AB7021-AA7021)*24</f>
        <v>1.8333333333333321</v>
      </c>
      <c r="AE7021" s="47" t="s">
        <v>5433</v>
      </c>
      <c r="AF7021" s="47">
        <v>45</v>
      </c>
      <c r="AG7021"/>
      <c r="AH7021"/>
      <c r="AI7021"/>
      <c r="AJ7021"/>
      <c r="AK7021">
        <v>15</v>
      </c>
      <c r="AL7021"/>
      <c r="AM7021"/>
      <c r="AN7021"/>
      <c r="AO7021"/>
      <c r="AP7021"/>
      <c r="AQ7021" t="s">
        <v>7597</v>
      </c>
      <c r="AR7021" s="32" t="s">
        <v>7598</v>
      </c>
      <c r="AU7021">
        <v>7020</v>
      </c>
    </row>
    <row r="7022" spans="1:47" x14ac:dyDescent="0.2">
      <c r="A7022" s="133">
        <v>6876</v>
      </c>
      <c r="B7022" s="39" t="s">
        <v>85</v>
      </c>
      <c r="C7022" s="39">
        <v>99</v>
      </c>
      <c r="D7022" s="29" t="b">
        <v>0</v>
      </c>
      <c r="E7022" s="39" t="s">
        <v>649</v>
      </c>
      <c r="F7022" s="47" t="s">
        <v>529</v>
      </c>
      <c r="G7022" s="47" t="s">
        <v>205</v>
      </c>
      <c r="H7022"/>
      <c r="I7022" s="47" t="b">
        <v>0</v>
      </c>
      <c r="J7022" s="47" t="b">
        <v>1</v>
      </c>
      <c r="K7022" s="47">
        <v>336</v>
      </c>
      <c r="L7022" s="48">
        <v>1</v>
      </c>
      <c r="M7022" s="47">
        <v>0</v>
      </c>
      <c r="N7022" s="47">
        <v>0</v>
      </c>
      <c r="O7022" s="47">
        <v>0</v>
      </c>
      <c r="P7022" s="47">
        <v>0</v>
      </c>
      <c r="Q7022" s="47">
        <v>0</v>
      </c>
      <c r="R7022" s="47">
        <v>0</v>
      </c>
      <c r="S7022" s="48">
        <v>1</v>
      </c>
      <c r="T7022" s="47">
        <v>0</v>
      </c>
      <c r="U7022" s="47">
        <v>0</v>
      </c>
      <c r="V7022" s="47">
        <v>0</v>
      </c>
      <c r="W7022" s="47">
        <v>15000</v>
      </c>
      <c r="X7022" s="47">
        <v>1190</v>
      </c>
      <c r="Y7022" s="47" t="s">
        <v>51</v>
      </c>
      <c r="Z7022" s="47" t="s">
        <v>6984</v>
      </c>
      <c r="AA7022" s="49"/>
      <c r="AB7022" s="49"/>
      <c r="AC7022" s="49"/>
      <c r="AD7022" s="50"/>
      <c r="AE7022" s="47" t="s">
        <v>5433</v>
      </c>
      <c r="AF7022" s="47">
        <v>55</v>
      </c>
      <c r="AG7022"/>
      <c r="AH7022"/>
      <c r="AI7022"/>
      <c r="AJ7022"/>
      <c r="AK7022">
        <v>3</v>
      </c>
      <c r="AL7022"/>
      <c r="AM7022"/>
      <c r="AN7022"/>
      <c r="AO7022"/>
      <c r="AP7022"/>
      <c r="AQ7022" t="s">
        <v>7597</v>
      </c>
      <c r="AR7022" s="32" t="s">
        <v>7599</v>
      </c>
      <c r="AU7022">
        <v>7021</v>
      </c>
    </row>
    <row r="7023" spans="1:47" x14ac:dyDescent="0.2">
      <c r="A7023" s="133">
        <v>6876</v>
      </c>
      <c r="B7023" s="39" t="s">
        <v>85</v>
      </c>
      <c r="C7023" s="39">
        <v>104</v>
      </c>
      <c r="D7023" s="29" t="b">
        <v>0</v>
      </c>
      <c r="E7023" s="39" t="s">
        <v>1551</v>
      </c>
      <c r="F7023" s="47" t="s">
        <v>529</v>
      </c>
      <c r="G7023" s="47" t="s">
        <v>205</v>
      </c>
      <c r="H7023"/>
      <c r="I7023" s="47" t="b">
        <v>0</v>
      </c>
      <c r="J7023" s="47" t="b">
        <v>1</v>
      </c>
      <c r="K7023" s="47">
        <v>2942</v>
      </c>
      <c r="L7023" s="48">
        <v>14</v>
      </c>
      <c r="M7023" s="47">
        <v>1</v>
      </c>
      <c r="N7023" s="47">
        <v>0</v>
      </c>
      <c r="O7023" s="47">
        <v>0</v>
      </c>
      <c r="P7023" s="47">
        <v>0</v>
      </c>
      <c r="Q7023" s="47">
        <v>0</v>
      </c>
      <c r="R7023" s="47">
        <v>0</v>
      </c>
      <c r="S7023" s="48">
        <v>13</v>
      </c>
      <c r="T7023" s="47">
        <v>0</v>
      </c>
      <c r="U7023" s="47">
        <v>0</v>
      </c>
      <c r="V7023" s="47">
        <v>0</v>
      </c>
      <c r="W7023" s="47">
        <v>11000</v>
      </c>
      <c r="X7023" s="47">
        <v>1187</v>
      </c>
      <c r="Y7023" s="47" t="s">
        <v>120</v>
      </c>
      <c r="Z7023" s="47" t="s">
        <v>5139</v>
      </c>
      <c r="AA7023" s="49">
        <v>0.57638888888888895</v>
      </c>
      <c r="AB7023" s="49">
        <v>0.66666666666666663</v>
      </c>
      <c r="AC7023" s="49">
        <v>0.64236111111111105</v>
      </c>
      <c r="AD7023" s="50">
        <f>(AB7023-AA7023)*24</f>
        <v>2.1666666666666643</v>
      </c>
      <c r="AE7023" s="47" t="s">
        <v>5433</v>
      </c>
      <c r="AF7023" s="47">
        <v>45</v>
      </c>
      <c r="AG7023"/>
      <c r="AH7023"/>
      <c r="AI7023"/>
      <c r="AJ7023"/>
      <c r="AK7023">
        <v>21</v>
      </c>
      <c r="AL7023"/>
      <c r="AM7023"/>
      <c r="AN7023"/>
      <c r="AO7023"/>
      <c r="AP7023"/>
      <c r="AQ7023" t="s">
        <v>5485</v>
      </c>
      <c r="AU7023">
        <v>7022</v>
      </c>
    </row>
    <row r="7024" spans="1:47" x14ac:dyDescent="0.2">
      <c r="A7024" s="37">
        <v>6876</v>
      </c>
      <c r="B7024" s="38" t="s">
        <v>85</v>
      </c>
      <c r="C7024" s="39" t="s">
        <v>253</v>
      </c>
      <c r="D7024" s="29"/>
      <c r="E7024" s="38" t="s">
        <v>6422</v>
      </c>
      <c r="F7024" s="32" t="s">
        <v>7600</v>
      </c>
      <c r="G7024" s="47"/>
      <c r="H7024"/>
      <c r="I7024" s="32" t="s">
        <v>7601</v>
      </c>
      <c r="J7024" s="47"/>
      <c r="K7024" s="47"/>
      <c r="L7024" s="48"/>
      <c r="M7024" s="47"/>
      <c r="N7024" s="47"/>
      <c r="O7024" s="47"/>
      <c r="P7024" s="47"/>
      <c r="Q7024" s="47"/>
      <c r="R7024" s="47"/>
      <c r="S7024" s="48"/>
      <c r="T7024" s="47"/>
      <c r="U7024" s="47"/>
      <c r="V7024" s="47"/>
      <c r="W7024" s="47"/>
      <c r="X7024" s="47"/>
      <c r="Y7024" s="47"/>
      <c r="Z7024" s="47"/>
      <c r="AA7024" s="49"/>
      <c r="AB7024" s="49"/>
      <c r="AC7024" s="49"/>
      <c r="AD7024" s="50"/>
      <c r="AE7024" s="47"/>
      <c r="AF7024" s="47"/>
      <c r="AG7024"/>
      <c r="AH7024"/>
      <c r="AI7024"/>
      <c r="AJ7024"/>
      <c r="AK7024"/>
      <c r="AL7024"/>
      <c r="AM7024"/>
      <c r="AN7024"/>
      <c r="AO7024"/>
      <c r="AP7024"/>
      <c r="AQ7024"/>
      <c r="AU7024">
        <v>7023</v>
      </c>
    </row>
    <row r="7025" spans="1:47" x14ac:dyDescent="0.2">
      <c r="A7025" s="37">
        <v>6876</v>
      </c>
      <c r="B7025" s="38" t="s">
        <v>85</v>
      </c>
      <c r="C7025" s="206" t="s">
        <v>7602</v>
      </c>
      <c r="D7025" s="29"/>
      <c r="E7025" s="38" t="s">
        <v>4480</v>
      </c>
      <c r="F7025" s="32"/>
      <c r="G7025" s="47"/>
      <c r="H7025"/>
      <c r="I7025" s="32" t="s">
        <v>7603</v>
      </c>
      <c r="J7025" s="47"/>
      <c r="K7025" s="47"/>
      <c r="L7025" s="48">
        <v>10</v>
      </c>
      <c r="M7025" s="47"/>
      <c r="N7025" s="47"/>
      <c r="O7025" s="47"/>
      <c r="P7025" s="47"/>
      <c r="Q7025" s="47"/>
      <c r="R7025" s="47"/>
      <c r="S7025" s="48">
        <v>1</v>
      </c>
      <c r="T7025" s="47">
        <v>1</v>
      </c>
      <c r="U7025" s="47"/>
      <c r="V7025" s="47"/>
      <c r="W7025" s="47">
        <v>13500</v>
      </c>
      <c r="X7025" s="47"/>
      <c r="Y7025" s="47"/>
      <c r="Z7025" s="47" t="s">
        <v>3618</v>
      </c>
      <c r="AA7025" s="49">
        <v>0.58680555555555558</v>
      </c>
      <c r="AB7025" s="49">
        <v>0.65625</v>
      </c>
      <c r="AC7025" s="49">
        <v>0.63541666666666663</v>
      </c>
      <c r="AD7025" s="50">
        <f>(AB7025-AA7025)*24</f>
        <v>1.6666666666666661</v>
      </c>
      <c r="AE7025" s="47" t="s">
        <v>2743</v>
      </c>
      <c r="AF7025" s="47">
        <v>75</v>
      </c>
      <c r="AG7025"/>
      <c r="AH7025"/>
      <c r="AI7025"/>
      <c r="AJ7025"/>
      <c r="AK7025"/>
      <c r="AL7025"/>
      <c r="AM7025"/>
      <c r="AN7025"/>
      <c r="AO7025"/>
      <c r="AP7025"/>
      <c r="AQ7025" t="s">
        <v>7167</v>
      </c>
      <c r="AU7025">
        <v>7024</v>
      </c>
    </row>
    <row r="7026" spans="1:47" x14ac:dyDescent="0.2">
      <c r="A7026" s="133">
        <v>6876</v>
      </c>
      <c r="B7026" s="39" t="s">
        <v>45</v>
      </c>
      <c r="C7026" s="39">
        <v>97</v>
      </c>
      <c r="D7026" s="29" t="b">
        <v>0</v>
      </c>
      <c r="E7026" s="39" t="s">
        <v>3909</v>
      </c>
      <c r="F7026" s="47" t="s">
        <v>4092</v>
      </c>
      <c r="G7026" s="47" t="s">
        <v>274</v>
      </c>
      <c r="H7026"/>
      <c r="I7026" s="47" t="b">
        <v>0</v>
      </c>
      <c r="J7026" s="47" t="b">
        <v>1</v>
      </c>
      <c r="K7026" s="47">
        <v>1874</v>
      </c>
      <c r="L7026" s="48">
        <v>5</v>
      </c>
      <c r="M7026" s="47">
        <v>4</v>
      </c>
      <c r="N7026" s="47">
        <v>0</v>
      </c>
      <c r="O7026" s="47">
        <v>0</v>
      </c>
      <c r="P7026" s="47">
        <v>0</v>
      </c>
      <c r="Q7026" s="47">
        <v>0</v>
      </c>
      <c r="R7026" s="47">
        <v>0</v>
      </c>
      <c r="S7026" s="48">
        <v>1</v>
      </c>
      <c r="T7026" s="47">
        <v>0</v>
      </c>
      <c r="U7026" s="47">
        <v>0</v>
      </c>
      <c r="V7026" s="47">
        <v>1</v>
      </c>
      <c r="W7026" s="47">
        <v>5000</v>
      </c>
      <c r="X7026" s="47">
        <v>1188</v>
      </c>
      <c r="Y7026" s="47"/>
      <c r="Z7026" s="47" t="s">
        <v>2466</v>
      </c>
      <c r="AA7026" s="49"/>
      <c r="AB7026" s="49"/>
      <c r="AC7026" s="49"/>
      <c r="AD7026" s="50"/>
      <c r="AE7026" s="47"/>
      <c r="AF7026" s="47"/>
      <c r="AG7026"/>
      <c r="AH7026"/>
      <c r="AI7026"/>
      <c r="AJ7026"/>
      <c r="AK7026"/>
      <c r="AL7026"/>
      <c r="AM7026"/>
      <c r="AN7026"/>
      <c r="AO7026"/>
      <c r="AP7026"/>
      <c r="AQ7026" t="s">
        <v>2526</v>
      </c>
      <c r="AU7026">
        <v>7025</v>
      </c>
    </row>
    <row r="7027" spans="1:47" x14ac:dyDescent="0.2">
      <c r="A7027" s="133">
        <v>6876</v>
      </c>
      <c r="B7027" s="39" t="s">
        <v>45</v>
      </c>
      <c r="C7027" s="39">
        <v>100</v>
      </c>
      <c r="D7027" s="29" t="b">
        <v>0</v>
      </c>
      <c r="E7027" s="39" t="s">
        <v>3063</v>
      </c>
      <c r="F7027" s="47" t="s">
        <v>1743</v>
      </c>
      <c r="G7027" s="47" t="s">
        <v>49</v>
      </c>
      <c r="H7027"/>
      <c r="I7027" s="47" t="b">
        <v>0</v>
      </c>
      <c r="J7027" s="47" t="b">
        <v>1</v>
      </c>
      <c r="K7027" s="47">
        <v>1446</v>
      </c>
      <c r="L7027" s="48">
        <v>7</v>
      </c>
      <c r="M7027" s="47">
        <v>4</v>
      </c>
      <c r="N7027" s="47">
        <v>2</v>
      </c>
      <c r="O7027" s="47">
        <v>0</v>
      </c>
      <c r="P7027" s="47">
        <v>1</v>
      </c>
      <c r="Q7027" s="47">
        <v>0</v>
      </c>
      <c r="R7027" s="47">
        <v>0</v>
      </c>
      <c r="S7027" s="48">
        <v>1</v>
      </c>
      <c r="T7027" s="47">
        <v>0</v>
      </c>
      <c r="U7027" s="47">
        <v>0</v>
      </c>
      <c r="V7027" s="47">
        <v>2</v>
      </c>
      <c r="W7027" s="47">
        <v>5000</v>
      </c>
      <c r="X7027" s="47">
        <v>1197</v>
      </c>
      <c r="Y7027" s="47"/>
      <c r="Z7027" s="47" t="s">
        <v>2466</v>
      </c>
      <c r="AA7027" s="49"/>
      <c r="AB7027" s="49"/>
      <c r="AC7027" s="49"/>
      <c r="AD7027" s="50"/>
      <c r="AE7027" s="47" t="s">
        <v>6445</v>
      </c>
      <c r="AF7027" s="47">
        <v>135</v>
      </c>
      <c r="AG7027"/>
      <c r="AH7027"/>
      <c r="AI7027"/>
      <c r="AJ7027"/>
      <c r="AK7027"/>
      <c r="AL7027"/>
      <c r="AM7027"/>
      <c r="AN7027"/>
      <c r="AO7027"/>
      <c r="AP7027"/>
      <c r="AQ7027" t="s">
        <v>2526</v>
      </c>
      <c r="AU7027">
        <v>7026</v>
      </c>
    </row>
    <row r="7028" spans="1:47" x14ac:dyDescent="0.2">
      <c r="A7028" s="133">
        <v>6876</v>
      </c>
      <c r="B7028" s="39" t="s">
        <v>45</v>
      </c>
      <c r="C7028" s="39">
        <v>115</v>
      </c>
      <c r="D7028" s="29" t="b">
        <v>0</v>
      </c>
      <c r="E7028" s="39" t="s">
        <v>7604</v>
      </c>
      <c r="F7028" s="47" t="s">
        <v>2398</v>
      </c>
      <c r="G7028" s="47" t="s">
        <v>49</v>
      </c>
      <c r="H7028"/>
      <c r="I7028" s="47" t="b">
        <v>1</v>
      </c>
      <c r="J7028" s="47" t="b">
        <v>1</v>
      </c>
      <c r="K7028" s="47">
        <v>3788</v>
      </c>
      <c r="L7028" s="48">
        <v>4</v>
      </c>
      <c r="M7028" s="47">
        <v>1</v>
      </c>
      <c r="N7028" s="47">
        <v>0</v>
      </c>
      <c r="O7028" s="47">
        <v>0</v>
      </c>
      <c r="P7028" s="47">
        <v>0</v>
      </c>
      <c r="Q7028" s="47">
        <v>0</v>
      </c>
      <c r="R7028" s="47">
        <v>0</v>
      </c>
      <c r="S7028" s="48">
        <v>3</v>
      </c>
      <c r="T7028" s="47">
        <v>0</v>
      </c>
      <c r="U7028" s="47">
        <v>0</v>
      </c>
      <c r="V7028" s="47">
        <v>0</v>
      </c>
      <c r="W7028" s="47">
        <v>6000</v>
      </c>
      <c r="X7028" s="47">
        <v>1184</v>
      </c>
      <c r="Y7028" s="47"/>
      <c r="Z7028" s="47" t="s">
        <v>2466</v>
      </c>
      <c r="AA7028" s="49"/>
      <c r="AB7028" s="49"/>
      <c r="AC7028" s="49"/>
      <c r="AD7028" s="50"/>
      <c r="AE7028" s="47" t="s">
        <v>7118</v>
      </c>
      <c r="AF7028" s="47">
        <v>120</v>
      </c>
      <c r="AG7028"/>
      <c r="AH7028"/>
      <c r="AI7028"/>
      <c r="AJ7028"/>
      <c r="AK7028"/>
      <c r="AL7028"/>
      <c r="AM7028"/>
      <c r="AN7028"/>
      <c r="AO7028"/>
      <c r="AP7028"/>
      <c r="AQ7028" t="s">
        <v>2526</v>
      </c>
      <c r="AR7028" s="32" t="s">
        <v>7119</v>
      </c>
      <c r="AU7028">
        <v>7027</v>
      </c>
    </row>
    <row r="7029" spans="1:47" x14ac:dyDescent="0.2">
      <c r="A7029" s="133">
        <v>6876</v>
      </c>
      <c r="B7029" s="39" t="s">
        <v>45</v>
      </c>
      <c r="C7029" s="39">
        <v>115</v>
      </c>
      <c r="D7029" s="29" t="b">
        <v>0</v>
      </c>
      <c r="E7029" s="39" t="s">
        <v>1764</v>
      </c>
      <c r="F7029" s="47" t="s">
        <v>348</v>
      </c>
      <c r="G7029" s="47" t="s">
        <v>49</v>
      </c>
      <c r="H7029"/>
      <c r="I7029" s="47" t="b">
        <v>0</v>
      </c>
      <c r="J7029" s="47" t="b">
        <v>0</v>
      </c>
      <c r="K7029" s="47">
        <v>998</v>
      </c>
      <c r="L7029" s="48">
        <v>4</v>
      </c>
      <c r="M7029" s="47">
        <v>1</v>
      </c>
      <c r="N7029" s="47">
        <v>0</v>
      </c>
      <c r="O7029" s="47">
        <v>0</v>
      </c>
      <c r="P7029" s="47">
        <v>0</v>
      </c>
      <c r="Q7029" s="47">
        <v>0</v>
      </c>
      <c r="R7029" s="47">
        <v>0</v>
      </c>
      <c r="S7029" s="48">
        <v>1</v>
      </c>
      <c r="T7029" s="47">
        <v>0</v>
      </c>
      <c r="U7029" s="47">
        <v>0</v>
      </c>
      <c r="V7029" s="47">
        <v>0</v>
      </c>
      <c r="W7029" s="47">
        <v>6000</v>
      </c>
      <c r="X7029" s="47">
        <v>1185</v>
      </c>
      <c r="Y7029" s="47"/>
      <c r="Z7029" s="47" t="s">
        <v>2466</v>
      </c>
      <c r="AA7029" s="49"/>
      <c r="AB7029" s="49"/>
      <c r="AC7029" s="49"/>
      <c r="AD7029" s="50"/>
      <c r="AE7029" s="47" t="s">
        <v>7118</v>
      </c>
      <c r="AF7029" s="47">
        <v>95</v>
      </c>
      <c r="AG7029"/>
      <c r="AH7029"/>
      <c r="AI7029"/>
      <c r="AJ7029"/>
      <c r="AK7029"/>
      <c r="AL7029"/>
      <c r="AM7029"/>
      <c r="AN7029"/>
      <c r="AO7029"/>
      <c r="AP7029"/>
      <c r="AQ7029" t="s">
        <v>2526</v>
      </c>
      <c r="AR7029" s="32" t="s">
        <v>7119</v>
      </c>
      <c r="AU7029">
        <v>7028</v>
      </c>
    </row>
    <row r="7030" spans="1:47" x14ac:dyDescent="0.2">
      <c r="A7030" s="133">
        <v>6876</v>
      </c>
      <c r="B7030" s="39" t="s">
        <v>45</v>
      </c>
      <c r="C7030" s="39">
        <v>115</v>
      </c>
      <c r="D7030" s="29" t="b">
        <v>0</v>
      </c>
      <c r="E7030" s="39" t="s">
        <v>3063</v>
      </c>
      <c r="F7030" s="47" t="s">
        <v>348</v>
      </c>
      <c r="G7030" s="47" t="s">
        <v>49</v>
      </c>
      <c r="H7030"/>
      <c r="I7030" s="47" t="b">
        <v>0</v>
      </c>
      <c r="J7030" s="47" t="b">
        <v>0</v>
      </c>
      <c r="K7030" s="47">
        <v>2790</v>
      </c>
      <c r="L7030" s="48">
        <v>4</v>
      </c>
      <c r="M7030" s="47">
        <v>1</v>
      </c>
      <c r="N7030" s="47">
        <v>0</v>
      </c>
      <c r="O7030" s="47">
        <v>0</v>
      </c>
      <c r="P7030" s="47">
        <v>0</v>
      </c>
      <c r="Q7030" s="47">
        <v>0</v>
      </c>
      <c r="R7030" s="47">
        <v>0</v>
      </c>
      <c r="S7030" s="48">
        <v>2</v>
      </c>
      <c r="T7030" s="47">
        <v>0</v>
      </c>
      <c r="U7030" s="47">
        <v>0</v>
      </c>
      <c r="V7030" s="47">
        <v>0</v>
      </c>
      <c r="W7030" s="47">
        <v>6000</v>
      </c>
      <c r="X7030" s="47">
        <v>1191</v>
      </c>
      <c r="Y7030" s="47"/>
      <c r="Z7030" s="47" t="s">
        <v>2466</v>
      </c>
      <c r="AA7030" s="49"/>
      <c r="AB7030" s="49"/>
      <c r="AC7030" s="49"/>
      <c r="AD7030" s="50"/>
      <c r="AE7030" s="47" t="s">
        <v>7118</v>
      </c>
      <c r="AF7030" s="47">
        <v>120</v>
      </c>
      <c r="AG7030"/>
      <c r="AH7030"/>
      <c r="AI7030"/>
      <c r="AJ7030"/>
      <c r="AK7030"/>
      <c r="AL7030"/>
      <c r="AM7030"/>
      <c r="AN7030"/>
      <c r="AO7030"/>
      <c r="AP7030"/>
      <c r="AQ7030" t="s">
        <v>2526</v>
      </c>
      <c r="AR7030" s="32" t="s">
        <v>7119</v>
      </c>
      <c r="AU7030">
        <v>7029</v>
      </c>
    </row>
    <row r="7031" spans="1:47" x14ac:dyDescent="0.2">
      <c r="A7031" s="133">
        <v>6876</v>
      </c>
      <c r="B7031" s="39" t="s">
        <v>45</v>
      </c>
      <c r="C7031" s="39">
        <v>215</v>
      </c>
      <c r="D7031" s="29" t="b">
        <v>0</v>
      </c>
      <c r="E7031" s="39" t="s">
        <v>7605</v>
      </c>
      <c r="F7031" s="47" t="s">
        <v>5176</v>
      </c>
      <c r="G7031" s="47" t="s">
        <v>49</v>
      </c>
      <c r="H7031"/>
      <c r="I7031" s="47" t="b">
        <v>0</v>
      </c>
      <c r="J7031" s="47" t="b">
        <v>1</v>
      </c>
      <c r="K7031" s="47">
        <v>1446</v>
      </c>
      <c r="L7031" s="48">
        <v>9</v>
      </c>
      <c r="M7031" s="47">
        <v>5</v>
      </c>
      <c r="N7031" s="47">
        <v>3</v>
      </c>
      <c r="O7031" s="47">
        <v>0</v>
      </c>
      <c r="P7031" s="47">
        <v>1</v>
      </c>
      <c r="Q7031" s="47">
        <v>0</v>
      </c>
      <c r="R7031" s="47">
        <v>0</v>
      </c>
      <c r="S7031" s="48">
        <v>1</v>
      </c>
      <c r="T7031" s="47">
        <v>0</v>
      </c>
      <c r="U7031" s="47">
        <v>0</v>
      </c>
      <c r="V7031" s="47">
        <v>0</v>
      </c>
      <c r="W7031" s="47">
        <v>1800</v>
      </c>
      <c r="X7031" s="47">
        <v>1192</v>
      </c>
      <c r="Y7031" s="47"/>
      <c r="Z7031" s="47" t="s">
        <v>2466</v>
      </c>
      <c r="AA7031" s="49"/>
      <c r="AB7031" s="49"/>
      <c r="AC7031" s="49"/>
      <c r="AD7031" s="50"/>
      <c r="AE7031" s="47"/>
      <c r="AF7031" s="47"/>
      <c r="AG7031"/>
      <c r="AH7031"/>
      <c r="AI7031"/>
      <c r="AJ7031"/>
      <c r="AK7031"/>
      <c r="AL7031"/>
      <c r="AM7031"/>
      <c r="AN7031"/>
      <c r="AO7031"/>
      <c r="AP7031"/>
      <c r="AQ7031" t="s">
        <v>2526</v>
      </c>
      <c r="AU7031">
        <v>7030</v>
      </c>
    </row>
    <row r="7032" spans="1:47" x14ac:dyDescent="0.2">
      <c r="A7032" s="133">
        <v>6876</v>
      </c>
      <c r="B7032" s="39" t="s">
        <v>45</v>
      </c>
      <c r="C7032" s="39">
        <v>216</v>
      </c>
      <c r="D7032" s="29" t="b">
        <v>0</v>
      </c>
      <c r="E7032" s="39" t="s">
        <v>7606</v>
      </c>
      <c r="F7032" s="47" t="s">
        <v>7456</v>
      </c>
      <c r="G7032" s="47" t="s">
        <v>49</v>
      </c>
      <c r="H7032"/>
      <c r="I7032" s="47" t="b">
        <v>1</v>
      </c>
      <c r="J7032" s="47" t="b">
        <v>1</v>
      </c>
      <c r="K7032" s="47">
        <v>8634</v>
      </c>
      <c r="L7032" s="48">
        <v>8</v>
      </c>
      <c r="M7032" s="47">
        <v>2</v>
      </c>
      <c r="N7032" s="47">
        <v>0</v>
      </c>
      <c r="O7032" s="47">
        <v>0</v>
      </c>
      <c r="P7032" s="47">
        <v>6</v>
      </c>
      <c r="Q7032" s="47">
        <v>0</v>
      </c>
      <c r="R7032" s="47">
        <v>0</v>
      </c>
      <c r="S7032" s="48">
        <v>6</v>
      </c>
      <c r="T7032" s="47">
        <v>0</v>
      </c>
      <c r="U7032" s="47">
        <v>0</v>
      </c>
      <c r="V7032" s="47">
        <v>0</v>
      </c>
      <c r="W7032" s="47">
        <v>5833</v>
      </c>
      <c r="X7032" s="47">
        <v>1193</v>
      </c>
      <c r="Y7032" s="47"/>
      <c r="Z7032" s="47" t="s">
        <v>2466</v>
      </c>
      <c r="AA7032" s="49"/>
      <c r="AB7032" s="49"/>
      <c r="AC7032" s="49"/>
      <c r="AD7032" s="50"/>
      <c r="AE7032" s="47" t="s">
        <v>1312</v>
      </c>
      <c r="AF7032" s="47">
        <v>135</v>
      </c>
      <c r="AG7032"/>
      <c r="AH7032"/>
      <c r="AI7032"/>
      <c r="AJ7032"/>
      <c r="AK7032"/>
      <c r="AL7032"/>
      <c r="AM7032"/>
      <c r="AN7032"/>
      <c r="AO7032"/>
      <c r="AP7032"/>
      <c r="AQ7032" t="s">
        <v>2526</v>
      </c>
      <c r="AU7032">
        <v>7031</v>
      </c>
    </row>
    <row r="7033" spans="1:47" x14ac:dyDescent="0.2">
      <c r="A7033" s="133">
        <v>6876</v>
      </c>
      <c r="B7033" s="39" t="s">
        <v>45</v>
      </c>
      <c r="C7033" s="39">
        <v>216</v>
      </c>
      <c r="D7033" s="29" t="b">
        <v>0</v>
      </c>
      <c r="E7033" s="39" t="s">
        <v>1006</v>
      </c>
      <c r="F7033" s="47" t="s">
        <v>2398</v>
      </c>
      <c r="G7033" s="47" t="s">
        <v>49</v>
      </c>
      <c r="H7033"/>
      <c r="I7033" s="47" t="b">
        <v>0</v>
      </c>
      <c r="J7033" s="47" t="b">
        <v>0</v>
      </c>
      <c r="K7033" s="47">
        <v>1650</v>
      </c>
      <c r="L7033" s="48">
        <v>8</v>
      </c>
      <c r="M7033" s="47">
        <v>2</v>
      </c>
      <c r="N7033" s="47">
        <v>0</v>
      </c>
      <c r="O7033" s="47">
        <v>0</v>
      </c>
      <c r="P7033" s="47">
        <v>6</v>
      </c>
      <c r="Q7033" s="47">
        <v>0</v>
      </c>
      <c r="R7033" s="47">
        <v>0</v>
      </c>
      <c r="S7033" s="48">
        <v>1</v>
      </c>
      <c r="T7033" s="47">
        <v>0</v>
      </c>
      <c r="U7033" s="47">
        <v>0</v>
      </c>
      <c r="V7033" s="47">
        <v>0</v>
      </c>
      <c r="W7033" s="47">
        <v>6000</v>
      </c>
      <c r="X7033" s="47">
        <v>1194</v>
      </c>
      <c r="Y7033" s="47"/>
      <c r="Z7033" s="47" t="s">
        <v>2466</v>
      </c>
      <c r="AA7033" s="49"/>
      <c r="AB7033" s="49"/>
      <c r="AC7033" s="49"/>
      <c r="AD7033" s="50"/>
      <c r="AE7033" s="47" t="s">
        <v>1312</v>
      </c>
      <c r="AF7033" s="47">
        <v>135</v>
      </c>
      <c r="AG7033"/>
      <c r="AH7033"/>
      <c r="AI7033"/>
      <c r="AJ7033"/>
      <c r="AK7033"/>
      <c r="AL7033"/>
      <c r="AM7033"/>
      <c r="AN7033"/>
      <c r="AO7033"/>
      <c r="AP7033"/>
      <c r="AQ7033" t="s">
        <v>2526</v>
      </c>
      <c r="AU7033">
        <v>7032</v>
      </c>
    </row>
    <row r="7034" spans="1:47" x14ac:dyDescent="0.2">
      <c r="A7034" s="133">
        <v>6876</v>
      </c>
      <c r="B7034" s="39" t="s">
        <v>45</v>
      </c>
      <c r="C7034" s="39">
        <v>216</v>
      </c>
      <c r="D7034" s="29" t="b">
        <v>0</v>
      </c>
      <c r="E7034" s="39" t="s">
        <v>1764</v>
      </c>
      <c r="F7034" s="47" t="s">
        <v>7607</v>
      </c>
      <c r="G7034" s="47" t="s">
        <v>49</v>
      </c>
      <c r="H7034"/>
      <c r="I7034" s="47" t="b">
        <v>0</v>
      </c>
      <c r="J7034" s="47" t="b">
        <v>0</v>
      </c>
      <c r="K7034" s="47">
        <v>2912</v>
      </c>
      <c r="L7034" s="48">
        <v>8</v>
      </c>
      <c r="M7034" s="47">
        <v>2</v>
      </c>
      <c r="N7034" s="47">
        <v>0</v>
      </c>
      <c r="O7034" s="47">
        <v>0</v>
      </c>
      <c r="P7034" s="47">
        <v>6</v>
      </c>
      <c r="Q7034" s="47">
        <v>0</v>
      </c>
      <c r="R7034" s="47">
        <v>0</v>
      </c>
      <c r="S7034" s="48">
        <v>2</v>
      </c>
      <c r="T7034" s="47">
        <v>0</v>
      </c>
      <c r="U7034" s="47">
        <v>0</v>
      </c>
      <c r="V7034" s="47">
        <v>0</v>
      </c>
      <c r="W7034" s="47">
        <v>5500</v>
      </c>
      <c r="X7034" s="47">
        <v>1195</v>
      </c>
      <c r="Y7034" s="47"/>
      <c r="Z7034" s="47" t="s">
        <v>2466</v>
      </c>
      <c r="AA7034" s="49"/>
      <c r="AB7034" s="49"/>
      <c r="AC7034" s="49"/>
      <c r="AD7034" s="50"/>
      <c r="AE7034" s="47" t="s">
        <v>1312</v>
      </c>
      <c r="AF7034" s="31">
        <v>85</v>
      </c>
      <c r="AG7034"/>
      <c r="AH7034"/>
      <c r="AI7034"/>
      <c r="AJ7034"/>
      <c r="AK7034"/>
      <c r="AL7034"/>
      <c r="AM7034"/>
      <c r="AN7034"/>
      <c r="AO7034"/>
      <c r="AP7034"/>
      <c r="AQ7034" t="s">
        <v>2526</v>
      </c>
      <c r="AU7034">
        <v>7033</v>
      </c>
    </row>
    <row r="7035" spans="1:47" x14ac:dyDescent="0.2">
      <c r="A7035" s="133">
        <v>6876</v>
      </c>
      <c r="B7035" s="39" t="s">
        <v>45</v>
      </c>
      <c r="C7035" s="39">
        <v>216</v>
      </c>
      <c r="D7035" s="29" t="b">
        <v>0</v>
      </c>
      <c r="E7035" s="39" t="s">
        <v>858</v>
      </c>
      <c r="F7035" s="47" t="s">
        <v>1663</v>
      </c>
      <c r="G7035" s="47" t="s">
        <v>481</v>
      </c>
      <c r="H7035"/>
      <c r="I7035" s="47" t="b">
        <v>0</v>
      </c>
      <c r="J7035" s="47" t="b">
        <v>0</v>
      </c>
      <c r="K7035" s="47">
        <v>4072</v>
      </c>
      <c r="L7035" s="48">
        <v>8</v>
      </c>
      <c r="M7035" s="47">
        <v>2</v>
      </c>
      <c r="N7035" s="47">
        <v>0</v>
      </c>
      <c r="O7035" s="47">
        <v>0</v>
      </c>
      <c r="P7035" s="47">
        <v>6</v>
      </c>
      <c r="Q7035" s="47">
        <v>0</v>
      </c>
      <c r="R7035" s="47">
        <v>0</v>
      </c>
      <c r="S7035" s="48">
        <v>3</v>
      </c>
      <c r="T7035" s="47">
        <v>0</v>
      </c>
      <c r="U7035" s="47">
        <v>0</v>
      </c>
      <c r="V7035" s="47">
        <v>0</v>
      </c>
      <c r="W7035" s="47">
        <v>6000</v>
      </c>
      <c r="X7035" s="47">
        <v>1196</v>
      </c>
      <c r="Y7035" s="47"/>
      <c r="Z7035" s="47" t="s">
        <v>2466</v>
      </c>
      <c r="AA7035" s="49"/>
      <c r="AB7035" s="49"/>
      <c r="AC7035" s="49"/>
      <c r="AD7035" s="50"/>
      <c r="AE7035" s="47" t="s">
        <v>1312</v>
      </c>
      <c r="AF7035" s="47">
        <v>105</v>
      </c>
      <c r="AG7035"/>
      <c r="AH7035"/>
      <c r="AI7035"/>
      <c r="AJ7035"/>
      <c r="AK7035"/>
      <c r="AL7035"/>
      <c r="AM7035"/>
      <c r="AN7035"/>
      <c r="AO7035"/>
      <c r="AP7035"/>
      <c r="AQ7035" t="s">
        <v>2526</v>
      </c>
      <c r="AU7035">
        <v>7034</v>
      </c>
    </row>
    <row r="7036" spans="1:47" x14ac:dyDescent="0.2">
      <c r="A7036" s="13">
        <v>6876</v>
      </c>
      <c r="B7036" s="57" t="s">
        <v>45</v>
      </c>
      <c r="C7036" s="57" t="s">
        <v>142</v>
      </c>
      <c r="D7036" s="29"/>
      <c r="E7036" s="57" t="s">
        <v>7608</v>
      </c>
      <c r="F7036" s="31" t="s">
        <v>76</v>
      </c>
      <c r="G7036" s="31" t="s">
        <v>49</v>
      </c>
      <c r="I7036" s="31" t="s">
        <v>7609</v>
      </c>
      <c r="K7036" s="31">
        <v>1914</v>
      </c>
      <c r="L7036" s="33">
        <v>9</v>
      </c>
      <c r="M7036" s="31">
        <v>6</v>
      </c>
      <c r="N7036" s="31">
        <v>1</v>
      </c>
      <c r="S7036" s="33">
        <v>2</v>
      </c>
      <c r="T7036" s="31">
        <v>0</v>
      </c>
      <c r="U7036" s="31">
        <v>0</v>
      </c>
      <c r="V7036" s="31">
        <v>1</v>
      </c>
      <c r="Y7036" s="31" t="s">
        <v>51</v>
      </c>
      <c r="Z7036" s="31" t="s">
        <v>7420</v>
      </c>
      <c r="AE7036" s="31" t="s">
        <v>2470</v>
      </c>
      <c r="AF7036" s="31">
        <v>80</v>
      </c>
      <c r="AK7036" s="32">
        <v>13</v>
      </c>
      <c r="AQ7036" s="32" t="s">
        <v>7610</v>
      </c>
      <c r="AU7036">
        <v>7035</v>
      </c>
    </row>
    <row r="7037" spans="1:47" x14ac:dyDescent="0.2">
      <c r="A7037" s="13">
        <v>6876</v>
      </c>
      <c r="B7037" s="57" t="s">
        <v>45</v>
      </c>
      <c r="C7037" s="57" t="s">
        <v>1367</v>
      </c>
      <c r="D7037" s="29"/>
      <c r="E7037" s="57" t="s">
        <v>1400</v>
      </c>
      <c r="F7037" s="31" t="s">
        <v>76</v>
      </c>
      <c r="G7037" s="31" t="s">
        <v>49</v>
      </c>
      <c r="K7037" s="31">
        <v>2912.8</v>
      </c>
      <c r="AE7037" s="31" t="s">
        <v>4176</v>
      </c>
      <c r="AF7037" s="31">
        <v>90</v>
      </c>
      <c r="AK7037" s="32">
        <v>24</v>
      </c>
      <c r="AQ7037" s="32" t="s">
        <v>7509</v>
      </c>
      <c r="AU7037">
        <v>7036</v>
      </c>
    </row>
    <row r="7038" spans="1:47" x14ac:dyDescent="0.2">
      <c r="A7038" s="13">
        <v>6876</v>
      </c>
      <c r="B7038" s="57" t="s">
        <v>45</v>
      </c>
      <c r="C7038" s="57" t="s">
        <v>1367</v>
      </c>
      <c r="D7038" s="29"/>
      <c r="E7038" s="57" t="s">
        <v>7611</v>
      </c>
      <c r="F7038" s="31" t="s">
        <v>76</v>
      </c>
      <c r="G7038" s="31" t="s">
        <v>49</v>
      </c>
      <c r="K7038" s="31">
        <v>1012</v>
      </c>
      <c r="AE7038" s="31" t="s">
        <v>4176</v>
      </c>
      <c r="AF7038" s="31">
        <v>60</v>
      </c>
      <c r="AK7038" s="32">
        <v>10</v>
      </c>
      <c r="AQ7038" s="32" t="s">
        <v>7509</v>
      </c>
      <c r="AU7038">
        <v>7037</v>
      </c>
    </row>
    <row r="7039" spans="1:47" x14ac:dyDescent="0.2">
      <c r="A7039" s="13">
        <v>6876</v>
      </c>
      <c r="B7039" s="57" t="s">
        <v>45</v>
      </c>
      <c r="C7039" s="57" t="s">
        <v>1367</v>
      </c>
      <c r="D7039" s="29"/>
      <c r="E7039" s="57" t="s">
        <v>7612</v>
      </c>
      <c r="F7039" s="31" t="s">
        <v>76</v>
      </c>
      <c r="G7039" s="31" t="s">
        <v>49</v>
      </c>
      <c r="K7039" s="31">
        <v>880</v>
      </c>
      <c r="AE7039" s="31" t="s">
        <v>4176</v>
      </c>
      <c r="AF7039" s="31">
        <v>75</v>
      </c>
      <c r="AK7039" s="32">
        <v>8</v>
      </c>
      <c r="AQ7039" s="32" t="s">
        <v>7509</v>
      </c>
      <c r="AU7039">
        <v>7038</v>
      </c>
    </row>
    <row r="7040" spans="1:47" x14ac:dyDescent="0.2">
      <c r="A7040" s="13">
        <v>6876</v>
      </c>
      <c r="B7040" s="57" t="s">
        <v>45</v>
      </c>
      <c r="C7040" s="57" t="s">
        <v>1367</v>
      </c>
      <c r="D7040" s="29"/>
      <c r="E7040" s="57" t="s">
        <v>2191</v>
      </c>
      <c r="F7040" s="31" t="s">
        <v>76</v>
      </c>
      <c r="G7040" s="31" t="s">
        <v>49</v>
      </c>
      <c r="K7040" s="31">
        <v>880</v>
      </c>
      <c r="AE7040" s="31" t="s">
        <v>4176</v>
      </c>
      <c r="AF7040" s="31">
        <v>80</v>
      </c>
      <c r="AK7040" s="32">
        <v>8</v>
      </c>
      <c r="AQ7040" s="32" t="s">
        <v>7509</v>
      </c>
      <c r="AU7040">
        <v>7039</v>
      </c>
    </row>
    <row r="7041" spans="1:47" x14ac:dyDescent="0.2">
      <c r="A7041" s="13">
        <v>6876</v>
      </c>
      <c r="B7041" s="57" t="s">
        <v>45</v>
      </c>
      <c r="C7041" s="57" t="s">
        <v>1367</v>
      </c>
      <c r="D7041" s="29"/>
      <c r="E7041" s="57" t="s">
        <v>6703</v>
      </c>
      <c r="F7041" s="31" t="s">
        <v>204</v>
      </c>
      <c r="G7041" s="31" t="s">
        <v>205</v>
      </c>
      <c r="K7041" s="31">
        <v>880</v>
      </c>
      <c r="AE7041" s="31" t="s">
        <v>4176</v>
      </c>
      <c r="AF7041" s="31">
        <v>60</v>
      </c>
      <c r="AK7041" s="32">
        <v>8</v>
      </c>
      <c r="AQ7041" s="32" t="s">
        <v>7509</v>
      </c>
      <c r="AU7041">
        <v>7040</v>
      </c>
    </row>
    <row r="7042" spans="1:47" x14ac:dyDescent="0.2">
      <c r="A7042" s="13">
        <v>6876</v>
      </c>
      <c r="B7042" s="57" t="s">
        <v>45</v>
      </c>
      <c r="C7042" s="57" t="s">
        <v>4843</v>
      </c>
      <c r="D7042" s="29"/>
      <c r="E7042" s="57" t="s">
        <v>7227</v>
      </c>
      <c r="F7042" s="31" t="s">
        <v>76</v>
      </c>
      <c r="G7042" s="31" t="s">
        <v>49</v>
      </c>
      <c r="I7042" s="31" t="s">
        <v>7613</v>
      </c>
      <c r="K7042" s="31">
        <v>2640</v>
      </c>
      <c r="S7042" s="33">
        <v>6</v>
      </c>
      <c r="AE7042" s="31" t="s">
        <v>4788</v>
      </c>
      <c r="AF7042" s="31">
        <v>85</v>
      </c>
      <c r="AK7042" s="32">
        <v>24</v>
      </c>
      <c r="AQ7042" s="32" t="s">
        <v>7491</v>
      </c>
      <c r="AU7042">
        <v>7041</v>
      </c>
    </row>
    <row r="7043" spans="1:47" x14ac:dyDescent="0.2">
      <c r="A7043" s="13">
        <v>6876</v>
      </c>
      <c r="B7043" s="57" t="s">
        <v>45</v>
      </c>
      <c r="C7043" s="57" t="s">
        <v>4179</v>
      </c>
      <c r="D7043" s="29"/>
      <c r="E7043" s="57" t="s">
        <v>3816</v>
      </c>
      <c r="F7043" s="31" t="s">
        <v>76</v>
      </c>
      <c r="G7043" s="31" t="s">
        <v>49</v>
      </c>
      <c r="K7043" s="31">
        <v>2090</v>
      </c>
      <c r="Z7043" s="31" t="s">
        <v>3814</v>
      </c>
      <c r="AE7043" s="31" t="s">
        <v>5034</v>
      </c>
      <c r="AF7043" s="31">
        <v>85</v>
      </c>
      <c r="AK7043" s="32">
        <v>26</v>
      </c>
      <c r="AQ7043" s="32" t="s">
        <v>7491</v>
      </c>
      <c r="AU7043">
        <v>7042</v>
      </c>
    </row>
    <row r="7044" spans="1:47" x14ac:dyDescent="0.2">
      <c r="A7044" s="13">
        <v>6876</v>
      </c>
      <c r="B7044" s="57" t="s">
        <v>45</v>
      </c>
      <c r="C7044" s="57" t="s">
        <v>4179</v>
      </c>
      <c r="D7044" s="29"/>
      <c r="E7044" s="57" t="s">
        <v>4182</v>
      </c>
      <c r="F7044" s="31" t="s">
        <v>76</v>
      </c>
      <c r="G7044" s="31" t="s">
        <v>49</v>
      </c>
      <c r="K7044" s="31">
        <v>770</v>
      </c>
      <c r="Z7044" s="31" t="s">
        <v>3814</v>
      </c>
      <c r="AE7044" s="31" t="s">
        <v>5034</v>
      </c>
      <c r="AF7044" s="31">
        <v>110</v>
      </c>
      <c r="AK7044" s="32">
        <v>15</v>
      </c>
      <c r="AQ7044" s="32" t="s">
        <v>7491</v>
      </c>
      <c r="AU7044">
        <v>7043</v>
      </c>
    </row>
    <row r="7045" spans="1:47" x14ac:dyDescent="0.2">
      <c r="A7045" s="13">
        <v>6876</v>
      </c>
      <c r="B7045" s="57" t="s">
        <v>45</v>
      </c>
      <c r="C7045" s="57" t="s">
        <v>4179</v>
      </c>
      <c r="D7045" s="29"/>
      <c r="E7045" s="57" t="s">
        <v>7614</v>
      </c>
      <c r="F7045" s="31" t="s">
        <v>3183</v>
      </c>
      <c r="G7045" s="31" t="s">
        <v>49</v>
      </c>
      <c r="K7045" s="31">
        <v>3608</v>
      </c>
      <c r="Z7045" s="31" t="s">
        <v>3814</v>
      </c>
      <c r="AE7045" s="31" t="s">
        <v>5034</v>
      </c>
      <c r="AF7045" s="31">
        <v>110</v>
      </c>
      <c r="AK7045" s="32">
        <v>45</v>
      </c>
      <c r="AQ7045" s="32" t="s">
        <v>7491</v>
      </c>
      <c r="AU7045">
        <v>7044</v>
      </c>
    </row>
    <row r="7046" spans="1:47" x14ac:dyDescent="0.2">
      <c r="A7046" s="13">
        <v>6876</v>
      </c>
      <c r="B7046" s="57" t="s">
        <v>45</v>
      </c>
      <c r="C7046" s="57" t="s">
        <v>4179</v>
      </c>
      <c r="D7046" s="29"/>
      <c r="E7046" s="57" t="s">
        <v>5937</v>
      </c>
      <c r="F7046" s="31" t="s">
        <v>76</v>
      </c>
      <c r="G7046" s="31" t="s">
        <v>49</v>
      </c>
      <c r="K7046" s="31">
        <v>4928</v>
      </c>
      <c r="Z7046" s="31" t="s">
        <v>3814</v>
      </c>
      <c r="AE7046" s="31" t="s">
        <v>5034</v>
      </c>
      <c r="AF7046" s="31">
        <v>90</v>
      </c>
      <c r="AK7046" s="32">
        <v>53</v>
      </c>
      <c r="AQ7046" s="32" t="s">
        <v>7491</v>
      </c>
      <c r="AU7046">
        <v>7045</v>
      </c>
    </row>
    <row r="7047" spans="1:47" x14ac:dyDescent="0.2">
      <c r="A7047" s="13">
        <v>6876</v>
      </c>
      <c r="B7047" s="57" t="s">
        <v>45</v>
      </c>
      <c r="C7047" s="57" t="s">
        <v>5860</v>
      </c>
      <c r="D7047" s="29"/>
      <c r="E7047" s="57" t="s">
        <v>7564</v>
      </c>
      <c r="F7047" s="31" t="s">
        <v>83</v>
      </c>
      <c r="G7047" s="31" t="s">
        <v>69</v>
      </c>
      <c r="K7047" s="31">
        <v>3190</v>
      </c>
      <c r="AE7047" s="31" t="s">
        <v>7241</v>
      </c>
      <c r="AF7047" s="31">
        <v>90</v>
      </c>
      <c r="AK7047" s="32">
        <v>29</v>
      </c>
      <c r="AQ7047" s="32" t="s">
        <v>7491</v>
      </c>
      <c r="AU7047">
        <v>7046</v>
      </c>
    </row>
    <row r="7048" spans="1:47" x14ac:dyDescent="0.2">
      <c r="A7048" s="13">
        <v>6876</v>
      </c>
      <c r="B7048" s="57" t="s">
        <v>45</v>
      </c>
      <c r="C7048" s="57" t="s">
        <v>5860</v>
      </c>
      <c r="D7048" s="29"/>
      <c r="E7048" s="57" t="s">
        <v>3884</v>
      </c>
      <c r="F7048" s="31" t="s">
        <v>76</v>
      </c>
      <c r="G7048" s="31" t="s">
        <v>49</v>
      </c>
      <c r="K7048" s="31">
        <v>2530</v>
      </c>
      <c r="AE7048" s="31" t="s">
        <v>7241</v>
      </c>
      <c r="AF7048" s="31">
        <v>90</v>
      </c>
      <c r="AK7048" s="32">
        <v>23</v>
      </c>
      <c r="AQ7048" s="32" t="s">
        <v>7491</v>
      </c>
      <c r="AU7048">
        <v>7047</v>
      </c>
    </row>
    <row r="7049" spans="1:47" x14ac:dyDescent="0.2">
      <c r="A7049" s="13">
        <v>6876</v>
      </c>
      <c r="B7049" s="57" t="s">
        <v>45</v>
      </c>
      <c r="C7049" s="57" t="s">
        <v>5860</v>
      </c>
      <c r="D7049" s="29"/>
      <c r="E7049" s="57" t="s">
        <v>3816</v>
      </c>
      <c r="F7049" s="31" t="s">
        <v>76</v>
      </c>
      <c r="G7049" s="31" t="s">
        <v>49</v>
      </c>
      <c r="K7049" s="31">
        <v>1210</v>
      </c>
      <c r="AE7049" s="31" t="s">
        <v>7241</v>
      </c>
      <c r="AF7049" s="31">
        <v>115</v>
      </c>
      <c r="AK7049" s="32">
        <v>11</v>
      </c>
      <c r="AQ7049" s="32" t="s">
        <v>7491</v>
      </c>
      <c r="AU7049">
        <v>7048</v>
      </c>
    </row>
    <row r="7050" spans="1:47" x14ac:dyDescent="0.2">
      <c r="A7050" s="13">
        <v>6876</v>
      </c>
      <c r="B7050" s="57" t="s">
        <v>45</v>
      </c>
      <c r="C7050" s="57" t="s">
        <v>5860</v>
      </c>
      <c r="D7050" s="29"/>
      <c r="E7050" s="57" t="s">
        <v>5937</v>
      </c>
      <c r="F7050" s="31" t="s">
        <v>76</v>
      </c>
      <c r="G7050" s="31" t="s">
        <v>49</v>
      </c>
      <c r="K7050" s="31">
        <v>1100</v>
      </c>
      <c r="AE7050" s="31" t="s">
        <v>7241</v>
      </c>
      <c r="AF7050" s="31">
        <v>100</v>
      </c>
      <c r="AK7050" s="32">
        <v>10</v>
      </c>
      <c r="AQ7050" s="32" t="s">
        <v>7491</v>
      </c>
      <c r="AU7050">
        <v>7049</v>
      </c>
    </row>
    <row r="7051" spans="1:47" x14ac:dyDescent="0.2">
      <c r="A7051" s="13">
        <v>6876</v>
      </c>
      <c r="B7051" s="57" t="s">
        <v>45</v>
      </c>
      <c r="C7051" s="57" t="s">
        <v>7243</v>
      </c>
      <c r="D7051" s="29"/>
      <c r="E7051" s="57" t="s">
        <v>6527</v>
      </c>
      <c r="F7051" s="31" t="s">
        <v>76</v>
      </c>
      <c r="G7051" s="31" t="s">
        <v>49</v>
      </c>
      <c r="K7051" s="31">
        <v>1320</v>
      </c>
      <c r="S7051" s="33">
        <v>2</v>
      </c>
      <c r="AE7051" s="31" t="s">
        <v>4411</v>
      </c>
      <c r="AF7051" s="31">
        <v>100</v>
      </c>
      <c r="AK7051" s="32">
        <v>12</v>
      </c>
      <c r="AQ7051" s="32" t="s">
        <v>7491</v>
      </c>
      <c r="AU7051">
        <v>7050</v>
      </c>
    </row>
    <row r="7052" spans="1:47" x14ac:dyDescent="0.2">
      <c r="A7052" s="13">
        <v>6876</v>
      </c>
      <c r="B7052" s="57" t="s">
        <v>45</v>
      </c>
      <c r="C7052" s="57" t="s">
        <v>7243</v>
      </c>
      <c r="D7052" s="29"/>
      <c r="E7052" s="57" t="s">
        <v>7227</v>
      </c>
      <c r="F7052" s="31" t="s">
        <v>76</v>
      </c>
      <c r="G7052" s="31" t="s">
        <v>49</v>
      </c>
      <c r="I7052" s="31" t="s">
        <v>7613</v>
      </c>
      <c r="K7052" s="31">
        <v>1320</v>
      </c>
      <c r="S7052" s="33">
        <v>2</v>
      </c>
      <c r="AE7052" s="31" t="s">
        <v>4411</v>
      </c>
      <c r="AF7052" s="31">
        <v>75</v>
      </c>
      <c r="AK7052" s="32">
        <v>15</v>
      </c>
      <c r="AQ7052" s="32" t="s">
        <v>7491</v>
      </c>
      <c r="AU7052">
        <v>7051</v>
      </c>
    </row>
    <row r="7053" spans="1:47" x14ac:dyDescent="0.2">
      <c r="A7053" s="13">
        <v>6876</v>
      </c>
      <c r="B7053" s="57" t="s">
        <v>45</v>
      </c>
      <c r="C7053" s="57" t="s">
        <v>7243</v>
      </c>
      <c r="D7053" s="29"/>
      <c r="E7053" s="57" t="s">
        <v>7490</v>
      </c>
      <c r="F7053" s="31" t="s">
        <v>76</v>
      </c>
      <c r="G7053" s="31" t="s">
        <v>49</v>
      </c>
      <c r="K7053" s="31">
        <v>660</v>
      </c>
      <c r="S7053" s="33">
        <v>1</v>
      </c>
      <c r="AE7053" s="31" t="s">
        <v>4411</v>
      </c>
      <c r="AF7053" s="31">
        <v>85</v>
      </c>
      <c r="AK7053" s="32">
        <v>6</v>
      </c>
      <c r="AQ7053" s="32" t="s">
        <v>7491</v>
      </c>
      <c r="AU7053">
        <v>7052</v>
      </c>
    </row>
    <row r="7054" spans="1:47" x14ac:dyDescent="0.2">
      <c r="A7054" s="13">
        <v>6876</v>
      </c>
      <c r="B7054" s="57" t="s">
        <v>45</v>
      </c>
      <c r="C7054" s="57" t="s">
        <v>7243</v>
      </c>
      <c r="D7054" s="29"/>
      <c r="E7054" s="57" t="s">
        <v>7615</v>
      </c>
      <c r="F7054" s="31" t="s">
        <v>6354</v>
      </c>
      <c r="G7054" s="31" t="s">
        <v>69</v>
      </c>
      <c r="K7054" s="31">
        <v>660</v>
      </c>
      <c r="S7054" s="33">
        <v>1</v>
      </c>
      <c r="AE7054" s="31" t="s">
        <v>4411</v>
      </c>
      <c r="AK7054" s="32">
        <v>6</v>
      </c>
      <c r="AQ7054" s="32" t="s">
        <v>7491</v>
      </c>
      <c r="AU7054">
        <v>7053</v>
      </c>
    </row>
    <row r="7055" spans="1:47" x14ac:dyDescent="0.2">
      <c r="A7055" s="13">
        <v>6876</v>
      </c>
      <c r="B7055" s="57" t="s">
        <v>45</v>
      </c>
      <c r="C7055" s="57" t="s">
        <v>7243</v>
      </c>
      <c r="D7055" s="29"/>
      <c r="E7055" s="57" t="s">
        <v>7616</v>
      </c>
      <c r="F7055" s="31" t="s">
        <v>6354</v>
      </c>
      <c r="G7055" s="31" t="s">
        <v>69</v>
      </c>
      <c r="K7055" s="31">
        <v>550</v>
      </c>
      <c r="S7055" s="33">
        <v>1</v>
      </c>
      <c r="AE7055" s="31" t="s">
        <v>4411</v>
      </c>
      <c r="AK7055" s="32">
        <v>5</v>
      </c>
      <c r="AQ7055" s="32" t="s">
        <v>7491</v>
      </c>
      <c r="AU7055">
        <v>7054</v>
      </c>
    </row>
    <row r="7056" spans="1:47" x14ac:dyDescent="0.2">
      <c r="A7056" s="26">
        <v>6876</v>
      </c>
      <c r="B7056" s="27">
        <v>0.6875</v>
      </c>
      <c r="C7056" s="28"/>
      <c r="D7056" s="29"/>
      <c r="E7056" s="30" t="s">
        <v>7617</v>
      </c>
      <c r="H7056" s="32">
        <v>1</v>
      </c>
      <c r="I7056" s="32" t="s">
        <v>7618</v>
      </c>
      <c r="AG7056" s="32">
        <v>3</v>
      </c>
      <c r="AH7056" s="32">
        <v>6</v>
      </c>
      <c r="AJ7056" s="148" t="s">
        <v>7619</v>
      </c>
      <c r="AK7056" s="32">
        <v>4</v>
      </c>
      <c r="AL7056" s="32">
        <v>15.5</v>
      </c>
      <c r="AP7056" s="32">
        <v>0.25</v>
      </c>
      <c r="AQ7056" s="32">
        <v>487</v>
      </c>
      <c r="AU7056">
        <v>7055</v>
      </c>
    </row>
    <row r="7057" spans="1:47" x14ac:dyDescent="0.2">
      <c r="A7057" s="26">
        <v>6876</v>
      </c>
      <c r="B7057" s="27">
        <v>0.84722222222222221</v>
      </c>
      <c r="C7057" s="28"/>
      <c r="D7057" s="29"/>
      <c r="E7057" s="30" t="s">
        <v>464</v>
      </c>
      <c r="H7057" s="32">
        <v>0</v>
      </c>
      <c r="I7057" s="32" t="s">
        <v>7620</v>
      </c>
      <c r="AG7057" s="32">
        <v>0</v>
      </c>
      <c r="AH7057" s="32">
        <v>0</v>
      </c>
      <c r="AL7057" s="32">
        <f>80/60</f>
        <v>1.3333333333333333</v>
      </c>
      <c r="AO7057" s="32" t="s">
        <v>4067</v>
      </c>
      <c r="AP7057" s="32">
        <f>80/60</f>
        <v>1.3333333333333333</v>
      </c>
      <c r="AQ7057" s="32" t="s">
        <v>1522</v>
      </c>
      <c r="AU7057">
        <v>7056</v>
      </c>
    </row>
    <row r="7058" spans="1:47" x14ac:dyDescent="0.2">
      <c r="A7058" s="26">
        <v>6876</v>
      </c>
      <c r="B7058" s="27">
        <v>0.85416666666666663</v>
      </c>
      <c r="C7058" s="28"/>
      <c r="D7058" s="29"/>
      <c r="E7058" s="30" t="s">
        <v>4219</v>
      </c>
      <c r="H7058" s="32">
        <v>1</v>
      </c>
      <c r="I7058" s="32"/>
      <c r="AL7058" s="32">
        <v>0.5</v>
      </c>
      <c r="AO7058" s="32" t="s">
        <v>858</v>
      </c>
      <c r="AP7058" s="32">
        <v>0.5</v>
      </c>
      <c r="AQ7058" s="32" t="s">
        <v>1101</v>
      </c>
      <c r="AU7058">
        <v>7057</v>
      </c>
    </row>
    <row r="7059" spans="1:47" x14ac:dyDescent="0.2">
      <c r="A7059" s="26">
        <v>6876</v>
      </c>
      <c r="B7059" s="27">
        <v>0.86111111111111116</v>
      </c>
      <c r="C7059" s="28"/>
      <c r="D7059" s="29"/>
      <c r="E7059" s="30" t="s">
        <v>3737</v>
      </c>
      <c r="H7059" s="32">
        <v>0</v>
      </c>
      <c r="I7059" s="32" t="s">
        <v>4926</v>
      </c>
      <c r="AG7059" s="32">
        <v>0</v>
      </c>
      <c r="AH7059" s="32">
        <v>0</v>
      </c>
      <c r="AI7059" s="32">
        <v>0</v>
      </c>
      <c r="AK7059" s="32">
        <v>0</v>
      </c>
      <c r="AL7059" s="32">
        <f>38/60</f>
        <v>0.6333333333333333</v>
      </c>
      <c r="AM7059" s="33">
        <f>3125*AL7059</f>
        <v>1979.1666666666665</v>
      </c>
      <c r="AP7059" s="32">
        <f>38/60</f>
        <v>0.6333333333333333</v>
      </c>
      <c r="AQ7059" s="32" t="s">
        <v>1101</v>
      </c>
      <c r="AU7059">
        <v>7058</v>
      </c>
    </row>
    <row r="7060" spans="1:47" x14ac:dyDescent="0.2">
      <c r="A7060" s="26">
        <v>6876</v>
      </c>
      <c r="B7060" s="27">
        <v>0.86805555555555547</v>
      </c>
      <c r="C7060" s="28"/>
      <c r="D7060" s="29"/>
      <c r="E7060" s="30" t="s">
        <v>1282</v>
      </c>
      <c r="H7060" s="32">
        <v>0</v>
      </c>
      <c r="I7060" s="32" t="s">
        <v>7621</v>
      </c>
      <c r="AG7060" s="32">
        <v>0</v>
      </c>
      <c r="AH7060" s="32">
        <v>0</v>
      </c>
      <c r="AI7060" s="32">
        <v>0</v>
      </c>
      <c r="AK7060" s="32">
        <v>0</v>
      </c>
      <c r="AL7060" s="32">
        <f>2+2/3</f>
        <v>2.6666666666666665</v>
      </c>
      <c r="AP7060" s="32">
        <f>2+2/3</f>
        <v>2.6666666666666665</v>
      </c>
      <c r="AQ7060" s="32" t="s">
        <v>1101</v>
      </c>
      <c r="AU7060">
        <v>7059</v>
      </c>
    </row>
    <row r="7061" spans="1:47" x14ac:dyDescent="0.2">
      <c r="A7061" s="26">
        <v>6876</v>
      </c>
      <c r="B7061" s="27">
        <v>0.87152777777777779</v>
      </c>
      <c r="C7061" s="28"/>
      <c r="D7061" s="29"/>
      <c r="E7061" s="30" t="s">
        <v>3155</v>
      </c>
      <c r="H7061" s="32">
        <v>0</v>
      </c>
      <c r="I7061" s="32" t="s">
        <v>7622</v>
      </c>
      <c r="AG7061" s="32">
        <v>0</v>
      </c>
      <c r="AH7061" s="32">
        <v>0</v>
      </c>
      <c r="AI7061" s="32">
        <v>0</v>
      </c>
      <c r="AK7061" s="32">
        <v>0</v>
      </c>
      <c r="AP7061" s="32">
        <v>0.75</v>
      </c>
      <c r="AQ7061" s="32" t="s">
        <v>1101</v>
      </c>
      <c r="AU7061">
        <v>7060</v>
      </c>
    </row>
    <row r="7062" spans="1:47" x14ac:dyDescent="0.2">
      <c r="A7062" s="26">
        <v>6876</v>
      </c>
      <c r="B7062" s="27">
        <v>0.90972222222222221</v>
      </c>
      <c r="C7062" s="28"/>
      <c r="D7062" s="29"/>
      <c r="E7062" s="30" t="s">
        <v>3737</v>
      </c>
      <c r="H7062" s="32">
        <v>0</v>
      </c>
      <c r="I7062" s="32" t="s">
        <v>4926</v>
      </c>
      <c r="AG7062" s="32">
        <v>0</v>
      </c>
      <c r="AH7062" s="32">
        <v>0</v>
      </c>
      <c r="AI7062" s="32">
        <v>0</v>
      </c>
      <c r="AK7062" s="32">
        <v>0</v>
      </c>
      <c r="AM7062" s="74"/>
      <c r="AQ7062" s="32" t="s">
        <v>1101</v>
      </c>
      <c r="AU7062">
        <v>7061</v>
      </c>
    </row>
    <row r="7063" spans="1:47" x14ac:dyDescent="0.2">
      <c r="A7063" s="26">
        <v>6876</v>
      </c>
      <c r="B7063" s="27" t="s">
        <v>45</v>
      </c>
      <c r="C7063" s="28"/>
      <c r="D7063" s="29"/>
      <c r="E7063" s="30" t="s">
        <v>858</v>
      </c>
      <c r="H7063" s="32">
        <v>1</v>
      </c>
      <c r="I7063" s="32" t="s">
        <v>7623</v>
      </c>
      <c r="AG7063" s="32">
        <v>0</v>
      </c>
      <c r="AH7063" s="32">
        <v>0</v>
      </c>
      <c r="AI7063" s="32">
        <v>0</v>
      </c>
      <c r="AQ7063" s="32">
        <v>438</v>
      </c>
      <c r="AU7063">
        <v>7062</v>
      </c>
    </row>
    <row r="7064" spans="1:47" x14ac:dyDescent="0.2">
      <c r="A7064" s="26">
        <v>6876</v>
      </c>
      <c r="B7064" s="27" t="s">
        <v>45</v>
      </c>
      <c r="C7064" s="28"/>
      <c r="D7064" s="29"/>
      <c r="E7064" s="30" t="s">
        <v>2982</v>
      </c>
      <c r="H7064" s="32">
        <v>1</v>
      </c>
      <c r="I7064" s="32" t="s">
        <v>7624</v>
      </c>
      <c r="AG7064" s="32">
        <v>0</v>
      </c>
      <c r="AH7064" s="32">
        <v>0</v>
      </c>
      <c r="AI7064" s="32">
        <v>120000</v>
      </c>
      <c r="AK7064" s="32">
        <v>1</v>
      </c>
      <c r="AQ7064" s="32">
        <v>467</v>
      </c>
      <c r="AU7064">
        <v>7063</v>
      </c>
    </row>
    <row r="7065" spans="1:47" x14ac:dyDescent="0.2">
      <c r="A7065" s="26">
        <v>6876</v>
      </c>
      <c r="B7065" s="27" t="s">
        <v>45</v>
      </c>
      <c r="C7065" s="28"/>
      <c r="D7065" s="29"/>
      <c r="E7065" s="30" t="s">
        <v>1531</v>
      </c>
      <c r="H7065" s="32">
        <v>1</v>
      </c>
      <c r="I7065" s="32" t="s">
        <v>7625</v>
      </c>
      <c r="AM7065" s="32">
        <f>498*86</f>
        <v>42828</v>
      </c>
      <c r="AO7065" s="32" t="s">
        <v>1533</v>
      </c>
      <c r="AQ7065" s="32" t="s">
        <v>1101</v>
      </c>
      <c r="AU7065">
        <v>7064</v>
      </c>
    </row>
    <row r="7066" spans="1:47" x14ac:dyDescent="0.2">
      <c r="A7066" s="26">
        <v>6876</v>
      </c>
      <c r="B7066" s="27" t="s">
        <v>45</v>
      </c>
      <c r="C7066" s="28"/>
      <c r="D7066" s="29"/>
      <c r="E7066" s="150" t="s">
        <v>2286</v>
      </c>
      <c r="H7066" s="32">
        <v>0</v>
      </c>
      <c r="I7066" s="32" t="s">
        <v>1824</v>
      </c>
      <c r="AG7066" s="32">
        <v>0</v>
      </c>
      <c r="AH7066" s="32">
        <v>0</v>
      </c>
      <c r="AI7066" s="32">
        <v>0</v>
      </c>
      <c r="AK7066" s="32">
        <v>0</v>
      </c>
      <c r="AM7066" s="32">
        <v>8000</v>
      </c>
      <c r="AO7066" s="73" t="s">
        <v>75</v>
      </c>
      <c r="AQ7066" s="32" t="s">
        <v>589</v>
      </c>
      <c r="AU7066">
        <v>7065</v>
      </c>
    </row>
    <row r="7067" spans="1:47" x14ac:dyDescent="0.2">
      <c r="A7067" s="26">
        <v>6876</v>
      </c>
      <c r="B7067" s="27"/>
      <c r="C7067" s="28"/>
      <c r="D7067" s="29"/>
      <c r="E7067" s="30" t="s">
        <v>4666</v>
      </c>
      <c r="H7067" s="32">
        <v>1</v>
      </c>
      <c r="I7067" s="32" t="s">
        <v>7626</v>
      </c>
      <c r="AG7067" s="32">
        <v>0</v>
      </c>
      <c r="AH7067" s="32">
        <v>0</v>
      </c>
      <c r="AI7067" s="32">
        <v>0</v>
      </c>
      <c r="AK7067" s="32">
        <v>0</v>
      </c>
      <c r="AL7067" s="32">
        <v>2.5</v>
      </c>
      <c r="AO7067" s="32" t="s">
        <v>4668</v>
      </c>
      <c r="AP7067" s="32">
        <v>2.5</v>
      </c>
      <c r="AQ7067" s="32">
        <v>411</v>
      </c>
      <c r="AU7067">
        <v>7066</v>
      </c>
    </row>
    <row r="7068" spans="1:47" x14ac:dyDescent="0.2">
      <c r="A7068" s="26">
        <v>6876</v>
      </c>
      <c r="B7068" s="27"/>
      <c r="C7068" s="28"/>
      <c r="D7068" s="29"/>
      <c r="E7068" s="102" t="s">
        <v>1421</v>
      </c>
      <c r="H7068" s="32">
        <v>1</v>
      </c>
      <c r="I7068" s="32" t="s">
        <v>1422</v>
      </c>
      <c r="AK7068" s="32">
        <v>5</v>
      </c>
      <c r="AO7068" s="73"/>
      <c r="AQ7068" s="32" t="s">
        <v>589</v>
      </c>
      <c r="AU7068">
        <v>7067</v>
      </c>
    </row>
    <row r="7069" spans="1:47" x14ac:dyDescent="0.2">
      <c r="A7069" s="26">
        <v>6876</v>
      </c>
      <c r="B7069" s="27"/>
      <c r="C7069" s="28"/>
      <c r="D7069" s="29"/>
      <c r="E7069" s="30" t="s">
        <v>4469</v>
      </c>
      <c r="H7069" s="32">
        <v>0</v>
      </c>
      <c r="I7069" s="32" t="s">
        <v>7627</v>
      </c>
      <c r="AG7069" s="32">
        <v>0</v>
      </c>
      <c r="AH7069" s="32">
        <v>0</v>
      </c>
      <c r="AI7069" s="32">
        <v>0</v>
      </c>
      <c r="AK7069" s="32">
        <v>0</v>
      </c>
      <c r="AL7069" s="32">
        <v>0.25</v>
      </c>
      <c r="AO7069" s="32" t="s">
        <v>5210</v>
      </c>
      <c r="AP7069" s="32">
        <v>0.25</v>
      </c>
      <c r="AQ7069" s="32" t="s">
        <v>5211</v>
      </c>
      <c r="AU7069">
        <v>7068</v>
      </c>
    </row>
    <row r="7070" spans="1:47" x14ac:dyDescent="0.2">
      <c r="A7070" s="133">
        <v>6877</v>
      </c>
      <c r="B7070" s="39" t="s">
        <v>85</v>
      </c>
      <c r="C7070" s="39">
        <v>55</v>
      </c>
      <c r="D7070" s="29" t="b">
        <v>0</v>
      </c>
      <c r="E7070" s="39" t="s">
        <v>3063</v>
      </c>
      <c r="F7070" s="47" t="s">
        <v>2398</v>
      </c>
      <c r="G7070" s="47" t="s">
        <v>49</v>
      </c>
      <c r="H7070"/>
      <c r="I7070" s="47" t="b">
        <v>0</v>
      </c>
      <c r="J7070" s="47" t="b">
        <v>1</v>
      </c>
      <c r="K7070" s="47">
        <v>2264</v>
      </c>
      <c r="L7070" s="48">
        <v>12</v>
      </c>
      <c r="M7070" s="47">
        <v>0</v>
      </c>
      <c r="N7070" s="47">
        <v>2</v>
      </c>
      <c r="O7070" s="47">
        <v>0</v>
      </c>
      <c r="P7070" s="47">
        <v>0</v>
      </c>
      <c r="Q7070" s="47">
        <v>0</v>
      </c>
      <c r="R7070" s="47">
        <v>0</v>
      </c>
      <c r="S7070" s="48">
        <v>10</v>
      </c>
      <c r="T7070" s="47">
        <v>0</v>
      </c>
      <c r="U7070" s="47">
        <v>0</v>
      </c>
      <c r="V7070" s="47">
        <v>0</v>
      </c>
      <c r="W7070" s="47">
        <v>16500</v>
      </c>
      <c r="X7070" s="47">
        <v>1204</v>
      </c>
      <c r="Y7070" s="47" t="s">
        <v>120</v>
      </c>
      <c r="Z7070" s="47" t="s">
        <v>3618</v>
      </c>
      <c r="AA7070" s="49">
        <v>0.47569444444444442</v>
      </c>
      <c r="AB7070" s="49">
        <v>0.61111111111111105</v>
      </c>
      <c r="AC7070" s="49">
        <v>0.57291666666666663</v>
      </c>
      <c r="AD7070" s="50">
        <f>(AB7070-AA7070)*24</f>
        <v>3.2499999999999991</v>
      </c>
      <c r="AE7070" s="47" t="s">
        <v>5433</v>
      </c>
      <c r="AF7070" s="47">
        <v>105</v>
      </c>
      <c r="AG7070"/>
      <c r="AH7070"/>
      <c r="AI7070"/>
      <c r="AJ7070"/>
      <c r="AK7070">
        <v>16</v>
      </c>
      <c r="AL7070"/>
      <c r="AM7070"/>
      <c r="AN7070"/>
      <c r="AO7070"/>
      <c r="AP7070"/>
      <c r="AQ7070" t="s">
        <v>5434</v>
      </c>
      <c r="AU7070">
        <v>7069</v>
      </c>
    </row>
    <row r="7071" spans="1:47" x14ac:dyDescent="0.2">
      <c r="A7071" s="133">
        <v>6877</v>
      </c>
      <c r="B7071" s="39" t="s">
        <v>85</v>
      </c>
      <c r="C7071" s="39">
        <v>99</v>
      </c>
      <c r="D7071" s="29" t="b">
        <v>0</v>
      </c>
      <c r="E7071" s="39" t="s">
        <v>3063</v>
      </c>
      <c r="F7071" s="47" t="s">
        <v>2398</v>
      </c>
      <c r="G7071" s="47" t="s">
        <v>49</v>
      </c>
      <c r="H7071"/>
      <c r="I7071" s="47" t="b">
        <v>0</v>
      </c>
      <c r="J7071" s="47" t="b">
        <v>1</v>
      </c>
      <c r="K7071" s="47">
        <v>2736</v>
      </c>
      <c r="L7071" s="48">
        <v>12</v>
      </c>
      <c r="M7071" s="47">
        <v>0</v>
      </c>
      <c r="N7071" s="47">
        <v>0</v>
      </c>
      <c r="O7071" s="47">
        <v>0</v>
      </c>
      <c r="P7071" s="47">
        <v>0</v>
      </c>
      <c r="Q7071" s="47">
        <v>0</v>
      </c>
      <c r="R7071" s="47">
        <v>0</v>
      </c>
      <c r="S7071" s="48">
        <v>12</v>
      </c>
      <c r="T7071" s="47">
        <v>0</v>
      </c>
      <c r="U7071" s="47">
        <v>0</v>
      </c>
      <c r="V7071" s="47">
        <v>0</v>
      </c>
      <c r="W7071" s="47">
        <v>12500</v>
      </c>
      <c r="X7071" s="47">
        <v>1200</v>
      </c>
      <c r="Y7071" s="47" t="s">
        <v>120</v>
      </c>
      <c r="Z7071" s="47" t="s">
        <v>5139</v>
      </c>
      <c r="AA7071" s="49">
        <v>0.44097222222222227</v>
      </c>
      <c r="AB7071" s="49">
        <v>0.58333333333333337</v>
      </c>
      <c r="AC7071" s="49">
        <v>0.53819444444444442</v>
      </c>
      <c r="AD7071" s="50">
        <f>(AB7071-AA7071)*24</f>
        <v>3.4166666666666665</v>
      </c>
      <c r="AE7071" s="47" t="s">
        <v>5433</v>
      </c>
      <c r="AF7071" s="47">
        <v>105</v>
      </c>
      <c r="AG7071"/>
      <c r="AH7071"/>
      <c r="AI7071"/>
      <c r="AJ7071"/>
      <c r="AK7071">
        <v>16</v>
      </c>
      <c r="AL7071"/>
      <c r="AM7071"/>
      <c r="AN7071"/>
      <c r="AO7071"/>
      <c r="AP7071"/>
      <c r="AQ7071" t="s">
        <v>2526</v>
      </c>
      <c r="AU7071">
        <v>7070</v>
      </c>
    </row>
    <row r="7072" spans="1:47" x14ac:dyDescent="0.2">
      <c r="A7072" s="133">
        <v>6877</v>
      </c>
      <c r="B7072" s="39" t="s">
        <v>85</v>
      </c>
      <c r="C7072" s="39">
        <v>104</v>
      </c>
      <c r="D7072" s="29" t="b">
        <v>0</v>
      </c>
      <c r="E7072" s="39" t="s">
        <v>7628</v>
      </c>
      <c r="F7072" s="47" t="s">
        <v>529</v>
      </c>
      <c r="G7072" s="47" t="s">
        <v>205</v>
      </c>
      <c r="H7072"/>
      <c r="I7072" s="47" t="b">
        <v>0</v>
      </c>
      <c r="J7072" s="47" t="b">
        <v>1</v>
      </c>
      <c r="K7072" s="47">
        <v>2942</v>
      </c>
      <c r="L7072" s="48">
        <v>13</v>
      </c>
      <c r="M7072" s="47">
        <v>0</v>
      </c>
      <c r="N7072" s="47">
        <v>0</v>
      </c>
      <c r="O7072" s="47">
        <v>0</v>
      </c>
      <c r="P7072" s="47">
        <v>0</v>
      </c>
      <c r="Q7072" s="47">
        <v>0</v>
      </c>
      <c r="R7072" s="47">
        <v>0</v>
      </c>
      <c r="S7072" s="48">
        <v>13</v>
      </c>
      <c r="T7072" s="47">
        <v>1</v>
      </c>
      <c r="U7072" s="47">
        <v>0</v>
      </c>
      <c r="V7072" s="47">
        <v>0</v>
      </c>
      <c r="W7072" s="47">
        <v>10000</v>
      </c>
      <c r="X7072" s="47">
        <v>1205</v>
      </c>
      <c r="Y7072" s="47" t="s">
        <v>120</v>
      </c>
      <c r="Z7072" s="47" t="s">
        <v>5139</v>
      </c>
      <c r="AA7072" s="49">
        <v>0.4513888888888889</v>
      </c>
      <c r="AB7072" s="49">
        <v>0.58333333333333337</v>
      </c>
      <c r="AC7072" s="49">
        <v>0.53125</v>
      </c>
      <c r="AD7072" s="50">
        <f>(AB7072-AA7072)*24</f>
        <v>3.1666666666666674</v>
      </c>
      <c r="AE7072" s="47" t="s">
        <v>5433</v>
      </c>
      <c r="AF7072" s="47">
        <v>110</v>
      </c>
      <c r="AG7072"/>
      <c r="AH7072"/>
      <c r="AI7072"/>
      <c r="AJ7072"/>
      <c r="AK7072">
        <v>21</v>
      </c>
      <c r="AL7072"/>
      <c r="AM7072"/>
      <c r="AN7072"/>
      <c r="AO7072"/>
      <c r="AP7072"/>
      <c r="AQ7072" t="s">
        <v>5485</v>
      </c>
      <c r="AU7072">
        <v>7071</v>
      </c>
    </row>
    <row r="7073" spans="1:47" x14ac:dyDescent="0.2">
      <c r="A7073" s="37">
        <v>6877</v>
      </c>
      <c r="B7073" s="38" t="s">
        <v>85</v>
      </c>
      <c r="C7073" s="39" t="s">
        <v>4769</v>
      </c>
      <c r="D7073" s="29"/>
      <c r="E7073" s="38" t="s">
        <v>7629</v>
      </c>
      <c r="F7073" s="32" t="s">
        <v>7630</v>
      </c>
      <c r="G7073" s="47"/>
      <c r="H7073"/>
      <c r="I7073" s="32" t="s">
        <v>7631</v>
      </c>
      <c r="J7073" s="47"/>
      <c r="K7073" s="47"/>
      <c r="L7073" s="48"/>
      <c r="M7073" s="47"/>
      <c r="N7073" s="47"/>
      <c r="O7073" s="47"/>
      <c r="P7073" s="47"/>
      <c r="Q7073" s="47"/>
      <c r="R7073" s="47"/>
      <c r="S7073" s="48"/>
      <c r="T7073" s="47"/>
      <c r="U7073" s="47"/>
      <c r="V7073" s="47"/>
      <c r="W7073" s="47"/>
      <c r="X7073" s="47"/>
      <c r="Y7073" s="47"/>
      <c r="Z7073" s="47"/>
      <c r="AA7073" s="49"/>
      <c r="AB7073" s="49"/>
      <c r="AC7073" s="49"/>
      <c r="AD7073" s="50"/>
      <c r="AE7073" s="47"/>
      <c r="AF7073" s="47"/>
      <c r="AG7073"/>
      <c r="AH7073"/>
      <c r="AI7073"/>
      <c r="AJ7073"/>
      <c r="AK7073"/>
      <c r="AL7073"/>
      <c r="AM7073"/>
      <c r="AN7073"/>
      <c r="AO7073"/>
      <c r="AP7073"/>
      <c r="AQ7073" t="s">
        <v>7586</v>
      </c>
      <c r="AU7073">
        <v>7072</v>
      </c>
    </row>
    <row r="7074" spans="1:47" x14ac:dyDescent="0.2">
      <c r="A7074" s="37">
        <v>6877</v>
      </c>
      <c r="B7074" s="38" t="s">
        <v>85</v>
      </c>
      <c r="C7074" s="206" t="s">
        <v>7632</v>
      </c>
      <c r="D7074" s="29"/>
      <c r="E7074" s="38" t="s">
        <v>7633</v>
      </c>
      <c r="F7074" s="32" t="s">
        <v>7634</v>
      </c>
      <c r="G7074" s="47"/>
      <c r="H7074"/>
      <c r="I7074" s="32" t="s">
        <v>7635</v>
      </c>
      <c r="J7074" s="47"/>
      <c r="K7074" s="47">
        <f>800*2.2</f>
        <v>1760.0000000000002</v>
      </c>
      <c r="L7074" s="48"/>
      <c r="M7074" s="47"/>
      <c r="N7074" s="47"/>
      <c r="O7074" s="47"/>
      <c r="P7074" s="47"/>
      <c r="Q7074" s="47"/>
      <c r="R7074" s="47"/>
      <c r="S7074" s="48"/>
      <c r="T7074" s="47"/>
      <c r="U7074" s="47"/>
      <c r="V7074" s="47"/>
      <c r="W7074" s="47"/>
      <c r="X7074" s="47"/>
      <c r="Y7074" s="47"/>
      <c r="Z7074" s="47" t="s">
        <v>3618</v>
      </c>
      <c r="AA7074" s="49"/>
      <c r="AB7074" s="49"/>
      <c r="AC7074" s="49"/>
      <c r="AD7074" s="50"/>
      <c r="AE7074" s="47" t="s">
        <v>2743</v>
      </c>
      <c r="AF7074" s="47">
        <v>85</v>
      </c>
      <c r="AG7074"/>
      <c r="AH7074"/>
      <c r="AI7074"/>
      <c r="AJ7074"/>
      <c r="AK7074"/>
      <c r="AL7074"/>
      <c r="AM7074"/>
      <c r="AN7074"/>
      <c r="AO7074"/>
      <c r="AP7074"/>
      <c r="AQ7074" t="s">
        <v>7636</v>
      </c>
      <c r="AU7074">
        <v>7073</v>
      </c>
    </row>
    <row r="7075" spans="1:47" x14ac:dyDescent="0.2">
      <c r="A7075" s="37">
        <v>6877</v>
      </c>
      <c r="B7075" s="38" t="s">
        <v>85</v>
      </c>
      <c r="C7075" s="206" t="s">
        <v>7485</v>
      </c>
      <c r="D7075" s="29"/>
      <c r="E7075" s="57" t="s">
        <v>4480</v>
      </c>
      <c r="F7075" s="32"/>
      <c r="G7075" s="47"/>
      <c r="H7075"/>
      <c r="I7075" s="32" t="s">
        <v>7637</v>
      </c>
      <c r="J7075" s="47"/>
      <c r="K7075" s="47">
        <f>2984*2.2</f>
        <v>6564.8</v>
      </c>
      <c r="L7075" s="48"/>
      <c r="M7075" s="47"/>
      <c r="N7075" s="47"/>
      <c r="O7075" s="47"/>
      <c r="P7075" s="47"/>
      <c r="Q7075" s="47"/>
      <c r="R7075" s="47"/>
      <c r="S7075" s="48">
        <v>28</v>
      </c>
      <c r="T7075" s="47"/>
      <c r="U7075" s="47"/>
      <c r="V7075" s="47"/>
      <c r="W7075" s="47"/>
      <c r="X7075" s="47"/>
      <c r="Y7075" s="47" t="s">
        <v>120</v>
      </c>
      <c r="Z7075" s="47" t="s">
        <v>7262</v>
      </c>
      <c r="AA7075" s="49">
        <v>0.57291666666666663</v>
      </c>
      <c r="AB7075" s="49"/>
      <c r="AC7075" s="49"/>
      <c r="AD7075" s="50"/>
      <c r="AE7075" s="47" t="s">
        <v>2743</v>
      </c>
      <c r="AF7075" s="47">
        <v>75</v>
      </c>
      <c r="AG7075"/>
      <c r="AH7075"/>
      <c r="AI7075"/>
      <c r="AJ7075"/>
      <c r="AK7075"/>
      <c r="AL7075"/>
      <c r="AM7075"/>
      <c r="AN7075"/>
      <c r="AO7075"/>
      <c r="AP7075"/>
      <c r="AQ7075" t="s">
        <v>7636</v>
      </c>
      <c r="AU7075">
        <v>7074</v>
      </c>
    </row>
    <row r="7076" spans="1:47" x14ac:dyDescent="0.2">
      <c r="A7076" s="13">
        <v>6877</v>
      </c>
      <c r="B7076" s="57" t="s">
        <v>85</v>
      </c>
      <c r="C7076" s="57" t="s">
        <v>1234</v>
      </c>
      <c r="D7076" s="29"/>
      <c r="E7076" s="57" t="s">
        <v>7638</v>
      </c>
      <c r="F7076" s="31" t="s">
        <v>170</v>
      </c>
      <c r="I7076" s="31" t="s">
        <v>7590</v>
      </c>
      <c r="K7076" s="31">
        <v>10428</v>
      </c>
      <c r="S7076" s="33">
        <v>22</v>
      </c>
      <c r="Z7076" s="31" t="s">
        <v>3724</v>
      </c>
      <c r="AE7076" s="31" t="s">
        <v>7173</v>
      </c>
      <c r="AF7076" s="31">
        <v>110</v>
      </c>
      <c r="AK7076" s="32">
        <v>236</v>
      </c>
      <c r="AQ7076" s="32" t="s">
        <v>7591</v>
      </c>
      <c r="AU7076">
        <v>7075</v>
      </c>
    </row>
    <row r="7077" spans="1:47" x14ac:dyDescent="0.2">
      <c r="A7077" s="13">
        <v>6877</v>
      </c>
      <c r="B7077" s="57" t="s">
        <v>85</v>
      </c>
      <c r="C7077" s="57" t="s">
        <v>1077</v>
      </c>
      <c r="D7077" s="29"/>
      <c r="E7077" s="57" t="s">
        <v>7639</v>
      </c>
      <c r="F7077" s="31" t="s">
        <v>170</v>
      </c>
      <c r="I7077" s="31" t="s">
        <v>7590</v>
      </c>
      <c r="K7077" s="31">
        <v>15048</v>
      </c>
      <c r="S7077" s="33">
        <v>23</v>
      </c>
      <c r="Z7077" s="31" t="s">
        <v>3724</v>
      </c>
      <c r="AK7077" s="32">
        <v>369</v>
      </c>
      <c r="AQ7077" s="32" t="s">
        <v>7591</v>
      </c>
      <c r="AU7077">
        <v>7076</v>
      </c>
    </row>
    <row r="7078" spans="1:47" x14ac:dyDescent="0.2">
      <c r="A7078" s="13">
        <v>6877</v>
      </c>
      <c r="B7078" s="57" t="s">
        <v>85</v>
      </c>
      <c r="C7078" s="57" t="s">
        <v>4940</v>
      </c>
      <c r="D7078" s="29"/>
      <c r="E7078" s="57" t="s">
        <v>7639</v>
      </c>
      <c r="F7078" s="31" t="s">
        <v>170</v>
      </c>
      <c r="I7078" s="31" t="s">
        <v>7590</v>
      </c>
      <c r="K7078" s="31">
        <v>17732</v>
      </c>
      <c r="S7078" s="33">
        <v>31</v>
      </c>
      <c r="Z7078" s="31" t="s">
        <v>3724</v>
      </c>
      <c r="AE7078" s="31" t="s">
        <v>7595</v>
      </c>
      <c r="AF7078" s="31">
        <v>95</v>
      </c>
      <c r="AK7078" s="32">
        <v>620</v>
      </c>
      <c r="AQ7078" s="32" t="s">
        <v>7591</v>
      </c>
      <c r="AU7078">
        <v>7077</v>
      </c>
    </row>
    <row r="7079" spans="1:47" x14ac:dyDescent="0.2">
      <c r="A7079" s="13">
        <v>6877</v>
      </c>
      <c r="B7079" s="57" t="s">
        <v>85</v>
      </c>
      <c r="C7079" s="57" t="s">
        <v>4213</v>
      </c>
      <c r="D7079" s="29"/>
      <c r="E7079" s="57" t="s">
        <v>7639</v>
      </c>
      <c r="F7079" s="31" t="s">
        <v>170</v>
      </c>
      <c r="G7079" s="31" t="s">
        <v>69</v>
      </c>
      <c r="I7079" s="31" t="s">
        <v>7590</v>
      </c>
      <c r="K7079" s="31">
        <v>17952</v>
      </c>
      <c r="S7079" s="33">
        <v>32</v>
      </c>
      <c r="Z7079" s="31" t="s">
        <v>3724</v>
      </c>
      <c r="AE7079" s="31" t="s">
        <v>7596</v>
      </c>
      <c r="AF7079" s="31">
        <v>140</v>
      </c>
      <c r="AK7079" s="32">
        <v>636</v>
      </c>
      <c r="AQ7079" s="32" t="s">
        <v>7591</v>
      </c>
      <c r="AU7079">
        <v>7078</v>
      </c>
    </row>
    <row r="7080" spans="1:47" x14ac:dyDescent="0.2">
      <c r="A7080" s="13">
        <v>6877</v>
      </c>
      <c r="B7080" s="57" t="s">
        <v>85</v>
      </c>
      <c r="C7080" s="57" t="s">
        <v>332</v>
      </c>
      <c r="D7080" s="29"/>
      <c r="E7080" s="57" t="s">
        <v>7640</v>
      </c>
      <c r="F7080" s="31" t="s">
        <v>170</v>
      </c>
      <c r="I7080" s="31" t="s">
        <v>7590</v>
      </c>
      <c r="K7080" s="31">
        <v>18194</v>
      </c>
      <c r="S7080" s="33">
        <v>36</v>
      </c>
      <c r="Z7080" s="31" t="s">
        <v>3724</v>
      </c>
      <c r="AE7080" s="31" t="s">
        <v>7593</v>
      </c>
      <c r="AK7080" s="32">
        <v>710</v>
      </c>
      <c r="AQ7080" s="32" t="s">
        <v>7591</v>
      </c>
      <c r="AU7080">
        <v>7079</v>
      </c>
    </row>
    <row r="7081" spans="1:47" x14ac:dyDescent="0.2">
      <c r="A7081" s="133">
        <v>6877</v>
      </c>
      <c r="B7081" s="39" t="s">
        <v>45</v>
      </c>
      <c r="C7081" s="39">
        <v>97</v>
      </c>
      <c r="D7081" s="29" t="b">
        <v>0</v>
      </c>
      <c r="E7081" s="39" t="s">
        <v>7641</v>
      </c>
      <c r="F7081" s="47" t="s">
        <v>7642</v>
      </c>
      <c r="G7081" s="47" t="s">
        <v>274</v>
      </c>
      <c r="H7081"/>
      <c r="I7081" s="47" t="b">
        <v>1</v>
      </c>
      <c r="J7081" s="47" t="b">
        <v>1</v>
      </c>
      <c r="K7081" s="47">
        <v>3236</v>
      </c>
      <c r="L7081" s="48">
        <v>2</v>
      </c>
      <c r="M7081" s="47">
        <v>0</v>
      </c>
      <c r="N7081" s="47">
        <v>0</v>
      </c>
      <c r="O7081" s="47">
        <v>0</v>
      </c>
      <c r="P7081" s="47">
        <v>0</v>
      </c>
      <c r="Q7081" s="47">
        <v>0</v>
      </c>
      <c r="R7081" s="47">
        <v>0</v>
      </c>
      <c r="S7081" s="48">
        <v>2</v>
      </c>
      <c r="T7081" s="47">
        <v>0</v>
      </c>
      <c r="U7081" s="47">
        <v>0</v>
      </c>
      <c r="V7081" s="47">
        <v>0</v>
      </c>
      <c r="W7081" s="47">
        <v>5000</v>
      </c>
      <c r="X7081" s="47">
        <v>1202</v>
      </c>
      <c r="Y7081" s="47"/>
      <c r="Z7081" s="47" t="s">
        <v>2466</v>
      </c>
      <c r="AA7081" s="49"/>
      <c r="AB7081" s="49"/>
      <c r="AC7081" s="49"/>
      <c r="AD7081" s="50"/>
      <c r="AE7081" s="47"/>
      <c r="AF7081" s="47"/>
      <c r="AG7081"/>
      <c r="AH7081"/>
      <c r="AI7081"/>
      <c r="AJ7081"/>
      <c r="AK7081"/>
      <c r="AL7081"/>
      <c r="AM7081"/>
      <c r="AN7081"/>
      <c r="AO7081"/>
      <c r="AP7081"/>
      <c r="AQ7081" t="s">
        <v>2526</v>
      </c>
      <c r="AU7081">
        <v>7080</v>
      </c>
    </row>
    <row r="7082" spans="1:47" x14ac:dyDescent="0.2">
      <c r="A7082" s="133">
        <v>6877</v>
      </c>
      <c r="B7082" s="39" t="s">
        <v>45</v>
      </c>
      <c r="C7082" s="39">
        <v>97</v>
      </c>
      <c r="D7082" s="29" t="b">
        <v>0</v>
      </c>
      <c r="E7082" s="39" t="s">
        <v>3909</v>
      </c>
      <c r="F7082" s="47" t="s">
        <v>4092</v>
      </c>
      <c r="G7082" s="47" t="s">
        <v>274</v>
      </c>
      <c r="H7082"/>
      <c r="I7082" s="47" t="b">
        <v>0</v>
      </c>
      <c r="J7082" s="47" t="b">
        <v>0</v>
      </c>
      <c r="K7082" s="47">
        <v>1668</v>
      </c>
      <c r="L7082" s="48">
        <v>1</v>
      </c>
      <c r="M7082" s="47">
        <v>0</v>
      </c>
      <c r="N7082" s="47">
        <v>0</v>
      </c>
      <c r="O7082" s="47">
        <v>0</v>
      </c>
      <c r="P7082" s="47">
        <v>0</v>
      </c>
      <c r="Q7082" s="47">
        <v>0</v>
      </c>
      <c r="R7082" s="47">
        <v>0</v>
      </c>
      <c r="S7082" s="48">
        <v>1</v>
      </c>
      <c r="T7082" s="47">
        <v>0</v>
      </c>
      <c r="U7082" s="47">
        <v>0</v>
      </c>
      <c r="V7082" s="47">
        <v>0</v>
      </c>
      <c r="W7082" s="47">
        <v>4000</v>
      </c>
      <c r="X7082" s="47">
        <v>1203</v>
      </c>
      <c r="Y7082" s="47"/>
      <c r="Z7082" s="47" t="s">
        <v>2466</v>
      </c>
      <c r="AA7082" s="49"/>
      <c r="AB7082" s="49"/>
      <c r="AC7082" s="49"/>
      <c r="AD7082" s="50"/>
      <c r="AE7082" s="47"/>
      <c r="AF7082" s="47"/>
      <c r="AG7082"/>
      <c r="AH7082"/>
      <c r="AI7082"/>
      <c r="AJ7082"/>
      <c r="AK7082"/>
      <c r="AL7082"/>
      <c r="AM7082"/>
      <c r="AN7082"/>
      <c r="AO7082"/>
      <c r="AP7082"/>
      <c r="AQ7082" t="s">
        <v>2526</v>
      </c>
      <c r="AU7082">
        <v>7081</v>
      </c>
    </row>
    <row r="7083" spans="1:47" x14ac:dyDescent="0.2">
      <c r="A7083" s="133">
        <v>6877</v>
      </c>
      <c r="B7083" s="39" t="s">
        <v>45</v>
      </c>
      <c r="C7083" s="39">
        <v>97</v>
      </c>
      <c r="D7083" s="29" t="b">
        <v>0</v>
      </c>
      <c r="E7083" s="39" t="s">
        <v>5791</v>
      </c>
      <c r="F7083" s="47" t="s">
        <v>529</v>
      </c>
      <c r="G7083" s="47" t="s">
        <v>205</v>
      </c>
      <c r="H7083"/>
      <c r="I7083" s="47" t="b">
        <v>0</v>
      </c>
      <c r="J7083" s="47" t="b">
        <v>0</v>
      </c>
      <c r="K7083" s="47">
        <v>1568</v>
      </c>
      <c r="L7083" s="48">
        <v>1</v>
      </c>
      <c r="M7083" s="47">
        <v>0</v>
      </c>
      <c r="N7083" s="47">
        <v>0</v>
      </c>
      <c r="O7083" s="47">
        <v>0</v>
      </c>
      <c r="P7083" s="47">
        <v>0</v>
      </c>
      <c r="Q7083" s="47">
        <v>0</v>
      </c>
      <c r="R7083" s="47">
        <v>0</v>
      </c>
      <c r="S7083" s="48">
        <v>1</v>
      </c>
      <c r="T7083" s="47">
        <v>0</v>
      </c>
      <c r="U7083" s="47">
        <v>0</v>
      </c>
      <c r="V7083" s="47">
        <v>0</v>
      </c>
      <c r="W7083" s="47">
        <v>6000</v>
      </c>
      <c r="X7083" s="47">
        <v>1206</v>
      </c>
      <c r="Y7083" s="47"/>
      <c r="Z7083" s="47" t="s">
        <v>2466</v>
      </c>
      <c r="AA7083" s="49"/>
      <c r="AB7083" s="49"/>
      <c r="AC7083" s="49"/>
      <c r="AD7083" s="50"/>
      <c r="AE7083" s="47"/>
      <c r="AF7083" s="47"/>
      <c r="AG7083"/>
      <c r="AH7083"/>
      <c r="AI7083"/>
      <c r="AJ7083"/>
      <c r="AK7083"/>
      <c r="AL7083"/>
      <c r="AM7083"/>
      <c r="AN7083"/>
      <c r="AO7083"/>
      <c r="AP7083"/>
      <c r="AQ7083" t="s">
        <v>2526</v>
      </c>
      <c r="AU7083">
        <v>7082</v>
      </c>
    </row>
    <row r="7084" spans="1:47" x14ac:dyDescent="0.2">
      <c r="A7084" s="133">
        <v>6877</v>
      </c>
      <c r="B7084" s="39" t="s">
        <v>45</v>
      </c>
      <c r="C7084" s="39">
        <v>100</v>
      </c>
      <c r="D7084" s="29" t="b">
        <v>0</v>
      </c>
      <c r="E7084" s="39" t="s">
        <v>907</v>
      </c>
      <c r="F7084" s="47" t="s">
        <v>7266</v>
      </c>
      <c r="G7084" s="47" t="s">
        <v>49</v>
      </c>
      <c r="H7084"/>
      <c r="I7084" s="47" t="b">
        <v>0</v>
      </c>
      <c r="J7084" s="47" t="b">
        <v>1</v>
      </c>
      <c r="K7084" s="47">
        <v>3238</v>
      </c>
      <c r="L7084" s="48">
        <v>5</v>
      </c>
      <c r="M7084" s="47">
        <v>2</v>
      </c>
      <c r="N7084" s="47">
        <v>1</v>
      </c>
      <c r="O7084" s="47">
        <v>0</v>
      </c>
      <c r="P7084" s="47">
        <v>2</v>
      </c>
      <c r="Q7084" s="47">
        <v>0</v>
      </c>
      <c r="R7084" s="47">
        <v>0</v>
      </c>
      <c r="S7084" s="48">
        <v>2</v>
      </c>
      <c r="T7084" s="47">
        <v>0</v>
      </c>
      <c r="U7084" s="47">
        <v>0</v>
      </c>
      <c r="V7084" s="47">
        <v>0</v>
      </c>
      <c r="W7084" s="47">
        <v>5000</v>
      </c>
      <c r="X7084" s="47">
        <v>1212</v>
      </c>
      <c r="Y7084" s="47"/>
      <c r="Z7084" s="47" t="s">
        <v>2466</v>
      </c>
      <c r="AA7084" s="49"/>
      <c r="AB7084" s="49"/>
      <c r="AC7084" s="49"/>
      <c r="AD7084" s="50"/>
      <c r="AE7084" s="47" t="s">
        <v>6445</v>
      </c>
      <c r="AF7084" s="47">
        <v>100</v>
      </c>
      <c r="AG7084"/>
      <c r="AH7084"/>
      <c r="AI7084"/>
      <c r="AJ7084"/>
      <c r="AK7084"/>
      <c r="AL7084"/>
      <c r="AM7084"/>
      <c r="AN7084"/>
      <c r="AO7084"/>
      <c r="AP7084"/>
      <c r="AQ7084" t="s">
        <v>2526</v>
      </c>
      <c r="AU7084">
        <v>7083</v>
      </c>
    </row>
    <row r="7085" spans="1:47" x14ac:dyDescent="0.2">
      <c r="A7085" s="133">
        <v>6877</v>
      </c>
      <c r="B7085" s="39" t="s">
        <v>45</v>
      </c>
      <c r="C7085" s="39">
        <v>215</v>
      </c>
      <c r="D7085" s="29" t="b">
        <v>0</v>
      </c>
      <c r="E7085" s="39" t="s">
        <v>7643</v>
      </c>
      <c r="F7085" s="47" t="s">
        <v>7644</v>
      </c>
      <c r="G7085" s="47" t="s">
        <v>49</v>
      </c>
      <c r="H7085"/>
      <c r="I7085" s="47" t="b">
        <v>1</v>
      </c>
      <c r="J7085" s="47" t="b">
        <v>1</v>
      </c>
      <c r="K7085" s="47">
        <v>4582</v>
      </c>
      <c r="L7085" s="48">
        <v>8</v>
      </c>
      <c r="M7085" s="47">
        <v>3</v>
      </c>
      <c r="N7085" s="47">
        <v>0</v>
      </c>
      <c r="O7085" s="47">
        <v>0</v>
      </c>
      <c r="P7085" s="47">
        <v>0</v>
      </c>
      <c r="Q7085" s="47">
        <v>0</v>
      </c>
      <c r="R7085" s="47">
        <v>0</v>
      </c>
      <c r="S7085" s="48">
        <v>3</v>
      </c>
      <c r="T7085" s="47">
        <v>1</v>
      </c>
      <c r="U7085" s="47">
        <v>0</v>
      </c>
      <c r="V7085" s="47">
        <v>0</v>
      </c>
      <c r="W7085" s="47">
        <v>3433</v>
      </c>
      <c r="X7085" s="47">
        <v>1213</v>
      </c>
      <c r="Y7085" s="47"/>
      <c r="Z7085" s="47" t="s">
        <v>2466</v>
      </c>
      <c r="AA7085" s="49"/>
      <c r="AB7085" s="49"/>
      <c r="AC7085" s="49"/>
      <c r="AD7085" s="50"/>
      <c r="AE7085" s="47"/>
      <c r="AF7085" s="47"/>
      <c r="AG7085"/>
      <c r="AH7085"/>
      <c r="AI7085"/>
      <c r="AJ7085"/>
      <c r="AK7085"/>
      <c r="AL7085"/>
      <c r="AM7085"/>
      <c r="AN7085"/>
      <c r="AO7085"/>
      <c r="AP7085"/>
      <c r="AQ7085" t="s">
        <v>2526</v>
      </c>
      <c r="AU7085">
        <v>7084</v>
      </c>
    </row>
    <row r="7086" spans="1:47" x14ac:dyDescent="0.2">
      <c r="A7086" s="133">
        <v>6877</v>
      </c>
      <c r="B7086" s="39" t="s">
        <v>45</v>
      </c>
      <c r="C7086" s="39">
        <v>215</v>
      </c>
      <c r="D7086" s="29" t="b">
        <v>0</v>
      </c>
      <c r="E7086" s="39" t="s">
        <v>3909</v>
      </c>
      <c r="F7086" s="47" t="s">
        <v>626</v>
      </c>
      <c r="G7086" s="47" t="s">
        <v>274</v>
      </c>
      <c r="H7086"/>
      <c r="I7086" s="47" t="b">
        <v>0</v>
      </c>
      <c r="J7086" s="47" t="b">
        <v>0</v>
      </c>
      <c r="K7086" s="47">
        <v>1446</v>
      </c>
      <c r="L7086" s="48">
        <v>8</v>
      </c>
      <c r="M7086" s="47">
        <v>3</v>
      </c>
      <c r="N7086" s="47">
        <v>0</v>
      </c>
      <c r="O7086" s="47">
        <v>0</v>
      </c>
      <c r="P7086" s="47">
        <v>0</v>
      </c>
      <c r="Q7086" s="47">
        <v>0</v>
      </c>
      <c r="R7086" s="47">
        <v>0</v>
      </c>
      <c r="S7086" s="48">
        <v>1</v>
      </c>
      <c r="T7086" s="47">
        <v>1</v>
      </c>
      <c r="U7086" s="47">
        <v>0</v>
      </c>
      <c r="V7086" s="47">
        <v>0</v>
      </c>
      <c r="W7086" s="47">
        <v>3500</v>
      </c>
      <c r="X7086" s="47">
        <v>1198</v>
      </c>
      <c r="Y7086" s="47"/>
      <c r="Z7086" s="47" t="s">
        <v>2466</v>
      </c>
      <c r="AA7086" s="49"/>
      <c r="AB7086" s="49"/>
      <c r="AC7086" s="49"/>
      <c r="AD7086" s="50"/>
      <c r="AE7086" s="47"/>
      <c r="AF7086" s="47"/>
      <c r="AG7086"/>
      <c r="AH7086"/>
      <c r="AI7086"/>
      <c r="AJ7086"/>
      <c r="AK7086"/>
      <c r="AL7086"/>
      <c r="AM7086"/>
      <c r="AN7086"/>
      <c r="AO7086"/>
      <c r="AP7086"/>
      <c r="AQ7086" t="s">
        <v>2526</v>
      </c>
      <c r="AU7086">
        <v>7085</v>
      </c>
    </row>
    <row r="7087" spans="1:47" x14ac:dyDescent="0.2">
      <c r="A7087" s="133">
        <v>6877</v>
      </c>
      <c r="B7087" s="39" t="s">
        <v>45</v>
      </c>
      <c r="C7087" s="39">
        <v>215</v>
      </c>
      <c r="D7087" s="29" t="b">
        <v>0</v>
      </c>
      <c r="E7087" s="39" t="s">
        <v>907</v>
      </c>
      <c r="F7087" s="47" t="s">
        <v>7266</v>
      </c>
      <c r="G7087" s="47" t="s">
        <v>49</v>
      </c>
      <c r="H7087"/>
      <c r="I7087" s="47" t="b">
        <v>0</v>
      </c>
      <c r="J7087" s="47" t="b">
        <v>0</v>
      </c>
      <c r="K7087" s="47">
        <v>1568</v>
      </c>
      <c r="L7087" s="48">
        <v>8</v>
      </c>
      <c r="M7087" s="47">
        <v>3</v>
      </c>
      <c r="N7087" s="47">
        <v>0</v>
      </c>
      <c r="O7087" s="47">
        <v>0</v>
      </c>
      <c r="P7087" s="47">
        <v>0</v>
      </c>
      <c r="Q7087" s="47">
        <v>0</v>
      </c>
      <c r="R7087" s="47">
        <v>0</v>
      </c>
      <c r="S7087" s="48">
        <v>1</v>
      </c>
      <c r="T7087" s="47">
        <v>1</v>
      </c>
      <c r="U7087" s="47">
        <v>0</v>
      </c>
      <c r="V7087" s="47">
        <v>0</v>
      </c>
      <c r="W7087" s="47">
        <v>3000</v>
      </c>
      <c r="X7087" s="47">
        <v>1199</v>
      </c>
      <c r="Y7087" s="47"/>
      <c r="Z7087" s="47" t="s">
        <v>2466</v>
      </c>
      <c r="AA7087" s="49"/>
      <c r="AB7087" s="49"/>
      <c r="AC7087" s="49"/>
      <c r="AD7087" s="50"/>
      <c r="AE7087" s="47"/>
      <c r="AF7087" s="47"/>
      <c r="AG7087"/>
      <c r="AH7087"/>
      <c r="AI7087"/>
      <c r="AJ7087"/>
      <c r="AK7087"/>
      <c r="AL7087"/>
      <c r="AM7087"/>
      <c r="AN7087"/>
      <c r="AO7087"/>
      <c r="AP7087"/>
      <c r="AQ7087" t="s">
        <v>2526</v>
      </c>
      <c r="AU7087">
        <v>7086</v>
      </c>
    </row>
    <row r="7088" spans="1:47" x14ac:dyDescent="0.2">
      <c r="A7088" s="133">
        <v>6877</v>
      </c>
      <c r="B7088" s="39" t="s">
        <v>45</v>
      </c>
      <c r="C7088" s="39">
        <v>215</v>
      </c>
      <c r="D7088" s="29" t="b">
        <v>0</v>
      </c>
      <c r="E7088" s="39" t="s">
        <v>1764</v>
      </c>
      <c r="F7088" s="47" t="s">
        <v>7266</v>
      </c>
      <c r="G7088" s="47" t="s">
        <v>49</v>
      </c>
      <c r="H7088"/>
      <c r="I7088" s="47" t="b">
        <v>0</v>
      </c>
      <c r="J7088" s="47" t="b">
        <v>0</v>
      </c>
      <c r="K7088" s="47">
        <v>1568</v>
      </c>
      <c r="L7088" s="48">
        <v>8</v>
      </c>
      <c r="M7088" s="47">
        <v>3</v>
      </c>
      <c r="N7088" s="47">
        <v>0</v>
      </c>
      <c r="O7088" s="47">
        <v>0</v>
      </c>
      <c r="P7088" s="47">
        <v>0</v>
      </c>
      <c r="Q7088" s="47">
        <v>0</v>
      </c>
      <c r="R7088" s="47">
        <v>0</v>
      </c>
      <c r="S7088" s="48">
        <v>1</v>
      </c>
      <c r="T7088" s="47">
        <v>1</v>
      </c>
      <c r="U7088" s="47">
        <v>0</v>
      </c>
      <c r="V7088" s="47">
        <v>0</v>
      </c>
      <c r="W7088" s="47">
        <v>3800</v>
      </c>
      <c r="X7088" s="47">
        <v>1201</v>
      </c>
      <c r="Y7088" s="47"/>
      <c r="Z7088" s="47" t="s">
        <v>2466</v>
      </c>
      <c r="AA7088" s="49"/>
      <c r="AB7088" s="49"/>
      <c r="AC7088" s="49"/>
      <c r="AD7088" s="50"/>
      <c r="AE7088" s="47"/>
      <c r="AF7088" s="47"/>
      <c r="AG7088"/>
      <c r="AH7088"/>
      <c r="AI7088"/>
      <c r="AJ7088"/>
      <c r="AK7088"/>
      <c r="AL7088"/>
      <c r="AM7088"/>
      <c r="AN7088"/>
      <c r="AO7088"/>
      <c r="AP7088"/>
      <c r="AQ7088" t="s">
        <v>2526</v>
      </c>
      <c r="AU7088">
        <v>7087</v>
      </c>
    </row>
    <row r="7089" spans="1:47" x14ac:dyDescent="0.2">
      <c r="A7089" s="133">
        <v>6877</v>
      </c>
      <c r="B7089" s="39" t="s">
        <v>45</v>
      </c>
      <c r="C7089" s="39">
        <v>216</v>
      </c>
      <c r="D7089" s="29" t="b">
        <v>0</v>
      </c>
      <c r="E7089" s="39" t="s">
        <v>7645</v>
      </c>
      <c r="F7089" s="47" t="s">
        <v>7646</v>
      </c>
      <c r="G7089" s="47" t="s">
        <v>274</v>
      </c>
      <c r="H7089"/>
      <c r="I7089" s="47" t="b">
        <v>1</v>
      </c>
      <c r="J7089" s="47" t="b">
        <v>1</v>
      </c>
      <c r="K7089" s="47">
        <v>9408</v>
      </c>
      <c r="L7089" s="48">
        <v>8</v>
      </c>
      <c r="M7089" s="47">
        <v>1</v>
      </c>
      <c r="N7089" s="47">
        <v>1</v>
      </c>
      <c r="O7089" s="47">
        <v>0</v>
      </c>
      <c r="P7089" s="47">
        <v>0</v>
      </c>
      <c r="Q7089" s="47">
        <v>0</v>
      </c>
      <c r="R7089" s="47">
        <v>0</v>
      </c>
      <c r="S7089" s="48">
        <v>6</v>
      </c>
      <c r="T7089" s="47">
        <v>0</v>
      </c>
      <c r="U7089" s="47">
        <v>0</v>
      </c>
      <c r="V7089" s="47">
        <v>2</v>
      </c>
      <c r="W7089" s="47">
        <v>5917</v>
      </c>
      <c r="X7089" s="47">
        <v>1214</v>
      </c>
      <c r="Y7089" s="47"/>
      <c r="Z7089" s="47" t="s">
        <v>2466</v>
      </c>
      <c r="AA7089" s="49"/>
      <c r="AB7089" s="49"/>
      <c r="AC7089" s="49"/>
      <c r="AD7089" s="50"/>
      <c r="AE7089" s="47" t="s">
        <v>1312</v>
      </c>
      <c r="AF7089" s="47">
        <v>210</v>
      </c>
      <c r="AG7089"/>
      <c r="AH7089"/>
      <c r="AI7089"/>
      <c r="AJ7089"/>
      <c r="AK7089"/>
      <c r="AL7089"/>
      <c r="AM7089"/>
      <c r="AN7089"/>
      <c r="AO7089"/>
      <c r="AP7089"/>
      <c r="AQ7089" t="s">
        <v>2526</v>
      </c>
      <c r="AU7089">
        <v>7088</v>
      </c>
    </row>
    <row r="7090" spans="1:47" x14ac:dyDescent="0.2">
      <c r="A7090" s="133">
        <v>6877</v>
      </c>
      <c r="B7090" s="39" t="s">
        <v>45</v>
      </c>
      <c r="C7090" s="39">
        <v>216</v>
      </c>
      <c r="D7090" s="29" t="b">
        <v>0</v>
      </c>
      <c r="E7090" s="39" t="s">
        <v>3909</v>
      </c>
      <c r="F7090" s="47" t="s">
        <v>626</v>
      </c>
      <c r="G7090" s="47" t="s">
        <v>274</v>
      </c>
      <c r="H7090"/>
      <c r="I7090" s="47" t="b">
        <v>0</v>
      </c>
      <c r="J7090" s="47" t="b">
        <v>0</v>
      </c>
      <c r="K7090" s="47">
        <v>3136</v>
      </c>
      <c r="L7090" s="48">
        <v>8</v>
      </c>
      <c r="M7090" s="47">
        <v>1</v>
      </c>
      <c r="N7090" s="47">
        <v>1</v>
      </c>
      <c r="O7090" s="47">
        <v>0</v>
      </c>
      <c r="P7090" s="47">
        <v>0</v>
      </c>
      <c r="Q7090" s="47">
        <v>0</v>
      </c>
      <c r="R7090" s="47">
        <v>0</v>
      </c>
      <c r="S7090" s="48">
        <v>2</v>
      </c>
      <c r="T7090" s="47">
        <v>0</v>
      </c>
      <c r="U7090" s="47">
        <v>0</v>
      </c>
      <c r="V7090" s="47">
        <v>2</v>
      </c>
      <c r="W7090" s="47">
        <v>6250</v>
      </c>
      <c r="X7090" s="47">
        <v>1207</v>
      </c>
      <c r="Y7090" s="47"/>
      <c r="Z7090" s="47" t="s">
        <v>2466</v>
      </c>
      <c r="AA7090" s="49"/>
      <c r="AB7090" s="49"/>
      <c r="AC7090" s="49"/>
      <c r="AD7090" s="50"/>
      <c r="AE7090" s="47" t="s">
        <v>1312</v>
      </c>
      <c r="AF7090" s="47">
        <v>210</v>
      </c>
      <c r="AG7090"/>
      <c r="AH7090"/>
      <c r="AI7090"/>
      <c r="AJ7090"/>
      <c r="AK7090"/>
      <c r="AL7090"/>
      <c r="AM7090"/>
      <c r="AN7090"/>
      <c r="AO7090"/>
      <c r="AP7090"/>
      <c r="AQ7090" t="s">
        <v>2526</v>
      </c>
      <c r="AU7090">
        <v>7089</v>
      </c>
    </row>
    <row r="7091" spans="1:47" x14ac:dyDescent="0.2">
      <c r="A7091" s="133">
        <v>6877</v>
      </c>
      <c r="B7091" s="39" t="s">
        <v>45</v>
      </c>
      <c r="C7091" s="39">
        <v>216</v>
      </c>
      <c r="D7091" s="29" t="b">
        <v>0</v>
      </c>
      <c r="E7091" s="39" t="s">
        <v>3909</v>
      </c>
      <c r="F7091" s="47" t="s">
        <v>630</v>
      </c>
      <c r="G7091" s="47" t="s">
        <v>274</v>
      </c>
      <c r="H7091"/>
      <c r="I7091" s="47" t="b">
        <v>0</v>
      </c>
      <c r="J7091" s="47" t="b">
        <v>0</v>
      </c>
      <c r="K7091" s="47">
        <v>1568</v>
      </c>
      <c r="L7091" s="48">
        <v>8</v>
      </c>
      <c r="M7091" s="47">
        <v>1</v>
      </c>
      <c r="N7091" s="47">
        <v>1</v>
      </c>
      <c r="O7091" s="47">
        <v>0</v>
      </c>
      <c r="P7091" s="47">
        <v>0</v>
      </c>
      <c r="Q7091" s="47">
        <v>0</v>
      </c>
      <c r="R7091" s="47">
        <v>0</v>
      </c>
      <c r="S7091" s="48">
        <v>1</v>
      </c>
      <c r="T7091" s="47">
        <v>0</v>
      </c>
      <c r="U7091" s="47">
        <v>0</v>
      </c>
      <c r="V7091" s="47">
        <v>2</v>
      </c>
      <c r="W7091" s="47">
        <v>7000</v>
      </c>
      <c r="X7091" s="47">
        <v>1208</v>
      </c>
      <c r="Y7091" s="47"/>
      <c r="Z7091" s="47" t="s">
        <v>2466</v>
      </c>
      <c r="AA7091" s="49"/>
      <c r="AB7091" s="49"/>
      <c r="AC7091" s="49"/>
      <c r="AD7091" s="50"/>
      <c r="AE7091" s="47" t="s">
        <v>1312</v>
      </c>
      <c r="AF7091" s="47">
        <v>210</v>
      </c>
      <c r="AG7091"/>
      <c r="AH7091"/>
      <c r="AI7091"/>
      <c r="AJ7091"/>
      <c r="AK7091"/>
      <c r="AL7091"/>
      <c r="AM7091"/>
      <c r="AN7091"/>
      <c r="AO7091"/>
      <c r="AP7091"/>
      <c r="AQ7091" t="s">
        <v>2526</v>
      </c>
      <c r="AU7091">
        <v>7090</v>
      </c>
    </row>
    <row r="7092" spans="1:47" x14ac:dyDescent="0.2">
      <c r="A7092" s="133">
        <v>6877</v>
      </c>
      <c r="B7092" s="39" t="s">
        <v>45</v>
      </c>
      <c r="C7092" s="39">
        <v>216</v>
      </c>
      <c r="D7092" s="29" t="b">
        <v>0</v>
      </c>
      <c r="E7092" s="39" t="s">
        <v>3909</v>
      </c>
      <c r="F7092" s="47" t="s">
        <v>7189</v>
      </c>
      <c r="G7092" s="47" t="s">
        <v>274</v>
      </c>
      <c r="H7092"/>
      <c r="I7092" s="47" t="b">
        <v>0</v>
      </c>
      <c r="J7092" s="47" t="b">
        <v>0</v>
      </c>
      <c r="K7092" s="47">
        <v>1568</v>
      </c>
      <c r="L7092" s="48">
        <v>8</v>
      </c>
      <c r="M7092" s="47">
        <v>1</v>
      </c>
      <c r="N7092" s="47">
        <v>1</v>
      </c>
      <c r="O7092" s="47">
        <v>0</v>
      </c>
      <c r="P7092" s="47">
        <v>0</v>
      </c>
      <c r="Q7092" s="47">
        <v>0</v>
      </c>
      <c r="R7092" s="47">
        <v>0</v>
      </c>
      <c r="S7092" s="48">
        <v>1</v>
      </c>
      <c r="T7092" s="47">
        <v>0</v>
      </c>
      <c r="U7092" s="47">
        <v>0</v>
      </c>
      <c r="V7092" s="47">
        <v>2</v>
      </c>
      <c r="W7092" s="47">
        <v>3000</v>
      </c>
      <c r="X7092" s="47">
        <v>1209</v>
      </c>
      <c r="Y7092" s="47"/>
      <c r="Z7092" s="47" t="s">
        <v>2466</v>
      </c>
      <c r="AA7092" s="49"/>
      <c r="AB7092" s="49"/>
      <c r="AC7092" s="49"/>
      <c r="AD7092" s="50"/>
      <c r="AE7092" s="47" t="s">
        <v>1312</v>
      </c>
      <c r="AF7092" s="47">
        <v>210</v>
      </c>
      <c r="AG7092"/>
      <c r="AH7092"/>
      <c r="AI7092"/>
      <c r="AJ7092"/>
      <c r="AK7092"/>
      <c r="AL7092"/>
      <c r="AM7092"/>
      <c r="AN7092"/>
      <c r="AO7092"/>
      <c r="AP7092"/>
      <c r="AQ7092" t="s">
        <v>2526</v>
      </c>
      <c r="AU7092">
        <v>7091</v>
      </c>
    </row>
    <row r="7093" spans="1:47" x14ac:dyDescent="0.2">
      <c r="A7093" s="133">
        <v>6877</v>
      </c>
      <c r="B7093" s="39" t="s">
        <v>45</v>
      </c>
      <c r="C7093" s="39">
        <v>216</v>
      </c>
      <c r="D7093" s="29" t="b">
        <v>0</v>
      </c>
      <c r="E7093" s="39" t="s">
        <v>858</v>
      </c>
      <c r="F7093" s="47" t="s">
        <v>3665</v>
      </c>
      <c r="G7093" s="47" t="s">
        <v>481</v>
      </c>
      <c r="H7093"/>
      <c r="I7093" s="47" t="b">
        <v>0</v>
      </c>
      <c r="J7093" s="47" t="b">
        <v>0</v>
      </c>
      <c r="K7093" s="47">
        <v>1568</v>
      </c>
      <c r="L7093" s="48">
        <v>8</v>
      </c>
      <c r="M7093" s="47">
        <v>1</v>
      </c>
      <c r="N7093" s="47">
        <v>1</v>
      </c>
      <c r="O7093" s="47">
        <v>0</v>
      </c>
      <c r="P7093" s="47">
        <v>0</v>
      </c>
      <c r="Q7093" s="47">
        <v>0</v>
      </c>
      <c r="R7093" s="47">
        <v>0</v>
      </c>
      <c r="S7093" s="48">
        <v>1</v>
      </c>
      <c r="T7093" s="47">
        <v>0</v>
      </c>
      <c r="U7093" s="47">
        <v>0</v>
      </c>
      <c r="V7093" s="47">
        <v>2</v>
      </c>
      <c r="W7093" s="47">
        <v>6000</v>
      </c>
      <c r="X7093" s="47">
        <v>1210</v>
      </c>
      <c r="Y7093" s="47"/>
      <c r="Z7093" s="47" t="s">
        <v>2466</v>
      </c>
      <c r="AA7093" s="49"/>
      <c r="AB7093" s="49"/>
      <c r="AC7093" s="49"/>
      <c r="AD7093" s="50"/>
      <c r="AE7093" s="47" t="s">
        <v>1312</v>
      </c>
      <c r="AF7093" s="47">
        <v>105</v>
      </c>
      <c r="AG7093"/>
      <c r="AH7093"/>
      <c r="AI7093"/>
      <c r="AJ7093"/>
      <c r="AK7093"/>
      <c r="AL7093"/>
      <c r="AM7093"/>
      <c r="AN7093"/>
      <c r="AO7093"/>
      <c r="AP7093"/>
      <c r="AQ7093" t="s">
        <v>2526</v>
      </c>
      <c r="AU7093">
        <v>7092</v>
      </c>
    </row>
    <row r="7094" spans="1:47" x14ac:dyDescent="0.2">
      <c r="A7094" s="133">
        <v>6877</v>
      </c>
      <c r="B7094" s="39" t="s">
        <v>45</v>
      </c>
      <c r="C7094" s="39">
        <v>216</v>
      </c>
      <c r="D7094" s="29" t="b">
        <v>0</v>
      </c>
      <c r="E7094" s="39" t="s">
        <v>2982</v>
      </c>
      <c r="F7094" s="47" t="s">
        <v>7647</v>
      </c>
      <c r="G7094" s="47" t="s">
        <v>459</v>
      </c>
      <c r="H7094"/>
      <c r="I7094" s="47" t="b">
        <v>0</v>
      </c>
      <c r="J7094" s="47" t="b">
        <v>0</v>
      </c>
      <c r="K7094" s="47">
        <v>1568</v>
      </c>
      <c r="L7094" s="48">
        <v>8</v>
      </c>
      <c r="M7094" s="47">
        <v>1</v>
      </c>
      <c r="N7094" s="47">
        <v>1</v>
      </c>
      <c r="O7094" s="47">
        <v>0</v>
      </c>
      <c r="P7094" s="47">
        <v>0</v>
      </c>
      <c r="Q7094" s="47">
        <v>0</v>
      </c>
      <c r="R7094" s="47">
        <v>0</v>
      </c>
      <c r="S7094" s="48">
        <v>1</v>
      </c>
      <c r="T7094" s="47">
        <v>0</v>
      </c>
      <c r="U7094" s="47">
        <v>0</v>
      </c>
      <c r="V7094" s="47">
        <v>2</v>
      </c>
      <c r="W7094" s="47">
        <v>7000</v>
      </c>
      <c r="X7094" s="47">
        <v>1211</v>
      </c>
      <c r="Y7094" s="47"/>
      <c r="Z7094" s="47" t="s">
        <v>2466</v>
      </c>
      <c r="AA7094" s="49"/>
      <c r="AB7094" s="49"/>
      <c r="AC7094" s="49"/>
      <c r="AD7094" s="50"/>
      <c r="AE7094" s="47" t="s">
        <v>1312</v>
      </c>
      <c r="AF7094" s="47">
        <v>210</v>
      </c>
      <c r="AG7094"/>
      <c r="AH7094"/>
      <c r="AI7094"/>
      <c r="AJ7094"/>
      <c r="AK7094"/>
      <c r="AL7094"/>
      <c r="AM7094"/>
      <c r="AN7094"/>
      <c r="AO7094"/>
      <c r="AP7094"/>
      <c r="AQ7094" t="s">
        <v>2526</v>
      </c>
      <c r="AU7094">
        <v>7093</v>
      </c>
    </row>
    <row r="7095" spans="1:47" x14ac:dyDescent="0.2">
      <c r="A7095" s="13">
        <v>6877</v>
      </c>
      <c r="B7095" s="57" t="s">
        <v>45</v>
      </c>
      <c r="C7095" s="57" t="s">
        <v>142</v>
      </c>
      <c r="D7095" s="29"/>
      <c r="E7095" s="38" t="s">
        <v>7648</v>
      </c>
      <c r="F7095" s="31" t="s">
        <v>7649</v>
      </c>
      <c r="G7095" s="47" t="s">
        <v>49</v>
      </c>
      <c r="H7095"/>
      <c r="I7095" s="47" t="b">
        <v>1</v>
      </c>
      <c r="J7095" s="47" t="b">
        <v>1</v>
      </c>
      <c r="K7095" s="47">
        <f>3240*2.2</f>
        <v>7128.0000000000009</v>
      </c>
      <c r="L7095" s="48">
        <v>9</v>
      </c>
      <c r="M7095" s="47"/>
      <c r="N7095" s="47">
        <v>1</v>
      </c>
      <c r="O7095" s="47"/>
      <c r="P7095" s="47"/>
      <c r="Q7095" s="47"/>
      <c r="R7095" s="47"/>
      <c r="S7095" s="48">
        <v>8</v>
      </c>
      <c r="T7095" s="47">
        <v>0</v>
      </c>
      <c r="U7095" s="47">
        <v>0</v>
      </c>
      <c r="V7095" s="47">
        <v>1</v>
      </c>
      <c r="W7095" s="47"/>
      <c r="X7095" s="47"/>
      <c r="Y7095" s="47" t="s">
        <v>51</v>
      </c>
      <c r="Z7095" s="31" t="s">
        <v>7420</v>
      </c>
      <c r="AA7095" s="49"/>
      <c r="AB7095" s="49"/>
      <c r="AC7095" s="49"/>
      <c r="AD7095" s="50"/>
      <c r="AE7095" s="31" t="s">
        <v>2470</v>
      </c>
      <c r="AF7095" s="47"/>
      <c r="AG7095"/>
      <c r="AH7095"/>
      <c r="AI7095"/>
      <c r="AJ7095"/>
      <c r="AK7095">
        <f>2+43+4+4+3+4</f>
        <v>60</v>
      </c>
      <c r="AL7095"/>
      <c r="AM7095"/>
      <c r="AN7095"/>
      <c r="AO7095"/>
      <c r="AP7095"/>
      <c r="AQ7095" t="s">
        <v>7650</v>
      </c>
      <c r="AR7095" s="32" t="s">
        <v>7651</v>
      </c>
      <c r="AU7095">
        <v>7094</v>
      </c>
    </row>
    <row r="7096" spans="1:47" x14ac:dyDescent="0.2">
      <c r="A7096" s="13">
        <v>6877</v>
      </c>
      <c r="B7096" s="57" t="s">
        <v>45</v>
      </c>
      <c r="C7096" s="57" t="s">
        <v>142</v>
      </c>
      <c r="D7096" s="29"/>
      <c r="E7096" s="57" t="s">
        <v>7227</v>
      </c>
      <c r="F7096" s="31" t="s">
        <v>76</v>
      </c>
      <c r="G7096" s="47" t="s">
        <v>49</v>
      </c>
      <c r="I7096" s="47" t="b">
        <v>0</v>
      </c>
      <c r="J7096" s="47" t="b">
        <v>0</v>
      </c>
      <c r="K7096" s="31">
        <v>4092</v>
      </c>
      <c r="S7096" s="33">
        <v>5</v>
      </c>
      <c r="Z7096" s="31" t="s">
        <v>7420</v>
      </c>
      <c r="AE7096" s="31" t="s">
        <v>2470</v>
      </c>
      <c r="AF7096" s="31">
        <v>80</v>
      </c>
      <c r="AK7096" s="32">
        <v>30</v>
      </c>
      <c r="AQ7096" s="32" t="s">
        <v>7491</v>
      </c>
      <c r="AR7096" s="31" t="s">
        <v>7613</v>
      </c>
      <c r="AU7096">
        <v>7095</v>
      </c>
    </row>
    <row r="7097" spans="1:47" x14ac:dyDescent="0.2">
      <c r="A7097" s="13">
        <v>6877</v>
      </c>
      <c r="B7097" s="57" t="s">
        <v>45</v>
      </c>
      <c r="C7097" s="57" t="s">
        <v>142</v>
      </c>
      <c r="D7097" s="29"/>
      <c r="E7097" s="57" t="s">
        <v>7652</v>
      </c>
      <c r="F7097" s="31" t="s">
        <v>76</v>
      </c>
      <c r="G7097" s="47" t="s">
        <v>49</v>
      </c>
      <c r="I7097" s="47" t="b">
        <v>0</v>
      </c>
      <c r="J7097" s="47" t="b">
        <v>0</v>
      </c>
      <c r="K7097" s="31">
        <v>1936</v>
      </c>
      <c r="S7097" s="33">
        <v>2</v>
      </c>
      <c r="Z7097" s="31" t="s">
        <v>7420</v>
      </c>
      <c r="AE7097" s="31" t="s">
        <v>2470</v>
      </c>
      <c r="AF7097" s="31">
        <v>95</v>
      </c>
      <c r="AK7097" s="32">
        <v>21</v>
      </c>
      <c r="AQ7097" s="32" t="s">
        <v>7491</v>
      </c>
      <c r="AU7097">
        <v>7096</v>
      </c>
    </row>
    <row r="7098" spans="1:47" x14ac:dyDescent="0.2">
      <c r="A7098" s="13">
        <v>6877</v>
      </c>
      <c r="B7098" s="57" t="s">
        <v>45</v>
      </c>
      <c r="C7098" s="57" t="s">
        <v>142</v>
      </c>
      <c r="D7098" s="29"/>
      <c r="E7098" s="57" t="s">
        <v>7490</v>
      </c>
      <c r="F7098" s="31" t="s">
        <v>76</v>
      </c>
      <c r="G7098" s="47" t="s">
        <v>49</v>
      </c>
      <c r="I7098" s="47" t="b">
        <v>0</v>
      </c>
      <c r="J7098" s="47" t="b">
        <v>0</v>
      </c>
      <c r="K7098" s="31">
        <v>1100</v>
      </c>
      <c r="S7098" s="33">
        <v>1</v>
      </c>
      <c r="Z7098" s="31" t="s">
        <v>7420</v>
      </c>
      <c r="AE7098" s="31" t="s">
        <v>2470</v>
      </c>
      <c r="AF7098" s="31">
        <v>90</v>
      </c>
      <c r="AK7098" s="32">
        <v>9</v>
      </c>
      <c r="AQ7098" s="32" t="s">
        <v>7491</v>
      </c>
      <c r="AU7098">
        <v>7097</v>
      </c>
    </row>
    <row r="7099" spans="1:47" x14ac:dyDescent="0.2">
      <c r="A7099" s="13">
        <v>6877</v>
      </c>
      <c r="B7099" s="57" t="s">
        <v>45</v>
      </c>
      <c r="C7099" s="57" t="s">
        <v>4179</v>
      </c>
      <c r="D7099" s="29"/>
      <c r="E7099" s="57" t="s">
        <v>5937</v>
      </c>
      <c r="F7099" s="31" t="s">
        <v>76</v>
      </c>
      <c r="G7099" s="47" t="s">
        <v>49</v>
      </c>
      <c r="K7099" s="31">
        <v>11462</v>
      </c>
      <c r="Z7099" s="31" t="s">
        <v>3814</v>
      </c>
      <c r="AE7099" s="31" t="s">
        <v>5034</v>
      </c>
      <c r="AF7099" s="31">
        <v>90</v>
      </c>
      <c r="AK7099" s="32">
        <v>107</v>
      </c>
      <c r="AQ7099" s="32" t="s">
        <v>7491</v>
      </c>
      <c r="AU7099">
        <v>7098</v>
      </c>
    </row>
    <row r="7100" spans="1:47" x14ac:dyDescent="0.2">
      <c r="A7100" s="13">
        <v>6877</v>
      </c>
      <c r="B7100" s="57" t="s">
        <v>45</v>
      </c>
      <c r="C7100" s="57" t="s">
        <v>4179</v>
      </c>
      <c r="D7100" s="29"/>
      <c r="E7100" s="57" t="s">
        <v>3816</v>
      </c>
      <c r="F7100" s="31" t="s">
        <v>76</v>
      </c>
      <c r="G7100" s="47" t="s">
        <v>49</v>
      </c>
      <c r="K7100" s="31">
        <v>2706</v>
      </c>
      <c r="Z7100" s="31" t="s">
        <v>3814</v>
      </c>
      <c r="AE7100" s="31" t="s">
        <v>5034</v>
      </c>
      <c r="AF7100" s="31">
        <v>85</v>
      </c>
      <c r="AK7100" s="32">
        <v>45</v>
      </c>
      <c r="AQ7100" s="32" t="s">
        <v>7491</v>
      </c>
      <c r="AU7100">
        <v>7099</v>
      </c>
    </row>
    <row r="7101" spans="1:47" x14ac:dyDescent="0.2">
      <c r="A7101" s="13">
        <v>6877</v>
      </c>
      <c r="B7101" s="57" t="s">
        <v>45</v>
      </c>
      <c r="C7101" s="57" t="s">
        <v>4179</v>
      </c>
      <c r="D7101" s="29"/>
      <c r="E7101" s="57" t="s">
        <v>7614</v>
      </c>
      <c r="F7101" s="31" t="s">
        <v>3183</v>
      </c>
      <c r="G7101" s="47" t="s">
        <v>49</v>
      </c>
      <c r="K7101" s="31">
        <v>2706</v>
      </c>
      <c r="Z7101" s="31" t="s">
        <v>3814</v>
      </c>
      <c r="AE7101" s="31" t="s">
        <v>5034</v>
      </c>
      <c r="AF7101" s="31">
        <v>110</v>
      </c>
      <c r="AK7101" s="32">
        <v>43</v>
      </c>
      <c r="AQ7101" s="32" t="s">
        <v>7491</v>
      </c>
      <c r="AU7101">
        <v>7100</v>
      </c>
    </row>
    <row r="7102" spans="1:47" x14ac:dyDescent="0.2">
      <c r="A7102" s="13">
        <v>6877</v>
      </c>
      <c r="B7102" s="57" t="s">
        <v>45</v>
      </c>
      <c r="C7102" s="57" t="s">
        <v>4179</v>
      </c>
      <c r="D7102" s="29"/>
      <c r="E7102" s="57" t="s">
        <v>4182</v>
      </c>
      <c r="F7102" s="31" t="s">
        <v>76</v>
      </c>
      <c r="G7102" s="47" t="s">
        <v>49</v>
      </c>
      <c r="K7102" s="31">
        <v>1672</v>
      </c>
      <c r="Z7102" s="31" t="s">
        <v>3814</v>
      </c>
      <c r="AE7102" s="31" t="s">
        <v>5034</v>
      </c>
      <c r="AF7102" s="31">
        <v>110</v>
      </c>
      <c r="AK7102" s="32">
        <v>28</v>
      </c>
      <c r="AQ7102" s="32" t="s">
        <v>7491</v>
      </c>
      <c r="AU7102">
        <v>7101</v>
      </c>
    </row>
    <row r="7103" spans="1:47" x14ac:dyDescent="0.2">
      <c r="A7103" s="13">
        <v>6877</v>
      </c>
      <c r="B7103" s="57" t="s">
        <v>45</v>
      </c>
      <c r="C7103" s="57" t="s">
        <v>4179</v>
      </c>
      <c r="D7103" s="29"/>
      <c r="E7103" s="57" t="s">
        <v>3884</v>
      </c>
      <c r="F7103" s="31" t="s">
        <v>76</v>
      </c>
      <c r="G7103" s="47" t="s">
        <v>49</v>
      </c>
      <c r="K7103" s="31">
        <v>550</v>
      </c>
      <c r="Z7103" s="31" t="s">
        <v>3814</v>
      </c>
      <c r="AE7103" s="31" t="s">
        <v>5034</v>
      </c>
      <c r="AF7103" s="31">
        <v>125</v>
      </c>
      <c r="AK7103" s="32">
        <v>8</v>
      </c>
      <c r="AQ7103" s="32" t="s">
        <v>7491</v>
      </c>
      <c r="AU7103">
        <v>7102</v>
      </c>
    </row>
    <row r="7104" spans="1:47" x14ac:dyDescent="0.2">
      <c r="A7104" s="13">
        <v>6877</v>
      </c>
      <c r="B7104" s="57" t="s">
        <v>45</v>
      </c>
      <c r="C7104" s="57" t="s">
        <v>4179</v>
      </c>
      <c r="D7104" s="29"/>
      <c r="E7104" s="57" t="s">
        <v>7653</v>
      </c>
      <c r="F7104" s="31" t="s">
        <v>76</v>
      </c>
      <c r="G7104" s="47" t="s">
        <v>49</v>
      </c>
      <c r="K7104" s="31">
        <v>440</v>
      </c>
      <c r="Z7104" s="31" t="s">
        <v>3814</v>
      </c>
      <c r="AE7104" s="31" t="s">
        <v>5034</v>
      </c>
      <c r="AF7104" s="31">
        <v>90</v>
      </c>
      <c r="AK7104" s="32">
        <v>4</v>
      </c>
      <c r="AQ7104" s="32" t="s">
        <v>7491</v>
      </c>
      <c r="AU7104">
        <v>7103</v>
      </c>
    </row>
    <row r="7105" spans="1:47" x14ac:dyDescent="0.2">
      <c r="A7105" s="13">
        <v>6877</v>
      </c>
      <c r="B7105" s="57" t="s">
        <v>45</v>
      </c>
      <c r="C7105" s="57" t="s">
        <v>5860</v>
      </c>
      <c r="D7105" s="29"/>
      <c r="E7105" s="57" t="s">
        <v>7564</v>
      </c>
      <c r="F7105" s="31" t="s">
        <v>83</v>
      </c>
      <c r="G7105" s="47" t="s">
        <v>69</v>
      </c>
      <c r="K7105" s="31">
        <v>2860</v>
      </c>
      <c r="AE7105" s="31" t="s">
        <v>7241</v>
      </c>
      <c r="AF7105" s="31">
        <v>90</v>
      </c>
      <c r="AK7105" s="32">
        <v>26</v>
      </c>
      <c r="AQ7105" s="32" t="s">
        <v>7491</v>
      </c>
      <c r="AU7105">
        <v>7104</v>
      </c>
    </row>
    <row r="7106" spans="1:47" x14ac:dyDescent="0.2">
      <c r="A7106" s="13">
        <v>6877</v>
      </c>
      <c r="B7106" s="57" t="s">
        <v>45</v>
      </c>
      <c r="C7106" s="57" t="s">
        <v>5860</v>
      </c>
      <c r="D7106" s="29"/>
      <c r="E7106" s="57" t="s">
        <v>3884</v>
      </c>
      <c r="F7106" s="31" t="s">
        <v>76</v>
      </c>
      <c r="G7106" s="47" t="s">
        <v>49</v>
      </c>
      <c r="K7106" s="31">
        <v>2750</v>
      </c>
      <c r="AE7106" s="31" t="s">
        <v>7241</v>
      </c>
      <c r="AF7106" s="31">
        <v>90</v>
      </c>
      <c r="AK7106" s="32">
        <v>25</v>
      </c>
      <c r="AQ7106" s="32" t="s">
        <v>7491</v>
      </c>
      <c r="AU7106">
        <v>7105</v>
      </c>
    </row>
    <row r="7107" spans="1:47" x14ac:dyDescent="0.2">
      <c r="A7107" s="13">
        <v>6877</v>
      </c>
      <c r="B7107" s="57" t="s">
        <v>45</v>
      </c>
      <c r="C7107" s="57" t="s">
        <v>5860</v>
      </c>
      <c r="D7107" s="29"/>
      <c r="E7107" s="57" t="s">
        <v>7495</v>
      </c>
      <c r="F7107" s="31" t="s">
        <v>76</v>
      </c>
      <c r="G7107" s="47" t="s">
        <v>49</v>
      </c>
      <c r="K7107" s="31">
        <v>1980</v>
      </c>
      <c r="AE7107" s="31" t="s">
        <v>7241</v>
      </c>
      <c r="AF7107" s="31">
        <v>95</v>
      </c>
      <c r="AK7107" s="32">
        <v>27</v>
      </c>
      <c r="AQ7107" s="32" t="s">
        <v>7491</v>
      </c>
      <c r="AU7107">
        <v>7106</v>
      </c>
    </row>
    <row r="7108" spans="1:47" x14ac:dyDescent="0.2">
      <c r="A7108" s="13">
        <v>6877</v>
      </c>
      <c r="B7108" s="57" t="s">
        <v>45</v>
      </c>
      <c r="C7108" s="57" t="s">
        <v>5860</v>
      </c>
      <c r="D7108" s="29"/>
      <c r="E7108" s="57" t="s">
        <v>3816</v>
      </c>
      <c r="F7108" s="31" t="s">
        <v>76</v>
      </c>
      <c r="G7108" s="47" t="s">
        <v>49</v>
      </c>
      <c r="K7108" s="31">
        <v>1100</v>
      </c>
      <c r="AE7108" s="31" t="s">
        <v>7241</v>
      </c>
      <c r="AF7108" s="31">
        <v>115</v>
      </c>
      <c r="AK7108" s="32">
        <v>10</v>
      </c>
      <c r="AQ7108" s="32" t="s">
        <v>7491</v>
      </c>
      <c r="AU7108">
        <v>7107</v>
      </c>
    </row>
    <row r="7109" spans="1:47" x14ac:dyDescent="0.2">
      <c r="A7109" s="13">
        <v>6877</v>
      </c>
      <c r="B7109" s="57" t="s">
        <v>45</v>
      </c>
      <c r="C7109" s="57" t="s">
        <v>7243</v>
      </c>
      <c r="D7109" s="29"/>
      <c r="E7109" s="57" t="s">
        <v>7227</v>
      </c>
      <c r="F7109" s="31" t="s">
        <v>76</v>
      </c>
      <c r="G7109" s="47" t="s">
        <v>49</v>
      </c>
      <c r="I7109" s="31" t="s">
        <v>7613</v>
      </c>
      <c r="K7109" s="31">
        <v>2970</v>
      </c>
      <c r="S7109" s="33">
        <v>5</v>
      </c>
      <c r="AE7109" s="31" t="s">
        <v>4411</v>
      </c>
      <c r="AF7109" s="31">
        <v>75</v>
      </c>
      <c r="AK7109" s="32">
        <v>27</v>
      </c>
      <c r="AQ7109" s="32" t="s">
        <v>7491</v>
      </c>
      <c r="AU7109">
        <v>7108</v>
      </c>
    </row>
    <row r="7110" spans="1:47" x14ac:dyDescent="0.2">
      <c r="A7110" s="13">
        <v>6877</v>
      </c>
      <c r="B7110" s="57" t="s">
        <v>45</v>
      </c>
      <c r="C7110" s="57" t="s">
        <v>7243</v>
      </c>
      <c r="D7110" s="29"/>
      <c r="E7110" s="57" t="s">
        <v>6527</v>
      </c>
      <c r="F7110" s="31" t="s">
        <v>76</v>
      </c>
      <c r="G7110" s="47" t="s">
        <v>49</v>
      </c>
      <c r="K7110" s="31">
        <v>2442</v>
      </c>
      <c r="S7110" s="33">
        <v>4</v>
      </c>
      <c r="AE7110" s="31" t="s">
        <v>4411</v>
      </c>
      <c r="AF7110" s="31">
        <v>100</v>
      </c>
      <c r="AK7110" s="32">
        <v>21</v>
      </c>
      <c r="AQ7110" s="32" t="s">
        <v>7491</v>
      </c>
      <c r="AU7110">
        <v>7109</v>
      </c>
    </row>
    <row r="7111" spans="1:47" x14ac:dyDescent="0.2">
      <c r="A7111" s="13">
        <v>6877</v>
      </c>
      <c r="B7111" s="57" t="s">
        <v>45</v>
      </c>
      <c r="C7111" s="57" t="s">
        <v>7243</v>
      </c>
      <c r="D7111" s="29"/>
      <c r="E7111" s="57" t="s">
        <v>7652</v>
      </c>
      <c r="F7111" s="31" t="s">
        <v>76</v>
      </c>
      <c r="G7111" s="47" t="s">
        <v>49</v>
      </c>
      <c r="K7111" s="31">
        <v>1320</v>
      </c>
      <c r="S7111" s="33">
        <v>2</v>
      </c>
      <c r="AE7111" s="31" t="s">
        <v>4411</v>
      </c>
      <c r="AF7111" s="31">
        <v>85</v>
      </c>
      <c r="AK7111" s="32">
        <v>12</v>
      </c>
      <c r="AQ7111" s="32" t="s">
        <v>7491</v>
      </c>
      <c r="AU7111">
        <v>7110</v>
      </c>
    </row>
    <row r="7112" spans="1:47" x14ac:dyDescent="0.2">
      <c r="A7112" s="13">
        <v>6877</v>
      </c>
      <c r="B7112" s="57" t="s">
        <v>45</v>
      </c>
      <c r="C7112" s="57" t="s">
        <v>7243</v>
      </c>
      <c r="D7112" s="29"/>
      <c r="E7112" s="57" t="s">
        <v>7490</v>
      </c>
      <c r="F7112" s="31" t="s">
        <v>76</v>
      </c>
      <c r="G7112" s="47" t="s">
        <v>49</v>
      </c>
      <c r="K7112" s="31">
        <v>1133</v>
      </c>
      <c r="S7112" s="33">
        <v>2</v>
      </c>
      <c r="AE7112" s="31" t="s">
        <v>4411</v>
      </c>
      <c r="AF7112" s="31">
        <v>85</v>
      </c>
      <c r="AK7112" s="32">
        <v>13</v>
      </c>
      <c r="AQ7112" s="32" t="s">
        <v>7491</v>
      </c>
      <c r="AU7112">
        <v>7111</v>
      </c>
    </row>
    <row r="7113" spans="1:47" x14ac:dyDescent="0.2">
      <c r="A7113" s="26">
        <v>6877</v>
      </c>
      <c r="B7113" s="27">
        <v>1.0416666666666666E-2</v>
      </c>
      <c r="C7113" s="28"/>
      <c r="D7113" s="29"/>
      <c r="E7113" s="30" t="s">
        <v>464</v>
      </c>
      <c r="H7113" s="32">
        <v>1</v>
      </c>
      <c r="I7113" s="32" t="s">
        <v>7654</v>
      </c>
      <c r="AG7113" s="32">
        <v>0</v>
      </c>
      <c r="AH7113" s="32">
        <v>0</v>
      </c>
      <c r="AL7113" s="32">
        <f>25/60</f>
        <v>0.41666666666666669</v>
      </c>
      <c r="AO7113" s="32" t="s">
        <v>1898</v>
      </c>
      <c r="AP7113" s="32">
        <f>25/60</f>
        <v>0.41666666666666669</v>
      </c>
      <c r="AQ7113" s="32" t="s">
        <v>6661</v>
      </c>
      <c r="AU7113">
        <v>7112</v>
      </c>
    </row>
    <row r="7114" spans="1:47" x14ac:dyDescent="0.2">
      <c r="A7114" s="26">
        <v>6877</v>
      </c>
      <c r="B7114" s="27">
        <v>0.87847222222222221</v>
      </c>
      <c r="C7114" s="28"/>
      <c r="D7114" s="29"/>
      <c r="E7114" s="30" t="s">
        <v>464</v>
      </c>
      <c r="H7114" s="32">
        <v>0</v>
      </c>
      <c r="I7114" s="32" t="s">
        <v>7655</v>
      </c>
      <c r="AG7114" s="32">
        <v>0</v>
      </c>
      <c r="AH7114" s="32">
        <v>0</v>
      </c>
      <c r="AL7114" s="32">
        <v>0.33300000000000002</v>
      </c>
      <c r="AO7114" s="32" t="s">
        <v>4067</v>
      </c>
      <c r="AP7114" s="32">
        <v>0.33300000000000002</v>
      </c>
      <c r="AQ7114" s="32" t="s">
        <v>1522</v>
      </c>
      <c r="AU7114">
        <v>7113</v>
      </c>
    </row>
    <row r="7115" spans="1:47" x14ac:dyDescent="0.2">
      <c r="A7115" s="26">
        <v>6877</v>
      </c>
      <c r="B7115" s="27">
        <v>0.88541666666666663</v>
      </c>
      <c r="C7115" s="28"/>
      <c r="D7115" s="29"/>
      <c r="E7115" s="30" t="s">
        <v>1282</v>
      </c>
      <c r="H7115" s="32">
        <v>0</v>
      </c>
      <c r="I7115" s="32" t="s">
        <v>7656</v>
      </c>
      <c r="AG7115" s="32">
        <v>0</v>
      </c>
      <c r="AH7115" s="32">
        <v>0</v>
      </c>
      <c r="AI7115" s="32">
        <v>0</v>
      </c>
      <c r="AK7115" s="32">
        <v>0</v>
      </c>
      <c r="AL7115" s="32">
        <v>1</v>
      </c>
      <c r="AP7115" s="32">
        <v>1</v>
      </c>
      <c r="AQ7115" s="32" t="s">
        <v>1101</v>
      </c>
      <c r="AU7115">
        <v>7114</v>
      </c>
    </row>
    <row r="7116" spans="1:47" x14ac:dyDescent="0.2">
      <c r="A7116" s="26">
        <v>6877</v>
      </c>
      <c r="B7116" s="27">
        <v>0.89583333333333337</v>
      </c>
      <c r="C7116" s="28"/>
      <c r="D7116" s="29"/>
      <c r="E7116" s="30" t="s">
        <v>2087</v>
      </c>
      <c r="H7116" s="32">
        <v>0</v>
      </c>
      <c r="I7116" s="32" t="s">
        <v>7657</v>
      </c>
      <c r="AG7116" s="32">
        <v>0</v>
      </c>
      <c r="AH7116" s="32">
        <v>0</v>
      </c>
      <c r="AI7116" s="32">
        <v>0</v>
      </c>
      <c r="AK7116" s="32">
        <v>0</v>
      </c>
      <c r="AL7116" s="32">
        <v>0</v>
      </c>
      <c r="AP7116" s="32">
        <v>0.5</v>
      </c>
      <c r="AQ7116" s="32" t="s">
        <v>1101</v>
      </c>
      <c r="AU7116">
        <v>7115</v>
      </c>
    </row>
    <row r="7117" spans="1:47" x14ac:dyDescent="0.2">
      <c r="A7117" s="26">
        <v>6877</v>
      </c>
      <c r="B7117" s="27">
        <v>0.89930555555555547</v>
      </c>
      <c r="C7117" s="28"/>
      <c r="D7117" s="29"/>
      <c r="E7117" s="30" t="s">
        <v>4219</v>
      </c>
      <c r="H7117" s="32">
        <v>0</v>
      </c>
      <c r="I7117" s="32" t="s">
        <v>4249</v>
      </c>
      <c r="AG7117" s="32">
        <v>0</v>
      </c>
      <c r="AH7117" s="32">
        <v>0</v>
      </c>
      <c r="AI7117" s="32">
        <v>0</v>
      </c>
      <c r="AK7117" s="32">
        <v>0</v>
      </c>
      <c r="AL7117" s="32">
        <f>1/6</f>
        <v>0.16666666666666666</v>
      </c>
      <c r="AO7117" s="32" t="s">
        <v>858</v>
      </c>
      <c r="AP7117" s="32">
        <f>1/6</f>
        <v>0.16666666666666666</v>
      </c>
      <c r="AQ7117" s="32" t="s">
        <v>1101</v>
      </c>
      <c r="AU7117">
        <v>7116</v>
      </c>
    </row>
    <row r="7118" spans="1:47" x14ac:dyDescent="0.2">
      <c r="A7118" s="26">
        <v>6877</v>
      </c>
      <c r="B7118" s="27">
        <v>0.91666666666666663</v>
      </c>
      <c r="C7118" s="28"/>
      <c r="D7118" s="29"/>
      <c r="E7118" s="30" t="s">
        <v>3737</v>
      </c>
      <c r="H7118" s="32">
        <v>0</v>
      </c>
      <c r="I7118" s="32" t="s">
        <v>4926</v>
      </c>
      <c r="AG7118" s="32">
        <v>0</v>
      </c>
      <c r="AH7118" s="32">
        <v>0</v>
      </c>
      <c r="AI7118" s="32">
        <v>0</v>
      </c>
      <c r="AK7118" s="32">
        <v>0</v>
      </c>
      <c r="AL7118" s="32">
        <f>28/60</f>
        <v>0.46666666666666667</v>
      </c>
      <c r="AM7118" s="33">
        <f>3125*AL7118</f>
        <v>1458.3333333333333</v>
      </c>
      <c r="AP7118" s="32">
        <f>28/60</f>
        <v>0.46666666666666667</v>
      </c>
      <c r="AQ7118" s="32" t="s">
        <v>1101</v>
      </c>
      <c r="AU7118">
        <v>7117</v>
      </c>
    </row>
    <row r="7119" spans="1:47" x14ac:dyDescent="0.2">
      <c r="A7119" s="26">
        <v>6877</v>
      </c>
      <c r="B7119" s="27">
        <v>0.9194444444444444</v>
      </c>
      <c r="C7119" s="28"/>
      <c r="D7119" s="29"/>
      <c r="E7119" s="30" t="s">
        <v>869</v>
      </c>
      <c r="H7119" s="32">
        <v>0</v>
      </c>
      <c r="I7119" s="32" t="s">
        <v>7658</v>
      </c>
      <c r="AG7119" s="32">
        <v>0</v>
      </c>
      <c r="AH7119" s="32">
        <v>0</v>
      </c>
      <c r="AI7119" s="32">
        <v>0</v>
      </c>
      <c r="AK7119" s="32">
        <v>0</v>
      </c>
      <c r="AL7119" s="32">
        <f>(35+19+47+10)/60</f>
        <v>1.85</v>
      </c>
      <c r="AP7119" s="32">
        <f>(35+19+47+10)/60</f>
        <v>1.85</v>
      </c>
      <c r="AQ7119" s="32" t="s">
        <v>589</v>
      </c>
      <c r="AU7119">
        <v>7118</v>
      </c>
    </row>
    <row r="7120" spans="1:47" x14ac:dyDescent="0.2">
      <c r="A7120" s="26">
        <v>6877</v>
      </c>
      <c r="B7120" s="27">
        <v>0.97222222222222221</v>
      </c>
      <c r="C7120" s="28"/>
      <c r="D7120" s="29"/>
      <c r="E7120" s="30" t="s">
        <v>3155</v>
      </c>
      <c r="H7120" s="32">
        <v>0</v>
      </c>
      <c r="I7120" s="32" t="s">
        <v>3156</v>
      </c>
      <c r="AG7120" s="32">
        <v>0</v>
      </c>
      <c r="AH7120" s="32">
        <v>0</v>
      </c>
      <c r="AI7120" s="32">
        <v>0</v>
      </c>
      <c r="AK7120" s="32">
        <v>0</v>
      </c>
      <c r="AP7120" s="32">
        <f>70/60</f>
        <v>1.1666666666666667</v>
      </c>
      <c r="AQ7120" s="32" t="s">
        <v>1101</v>
      </c>
      <c r="AU7120">
        <v>7119</v>
      </c>
    </row>
    <row r="7121" spans="1:47" x14ac:dyDescent="0.2">
      <c r="A7121" s="26">
        <v>6877</v>
      </c>
      <c r="B7121" s="27" t="s">
        <v>45</v>
      </c>
      <c r="C7121" s="28"/>
      <c r="D7121" s="29"/>
      <c r="E7121" s="30" t="s">
        <v>858</v>
      </c>
      <c r="H7121" s="32">
        <v>1</v>
      </c>
      <c r="I7121" s="32"/>
      <c r="AG7121" s="32">
        <v>0</v>
      </c>
      <c r="AH7121" s="32">
        <v>0</v>
      </c>
      <c r="AI7121" s="32">
        <v>1450</v>
      </c>
      <c r="AQ7121" s="32">
        <v>438</v>
      </c>
      <c r="AU7121">
        <v>7120</v>
      </c>
    </row>
    <row r="7122" spans="1:47" x14ac:dyDescent="0.2">
      <c r="A7122" s="26">
        <v>6877</v>
      </c>
      <c r="B7122" s="27" t="s">
        <v>45</v>
      </c>
      <c r="C7122" s="28"/>
      <c r="D7122" s="29"/>
      <c r="E7122" s="30" t="s">
        <v>1531</v>
      </c>
      <c r="H7122" s="32">
        <v>0</v>
      </c>
      <c r="I7122" s="32" t="s">
        <v>1532</v>
      </c>
      <c r="AG7122" s="32">
        <v>0</v>
      </c>
      <c r="AH7122" s="32">
        <v>0</v>
      </c>
      <c r="AI7122" s="32">
        <v>0</v>
      </c>
      <c r="AK7122" s="32">
        <v>0</v>
      </c>
      <c r="AM7122" s="32">
        <f>498*43</f>
        <v>21414</v>
      </c>
      <c r="AO7122" s="32" t="s">
        <v>1533</v>
      </c>
      <c r="AQ7122" s="32" t="s">
        <v>1101</v>
      </c>
      <c r="AU7122">
        <v>7121</v>
      </c>
    </row>
    <row r="7123" spans="1:47" x14ac:dyDescent="0.2">
      <c r="A7123" s="26">
        <v>6877</v>
      </c>
      <c r="B7123" s="27" t="s">
        <v>45</v>
      </c>
      <c r="C7123" s="28"/>
      <c r="D7123" s="29"/>
      <c r="E7123" s="150" t="s">
        <v>2286</v>
      </c>
      <c r="H7123" s="32">
        <v>0</v>
      </c>
      <c r="I7123" s="32" t="s">
        <v>1824</v>
      </c>
      <c r="AG7123" s="32">
        <v>0</v>
      </c>
      <c r="AH7123" s="32">
        <v>0</v>
      </c>
      <c r="AI7123" s="32">
        <v>0</v>
      </c>
      <c r="AK7123" s="32">
        <v>0</v>
      </c>
      <c r="AM7123" s="32">
        <v>7500</v>
      </c>
      <c r="AO7123" s="73" t="s">
        <v>75</v>
      </c>
      <c r="AQ7123" s="32" t="s">
        <v>589</v>
      </c>
      <c r="AU7123">
        <v>7122</v>
      </c>
    </row>
    <row r="7124" spans="1:47" x14ac:dyDescent="0.2">
      <c r="A7124" s="26">
        <v>6877</v>
      </c>
      <c r="B7124" s="27"/>
      <c r="C7124" s="28"/>
      <c r="D7124" s="29"/>
      <c r="E7124" s="30" t="s">
        <v>3063</v>
      </c>
      <c r="H7124" s="32">
        <v>1</v>
      </c>
      <c r="I7124" s="32" t="s">
        <v>7659</v>
      </c>
      <c r="AK7124" s="32">
        <v>17.5</v>
      </c>
      <c r="AQ7124" s="32">
        <v>375</v>
      </c>
      <c r="AU7124">
        <v>7123</v>
      </c>
    </row>
    <row r="7125" spans="1:47" x14ac:dyDescent="0.2">
      <c r="A7125" s="26">
        <v>6877</v>
      </c>
      <c r="B7125" s="27"/>
      <c r="C7125" s="28"/>
      <c r="D7125" s="29"/>
      <c r="E7125" s="30" t="s">
        <v>3909</v>
      </c>
      <c r="H7125" s="32">
        <v>1</v>
      </c>
      <c r="I7125" s="32" t="s">
        <v>7660</v>
      </c>
      <c r="AI7125" s="32">
        <v>178000</v>
      </c>
      <c r="AK7125" s="32">
        <v>20</v>
      </c>
      <c r="AQ7125" s="32" t="s">
        <v>7661</v>
      </c>
      <c r="AU7125">
        <v>7124</v>
      </c>
    </row>
    <row r="7126" spans="1:47" x14ac:dyDescent="0.2">
      <c r="A7126" s="26">
        <v>6877</v>
      </c>
      <c r="B7126" s="27"/>
      <c r="C7126" s="28"/>
      <c r="D7126" s="29"/>
      <c r="E7126" s="30" t="s">
        <v>4666</v>
      </c>
      <c r="H7126" s="32">
        <v>0</v>
      </c>
      <c r="I7126" s="32" t="s">
        <v>7662</v>
      </c>
      <c r="AG7126" s="32">
        <v>0</v>
      </c>
      <c r="AH7126" s="32">
        <v>0</v>
      </c>
      <c r="AI7126" s="32">
        <v>0</v>
      </c>
      <c r="AK7126" s="32">
        <v>0</v>
      </c>
      <c r="AL7126" s="32">
        <v>2</v>
      </c>
      <c r="AO7126" s="32" t="s">
        <v>4668</v>
      </c>
      <c r="AP7126" s="32">
        <v>2</v>
      </c>
      <c r="AQ7126" s="32">
        <v>411</v>
      </c>
      <c r="AU7126">
        <v>7125</v>
      </c>
    </row>
    <row r="7127" spans="1:47" x14ac:dyDescent="0.2">
      <c r="A7127" s="26">
        <v>6877</v>
      </c>
      <c r="B7127" s="27"/>
      <c r="C7127" s="28"/>
      <c r="D7127" s="29"/>
      <c r="E7127" s="30" t="s">
        <v>4469</v>
      </c>
      <c r="H7127" s="32">
        <v>0</v>
      </c>
      <c r="I7127" s="32" t="s">
        <v>7663</v>
      </c>
      <c r="AG7127" s="32">
        <v>0</v>
      </c>
      <c r="AH7127" s="32">
        <v>0</v>
      </c>
      <c r="AI7127" s="32">
        <v>0</v>
      </c>
      <c r="AK7127" s="32">
        <v>0</v>
      </c>
      <c r="AL7127" s="32">
        <f>65/60</f>
        <v>1.0833333333333333</v>
      </c>
      <c r="AO7127" s="32" t="s">
        <v>5210</v>
      </c>
      <c r="AP7127" s="32">
        <f>65/60</f>
        <v>1.0833333333333333</v>
      </c>
      <c r="AQ7127" s="32" t="s">
        <v>5211</v>
      </c>
      <c r="AU7127">
        <v>7126</v>
      </c>
    </row>
    <row r="7128" spans="1:47" x14ac:dyDescent="0.2">
      <c r="A7128" s="133">
        <v>6878</v>
      </c>
      <c r="B7128" s="39" t="s">
        <v>85</v>
      </c>
      <c r="C7128" s="39">
        <v>99</v>
      </c>
      <c r="D7128" s="29" t="b">
        <v>0</v>
      </c>
      <c r="E7128" s="39" t="s">
        <v>3575</v>
      </c>
      <c r="F7128" s="47" t="s">
        <v>529</v>
      </c>
      <c r="G7128" s="47" t="s">
        <v>205</v>
      </c>
      <c r="H7128"/>
      <c r="I7128" s="47" t="b">
        <v>0</v>
      </c>
      <c r="J7128" s="47" t="b">
        <v>1</v>
      </c>
      <c r="K7128" s="47">
        <v>1144</v>
      </c>
      <c r="L7128" s="48">
        <v>-1</v>
      </c>
      <c r="M7128" s="47">
        <v>0</v>
      </c>
      <c r="N7128" s="47">
        <v>0</v>
      </c>
      <c r="O7128" s="47">
        <v>0</v>
      </c>
      <c r="P7128" s="47">
        <v>0</v>
      </c>
      <c r="Q7128" s="47">
        <v>0</v>
      </c>
      <c r="R7128" s="47">
        <v>0</v>
      </c>
      <c r="S7128" s="48">
        <v>5</v>
      </c>
      <c r="T7128" s="47">
        <v>0</v>
      </c>
      <c r="U7128" s="47">
        <v>0</v>
      </c>
      <c r="V7128" s="47">
        <v>0</v>
      </c>
      <c r="W7128" s="47">
        <v>12000</v>
      </c>
      <c r="X7128" s="47">
        <v>1222</v>
      </c>
      <c r="Y7128" s="47" t="s">
        <v>120</v>
      </c>
      <c r="Z7128" s="47" t="s">
        <v>5139</v>
      </c>
      <c r="AA7128" s="49">
        <v>0.60416666666666663</v>
      </c>
      <c r="AB7128" s="49">
        <v>0.6875</v>
      </c>
      <c r="AC7128" s="49">
        <v>0.65972222222222221</v>
      </c>
      <c r="AD7128" s="50">
        <f>(AB7128-AA7128)*24</f>
        <v>2.0000000000000009</v>
      </c>
      <c r="AE7128" s="47" t="s">
        <v>5433</v>
      </c>
      <c r="AF7128" s="47">
        <v>140</v>
      </c>
      <c r="AG7128"/>
      <c r="AH7128"/>
      <c r="AI7128"/>
      <c r="AJ7128"/>
      <c r="AK7128">
        <v>6</v>
      </c>
      <c r="AL7128"/>
      <c r="AM7128"/>
      <c r="AN7128"/>
      <c r="AO7128"/>
      <c r="AP7128"/>
      <c r="AQ7128" t="s">
        <v>2526</v>
      </c>
      <c r="AU7128">
        <v>7127</v>
      </c>
    </row>
    <row r="7129" spans="1:47" x14ac:dyDescent="0.2">
      <c r="A7129" s="133">
        <v>6878</v>
      </c>
      <c r="B7129" s="39" t="s">
        <v>85</v>
      </c>
      <c r="C7129" s="206" t="s">
        <v>7664</v>
      </c>
      <c r="D7129" s="29"/>
      <c r="E7129" s="39" t="s">
        <v>7665</v>
      </c>
      <c r="F7129" s="47"/>
      <c r="G7129" s="47"/>
      <c r="H7129"/>
      <c r="I7129" s="47" t="s">
        <v>7666</v>
      </c>
      <c r="J7129" s="47"/>
      <c r="K7129" s="47"/>
      <c r="L7129" s="48"/>
      <c r="M7129" s="47"/>
      <c r="N7129" s="47"/>
      <c r="O7129" s="47"/>
      <c r="P7129" s="47"/>
      <c r="Q7129" s="47"/>
      <c r="R7129" s="47"/>
      <c r="S7129" s="48"/>
      <c r="T7129" s="47"/>
      <c r="U7129" s="47"/>
      <c r="V7129" s="47"/>
      <c r="W7129" s="47"/>
      <c r="X7129" s="47"/>
      <c r="Y7129" s="47"/>
      <c r="Z7129" s="31" t="s">
        <v>3618</v>
      </c>
      <c r="AA7129" s="49">
        <v>0.41666666666666669</v>
      </c>
      <c r="AB7129" s="49"/>
      <c r="AC7129" s="49"/>
      <c r="AD7129" s="50"/>
      <c r="AE7129" s="47" t="s">
        <v>2743</v>
      </c>
      <c r="AF7129" s="47">
        <v>85</v>
      </c>
      <c r="AG7129"/>
      <c r="AH7129"/>
      <c r="AI7129"/>
      <c r="AJ7129"/>
      <c r="AK7129"/>
      <c r="AL7129"/>
      <c r="AM7129"/>
      <c r="AN7129"/>
      <c r="AO7129"/>
      <c r="AP7129"/>
      <c r="AQ7129"/>
      <c r="AU7129">
        <v>7128</v>
      </c>
    </row>
    <row r="7130" spans="1:47" x14ac:dyDescent="0.2">
      <c r="A7130" s="133">
        <v>6878</v>
      </c>
      <c r="B7130" s="39" t="s">
        <v>85</v>
      </c>
      <c r="C7130" s="206" t="s">
        <v>7664</v>
      </c>
      <c r="D7130" s="29"/>
      <c r="E7130" s="39" t="s">
        <v>7667</v>
      </c>
      <c r="F7130" s="47"/>
      <c r="G7130" s="47"/>
      <c r="H7130"/>
      <c r="I7130" s="47" t="s">
        <v>7668</v>
      </c>
      <c r="J7130" s="47"/>
      <c r="K7130" s="47"/>
      <c r="L7130" s="48"/>
      <c r="M7130" s="47"/>
      <c r="N7130" s="47"/>
      <c r="O7130" s="47"/>
      <c r="P7130" s="47"/>
      <c r="Q7130" s="47"/>
      <c r="R7130" s="47"/>
      <c r="S7130" s="48"/>
      <c r="T7130" s="47"/>
      <c r="U7130" s="47"/>
      <c r="V7130" s="47"/>
      <c r="W7130" s="47">
        <v>14000</v>
      </c>
      <c r="X7130" s="47"/>
      <c r="Y7130" s="47" t="s">
        <v>120</v>
      </c>
      <c r="Z7130" s="31" t="s">
        <v>3618</v>
      </c>
      <c r="AA7130" s="49">
        <v>0.59375</v>
      </c>
      <c r="AB7130" s="49">
        <v>0.68055555555555547</v>
      </c>
      <c r="AC7130" s="49">
        <v>0.64583333333333337</v>
      </c>
      <c r="AD7130" s="50">
        <f>(AB7130-AA7130)*24</f>
        <v>2.0833333333333313</v>
      </c>
      <c r="AE7130" s="47" t="s">
        <v>2743</v>
      </c>
      <c r="AF7130" s="47">
        <v>65</v>
      </c>
      <c r="AG7130"/>
      <c r="AH7130"/>
      <c r="AI7130"/>
      <c r="AJ7130"/>
      <c r="AK7130"/>
      <c r="AL7130"/>
      <c r="AM7130"/>
      <c r="AN7130"/>
      <c r="AO7130"/>
      <c r="AP7130"/>
      <c r="AQ7130" t="s">
        <v>7167</v>
      </c>
      <c r="AU7130">
        <v>7129</v>
      </c>
    </row>
    <row r="7131" spans="1:47" x14ac:dyDescent="0.2">
      <c r="A7131" s="133">
        <v>6878</v>
      </c>
      <c r="B7131" s="39" t="s">
        <v>45</v>
      </c>
      <c r="C7131" s="39">
        <v>100</v>
      </c>
      <c r="D7131" s="29" t="b">
        <v>0</v>
      </c>
      <c r="E7131" s="39" t="s">
        <v>7669</v>
      </c>
      <c r="F7131" s="47" t="s">
        <v>7670</v>
      </c>
      <c r="G7131" s="47" t="s">
        <v>73</v>
      </c>
      <c r="H7131"/>
      <c r="I7131" s="47" t="b">
        <v>1</v>
      </c>
      <c r="J7131" s="47" t="b">
        <v>1</v>
      </c>
      <c r="K7131" s="47">
        <v>2892</v>
      </c>
      <c r="L7131" s="48">
        <v>3</v>
      </c>
      <c r="M7131" s="47">
        <v>0</v>
      </c>
      <c r="N7131" s="47">
        <v>1</v>
      </c>
      <c r="O7131" s="47">
        <v>0</v>
      </c>
      <c r="P7131" s="47">
        <v>0</v>
      </c>
      <c r="Q7131" s="47">
        <v>0</v>
      </c>
      <c r="R7131" s="47">
        <v>0</v>
      </c>
      <c r="S7131" s="48">
        <v>2</v>
      </c>
      <c r="T7131" s="47">
        <v>0</v>
      </c>
      <c r="U7131" s="47">
        <v>0</v>
      </c>
      <c r="V7131" s="47">
        <v>1</v>
      </c>
      <c r="W7131" s="47">
        <v>5000</v>
      </c>
      <c r="X7131" s="47">
        <v>1221</v>
      </c>
      <c r="Y7131" s="47"/>
      <c r="Z7131" s="47" t="s">
        <v>2466</v>
      </c>
      <c r="AA7131" s="49"/>
      <c r="AB7131" s="49"/>
      <c r="AC7131" s="49"/>
      <c r="AD7131" s="50"/>
      <c r="AE7131" s="47" t="s">
        <v>6445</v>
      </c>
      <c r="AF7131" s="47">
        <v>145</v>
      </c>
      <c r="AG7131"/>
      <c r="AH7131"/>
      <c r="AI7131"/>
      <c r="AJ7131"/>
      <c r="AK7131"/>
      <c r="AL7131"/>
      <c r="AM7131"/>
      <c r="AN7131"/>
      <c r="AO7131"/>
      <c r="AP7131"/>
      <c r="AQ7131" t="s">
        <v>2526</v>
      </c>
      <c r="AU7131">
        <v>7130</v>
      </c>
    </row>
    <row r="7132" spans="1:47" x14ac:dyDescent="0.2">
      <c r="A7132" s="133">
        <v>6878</v>
      </c>
      <c r="B7132" s="39" t="s">
        <v>45</v>
      </c>
      <c r="C7132" s="39">
        <v>100</v>
      </c>
      <c r="D7132" s="29" t="b">
        <v>0</v>
      </c>
      <c r="E7132" s="39" t="s">
        <v>858</v>
      </c>
      <c r="F7132" s="47" t="s">
        <v>3665</v>
      </c>
      <c r="G7132" s="47" t="s">
        <v>481</v>
      </c>
      <c r="H7132"/>
      <c r="I7132" s="47" t="b">
        <v>0</v>
      </c>
      <c r="J7132" s="47" t="b">
        <v>0</v>
      </c>
      <c r="K7132" s="47">
        <v>1446</v>
      </c>
      <c r="L7132" s="48">
        <v>3</v>
      </c>
      <c r="M7132" s="47">
        <v>0</v>
      </c>
      <c r="N7132" s="47">
        <v>1</v>
      </c>
      <c r="O7132" s="47">
        <v>0</v>
      </c>
      <c r="P7132" s="47">
        <v>0</v>
      </c>
      <c r="Q7132" s="47">
        <v>0</v>
      </c>
      <c r="R7132" s="47">
        <v>0</v>
      </c>
      <c r="S7132" s="48">
        <v>1</v>
      </c>
      <c r="T7132" s="47">
        <v>0</v>
      </c>
      <c r="U7132" s="47">
        <v>0</v>
      </c>
      <c r="V7132" s="47">
        <v>1</v>
      </c>
      <c r="W7132" s="47"/>
      <c r="X7132" s="47">
        <v>1219</v>
      </c>
      <c r="Y7132" s="47"/>
      <c r="Z7132" s="47" t="s">
        <v>2466</v>
      </c>
      <c r="AA7132" s="49"/>
      <c r="AB7132" s="49"/>
      <c r="AC7132" s="49"/>
      <c r="AD7132" s="50"/>
      <c r="AE7132" s="47" t="s">
        <v>6445</v>
      </c>
      <c r="AF7132" s="47">
        <v>95</v>
      </c>
      <c r="AG7132"/>
      <c r="AH7132"/>
      <c r="AI7132"/>
      <c r="AJ7132"/>
      <c r="AK7132"/>
      <c r="AL7132"/>
      <c r="AM7132"/>
      <c r="AN7132"/>
      <c r="AO7132"/>
      <c r="AP7132"/>
      <c r="AQ7132" t="s">
        <v>2526</v>
      </c>
      <c r="AU7132">
        <v>7131</v>
      </c>
    </row>
    <row r="7133" spans="1:47" x14ac:dyDescent="0.2">
      <c r="A7133" s="133">
        <v>6878</v>
      </c>
      <c r="B7133" s="39" t="s">
        <v>45</v>
      </c>
      <c r="C7133" s="39">
        <v>100</v>
      </c>
      <c r="D7133" s="29" t="b">
        <v>0</v>
      </c>
      <c r="E7133" s="39" t="s">
        <v>720</v>
      </c>
      <c r="F7133" s="47" t="s">
        <v>5693</v>
      </c>
      <c r="G7133" s="47" t="s">
        <v>49</v>
      </c>
      <c r="H7133"/>
      <c r="I7133" s="47" t="b">
        <v>0</v>
      </c>
      <c r="J7133" s="47" t="b">
        <v>0</v>
      </c>
      <c r="K7133" s="47">
        <v>1446</v>
      </c>
      <c r="L7133" s="48">
        <v>3</v>
      </c>
      <c r="M7133" s="47">
        <v>0</v>
      </c>
      <c r="N7133" s="47">
        <v>1</v>
      </c>
      <c r="O7133" s="47">
        <v>0</v>
      </c>
      <c r="P7133" s="47">
        <v>0</v>
      </c>
      <c r="Q7133" s="47">
        <v>0</v>
      </c>
      <c r="R7133" s="47">
        <v>0</v>
      </c>
      <c r="S7133" s="48">
        <v>1</v>
      </c>
      <c r="T7133" s="47">
        <v>0</v>
      </c>
      <c r="U7133" s="47">
        <v>0</v>
      </c>
      <c r="V7133" s="47">
        <v>1</v>
      </c>
      <c r="W7133" s="47">
        <v>5000</v>
      </c>
      <c r="X7133" s="47">
        <v>1220</v>
      </c>
      <c r="Y7133" s="47"/>
      <c r="Z7133" s="47" t="s">
        <v>2466</v>
      </c>
      <c r="AA7133" s="49"/>
      <c r="AB7133" s="49"/>
      <c r="AC7133" s="49"/>
      <c r="AD7133" s="50"/>
      <c r="AE7133" s="47" t="s">
        <v>6445</v>
      </c>
      <c r="AF7133" s="47">
        <v>145</v>
      </c>
      <c r="AG7133"/>
      <c r="AH7133"/>
      <c r="AI7133"/>
      <c r="AJ7133"/>
      <c r="AK7133"/>
      <c r="AL7133"/>
      <c r="AM7133"/>
      <c r="AN7133"/>
      <c r="AO7133"/>
      <c r="AP7133"/>
      <c r="AQ7133" t="s">
        <v>2526</v>
      </c>
      <c r="AU7133">
        <v>7132</v>
      </c>
    </row>
    <row r="7134" spans="1:47" x14ac:dyDescent="0.2">
      <c r="A7134" s="133">
        <v>6878</v>
      </c>
      <c r="B7134" s="39" t="s">
        <v>45</v>
      </c>
      <c r="C7134" s="39">
        <v>115</v>
      </c>
      <c r="D7134" s="29" t="b">
        <v>0</v>
      </c>
      <c r="E7134" s="39" t="s">
        <v>7671</v>
      </c>
      <c r="F7134" s="47" t="s">
        <v>7672</v>
      </c>
      <c r="G7134" s="47" t="s">
        <v>205</v>
      </c>
      <c r="H7134"/>
      <c r="I7134" s="47" t="b">
        <v>1</v>
      </c>
      <c r="J7134" s="47" t="b">
        <v>1</v>
      </c>
      <c r="K7134" s="47">
        <v>4012</v>
      </c>
      <c r="L7134" s="48">
        <v>3</v>
      </c>
      <c r="M7134" s="47">
        <v>0</v>
      </c>
      <c r="N7134" s="47">
        <v>0</v>
      </c>
      <c r="O7134" s="47">
        <v>0</v>
      </c>
      <c r="P7134" s="47">
        <v>3</v>
      </c>
      <c r="Q7134" s="47">
        <v>0</v>
      </c>
      <c r="R7134" s="47">
        <v>0</v>
      </c>
      <c r="S7134" s="48">
        <v>3</v>
      </c>
      <c r="T7134" s="47">
        <v>0</v>
      </c>
      <c r="U7134" s="47">
        <v>0</v>
      </c>
      <c r="V7134" s="47">
        <v>0</v>
      </c>
      <c r="W7134" s="47">
        <v>4133</v>
      </c>
      <c r="X7134" s="47">
        <v>1218</v>
      </c>
      <c r="Y7134" s="47"/>
      <c r="Z7134" s="47" t="s">
        <v>2466</v>
      </c>
      <c r="AA7134" s="49"/>
      <c r="AB7134" s="49"/>
      <c r="AC7134" s="49"/>
      <c r="AD7134" s="50"/>
      <c r="AE7134" s="47" t="s">
        <v>7118</v>
      </c>
      <c r="AF7134" s="47">
        <v>145</v>
      </c>
      <c r="AG7134"/>
      <c r="AH7134"/>
      <c r="AI7134"/>
      <c r="AJ7134"/>
      <c r="AK7134"/>
      <c r="AL7134"/>
      <c r="AM7134"/>
      <c r="AN7134"/>
      <c r="AO7134"/>
      <c r="AP7134"/>
      <c r="AQ7134" t="s">
        <v>2526</v>
      </c>
      <c r="AR7134" s="32" t="s">
        <v>7119</v>
      </c>
      <c r="AU7134">
        <v>7133</v>
      </c>
    </row>
    <row r="7135" spans="1:47" x14ac:dyDescent="0.2">
      <c r="A7135" s="133">
        <v>6878</v>
      </c>
      <c r="B7135" s="39" t="s">
        <v>45</v>
      </c>
      <c r="C7135" s="39">
        <v>115</v>
      </c>
      <c r="D7135" s="29" t="b">
        <v>0</v>
      </c>
      <c r="E7135" s="39" t="s">
        <v>5791</v>
      </c>
      <c r="F7135" s="47" t="s">
        <v>529</v>
      </c>
      <c r="G7135" s="47" t="s">
        <v>205</v>
      </c>
      <c r="H7135"/>
      <c r="I7135" s="47" t="b">
        <v>0</v>
      </c>
      <c r="J7135" s="47" t="b">
        <v>0</v>
      </c>
      <c r="K7135" s="47">
        <v>1222</v>
      </c>
      <c r="L7135" s="48">
        <v>3</v>
      </c>
      <c r="M7135" s="47">
        <v>0</v>
      </c>
      <c r="N7135" s="47">
        <v>0</v>
      </c>
      <c r="O7135" s="47">
        <v>0</v>
      </c>
      <c r="P7135" s="47">
        <v>3</v>
      </c>
      <c r="Q7135" s="47">
        <v>0</v>
      </c>
      <c r="R7135" s="47">
        <v>0</v>
      </c>
      <c r="S7135" s="48">
        <v>1</v>
      </c>
      <c r="T7135" s="47">
        <v>0</v>
      </c>
      <c r="U7135" s="47">
        <v>0</v>
      </c>
      <c r="V7135" s="47">
        <v>0</v>
      </c>
      <c r="W7135" s="47">
        <v>4000</v>
      </c>
      <c r="X7135" s="47">
        <v>1215</v>
      </c>
      <c r="Y7135" s="47"/>
      <c r="Z7135" s="47" t="s">
        <v>2466</v>
      </c>
      <c r="AA7135" s="49"/>
      <c r="AB7135" s="49"/>
      <c r="AC7135" s="49"/>
      <c r="AD7135" s="50"/>
      <c r="AE7135" s="47" t="s">
        <v>7118</v>
      </c>
      <c r="AF7135" s="47">
        <f>73/0.62</f>
        <v>117.74193548387098</v>
      </c>
      <c r="AG7135"/>
      <c r="AH7135"/>
      <c r="AI7135"/>
      <c r="AJ7135"/>
      <c r="AK7135"/>
      <c r="AL7135"/>
      <c r="AM7135"/>
      <c r="AN7135"/>
      <c r="AO7135"/>
      <c r="AP7135"/>
      <c r="AQ7135" t="s">
        <v>2526</v>
      </c>
      <c r="AR7135" s="32" t="s">
        <v>7119</v>
      </c>
      <c r="AU7135">
        <v>7134</v>
      </c>
    </row>
    <row r="7136" spans="1:47" x14ac:dyDescent="0.2">
      <c r="A7136" s="133">
        <v>6878</v>
      </c>
      <c r="B7136" s="39" t="s">
        <v>45</v>
      </c>
      <c r="C7136" s="39">
        <v>115</v>
      </c>
      <c r="D7136" s="29" t="b">
        <v>0</v>
      </c>
      <c r="E7136" s="39" t="s">
        <v>1551</v>
      </c>
      <c r="F7136" s="47" t="s">
        <v>529</v>
      </c>
      <c r="G7136" s="47" t="s">
        <v>205</v>
      </c>
      <c r="H7136"/>
      <c r="I7136" s="47" t="b">
        <v>0</v>
      </c>
      <c r="J7136" s="47" t="b">
        <v>0</v>
      </c>
      <c r="K7136" s="47">
        <v>1568</v>
      </c>
      <c r="L7136" s="48">
        <v>3</v>
      </c>
      <c r="M7136" s="47">
        <v>0</v>
      </c>
      <c r="N7136" s="47">
        <v>0</v>
      </c>
      <c r="O7136" s="47">
        <v>0</v>
      </c>
      <c r="P7136" s="47">
        <v>3</v>
      </c>
      <c r="Q7136" s="47">
        <v>0</v>
      </c>
      <c r="R7136" s="47">
        <v>0</v>
      </c>
      <c r="S7136" s="48">
        <v>1</v>
      </c>
      <c r="T7136" s="47">
        <v>0</v>
      </c>
      <c r="U7136" s="47">
        <v>0</v>
      </c>
      <c r="V7136" s="47">
        <v>0</v>
      </c>
      <c r="W7136" s="47">
        <v>3500</v>
      </c>
      <c r="X7136" s="47">
        <v>1216</v>
      </c>
      <c r="Y7136" s="47"/>
      <c r="Z7136" s="47" t="s">
        <v>2466</v>
      </c>
      <c r="AA7136" s="49"/>
      <c r="AB7136" s="49"/>
      <c r="AC7136" s="49"/>
      <c r="AD7136" s="50"/>
      <c r="AE7136" s="47" t="s">
        <v>7118</v>
      </c>
      <c r="AF7136" s="47">
        <v>55</v>
      </c>
      <c r="AG7136"/>
      <c r="AH7136"/>
      <c r="AI7136"/>
      <c r="AJ7136"/>
      <c r="AK7136"/>
      <c r="AL7136"/>
      <c r="AM7136"/>
      <c r="AN7136"/>
      <c r="AO7136"/>
      <c r="AP7136"/>
      <c r="AQ7136" t="s">
        <v>2526</v>
      </c>
      <c r="AR7136" s="32" t="s">
        <v>7119</v>
      </c>
      <c r="AU7136">
        <v>7135</v>
      </c>
    </row>
    <row r="7137" spans="1:47" x14ac:dyDescent="0.2">
      <c r="A7137" s="133">
        <v>6878</v>
      </c>
      <c r="B7137" s="39" t="s">
        <v>45</v>
      </c>
      <c r="C7137" s="39">
        <v>115</v>
      </c>
      <c r="D7137" s="29" t="b">
        <v>0</v>
      </c>
      <c r="E7137" s="39" t="s">
        <v>3572</v>
      </c>
      <c r="F7137" s="47" t="s">
        <v>2398</v>
      </c>
      <c r="G7137" s="47" t="s">
        <v>49</v>
      </c>
      <c r="H7137"/>
      <c r="I7137" s="47" t="b">
        <v>0</v>
      </c>
      <c r="J7137" s="47" t="b">
        <v>0</v>
      </c>
      <c r="K7137" s="47">
        <v>1222</v>
      </c>
      <c r="L7137" s="48">
        <v>3</v>
      </c>
      <c r="M7137" s="47">
        <v>0</v>
      </c>
      <c r="N7137" s="47">
        <v>0</v>
      </c>
      <c r="O7137" s="47">
        <v>0</v>
      </c>
      <c r="P7137" s="47">
        <v>3</v>
      </c>
      <c r="Q7137" s="47">
        <v>0</v>
      </c>
      <c r="R7137" s="47">
        <v>0</v>
      </c>
      <c r="S7137" s="48">
        <v>1</v>
      </c>
      <c r="T7137" s="47">
        <v>0</v>
      </c>
      <c r="U7137" s="47">
        <v>0</v>
      </c>
      <c r="V7137" s="47">
        <v>0</v>
      </c>
      <c r="W7137" s="47">
        <v>5000</v>
      </c>
      <c r="X7137" s="47">
        <v>1217</v>
      </c>
      <c r="Y7137" s="47"/>
      <c r="Z7137" s="47" t="s">
        <v>2466</v>
      </c>
      <c r="AA7137" s="49"/>
      <c r="AB7137" s="49"/>
      <c r="AC7137" s="49"/>
      <c r="AD7137" s="50"/>
      <c r="AE7137" s="47" t="s">
        <v>7118</v>
      </c>
      <c r="AF7137" s="47">
        <v>145</v>
      </c>
      <c r="AG7137"/>
      <c r="AH7137"/>
      <c r="AI7137"/>
      <c r="AJ7137"/>
      <c r="AK7137"/>
      <c r="AL7137"/>
      <c r="AM7137"/>
      <c r="AN7137"/>
      <c r="AO7137"/>
      <c r="AP7137"/>
      <c r="AQ7137" t="s">
        <v>2526</v>
      </c>
      <c r="AR7137" s="32" t="s">
        <v>7119</v>
      </c>
      <c r="AU7137">
        <v>7136</v>
      </c>
    </row>
    <row r="7138" spans="1:47" x14ac:dyDescent="0.2">
      <c r="A7138" s="13">
        <v>6878</v>
      </c>
      <c r="B7138" s="57" t="s">
        <v>45</v>
      </c>
      <c r="C7138" s="57" t="s">
        <v>142</v>
      </c>
      <c r="D7138" s="29"/>
      <c r="E7138" s="57" t="s">
        <v>7673</v>
      </c>
      <c r="F7138" s="31" t="s">
        <v>7674</v>
      </c>
      <c r="I7138" s="47" t="b">
        <v>1</v>
      </c>
      <c r="J7138" s="47" t="b">
        <v>1</v>
      </c>
      <c r="K7138" s="31">
        <f>4315*2.2</f>
        <v>9493</v>
      </c>
      <c r="L7138" s="33">
        <v>13</v>
      </c>
      <c r="N7138" s="31">
        <v>2</v>
      </c>
      <c r="Q7138" s="31">
        <v>1</v>
      </c>
      <c r="S7138" s="33">
        <v>11</v>
      </c>
      <c r="T7138" s="31">
        <v>0</v>
      </c>
      <c r="U7138" s="31">
        <v>0</v>
      </c>
      <c r="V7138" s="31">
        <v>0</v>
      </c>
      <c r="Y7138" s="31" t="s">
        <v>51</v>
      </c>
      <c r="Z7138" s="31" t="s">
        <v>7420</v>
      </c>
      <c r="AA7138" s="49"/>
      <c r="AB7138" s="49"/>
      <c r="AC7138" s="49"/>
      <c r="AD7138" s="50"/>
      <c r="AE7138" s="31" t="s">
        <v>2470</v>
      </c>
      <c r="AK7138" s="32">
        <f>2+2+51+4+9+3</f>
        <v>71</v>
      </c>
      <c r="AQ7138" s="32" t="s">
        <v>7675</v>
      </c>
      <c r="AR7138" s="32" t="s">
        <v>7676</v>
      </c>
      <c r="AU7138">
        <v>7137</v>
      </c>
    </row>
    <row r="7139" spans="1:47" x14ac:dyDescent="0.2">
      <c r="A7139" s="13">
        <v>6878</v>
      </c>
      <c r="B7139" s="57" t="s">
        <v>45</v>
      </c>
      <c r="C7139" s="57" t="s">
        <v>142</v>
      </c>
      <c r="D7139" s="45"/>
      <c r="E7139" s="57" t="s">
        <v>6527</v>
      </c>
      <c r="F7139" s="31" t="s">
        <v>76</v>
      </c>
      <c r="G7139" s="31" t="s">
        <v>49</v>
      </c>
      <c r="I7139" s="47" t="b">
        <v>0</v>
      </c>
      <c r="J7139" s="47" t="b">
        <v>0</v>
      </c>
      <c r="K7139" s="31">
        <v>2651</v>
      </c>
      <c r="S7139" s="33">
        <v>3</v>
      </c>
      <c r="Z7139" s="31" t="s">
        <v>7420</v>
      </c>
      <c r="AE7139" s="31" t="s">
        <v>2470</v>
      </c>
      <c r="AF7139" s="31">
        <v>105</v>
      </c>
      <c r="AK7139" s="32">
        <v>20</v>
      </c>
      <c r="AQ7139" s="32" t="s">
        <v>7491</v>
      </c>
      <c r="AU7139">
        <v>7138</v>
      </c>
    </row>
    <row r="7140" spans="1:47" x14ac:dyDescent="0.2">
      <c r="A7140" s="13">
        <v>6878</v>
      </c>
      <c r="B7140" s="57" t="s">
        <v>45</v>
      </c>
      <c r="C7140" s="57" t="s">
        <v>142</v>
      </c>
      <c r="D7140" s="29"/>
      <c r="E7140" s="57" t="s">
        <v>7490</v>
      </c>
      <c r="F7140" s="31" t="s">
        <v>76</v>
      </c>
      <c r="G7140" s="31" t="s">
        <v>49</v>
      </c>
      <c r="I7140" s="47" t="b">
        <v>0</v>
      </c>
      <c r="J7140" s="47" t="b">
        <v>0</v>
      </c>
      <c r="K7140" s="31">
        <v>2519</v>
      </c>
      <c r="S7140" s="33">
        <v>3</v>
      </c>
      <c r="Z7140" s="31" t="s">
        <v>7420</v>
      </c>
      <c r="AE7140" s="31" t="s">
        <v>2470</v>
      </c>
      <c r="AF7140" s="31">
        <v>90</v>
      </c>
      <c r="AK7140" s="32">
        <v>24</v>
      </c>
      <c r="AQ7140" s="32" t="s">
        <v>7491</v>
      </c>
      <c r="AU7140">
        <v>7139</v>
      </c>
    </row>
    <row r="7141" spans="1:47" x14ac:dyDescent="0.2">
      <c r="A7141" s="13">
        <v>6878</v>
      </c>
      <c r="B7141" s="57" t="s">
        <v>45</v>
      </c>
      <c r="C7141" s="57" t="s">
        <v>142</v>
      </c>
      <c r="D7141" s="29"/>
      <c r="E7141" s="57" t="s">
        <v>7652</v>
      </c>
      <c r="F7141" s="31" t="s">
        <v>76</v>
      </c>
      <c r="G7141" s="31" t="s">
        <v>49</v>
      </c>
      <c r="I7141" s="47" t="b">
        <v>0</v>
      </c>
      <c r="J7141" s="47" t="b">
        <v>0</v>
      </c>
      <c r="K7141" s="31">
        <v>1320</v>
      </c>
      <c r="S7141" s="33">
        <v>1</v>
      </c>
      <c r="Z7141" s="31" t="s">
        <v>7420</v>
      </c>
      <c r="AE7141" s="31" t="s">
        <v>2470</v>
      </c>
      <c r="AF7141" s="31">
        <v>95</v>
      </c>
      <c r="AK7141" s="32">
        <v>12</v>
      </c>
      <c r="AQ7141" s="32" t="s">
        <v>7491</v>
      </c>
      <c r="AU7141">
        <v>7140</v>
      </c>
    </row>
    <row r="7142" spans="1:47" x14ac:dyDescent="0.2">
      <c r="A7142" s="13">
        <v>6878</v>
      </c>
      <c r="B7142" s="57" t="s">
        <v>45</v>
      </c>
      <c r="C7142" s="57" t="s">
        <v>142</v>
      </c>
      <c r="D7142" s="29"/>
      <c r="E7142" s="57" t="s">
        <v>7677</v>
      </c>
      <c r="F7142" s="31" t="s">
        <v>76</v>
      </c>
      <c r="G7142" s="31" t="s">
        <v>49</v>
      </c>
      <c r="I7142" s="47" t="b">
        <v>0</v>
      </c>
      <c r="J7142" s="47" t="b">
        <v>0</v>
      </c>
      <c r="K7142" s="31">
        <v>946</v>
      </c>
      <c r="S7142" s="33">
        <v>1</v>
      </c>
      <c r="Z7142" s="31" t="s">
        <v>7420</v>
      </c>
      <c r="AE7142" s="31" t="s">
        <v>2470</v>
      </c>
      <c r="AF7142" s="31">
        <v>85</v>
      </c>
      <c r="AK7142" s="32">
        <v>6</v>
      </c>
      <c r="AQ7142" s="32" t="s">
        <v>7491</v>
      </c>
      <c r="AU7142">
        <v>7141</v>
      </c>
    </row>
    <row r="7143" spans="1:47" x14ac:dyDescent="0.2">
      <c r="A7143" s="13">
        <v>6878</v>
      </c>
      <c r="B7143" s="57" t="s">
        <v>45</v>
      </c>
      <c r="C7143" s="57" t="s">
        <v>142</v>
      </c>
      <c r="D7143" s="29"/>
      <c r="E7143" s="57" t="s">
        <v>7678</v>
      </c>
      <c r="F7143" s="31" t="s">
        <v>6354</v>
      </c>
      <c r="G7143" s="31" t="s">
        <v>69</v>
      </c>
      <c r="I7143" s="47" t="b">
        <v>0</v>
      </c>
      <c r="J7143" s="47" t="b">
        <v>0</v>
      </c>
      <c r="K7143" s="31">
        <v>946</v>
      </c>
      <c r="S7143" s="33">
        <v>1</v>
      </c>
      <c r="Z7143" s="31" t="s">
        <v>7420</v>
      </c>
      <c r="AE7143" s="31" t="s">
        <v>2470</v>
      </c>
      <c r="AF7143" s="31">
        <v>90</v>
      </c>
      <c r="AK7143" s="32">
        <v>6</v>
      </c>
      <c r="AQ7143" s="32" t="s">
        <v>7491</v>
      </c>
      <c r="AU7143">
        <v>7142</v>
      </c>
    </row>
    <row r="7144" spans="1:47" x14ac:dyDescent="0.2">
      <c r="A7144" s="13">
        <v>6878</v>
      </c>
      <c r="B7144" s="57" t="s">
        <v>45</v>
      </c>
      <c r="C7144" s="57" t="s">
        <v>142</v>
      </c>
      <c r="D7144" s="29"/>
      <c r="E7144" s="57" t="s">
        <v>3789</v>
      </c>
      <c r="F7144" s="31" t="s">
        <v>76</v>
      </c>
      <c r="G7144" s="31" t="s">
        <v>49</v>
      </c>
      <c r="I7144" s="47" t="b">
        <v>0</v>
      </c>
      <c r="J7144" s="47" t="b">
        <v>0</v>
      </c>
      <c r="K7144" s="31">
        <v>858</v>
      </c>
      <c r="Q7144" s="31">
        <v>1</v>
      </c>
      <c r="S7144" s="33">
        <v>1</v>
      </c>
      <c r="Z7144" s="31" t="s">
        <v>7420</v>
      </c>
      <c r="AE7144" s="31" t="s">
        <v>2470</v>
      </c>
      <c r="AF7144" s="31">
        <v>125</v>
      </c>
      <c r="AK7144" s="32">
        <v>6</v>
      </c>
      <c r="AQ7144" s="32" t="s">
        <v>7491</v>
      </c>
      <c r="AU7144">
        <v>7143</v>
      </c>
    </row>
    <row r="7145" spans="1:47" x14ac:dyDescent="0.2">
      <c r="A7145" s="13">
        <v>6878</v>
      </c>
      <c r="B7145" s="57" t="s">
        <v>45</v>
      </c>
      <c r="C7145" s="57" t="s">
        <v>1367</v>
      </c>
      <c r="D7145" s="29"/>
      <c r="E7145" s="57" t="s">
        <v>3063</v>
      </c>
      <c r="F7145" s="31" t="s">
        <v>76</v>
      </c>
      <c r="G7145" s="31" t="s">
        <v>49</v>
      </c>
      <c r="K7145" s="31">
        <v>4809.2</v>
      </c>
      <c r="AE7145" s="31" t="s">
        <v>4176</v>
      </c>
      <c r="AF7145" s="31">
        <v>100</v>
      </c>
      <c r="AK7145" s="32">
        <v>28</v>
      </c>
      <c r="AQ7145" s="32" t="s">
        <v>7509</v>
      </c>
      <c r="AU7145">
        <v>7144</v>
      </c>
    </row>
    <row r="7146" spans="1:47" x14ac:dyDescent="0.2">
      <c r="A7146" s="13">
        <v>6878</v>
      </c>
      <c r="B7146" s="57" t="s">
        <v>45</v>
      </c>
      <c r="C7146" s="57" t="s">
        <v>1367</v>
      </c>
      <c r="D7146" s="29"/>
      <c r="E7146" s="57" t="s">
        <v>2191</v>
      </c>
      <c r="F7146" s="31" t="s">
        <v>76</v>
      </c>
      <c r="G7146" s="31" t="s">
        <v>49</v>
      </c>
      <c r="K7146" s="31">
        <v>1016.4</v>
      </c>
      <c r="AE7146" s="31" t="s">
        <v>4176</v>
      </c>
      <c r="AF7146" s="31">
        <v>80</v>
      </c>
      <c r="AK7146" s="32">
        <v>9</v>
      </c>
      <c r="AQ7146" s="32" t="s">
        <v>7509</v>
      </c>
      <c r="AU7146">
        <v>7145</v>
      </c>
    </row>
    <row r="7147" spans="1:47" x14ac:dyDescent="0.2">
      <c r="A7147" s="13">
        <v>6878</v>
      </c>
      <c r="B7147" s="57" t="s">
        <v>45</v>
      </c>
      <c r="C7147" s="57" t="s">
        <v>1367</v>
      </c>
      <c r="D7147" s="29"/>
      <c r="E7147" s="57" t="s">
        <v>199</v>
      </c>
      <c r="F7147" s="31" t="s">
        <v>76</v>
      </c>
      <c r="G7147" s="31" t="s">
        <v>49</v>
      </c>
      <c r="K7147" s="31">
        <v>880</v>
      </c>
      <c r="AE7147" s="31" t="s">
        <v>4176</v>
      </c>
      <c r="AF7147" s="31">
        <v>85</v>
      </c>
      <c r="AK7147" s="32">
        <v>8</v>
      </c>
      <c r="AQ7147" s="32" t="s">
        <v>7509</v>
      </c>
      <c r="AU7147">
        <v>7146</v>
      </c>
    </row>
    <row r="7148" spans="1:47" x14ac:dyDescent="0.2">
      <c r="A7148" s="13">
        <v>6878</v>
      </c>
      <c r="B7148" s="57" t="s">
        <v>45</v>
      </c>
      <c r="C7148" s="57" t="s">
        <v>1367</v>
      </c>
      <c r="D7148" s="29"/>
      <c r="E7148" s="57" t="s">
        <v>7679</v>
      </c>
      <c r="F7148" s="31" t="s">
        <v>76</v>
      </c>
      <c r="G7148" s="31" t="s">
        <v>49</v>
      </c>
      <c r="K7148" s="31">
        <v>880</v>
      </c>
      <c r="AE7148" s="31" t="s">
        <v>4176</v>
      </c>
      <c r="AF7148" s="31">
        <v>60</v>
      </c>
      <c r="AK7148" s="32">
        <v>8</v>
      </c>
      <c r="AQ7148" s="32" t="s">
        <v>7509</v>
      </c>
      <c r="AU7148">
        <v>7147</v>
      </c>
    </row>
    <row r="7149" spans="1:47" x14ac:dyDescent="0.2">
      <c r="A7149" s="133">
        <v>6878</v>
      </c>
      <c r="B7149" s="39" t="s">
        <v>45</v>
      </c>
      <c r="C7149" s="39" t="s">
        <v>4171</v>
      </c>
      <c r="D7149" s="29"/>
      <c r="E7149" s="39" t="s">
        <v>3063</v>
      </c>
      <c r="F7149" s="47"/>
      <c r="G7149" s="47"/>
      <c r="H7149"/>
      <c r="I7149" s="47" t="s">
        <v>7680</v>
      </c>
      <c r="J7149" s="47"/>
      <c r="K7149" s="47"/>
      <c r="L7149" s="48"/>
      <c r="M7149" s="47"/>
      <c r="N7149" s="47"/>
      <c r="O7149" s="47"/>
      <c r="P7149" s="47"/>
      <c r="Q7149" s="47"/>
      <c r="R7149" s="47"/>
      <c r="S7149" s="48"/>
      <c r="T7149" s="47"/>
      <c r="U7149" s="47"/>
      <c r="V7149" s="47"/>
      <c r="W7149" s="47"/>
      <c r="X7149" s="47"/>
      <c r="Y7149" s="47"/>
      <c r="Z7149" s="31" t="s">
        <v>1846</v>
      </c>
      <c r="AA7149" s="49"/>
      <c r="AB7149" s="49"/>
      <c r="AC7149" s="49"/>
      <c r="AD7149" s="50"/>
      <c r="AE7149" s="47" t="s">
        <v>4173</v>
      </c>
      <c r="AF7149" s="47">
        <v>100</v>
      </c>
      <c r="AG7149"/>
      <c r="AH7149"/>
      <c r="AI7149"/>
      <c r="AJ7149"/>
      <c r="AK7149"/>
      <c r="AL7149"/>
      <c r="AM7149"/>
      <c r="AN7149"/>
      <c r="AO7149"/>
      <c r="AP7149"/>
      <c r="AQ7149" t="s">
        <v>7681</v>
      </c>
      <c r="AU7149">
        <v>7148</v>
      </c>
    </row>
    <row r="7150" spans="1:47" x14ac:dyDescent="0.2">
      <c r="A7150" s="13">
        <v>6878</v>
      </c>
      <c r="B7150" s="57" t="s">
        <v>45</v>
      </c>
      <c r="C7150" s="57" t="s">
        <v>4843</v>
      </c>
      <c r="D7150" s="29"/>
      <c r="E7150" s="57" t="s">
        <v>7490</v>
      </c>
      <c r="F7150" s="31" t="s">
        <v>76</v>
      </c>
      <c r="G7150" s="31" t="s">
        <v>49</v>
      </c>
      <c r="K7150" s="31">
        <v>1760</v>
      </c>
      <c r="S7150" s="33">
        <v>4</v>
      </c>
      <c r="AE7150" s="31" t="s">
        <v>4788</v>
      </c>
      <c r="AF7150" s="31">
        <v>95</v>
      </c>
      <c r="AK7150" s="32">
        <v>16</v>
      </c>
      <c r="AQ7150" s="32" t="s">
        <v>7491</v>
      </c>
      <c r="AU7150">
        <v>7149</v>
      </c>
    </row>
    <row r="7151" spans="1:47" x14ac:dyDescent="0.2">
      <c r="A7151" s="13">
        <v>6878</v>
      </c>
      <c r="B7151" s="57" t="s">
        <v>45</v>
      </c>
      <c r="C7151" s="57" t="s">
        <v>4843</v>
      </c>
      <c r="D7151" s="29"/>
      <c r="E7151" s="57" t="s">
        <v>7682</v>
      </c>
      <c r="F7151" s="31" t="s">
        <v>6354</v>
      </c>
      <c r="G7151" s="31" t="s">
        <v>69</v>
      </c>
      <c r="K7151" s="31">
        <v>440</v>
      </c>
      <c r="S7151" s="33">
        <v>1</v>
      </c>
      <c r="AE7151" s="31" t="s">
        <v>4788</v>
      </c>
      <c r="AF7151" s="31">
        <v>90</v>
      </c>
      <c r="AK7151" s="32">
        <v>4</v>
      </c>
      <c r="AQ7151" s="32" t="s">
        <v>7491</v>
      </c>
      <c r="AU7151">
        <v>7150</v>
      </c>
    </row>
    <row r="7152" spans="1:47" x14ac:dyDescent="0.2">
      <c r="A7152" s="13">
        <v>6878</v>
      </c>
      <c r="B7152" s="57" t="s">
        <v>45</v>
      </c>
      <c r="C7152" s="57" t="s">
        <v>4179</v>
      </c>
      <c r="D7152" s="29"/>
      <c r="E7152" s="57" t="s">
        <v>5937</v>
      </c>
      <c r="F7152" s="31" t="s">
        <v>76</v>
      </c>
      <c r="G7152" s="31" t="s">
        <v>49</v>
      </c>
      <c r="K7152" s="31">
        <v>10516</v>
      </c>
      <c r="Z7152" s="31" t="s">
        <v>3814</v>
      </c>
      <c r="AE7152" s="31" t="s">
        <v>5034</v>
      </c>
      <c r="AF7152" s="31">
        <v>90</v>
      </c>
      <c r="AK7152" s="32">
        <v>134</v>
      </c>
      <c r="AQ7152" s="32" t="s">
        <v>7491</v>
      </c>
      <c r="AU7152">
        <v>7151</v>
      </c>
    </row>
    <row r="7153" spans="1:47" x14ac:dyDescent="0.2">
      <c r="A7153" s="13">
        <v>6878</v>
      </c>
      <c r="B7153" s="57" t="s">
        <v>45</v>
      </c>
      <c r="C7153" s="57" t="s">
        <v>4179</v>
      </c>
      <c r="D7153" s="29"/>
      <c r="E7153" s="57" t="s">
        <v>3816</v>
      </c>
      <c r="F7153" s="31" t="s">
        <v>76</v>
      </c>
      <c r="G7153" s="31" t="s">
        <v>49</v>
      </c>
      <c r="K7153" s="31">
        <v>3619</v>
      </c>
      <c r="Z7153" s="31" t="s">
        <v>3814</v>
      </c>
      <c r="AE7153" s="31" t="s">
        <v>5034</v>
      </c>
      <c r="AF7153" s="31">
        <v>85</v>
      </c>
      <c r="AK7153" s="32">
        <v>43</v>
      </c>
      <c r="AQ7153" s="32" t="s">
        <v>7491</v>
      </c>
      <c r="AU7153">
        <v>7152</v>
      </c>
    </row>
    <row r="7154" spans="1:47" x14ac:dyDescent="0.2">
      <c r="A7154" s="13">
        <v>6878</v>
      </c>
      <c r="B7154" s="57" t="s">
        <v>45</v>
      </c>
      <c r="C7154" s="57" t="s">
        <v>4179</v>
      </c>
      <c r="D7154" s="29"/>
      <c r="E7154" s="57" t="s">
        <v>4182</v>
      </c>
      <c r="F7154" s="31" t="s">
        <v>76</v>
      </c>
      <c r="G7154" s="31" t="s">
        <v>49</v>
      </c>
      <c r="K7154" s="31">
        <v>1100</v>
      </c>
      <c r="Z7154" s="31" t="s">
        <v>3814</v>
      </c>
      <c r="AE7154" s="31" t="s">
        <v>5034</v>
      </c>
      <c r="AF7154" s="31">
        <v>110</v>
      </c>
      <c r="AK7154" s="32">
        <v>10</v>
      </c>
      <c r="AQ7154" s="32" t="s">
        <v>7491</v>
      </c>
      <c r="AU7154">
        <v>7153</v>
      </c>
    </row>
    <row r="7155" spans="1:47" x14ac:dyDescent="0.2">
      <c r="A7155" s="13">
        <v>6878</v>
      </c>
      <c r="B7155" s="57" t="s">
        <v>45</v>
      </c>
      <c r="C7155" s="57" t="s">
        <v>5860</v>
      </c>
      <c r="D7155" s="29"/>
      <c r="E7155" s="57" t="s">
        <v>3884</v>
      </c>
      <c r="F7155" s="31" t="s">
        <v>76</v>
      </c>
      <c r="G7155" s="31" t="s">
        <v>49</v>
      </c>
      <c r="K7155" s="31">
        <v>4290</v>
      </c>
      <c r="AE7155" s="31" t="s">
        <v>7241</v>
      </c>
      <c r="AF7155" s="31">
        <v>90</v>
      </c>
      <c r="AK7155" s="32">
        <v>46</v>
      </c>
      <c r="AQ7155" s="32" t="s">
        <v>7491</v>
      </c>
      <c r="AU7155">
        <v>7154</v>
      </c>
    </row>
    <row r="7156" spans="1:47" x14ac:dyDescent="0.2">
      <c r="A7156" s="13">
        <v>6878</v>
      </c>
      <c r="B7156" s="57" t="s">
        <v>45</v>
      </c>
      <c r="C7156" s="57" t="s">
        <v>5860</v>
      </c>
      <c r="D7156" s="29"/>
      <c r="E7156" s="57" t="s">
        <v>7564</v>
      </c>
      <c r="F7156" s="31" t="s">
        <v>83</v>
      </c>
      <c r="G7156" s="31" t="s">
        <v>49</v>
      </c>
      <c r="K7156" s="31">
        <v>3685</v>
      </c>
      <c r="AE7156" s="31" t="s">
        <v>7241</v>
      </c>
      <c r="AF7156" s="31">
        <v>90</v>
      </c>
      <c r="AK7156" s="32">
        <v>34</v>
      </c>
      <c r="AQ7156" s="32" t="s">
        <v>7491</v>
      </c>
      <c r="AU7156">
        <v>7155</v>
      </c>
    </row>
    <row r="7157" spans="1:47" x14ac:dyDescent="0.2">
      <c r="A7157" s="13">
        <v>6878</v>
      </c>
      <c r="B7157" s="57" t="s">
        <v>45</v>
      </c>
      <c r="C7157" s="57" t="s">
        <v>5860</v>
      </c>
      <c r="D7157" s="29"/>
      <c r="E7157" s="57" t="s">
        <v>3816</v>
      </c>
      <c r="F7157" s="31" t="s">
        <v>76</v>
      </c>
      <c r="G7157" s="31" t="s">
        <v>49</v>
      </c>
      <c r="K7157" s="31">
        <v>2970</v>
      </c>
      <c r="AE7157" s="31" t="s">
        <v>7241</v>
      </c>
      <c r="AF7157" s="31">
        <v>115</v>
      </c>
      <c r="AK7157" s="32">
        <v>27</v>
      </c>
      <c r="AQ7157" s="32" t="s">
        <v>7491</v>
      </c>
      <c r="AU7157">
        <v>7156</v>
      </c>
    </row>
    <row r="7158" spans="1:47" x14ac:dyDescent="0.2">
      <c r="A7158" s="13">
        <v>6878</v>
      </c>
      <c r="B7158" s="57" t="s">
        <v>45</v>
      </c>
      <c r="C7158" s="57" t="s">
        <v>5860</v>
      </c>
      <c r="D7158" s="29"/>
      <c r="E7158" s="57" t="s">
        <v>7495</v>
      </c>
      <c r="F7158" s="31" t="s">
        <v>76</v>
      </c>
      <c r="G7158" s="31" t="s">
        <v>49</v>
      </c>
      <c r="K7158" s="31">
        <v>2420</v>
      </c>
      <c r="AE7158" s="31" t="s">
        <v>7241</v>
      </c>
      <c r="AF7158" s="31">
        <v>95</v>
      </c>
      <c r="AK7158" s="32">
        <v>22</v>
      </c>
      <c r="AQ7158" s="32" t="s">
        <v>7491</v>
      </c>
      <c r="AU7158">
        <v>7157</v>
      </c>
    </row>
    <row r="7159" spans="1:47" x14ac:dyDescent="0.2">
      <c r="A7159" s="13">
        <v>6878</v>
      </c>
      <c r="B7159" s="57" t="s">
        <v>45</v>
      </c>
      <c r="C7159" s="57" t="s">
        <v>5860</v>
      </c>
      <c r="D7159" s="29"/>
      <c r="E7159" s="57" t="s">
        <v>5937</v>
      </c>
      <c r="F7159" s="31" t="s">
        <v>76</v>
      </c>
      <c r="G7159" s="31" t="s">
        <v>49</v>
      </c>
      <c r="K7159" s="31">
        <v>1980</v>
      </c>
      <c r="AE7159" s="31" t="s">
        <v>7241</v>
      </c>
      <c r="AF7159" s="31">
        <v>100</v>
      </c>
      <c r="AK7159" s="32">
        <v>18</v>
      </c>
      <c r="AQ7159" s="32" t="s">
        <v>7491</v>
      </c>
      <c r="AU7159">
        <v>7158</v>
      </c>
    </row>
    <row r="7160" spans="1:47" x14ac:dyDescent="0.2">
      <c r="A7160" s="13">
        <v>6878</v>
      </c>
      <c r="B7160" s="57" t="s">
        <v>45</v>
      </c>
      <c r="C7160" s="57" t="s">
        <v>5860</v>
      </c>
      <c r="D7160" s="29"/>
      <c r="E7160" s="57" t="s">
        <v>7492</v>
      </c>
      <c r="F7160" s="31" t="s">
        <v>76</v>
      </c>
      <c r="G7160" s="31" t="s">
        <v>49</v>
      </c>
      <c r="K7160" s="31">
        <v>440</v>
      </c>
      <c r="AE7160" s="31" t="s">
        <v>7241</v>
      </c>
      <c r="AF7160" s="31">
        <v>135</v>
      </c>
      <c r="AK7160" s="32">
        <v>4</v>
      </c>
      <c r="AQ7160" s="32" t="s">
        <v>7491</v>
      </c>
      <c r="AU7160">
        <v>7159</v>
      </c>
    </row>
    <row r="7161" spans="1:47" x14ac:dyDescent="0.2">
      <c r="A7161" s="13">
        <v>6878</v>
      </c>
      <c r="B7161" s="57" t="s">
        <v>45</v>
      </c>
      <c r="C7161" s="57" t="s">
        <v>7243</v>
      </c>
      <c r="D7161" s="29"/>
      <c r="E7161" s="57" t="s">
        <v>6527</v>
      </c>
      <c r="F7161" s="31" t="s">
        <v>76</v>
      </c>
      <c r="G7161" s="31" t="s">
        <v>49</v>
      </c>
      <c r="K7161" s="31">
        <v>3740</v>
      </c>
      <c r="S7161" s="33">
        <v>6</v>
      </c>
      <c r="AE7161" s="31" t="s">
        <v>4411</v>
      </c>
      <c r="AF7161" s="31">
        <v>100</v>
      </c>
      <c r="AK7161" s="32">
        <v>39</v>
      </c>
      <c r="AQ7161" s="32" t="s">
        <v>7491</v>
      </c>
      <c r="AU7161">
        <v>7160</v>
      </c>
    </row>
    <row r="7162" spans="1:47" x14ac:dyDescent="0.2">
      <c r="A7162" s="13">
        <v>6878</v>
      </c>
      <c r="B7162" s="57" t="s">
        <v>45</v>
      </c>
      <c r="C7162" s="57" t="s">
        <v>7243</v>
      </c>
      <c r="D7162" s="29"/>
      <c r="E7162" s="57" t="s">
        <v>7532</v>
      </c>
      <c r="F7162" s="31" t="s">
        <v>76</v>
      </c>
      <c r="G7162" s="31" t="s">
        <v>49</v>
      </c>
      <c r="K7162" s="31">
        <v>1870</v>
      </c>
      <c r="S7162" s="33">
        <v>3</v>
      </c>
      <c r="AE7162" s="31" t="s">
        <v>4411</v>
      </c>
      <c r="AF7162" s="31">
        <v>75</v>
      </c>
      <c r="AK7162" s="32">
        <v>20</v>
      </c>
      <c r="AQ7162" s="32" t="s">
        <v>7491</v>
      </c>
      <c r="AU7162">
        <v>7161</v>
      </c>
    </row>
    <row r="7163" spans="1:47" x14ac:dyDescent="0.2">
      <c r="A7163" s="13">
        <v>6878</v>
      </c>
      <c r="B7163" s="57" t="s">
        <v>45</v>
      </c>
      <c r="C7163" s="57" t="s">
        <v>7243</v>
      </c>
      <c r="D7163" s="29"/>
      <c r="E7163" s="57" t="s">
        <v>7652</v>
      </c>
      <c r="F7163" s="31" t="s">
        <v>76</v>
      </c>
      <c r="G7163" s="31" t="s">
        <v>49</v>
      </c>
      <c r="K7163" s="31">
        <v>1100</v>
      </c>
      <c r="S7163" s="33">
        <v>2</v>
      </c>
      <c r="AE7163" s="31" t="s">
        <v>4411</v>
      </c>
      <c r="AF7163" s="31">
        <v>85</v>
      </c>
      <c r="AK7163" s="32">
        <v>13</v>
      </c>
      <c r="AQ7163" s="32" t="s">
        <v>7491</v>
      </c>
      <c r="AU7163">
        <v>7162</v>
      </c>
    </row>
    <row r="7164" spans="1:47" x14ac:dyDescent="0.2">
      <c r="A7164" s="13">
        <v>6878</v>
      </c>
      <c r="B7164" s="57" t="s">
        <v>45</v>
      </c>
      <c r="C7164" s="57" t="s">
        <v>7243</v>
      </c>
      <c r="D7164" s="29"/>
      <c r="E7164" s="57" t="s">
        <v>1042</v>
      </c>
      <c r="F7164" s="31" t="s">
        <v>6354</v>
      </c>
      <c r="G7164" s="31" t="s">
        <v>69</v>
      </c>
      <c r="K7164" s="31">
        <v>660</v>
      </c>
      <c r="S7164" s="33">
        <v>1</v>
      </c>
      <c r="AE7164" s="31" t="s">
        <v>4411</v>
      </c>
      <c r="AF7164" s="31">
        <v>70</v>
      </c>
      <c r="AK7164" s="32">
        <v>6</v>
      </c>
      <c r="AQ7164" s="32" t="s">
        <v>7491</v>
      </c>
      <c r="AU7164">
        <v>7163</v>
      </c>
    </row>
    <row r="7165" spans="1:47" x14ac:dyDescent="0.2">
      <c r="A7165" s="13">
        <v>6878</v>
      </c>
      <c r="B7165" s="57" t="s">
        <v>45</v>
      </c>
      <c r="C7165" s="57" t="s">
        <v>7243</v>
      </c>
      <c r="D7165" s="29"/>
      <c r="E7165" s="57" t="s">
        <v>7683</v>
      </c>
      <c r="F7165" s="31" t="s">
        <v>6354</v>
      </c>
      <c r="G7165" s="31" t="s">
        <v>69</v>
      </c>
      <c r="K7165" s="31">
        <v>660</v>
      </c>
      <c r="S7165" s="33">
        <v>1</v>
      </c>
      <c r="AE7165" s="31" t="s">
        <v>4411</v>
      </c>
      <c r="AK7165" s="32">
        <v>6</v>
      </c>
      <c r="AQ7165" s="32" t="s">
        <v>7491</v>
      </c>
      <c r="AU7165">
        <v>7164</v>
      </c>
    </row>
    <row r="7166" spans="1:47" x14ac:dyDescent="0.2">
      <c r="A7166" s="13">
        <v>6878</v>
      </c>
      <c r="B7166" s="57" t="s">
        <v>45</v>
      </c>
      <c r="C7166" s="57" t="s">
        <v>7243</v>
      </c>
      <c r="D7166" s="29"/>
      <c r="E7166" s="57" t="s">
        <v>7684</v>
      </c>
      <c r="F7166" s="31" t="s">
        <v>6354</v>
      </c>
      <c r="G7166" s="31" t="s">
        <v>69</v>
      </c>
      <c r="K7166" s="31">
        <v>660</v>
      </c>
      <c r="S7166" s="33">
        <v>1</v>
      </c>
      <c r="AE7166" s="31" t="s">
        <v>4411</v>
      </c>
      <c r="AK7166" s="32">
        <v>6</v>
      </c>
      <c r="AQ7166" s="32" t="s">
        <v>7491</v>
      </c>
      <c r="AU7166">
        <v>7165</v>
      </c>
    </row>
    <row r="7167" spans="1:47" x14ac:dyDescent="0.2">
      <c r="A7167" s="13">
        <v>6878</v>
      </c>
      <c r="B7167" s="57" t="s">
        <v>45</v>
      </c>
      <c r="C7167" s="57" t="s">
        <v>7243</v>
      </c>
      <c r="D7167" s="29"/>
      <c r="E7167" s="57" t="s">
        <v>7685</v>
      </c>
      <c r="F7167" s="31" t="s">
        <v>6354</v>
      </c>
      <c r="G7167" s="31" t="s">
        <v>69</v>
      </c>
      <c r="K7167" s="31">
        <v>253</v>
      </c>
      <c r="S7167" s="33">
        <v>1</v>
      </c>
      <c r="AE7167" s="31" t="s">
        <v>4411</v>
      </c>
      <c r="AF7167" s="31">
        <v>85</v>
      </c>
      <c r="AK7167" s="32">
        <v>1</v>
      </c>
      <c r="AQ7167" s="32" t="s">
        <v>7491</v>
      </c>
      <c r="AU7167">
        <v>7166</v>
      </c>
    </row>
    <row r="7168" spans="1:47" x14ac:dyDescent="0.2">
      <c r="A7168" s="26">
        <v>6878</v>
      </c>
      <c r="B7168" s="27">
        <v>2.1527777777777781E-2</v>
      </c>
      <c r="C7168" s="28"/>
      <c r="D7168" s="29"/>
      <c r="E7168" s="30" t="s">
        <v>3737</v>
      </c>
      <c r="H7168" s="32">
        <v>0</v>
      </c>
      <c r="I7168" s="32" t="s">
        <v>4926</v>
      </c>
      <c r="AG7168" s="32">
        <v>0</v>
      </c>
      <c r="AH7168" s="32">
        <v>0</v>
      </c>
      <c r="AI7168" s="32">
        <v>0</v>
      </c>
      <c r="AK7168" s="32">
        <v>0</v>
      </c>
      <c r="AL7168" s="32">
        <f>29/60</f>
        <v>0.48333333333333334</v>
      </c>
      <c r="AM7168" s="33">
        <f>3125*AL7168</f>
        <v>1510.4166666666667</v>
      </c>
      <c r="AP7168" s="32">
        <f>29/60</f>
        <v>0.48333333333333334</v>
      </c>
      <c r="AQ7168" s="32" t="s">
        <v>1101</v>
      </c>
      <c r="AU7168">
        <v>7167</v>
      </c>
    </row>
    <row r="7169" spans="1:47" x14ac:dyDescent="0.2">
      <c r="A7169" s="26">
        <v>6878</v>
      </c>
      <c r="B7169" s="27">
        <v>4.8611111111111112E-2</v>
      </c>
      <c r="C7169" s="28"/>
      <c r="D7169" s="29"/>
      <c r="E7169" s="30" t="s">
        <v>3737</v>
      </c>
      <c r="H7169" s="32">
        <v>0</v>
      </c>
      <c r="I7169" s="32" t="s">
        <v>4926</v>
      </c>
      <c r="AG7169" s="32">
        <v>0</v>
      </c>
      <c r="AH7169" s="32">
        <v>0</v>
      </c>
      <c r="AI7169" s="32">
        <v>0</v>
      </c>
      <c r="AK7169" s="32">
        <v>0</v>
      </c>
      <c r="AM7169" s="74"/>
      <c r="AQ7169" s="32" t="s">
        <v>1101</v>
      </c>
      <c r="AU7169">
        <v>7168</v>
      </c>
    </row>
    <row r="7170" spans="1:47" x14ac:dyDescent="0.2">
      <c r="A7170" s="26">
        <v>6878</v>
      </c>
      <c r="B7170" s="27">
        <v>0.72916666666666663</v>
      </c>
      <c r="C7170" s="28"/>
      <c r="D7170" s="29"/>
      <c r="E7170" s="30" t="s">
        <v>464</v>
      </c>
      <c r="H7170" s="32">
        <v>0</v>
      </c>
      <c r="I7170" s="32" t="s">
        <v>7686</v>
      </c>
      <c r="AG7170" s="32">
        <v>0</v>
      </c>
      <c r="AH7170" s="32">
        <v>0</v>
      </c>
      <c r="AL7170" s="32">
        <f>37/60</f>
        <v>0.6166666666666667</v>
      </c>
      <c r="AO7170" s="32" t="s">
        <v>4067</v>
      </c>
      <c r="AP7170" s="32">
        <f>37/60</f>
        <v>0.6166666666666667</v>
      </c>
      <c r="AQ7170" s="32" t="s">
        <v>1522</v>
      </c>
      <c r="AU7170">
        <v>7169</v>
      </c>
    </row>
    <row r="7171" spans="1:47" x14ac:dyDescent="0.2">
      <c r="A7171" s="26">
        <v>6878</v>
      </c>
      <c r="B7171" s="27">
        <v>0.84375</v>
      </c>
      <c r="C7171" s="28"/>
      <c r="D7171" s="29"/>
      <c r="E7171" s="30" t="s">
        <v>4219</v>
      </c>
      <c r="H7171" s="32">
        <v>0</v>
      </c>
      <c r="I7171" s="32" t="s">
        <v>4249</v>
      </c>
      <c r="AG7171" s="32">
        <v>0</v>
      </c>
      <c r="AH7171" s="32">
        <v>0</v>
      </c>
      <c r="AI7171" s="32">
        <v>0</v>
      </c>
      <c r="AK7171" s="32">
        <v>0</v>
      </c>
      <c r="AL7171" s="32">
        <f>1/6</f>
        <v>0.16666666666666666</v>
      </c>
      <c r="AO7171" s="32" t="s">
        <v>858</v>
      </c>
      <c r="AP7171" s="32">
        <f>1/6</f>
        <v>0.16666666666666666</v>
      </c>
      <c r="AQ7171" s="32" t="s">
        <v>1101</v>
      </c>
      <c r="AU7171">
        <v>7170</v>
      </c>
    </row>
    <row r="7172" spans="1:47" x14ac:dyDescent="0.2">
      <c r="A7172" s="26">
        <v>6878</v>
      </c>
      <c r="B7172" s="27">
        <v>0.89583333333333337</v>
      </c>
      <c r="C7172" s="28"/>
      <c r="D7172" s="29"/>
      <c r="E7172" s="30" t="s">
        <v>2087</v>
      </c>
      <c r="H7172" s="32">
        <v>0</v>
      </c>
      <c r="I7172" s="32" t="s">
        <v>7687</v>
      </c>
      <c r="AG7172" s="32">
        <v>0</v>
      </c>
      <c r="AH7172" s="32">
        <v>0</v>
      </c>
      <c r="AI7172" s="32">
        <v>0</v>
      </c>
      <c r="AK7172" s="32">
        <v>0</v>
      </c>
      <c r="AL7172" s="32">
        <v>0</v>
      </c>
      <c r="AP7172" s="32">
        <v>0.5</v>
      </c>
      <c r="AQ7172" s="32" t="s">
        <v>1101</v>
      </c>
      <c r="AU7172">
        <v>7171</v>
      </c>
    </row>
    <row r="7173" spans="1:47" x14ac:dyDescent="0.2">
      <c r="A7173" s="26">
        <v>6878</v>
      </c>
      <c r="B7173" s="27">
        <v>0.90277777777777779</v>
      </c>
      <c r="C7173" s="28"/>
      <c r="D7173" s="29"/>
      <c r="E7173" s="30" t="s">
        <v>3689</v>
      </c>
      <c r="H7173" s="32">
        <v>1</v>
      </c>
      <c r="I7173" s="32" t="s">
        <v>7688</v>
      </c>
      <c r="AG7173" s="32">
        <v>5</v>
      </c>
      <c r="AI7173" s="32">
        <v>175000</v>
      </c>
      <c r="AK7173" s="32">
        <v>6</v>
      </c>
      <c r="AQ7173" s="32">
        <v>456</v>
      </c>
      <c r="AU7173">
        <v>7172</v>
      </c>
    </row>
    <row r="7174" spans="1:47" x14ac:dyDescent="0.2">
      <c r="A7174" s="26">
        <v>6878</v>
      </c>
      <c r="B7174" s="27">
        <v>0.90555555555555556</v>
      </c>
      <c r="C7174" s="28"/>
      <c r="D7174" s="29"/>
      <c r="E7174" s="30" t="s">
        <v>869</v>
      </c>
      <c r="H7174" s="32">
        <v>0</v>
      </c>
      <c r="I7174" s="32" t="s">
        <v>2344</v>
      </c>
      <c r="AG7174" s="32">
        <v>0</v>
      </c>
      <c r="AH7174" s="32">
        <v>0</v>
      </c>
      <c r="AI7174" s="32">
        <v>0</v>
      </c>
      <c r="AK7174" s="32">
        <v>0</v>
      </c>
      <c r="AL7174" s="32">
        <f>24/60</f>
        <v>0.4</v>
      </c>
      <c r="AP7174" s="32">
        <f>24/60</f>
        <v>0.4</v>
      </c>
      <c r="AQ7174" s="32" t="s">
        <v>589</v>
      </c>
      <c r="AU7174">
        <v>7173</v>
      </c>
    </row>
    <row r="7175" spans="1:47" x14ac:dyDescent="0.2">
      <c r="A7175" s="26">
        <v>6878</v>
      </c>
      <c r="B7175" s="27">
        <v>0.90972222222222221</v>
      </c>
      <c r="C7175" s="28"/>
      <c r="D7175" s="29"/>
      <c r="E7175" s="30" t="s">
        <v>3737</v>
      </c>
      <c r="H7175" s="32">
        <v>0</v>
      </c>
      <c r="I7175" s="32" t="s">
        <v>4926</v>
      </c>
      <c r="AG7175" s="32">
        <v>0</v>
      </c>
      <c r="AH7175" s="32">
        <v>0</v>
      </c>
      <c r="AI7175" s="32">
        <v>0</v>
      </c>
      <c r="AK7175" s="32">
        <v>0</v>
      </c>
      <c r="AL7175" s="32">
        <v>0.75</v>
      </c>
      <c r="AM7175" s="33">
        <f>3125*AL7175</f>
        <v>2343.75</v>
      </c>
      <c r="AP7175" s="32">
        <v>0.75</v>
      </c>
      <c r="AQ7175" s="32" t="s">
        <v>1101</v>
      </c>
      <c r="AU7175">
        <v>7174</v>
      </c>
    </row>
    <row r="7176" spans="1:47" x14ac:dyDescent="0.2">
      <c r="A7176" s="26">
        <v>6878</v>
      </c>
      <c r="B7176" s="27">
        <v>0.91666666666666663</v>
      </c>
      <c r="C7176" s="28"/>
      <c r="D7176" s="29"/>
      <c r="E7176" s="30" t="s">
        <v>631</v>
      </c>
      <c r="H7176" s="32">
        <v>1</v>
      </c>
      <c r="I7176" s="32" t="s">
        <v>7689</v>
      </c>
      <c r="AG7176" s="32">
        <v>0</v>
      </c>
      <c r="AH7176" s="32">
        <v>0</v>
      </c>
      <c r="AK7176" s="32">
        <v>11</v>
      </c>
      <c r="AL7176" s="32">
        <v>2.25</v>
      </c>
      <c r="AO7176" s="32" t="s">
        <v>633</v>
      </c>
      <c r="AP7176" s="32">
        <v>2.25</v>
      </c>
      <c r="AQ7176" s="32">
        <v>464</v>
      </c>
      <c r="AU7176">
        <v>7175</v>
      </c>
    </row>
    <row r="7177" spans="1:47" x14ac:dyDescent="0.2">
      <c r="A7177" s="26">
        <v>6878</v>
      </c>
      <c r="B7177" s="27">
        <v>0.94861111111111107</v>
      </c>
      <c r="C7177" s="28"/>
      <c r="D7177" s="29"/>
      <c r="E7177" s="30" t="s">
        <v>3737</v>
      </c>
      <c r="H7177" s="32">
        <v>0</v>
      </c>
      <c r="I7177" s="32" t="s">
        <v>4926</v>
      </c>
      <c r="AG7177" s="32">
        <v>0</v>
      </c>
      <c r="AH7177" s="32">
        <v>0</v>
      </c>
      <c r="AI7177" s="32">
        <v>0</v>
      </c>
      <c r="AK7177" s="32">
        <v>0</v>
      </c>
      <c r="AM7177" s="74"/>
      <c r="AQ7177" s="32" t="s">
        <v>1101</v>
      </c>
      <c r="AU7177">
        <v>7176</v>
      </c>
    </row>
    <row r="7178" spans="1:47" x14ac:dyDescent="0.2">
      <c r="A7178" s="26">
        <v>6878</v>
      </c>
      <c r="B7178" s="27">
        <v>0.96527777777777779</v>
      </c>
      <c r="C7178" s="28"/>
      <c r="D7178" s="29"/>
      <c r="E7178" s="30" t="s">
        <v>1282</v>
      </c>
      <c r="H7178" s="32">
        <v>0</v>
      </c>
      <c r="I7178" s="32" t="s">
        <v>7690</v>
      </c>
      <c r="AG7178" s="32">
        <v>0</v>
      </c>
      <c r="AH7178" s="32">
        <v>1</v>
      </c>
      <c r="AI7178" s="32">
        <v>0</v>
      </c>
      <c r="AK7178" s="32">
        <v>0</v>
      </c>
      <c r="AL7178" s="32">
        <f>1/3</f>
        <v>0.33333333333333331</v>
      </c>
      <c r="AP7178" s="32">
        <f>1/3</f>
        <v>0.33333333333333331</v>
      </c>
      <c r="AQ7178" s="32" t="s">
        <v>1101</v>
      </c>
      <c r="AU7178">
        <v>7177</v>
      </c>
    </row>
    <row r="7179" spans="1:47" x14ac:dyDescent="0.2">
      <c r="A7179" s="133">
        <v>6879</v>
      </c>
      <c r="B7179" s="39" t="s">
        <v>85</v>
      </c>
      <c r="C7179" s="39">
        <v>55</v>
      </c>
      <c r="D7179" s="29" t="b">
        <v>0</v>
      </c>
      <c r="E7179" s="39" t="s">
        <v>7691</v>
      </c>
      <c r="F7179" s="47" t="s">
        <v>7692</v>
      </c>
      <c r="G7179" s="47" t="s">
        <v>49</v>
      </c>
      <c r="H7179"/>
      <c r="I7179" s="47" t="b">
        <v>1</v>
      </c>
      <c r="J7179" s="47" t="b">
        <v>1</v>
      </c>
      <c r="K7179" s="47">
        <v>1350</v>
      </c>
      <c r="L7179" s="48">
        <v>12</v>
      </c>
      <c r="M7179" s="47">
        <v>0</v>
      </c>
      <c r="N7179" s="47">
        <v>3</v>
      </c>
      <c r="O7179" s="47">
        <v>1</v>
      </c>
      <c r="P7179" s="47">
        <v>8</v>
      </c>
      <c r="Q7179" s="47">
        <v>0</v>
      </c>
      <c r="R7179" s="47">
        <v>0</v>
      </c>
      <c r="S7179" s="48">
        <v>8</v>
      </c>
      <c r="T7179" s="47">
        <v>0</v>
      </c>
      <c r="U7179" s="47">
        <v>0</v>
      </c>
      <c r="V7179" s="47">
        <v>0</v>
      </c>
      <c r="W7179" s="47">
        <v>16400</v>
      </c>
      <c r="X7179" s="47">
        <v>1224</v>
      </c>
      <c r="Y7179" s="47" t="s">
        <v>51</v>
      </c>
      <c r="Z7179" s="47" t="s">
        <v>3618</v>
      </c>
      <c r="AA7179" s="49">
        <v>0.4861111111111111</v>
      </c>
      <c r="AB7179" s="49">
        <v>0.68055555555555547</v>
      </c>
      <c r="AC7179" s="49">
        <f>AVERAGE(AA7179:AB7179)</f>
        <v>0.58333333333333326</v>
      </c>
      <c r="AD7179" s="50">
        <f t="shared" ref="AD7179:AD7185" si="22">(AB7179-AA7179)*24</f>
        <v>4.6666666666666643</v>
      </c>
      <c r="AE7179" s="47" t="s">
        <v>5433</v>
      </c>
      <c r="AF7179" s="47">
        <v>230</v>
      </c>
      <c r="AG7179"/>
      <c r="AH7179"/>
      <c r="AI7179"/>
      <c r="AJ7179"/>
      <c r="AK7179">
        <f>2+2+7</f>
        <v>11</v>
      </c>
      <c r="AL7179"/>
      <c r="AM7179"/>
      <c r="AN7179"/>
      <c r="AO7179"/>
      <c r="AP7179"/>
      <c r="AQ7179" t="s">
        <v>5434</v>
      </c>
      <c r="AU7179">
        <v>7178</v>
      </c>
    </row>
    <row r="7180" spans="1:47" x14ac:dyDescent="0.2">
      <c r="A7180" s="133">
        <v>6879</v>
      </c>
      <c r="B7180" s="39" t="s">
        <v>85</v>
      </c>
      <c r="C7180" s="39">
        <v>55</v>
      </c>
      <c r="D7180" s="29" t="b">
        <v>0</v>
      </c>
      <c r="E7180" s="39" t="s">
        <v>1006</v>
      </c>
      <c r="F7180" s="47" t="s">
        <v>76</v>
      </c>
      <c r="G7180" s="47" t="s">
        <v>49</v>
      </c>
      <c r="H7180"/>
      <c r="I7180" s="47" t="b">
        <v>0</v>
      </c>
      <c r="J7180" s="47" t="b">
        <v>0</v>
      </c>
      <c r="K7180" s="47">
        <v>224</v>
      </c>
      <c r="L7180" s="48">
        <v>1</v>
      </c>
      <c r="M7180" s="47">
        <v>0</v>
      </c>
      <c r="N7180" s="47">
        <v>0</v>
      </c>
      <c r="O7180" s="47">
        <v>0</v>
      </c>
      <c r="P7180" s="47">
        <v>1</v>
      </c>
      <c r="Q7180" s="47">
        <v>0</v>
      </c>
      <c r="R7180" s="47">
        <v>0</v>
      </c>
      <c r="S7180" s="48">
        <v>1</v>
      </c>
      <c r="T7180" s="47">
        <v>0</v>
      </c>
      <c r="U7180" s="47">
        <v>0</v>
      </c>
      <c r="V7180" s="47">
        <v>0</v>
      </c>
      <c r="W7180" s="47"/>
      <c r="X7180" s="47">
        <v>1226</v>
      </c>
      <c r="Y7180" s="47" t="s">
        <v>51</v>
      </c>
      <c r="Z7180" s="47" t="s">
        <v>3618</v>
      </c>
      <c r="AA7180" s="49">
        <v>0.4861111111111111</v>
      </c>
      <c r="AB7180" s="49">
        <v>0.68055555555555547</v>
      </c>
      <c r="AC7180" s="49">
        <f>AVERAGE(AA7180:AB7180)</f>
        <v>0.58333333333333326</v>
      </c>
      <c r="AD7180" s="50">
        <f t="shared" si="22"/>
        <v>4.6666666666666643</v>
      </c>
      <c r="AE7180" s="47" t="s">
        <v>5433</v>
      </c>
      <c r="AF7180" s="47">
        <v>130</v>
      </c>
      <c r="AG7180"/>
      <c r="AH7180"/>
      <c r="AI7180"/>
      <c r="AJ7180"/>
      <c r="AK7180">
        <v>2</v>
      </c>
      <c r="AL7180"/>
      <c r="AM7180"/>
      <c r="AN7180"/>
      <c r="AO7180"/>
      <c r="AP7180"/>
      <c r="AQ7180" t="s">
        <v>5434</v>
      </c>
      <c r="AU7180">
        <v>7179</v>
      </c>
    </row>
    <row r="7181" spans="1:47" x14ac:dyDescent="0.2">
      <c r="A7181" s="133">
        <v>6879</v>
      </c>
      <c r="B7181" s="39" t="s">
        <v>85</v>
      </c>
      <c r="C7181" s="39">
        <v>55</v>
      </c>
      <c r="D7181" s="29" t="b">
        <v>0</v>
      </c>
      <c r="E7181" s="39" t="s">
        <v>649</v>
      </c>
      <c r="F7181" s="47" t="s">
        <v>529</v>
      </c>
      <c r="G7181" s="47" t="s">
        <v>205</v>
      </c>
      <c r="H7181"/>
      <c r="I7181" s="47" t="b">
        <v>0</v>
      </c>
      <c r="J7181" s="47" t="b">
        <v>0</v>
      </c>
      <c r="K7181" s="47">
        <v>224</v>
      </c>
      <c r="L7181" s="48">
        <v>1</v>
      </c>
      <c r="M7181" s="47">
        <v>0</v>
      </c>
      <c r="N7181" s="47">
        <v>0</v>
      </c>
      <c r="O7181" s="47">
        <v>0</v>
      </c>
      <c r="P7181" s="47">
        <v>1</v>
      </c>
      <c r="Q7181" s="47">
        <v>0</v>
      </c>
      <c r="R7181" s="47">
        <v>0</v>
      </c>
      <c r="S7181" s="48">
        <v>1</v>
      </c>
      <c r="T7181" s="47">
        <v>0</v>
      </c>
      <c r="U7181" s="47">
        <v>0</v>
      </c>
      <c r="V7181" s="47">
        <v>0</v>
      </c>
      <c r="W7181" s="47"/>
      <c r="X7181" s="47">
        <v>1227</v>
      </c>
      <c r="Y7181" s="47" t="s">
        <v>51</v>
      </c>
      <c r="Z7181" s="47" t="s">
        <v>3618</v>
      </c>
      <c r="AA7181" s="49">
        <v>0.4861111111111111</v>
      </c>
      <c r="AB7181" s="49">
        <v>0.68055555555555547</v>
      </c>
      <c r="AC7181" s="49">
        <f>AVERAGE(AA7181:AB7181)</f>
        <v>0.58333333333333326</v>
      </c>
      <c r="AD7181" s="50">
        <f t="shared" si="22"/>
        <v>4.6666666666666643</v>
      </c>
      <c r="AE7181" s="47" t="s">
        <v>5433</v>
      </c>
      <c r="AF7181" s="47">
        <v>55</v>
      </c>
      <c r="AG7181"/>
      <c r="AH7181"/>
      <c r="AI7181"/>
      <c r="AJ7181"/>
      <c r="AK7181">
        <v>2</v>
      </c>
      <c r="AL7181"/>
      <c r="AM7181"/>
      <c r="AN7181"/>
      <c r="AO7181"/>
      <c r="AP7181"/>
      <c r="AQ7181" t="s">
        <v>5434</v>
      </c>
      <c r="AU7181">
        <v>7180</v>
      </c>
    </row>
    <row r="7182" spans="1:47" x14ac:dyDescent="0.2">
      <c r="A7182" s="133">
        <v>6879</v>
      </c>
      <c r="B7182" s="39" t="s">
        <v>85</v>
      </c>
      <c r="C7182" s="39">
        <v>55</v>
      </c>
      <c r="D7182" s="29" t="b">
        <v>0</v>
      </c>
      <c r="E7182" s="39" t="s">
        <v>4713</v>
      </c>
      <c r="F7182" s="47" t="s">
        <v>2398</v>
      </c>
      <c r="G7182" s="47" t="s">
        <v>49</v>
      </c>
      <c r="H7182"/>
      <c r="I7182" s="47" t="b">
        <v>0</v>
      </c>
      <c r="J7182" s="47" t="b">
        <v>0</v>
      </c>
      <c r="K7182" s="47">
        <v>902</v>
      </c>
      <c r="L7182" s="48">
        <v>10</v>
      </c>
      <c r="M7182" s="47">
        <v>0</v>
      </c>
      <c r="N7182" s="47">
        <v>3</v>
      </c>
      <c r="O7182" s="47">
        <v>1</v>
      </c>
      <c r="P7182" s="47">
        <v>6</v>
      </c>
      <c r="Q7182" s="47">
        <v>0</v>
      </c>
      <c r="R7182" s="47">
        <v>0</v>
      </c>
      <c r="S7182" s="48">
        <v>6</v>
      </c>
      <c r="T7182" s="47">
        <v>0</v>
      </c>
      <c r="U7182" s="47">
        <v>0</v>
      </c>
      <c r="V7182" s="47">
        <v>0</v>
      </c>
      <c r="W7182" s="47">
        <v>16400</v>
      </c>
      <c r="X7182" s="47">
        <v>1228</v>
      </c>
      <c r="Y7182" s="47" t="s">
        <v>51</v>
      </c>
      <c r="Z7182" s="47" t="s">
        <v>3618</v>
      </c>
      <c r="AA7182" s="49">
        <v>0.4861111111111111</v>
      </c>
      <c r="AB7182" s="49">
        <v>0.68055555555555547</v>
      </c>
      <c r="AC7182" s="49">
        <v>0.59027777777777779</v>
      </c>
      <c r="AD7182" s="50">
        <f t="shared" si="22"/>
        <v>4.6666666666666643</v>
      </c>
      <c r="AE7182" s="47" t="s">
        <v>5433</v>
      </c>
      <c r="AF7182" s="47">
        <v>230</v>
      </c>
      <c r="AG7182"/>
      <c r="AH7182"/>
      <c r="AI7182"/>
      <c r="AJ7182"/>
      <c r="AK7182">
        <v>7</v>
      </c>
      <c r="AL7182"/>
      <c r="AM7182"/>
      <c r="AN7182"/>
      <c r="AO7182"/>
      <c r="AP7182"/>
      <c r="AQ7182" t="s">
        <v>5434</v>
      </c>
      <c r="AU7182">
        <v>7181</v>
      </c>
    </row>
    <row r="7183" spans="1:47" x14ac:dyDescent="0.2">
      <c r="A7183" s="133">
        <v>6879</v>
      </c>
      <c r="B7183" s="39" t="s">
        <v>85</v>
      </c>
      <c r="C7183" s="39">
        <v>99</v>
      </c>
      <c r="D7183" s="29" t="b">
        <v>0</v>
      </c>
      <c r="E7183" s="39" t="s">
        <v>3575</v>
      </c>
      <c r="F7183" s="47" t="s">
        <v>529</v>
      </c>
      <c r="G7183" s="47" t="s">
        <v>205</v>
      </c>
      <c r="H7183"/>
      <c r="I7183" s="47" t="b">
        <v>0</v>
      </c>
      <c r="J7183" s="47" t="b">
        <v>1</v>
      </c>
      <c r="K7183" s="47">
        <v>1592</v>
      </c>
      <c r="L7183" s="48">
        <v>-1</v>
      </c>
      <c r="M7183" s="47">
        <v>0</v>
      </c>
      <c r="N7183" s="47">
        <v>0</v>
      </c>
      <c r="O7183" s="47">
        <v>0</v>
      </c>
      <c r="P7183" s="47">
        <v>0</v>
      </c>
      <c r="Q7183" s="47">
        <v>0</v>
      </c>
      <c r="R7183" s="47">
        <v>0</v>
      </c>
      <c r="S7183" s="48">
        <v>7</v>
      </c>
      <c r="T7183" s="47">
        <v>0</v>
      </c>
      <c r="U7183" s="47">
        <v>0</v>
      </c>
      <c r="V7183" s="47">
        <v>0</v>
      </c>
      <c r="W7183" s="47">
        <v>11000</v>
      </c>
      <c r="X7183" s="47">
        <v>1225</v>
      </c>
      <c r="Y7183" s="47" t="s">
        <v>120</v>
      </c>
      <c r="Z7183" s="47" t="s">
        <v>5139</v>
      </c>
      <c r="AA7183" s="49">
        <v>0.53125</v>
      </c>
      <c r="AB7183" s="49">
        <v>0.62847222222222221</v>
      </c>
      <c r="AC7183" s="49">
        <v>0.60069444444444442</v>
      </c>
      <c r="AD7183" s="50">
        <f t="shared" si="22"/>
        <v>2.333333333333333</v>
      </c>
      <c r="AE7183" s="47" t="s">
        <v>5433</v>
      </c>
      <c r="AF7183" s="47">
        <v>140</v>
      </c>
      <c r="AG7183"/>
      <c r="AH7183"/>
      <c r="AI7183"/>
      <c r="AJ7183"/>
      <c r="AK7183">
        <v>10</v>
      </c>
      <c r="AL7183"/>
      <c r="AM7183"/>
      <c r="AN7183"/>
      <c r="AO7183"/>
      <c r="AP7183"/>
      <c r="AQ7183" t="s">
        <v>2526</v>
      </c>
      <c r="AU7183">
        <v>7182</v>
      </c>
    </row>
    <row r="7184" spans="1:47" x14ac:dyDescent="0.2">
      <c r="A7184" s="133">
        <v>6879</v>
      </c>
      <c r="B7184" s="39" t="s">
        <v>85</v>
      </c>
      <c r="C7184" s="39">
        <v>104</v>
      </c>
      <c r="D7184" s="29" t="b">
        <v>0</v>
      </c>
      <c r="E7184" s="39" t="s">
        <v>3575</v>
      </c>
      <c r="F7184" s="47" t="s">
        <v>529</v>
      </c>
      <c r="G7184" s="47" t="s">
        <v>205</v>
      </c>
      <c r="H7184"/>
      <c r="I7184" s="47" t="b">
        <v>0</v>
      </c>
      <c r="J7184" s="47" t="b">
        <v>1</v>
      </c>
      <c r="K7184" s="47">
        <v>2028</v>
      </c>
      <c r="L7184" s="48">
        <v>11</v>
      </c>
      <c r="M7184" s="47">
        <v>0</v>
      </c>
      <c r="N7184" s="47">
        <v>2</v>
      </c>
      <c r="O7184" s="47">
        <v>0</v>
      </c>
      <c r="P7184" s="47">
        <v>0</v>
      </c>
      <c r="Q7184" s="47">
        <v>0</v>
      </c>
      <c r="R7184" s="47">
        <v>0</v>
      </c>
      <c r="S7184" s="48">
        <v>9</v>
      </c>
      <c r="T7184" s="47">
        <v>0</v>
      </c>
      <c r="U7184" s="47">
        <v>0</v>
      </c>
      <c r="V7184" s="47">
        <v>0</v>
      </c>
      <c r="W7184" s="47">
        <v>12000</v>
      </c>
      <c r="X7184" s="47">
        <v>1223</v>
      </c>
      <c r="Y7184" s="47" t="s">
        <v>51</v>
      </c>
      <c r="Z7184" s="47" t="s">
        <v>5139</v>
      </c>
      <c r="AA7184" s="49">
        <v>0.51736111111111105</v>
      </c>
      <c r="AB7184" s="49">
        <v>0.62152777777777779</v>
      </c>
      <c r="AC7184" s="49">
        <v>0.59375</v>
      </c>
      <c r="AD7184" s="50">
        <f t="shared" si="22"/>
        <v>2.5000000000000018</v>
      </c>
      <c r="AE7184" s="47" t="s">
        <v>5433</v>
      </c>
      <c r="AF7184" s="47">
        <v>140</v>
      </c>
      <c r="AG7184"/>
      <c r="AH7184"/>
      <c r="AI7184"/>
      <c r="AJ7184"/>
      <c r="AK7184">
        <v>16</v>
      </c>
      <c r="AL7184"/>
      <c r="AM7184"/>
      <c r="AN7184"/>
      <c r="AO7184"/>
      <c r="AP7184"/>
      <c r="AQ7184" t="s">
        <v>5485</v>
      </c>
      <c r="AU7184">
        <v>7183</v>
      </c>
    </row>
    <row r="7185" spans="1:47" x14ac:dyDescent="0.2">
      <c r="A7185" s="133">
        <v>6879</v>
      </c>
      <c r="B7185" s="39" t="s">
        <v>85</v>
      </c>
      <c r="C7185" s="206" t="s">
        <v>7485</v>
      </c>
      <c r="D7185" s="29"/>
      <c r="E7185" s="38" t="s">
        <v>7665</v>
      </c>
      <c r="F7185" s="32"/>
      <c r="G7185" s="47"/>
      <c r="H7185"/>
      <c r="I7185" s="32" t="s">
        <v>7693</v>
      </c>
      <c r="J7185" s="47"/>
      <c r="K7185" s="47"/>
      <c r="L7185" s="48"/>
      <c r="M7185" s="47"/>
      <c r="N7185" s="47"/>
      <c r="O7185" s="47"/>
      <c r="P7185" s="47"/>
      <c r="Q7185" s="47"/>
      <c r="R7185" s="47"/>
      <c r="S7185" s="48"/>
      <c r="T7185" s="47"/>
      <c r="U7185" s="47"/>
      <c r="V7185" s="47"/>
      <c r="W7185" s="47">
        <v>15500</v>
      </c>
      <c r="X7185" s="47"/>
      <c r="Y7185" s="47"/>
      <c r="Z7185" s="47" t="s">
        <v>7262</v>
      </c>
      <c r="AA7185" s="49">
        <v>0.3298611111111111</v>
      </c>
      <c r="AB7185" s="49">
        <v>0.39583333333333331</v>
      </c>
      <c r="AC7185" s="49">
        <v>0.37152777777777773</v>
      </c>
      <c r="AD7185" s="50">
        <f t="shared" si="22"/>
        <v>1.583333333333333</v>
      </c>
      <c r="AE7185" s="47" t="s">
        <v>2743</v>
      </c>
      <c r="AF7185" s="47">
        <v>85</v>
      </c>
      <c r="AG7185"/>
      <c r="AH7185"/>
      <c r="AI7185"/>
      <c r="AJ7185"/>
      <c r="AK7185"/>
      <c r="AL7185"/>
      <c r="AM7185"/>
      <c r="AN7185"/>
      <c r="AO7185"/>
      <c r="AP7185"/>
      <c r="AQ7185" t="s">
        <v>7167</v>
      </c>
      <c r="AU7185">
        <v>7184</v>
      </c>
    </row>
    <row r="7186" spans="1:47" x14ac:dyDescent="0.2">
      <c r="A7186" s="13">
        <v>6879</v>
      </c>
      <c r="B7186" s="57" t="s">
        <v>45</v>
      </c>
      <c r="C7186" s="57" t="s">
        <v>1367</v>
      </c>
      <c r="D7186" s="29"/>
      <c r="E7186" s="57" t="s">
        <v>2191</v>
      </c>
      <c r="F7186" s="31" t="s">
        <v>76</v>
      </c>
      <c r="G7186" s="31" t="s">
        <v>49</v>
      </c>
      <c r="K7186" s="31">
        <v>1016.4</v>
      </c>
      <c r="AE7186" s="31" t="s">
        <v>4176</v>
      </c>
      <c r="AF7186" s="31">
        <v>80</v>
      </c>
      <c r="AK7186" s="32">
        <v>9</v>
      </c>
      <c r="AQ7186" s="32" t="s">
        <v>7509</v>
      </c>
      <c r="AU7186">
        <v>7185</v>
      </c>
    </row>
    <row r="7187" spans="1:47" x14ac:dyDescent="0.2">
      <c r="A7187" s="13">
        <v>6879</v>
      </c>
      <c r="B7187" s="57" t="s">
        <v>45</v>
      </c>
      <c r="C7187" s="57" t="s">
        <v>1367</v>
      </c>
      <c r="D7187" s="29"/>
      <c r="E7187" s="57" t="s">
        <v>3063</v>
      </c>
      <c r="F7187" s="31" t="s">
        <v>76</v>
      </c>
      <c r="G7187" s="31" t="s">
        <v>49</v>
      </c>
      <c r="K7187" s="31">
        <v>1896.4</v>
      </c>
      <c r="AE7187" s="31" t="s">
        <v>4176</v>
      </c>
      <c r="AF7187" s="31">
        <v>100</v>
      </c>
      <c r="AK7187" s="32">
        <v>17</v>
      </c>
      <c r="AQ7187" s="32" t="s">
        <v>7509</v>
      </c>
      <c r="AU7187">
        <v>7186</v>
      </c>
    </row>
    <row r="7188" spans="1:47" x14ac:dyDescent="0.2">
      <c r="A7188" s="26">
        <v>6879</v>
      </c>
      <c r="B7188" s="27">
        <v>0.57986111111111105</v>
      </c>
      <c r="C7188" s="28"/>
      <c r="D7188" s="29"/>
      <c r="E7188" s="30" t="s">
        <v>464</v>
      </c>
      <c r="H7188" s="32">
        <v>0</v>
      </c>
      <c r="I7188" s="32" t="s">
        <v>5766</v>
      </c>
      <c r="AG7188" s="32">
        <v>0</v>
      </c>
      <c r="AH7188" s="32">
        <v>0</v>
      </c>
      <c r="AL7188" s="32">
        <v>0.33300000000000002</v>
      </c>
      <c r="AO7188" s="32" t="s">
        <v>4067</v>
      </c>
      <c r="AP7188" s="32">
        <v>0.33300000000000002</v>
      </c>
      <c r="AQ7188" s="32" t="s">
        <v>1522</v>
      </c>
      <c r="AU7188">
        <v>7187</v>
      </c>
    </row>
    <row r="7189" spans="1:47" x14ac:dyDescent="0.2">
      <c r="A7189" s="26">
        <v>6879</v>
      </c>
      <c r="B7189" s="27">
        <v>0.60277777777777775</v>
      </c>
      <c r="C7189" s="28"/>
      <c r="D7189" s="29"/>
      <c r="E7189" s="30" t="s">
        <v>3737</v>
      </c>
      <c r="H7189" s="32">
        <v>0</v>
      </c>
      <c r="I7189" s="32" t="s">
        <v>7694</v>
      </c>
      <c r="AG7189" s="32">
        <v>0</v>
      </c>
      <c r="AH7189" s="32">
        <v>0</v>
      </c>
      <c r="AI7189" s="32">
        <v>0</v>
      </c>
      <c r="AK7189" s="32">
        <v>0</v>
      </c>
      <c r="AM7189" s="74"/>
      <c r="AQ7189" s="32" t="s">
        <v>1101</v>
      </c>
      <c r="AU7189">
        <v>7188</v>
      </c>
    </row>
    <row r="7190" spans="1:47" x14ac:dyDescent="0.2">
      <c r="A7190" s="26">
        <v>6879</v>
      </c>
      <c r="B7190" s="27">
        <v>0.60416666666666663</v>
      </c>
      <c r="C7190" s="28"/>
      <c r="D7190" s="29"/>
      <c r="E7190" s="102" t="s">
        <v>1102</v>
      </c>
      <c r="H7190" s="32">
        <v>0</v>
      </c>
      <c r="I7190" s="32" t="s">
        <v>7695</v>
      </c>
      <c r="AG7190" s="32">
        <v>0</v>
      </c>
      <c r="AH7190" s="32">
        <v>0</v>
      </c>
      <c r="AI7190" s="32">
        <v>0</v>
      </c>
      <c r="AK7190" s="32">
        <v>0</v>
      </c>
      <c r="AL7190" s="32">
        <f>52/60</f>
        <v>0.8666666666666667</v>
      </c>
      <c r="AO7190" s="73" t="s">
        <v>1006</v>
      </c>
      <c r="AP7190" s="32">
        <f>52/60</f>
        <v>0.8666666666666667</v>
      </c>
      <c r="AQ7190" s="32" t="s">
        <v>589</v>
      </c>
      <c r="AU7190">
        <v>7189</v>
      </c>
    </row>
    <row r="7191" spans="1:47" x14ac:dyDescent="0.2">
      <c r="A7191" s="26">
        <v>6879</v>
      </c>
      <c r="B7191" s="27">
        <v>0.61458333333333337</v>
      </c>
      <c r="C7191" s="28"/>
      <c r="D7191" s="29"/>
      <c r="E7191" s="30" t="s">
        <v>5224</v>
      </c>
      <c r="H7191" s="32">
        <v>0</v>
      </c>
      <c r="I7191" s="32" t="s">
        <v>7696</v>
      </c>
      <c r="AG7191" s="32">
        <v>0</v>
      </c>
      <c r="AH7191" s="32">
        <v>0</v>
      </c>
      <c r="AI7191" s="32">
        <v>0</v>
      </c>
      <c r="AK7191" s="32">
        <v>0</v>
      </c>
      <c r="AL7191" s="32">
        <f>177/60</f>
        <v>2.95</v>
      </c>
      <c r="AP7191" s="32">
        <f>177/60</f>
        <v>2.95</v>
      </c>
      <c r="AQ7191" s="32" t="s">
        <v>1101</v>
      </c>
      <c r="AU7191">
        <v>7190</v>
      </c>
    </row>
    <row r="7192" spans="1:47" x14ac:dyDescent="0.2">
      <c r="A7192" s="26">
        <v>6879</v>
      </c>
      <c r="B7192" s="27">
        <v>0.61597222222222225</v>
      </c>
      <c r="C7192" s="28"/>
      <c r="D7192" s="29"/>
      <c r="E7192" s="30" t="s">
        <v>2964</v>
      </c>
      <c r="H7192" s="32">
        <v>0</v>
      </c>
      <c r="I7192" s="32" t="s">
        <v>4158</v>
      </c>
      <c r="AG7192" s="32">
        <v>0</v>
      </c>
      <c r="AH7192" s="32">
        <v>0</v>
      </c>
      <c r="AI7192" s="32">
        <v>0</v>
      </c>
      <c r="AK7192" s="32">
        <v>0</v>
      </c>
      <c r="AL7192" s="32">
        <f>78/60</f>
        <v>1.3</v>
      </c>
      <c r="AP7192" s="32">
        <f>78/60</f>
        <v>1.3</v>
      </c>
      <c r="AQ7192" s="32" t="s">
        <v>1101</v>
      </c>
      <c r="AU7192">
        <v>7191</v>
      </c>
    </row>
    <row r="7193" spans="1:47" x14ac:dyDescent="0.2">
      <c r="A7193" s="26">
        <v>6879</v>
      </c>
      <c r="B7193" s="27">
        <v>0.625</v>
      </c>
      <c r="C7193" s="28"/>
      <c r="D7193" s="29"/>
      <c r="E7193" s="30" t="s">
        <v>110</v>
      </c>
      <c r="H7193" s="32">
        <v>0</v>
      </c>
      <c r="I7193" s="32" t="s">
        <v>3587</v>
      </c>
      <c r="AG7193" s="32">
        <v>0</v>
      </c>
      <c r="AH7193" s="32">
        <v>0</v>
      </c>
      <c r="AI7193" s="32">
        <v>0</v>
      </c>
      <c r="AK7193" s="32">
        <v>0</v>
      </c>
      <c r="AL7193" s="32">
        <f>5/6</f>
        <v>0.83333333333333337</v>
      </c>
      <c r="AP7193" s="32">
        <f>5/6</f>
        <v>0.83333333333333337</v>
      </c>
      <c r="AQ7193" s="32" t="s">
        <v>1101</v>
      </c>
      <c r="AU7193">
        <v>7192</v>
      </c>
    </row>
    <row r="7194" spans="1:47" x14ac:dyDescent="0.2">
      <c r="A7194" s="26">
        <v>6879</v>
      </c>
      <c r="B7194" s="27">
        <v>0.625</v>
      </c>
      <c r="C7194" s="28"/>
      <c r="D7194" s="29"/>
      <c r="E7194" s="102" t="s">
        <v>5200</v>
      </c>
      <c r="H7194" s="32">
        <v>0</v>
      </c>
      <c r="I7194" s="32" t="s">
        <v>7697</v>
      </c>
      <c r="AG7194" s="32">
        <v>0</v>
      </c>
      <c r="AH7194" s="32">
        <v>0</v>
      </c>
      <c r="AI7194" s="32">
        <v>0</v>
      </c>
      <c r="AK7194" s="32">
        <v>0</v>
      </c>
      <c r="AL7194" s="32">
        <f>97/60</f>
        <v>1.6166666666666667</v>
      </c>
      <c r="AO7194" s="73"/>
      <c r="AP7194" s="32">
        <f>97/60</f>
        <v>1.6166666666666667</v>
      </c>
      <c r="AQ7194" s="32" t="s">
        <v>589</v>
      </c>
      <c r="AU7194">
        <v>7193</v>
      </c>
    </row>
    <row r="7195" spans="1:47" x14ac:dyDescent="0.2">
      <c r="A7195" s="26">
        <v>6879</v>
      </c>
      <c r="B7195" s="27">
        <v>0.62638888888888888</v>
      </c>
      <c r="C7195" s="28"/>
      <c r="D7195" s="29"/>
      <c r="E7195" s="30" t="s">
        <v>3155</v>
      </c>
      <c r="H7195" s="32">
        <v>0</v>
      </c>
      <c r="I7195" s="32" t="s">
        <v>3156</v>
      </c>
      <c r="AG7195" s="32">
        <v>0</v>
      </c>
      <c r="AH7195" s="32">
        <v>0</v>
      </c>
      <c r="AI7195" s="32">
        <v>0</v>
      </c>
      <c r="AK7195" s="32">
        <v>0</v>
      </c>
      <c r="AP7195" s="32">
        <f>95/60</f>
        <v>1.5833333333333333</v>
      </c>
      <c r="AQ7195" s="32" t="s">
        <v>1101</v>
      </c>
      <c r="AU7195">
        <v>7194</v>
      </c>
    </row>
    <row r="7196" spans="1:47" x14ac:dyDescent="0.2">
      <c r="A7196" s="26">
        <v>6879</v>
      </c>
      <c r="B7196" s="27">
        <v>0.63888888888888895</v>
      </c>
      <c r="C7196" s="28"/>
      <c r="D7196" s="29"/>
      <c r="E7196" s="30" t="s">
        <v>4709</v>
      </c>
      <c r="H7196" s="32">
        <v>0</v>
      </c>
      <c r="I7196" s="32" t="s">
        <v>4710</v>
      </c>
      <c r="AG7196" s="32">
        <v>0</v>
      </c>
      <c r="AH7196" s="32">
        <v>0</v>
      </c>
      <c r="AI7196" s="32">
        <v>0</v>
      </c>
      <c r="AK7196" s="32">
        <v>0</v>
      </c>
      <c r="AL7196" s="32">
        <f>37/60</f>
        <v>0.6166666666666667</v>
      </c>
      <c r="AM7196" s="32">
        <f>AL7196*(261300+974800)/18.75</f>
        <v>40653.955555555556</v>
      </c>
      <c r="AP7196" s="32">
        <f>37/60</f>
        <v>0.6166666666666667</v>
      </c>
      <c r="AQ7196" s="32" t="s">
        <v>589</v>
      </c>
      <c r="AU7196">
        <v>7195</v>
      </c>
    </row>
    <row r="7197" spans="1:47" x14ac:dyDescent="0.2">
      <c r="A7197" s="26">
        <v>6879</v>
      </c>
      <c r="B7197" s="27">
        <v>0.64236111111111105</v>
      </c>
      <c r="C7197" s="28"/>
      <c r="D7197" s="29"/>
      <c r="E7197" s="30" t="s">
        <v>4713</v>
      </c>
      <c r="H7197" s="32">
        <v>1</v>
      </c>
      <c r="I7197" s="32" t="s">
        <v>7698</v>
      </c>
      <c r="AG7197" s="32">
        <v>25</v>
      </c>
      <c r="AH7197" s="32">
        <v>37</v>
      </c>
      <c r="AK7197" s="32">
        <v>11</v>
      </c>
      <c r="AL7197" s="32">
        <f>25/60</f>
        <v>0.41666666666666669</v>
      </c>
      <c r="AP7197" s="32">
        <f>25/60</f>
        <v>0.41666666666666669</v>
      </c>
      <c r="AQ7197" s="32" t="s">
        <v>7699</v>
      </c>
      <c r="AU7197">
        <v>7196</v>
      </c>
    </row>
    <row r="7198" spans="1:47" x14ac:dyDescent="0.2">
      <c r="A7198" s="26">
        <v>6879</v>
      </c>
      <c r="B7198" s="27" t="s">
        <v>85</v>
      </c>
      <c r="C7198" s="28"/>
      <c r="D7198" s="29"/>
      <c r="E7198" s="30" t="s">
        <v>1531</v>
      </c>
      <c r="H7198" s="32">
        <v>0</v>
      </c>
      <c r="I7198" s="32" t="s">
        <v>1532</v>
      </c>
      <c r="AG7198" s="32">
        <v>0</v>
      </c>
      <c r="AH7198" s="32">
        <v>0</v>
      </c>
      <c r="AI7198" s="32">
        <v>0</v>
      </c>
      <c r="AK7198" s="32">
        <v>0</v>
      </c>
      <c r="AM7198" s="32">
        <f>498*14</f>
        <v>6972</v>
      </c>
      <c r="AO7198" s="32" t="s">
        <v>1533</v>
      </c>
      <c r="AQ7198" s="32" t="s">
        <v>1101</v>
      </c>
      <c r="AU7198">
        <v>7197</v>
      </c>
    </row>
    <row r="7199" spans="1:47" x14ac:dyDescent="0.2">
      <c r="A7199" s="26">
        <v>6879</v>
      </c>
      <c r="B7199" s="27"/>
      <c r="C7199" s="28"/>
      <c r="D7199" s="29"/>
      <c r="E7199" s="30" t="s">
        <v>4666</v>
      </c>
      <c r="H7199" s="32">
        <v>1</v>
      </c>
      <c r="I7199" s="32" t="s">
        <v>7700</v>
      </c>
      <c r="AG7199" s="32">
        <v>0</v>
      </c>
      <c r="AH7199" s="32">
        <v>0</v>
      </c>
      <c r="AI7199" s="32">
        <v>0</v>
      </c>
      <c r="AL7199" s="32">
        <v>0.67</v>
      </c>
      <c r="AO7199" s="32" t="s">
        <v>4668</v>
      </c>
      <c r="AP7199" s="32">
        <v>0.67</v>
      </c>
      <c r="AQ7199" s="32">
        <v>411</v>
      </c>
      <c r="AU7199">
        <v>7198</v>
      </c>
    </row>
    <row r="7200" spans="1:47" x14ac:dyDescent="0.2">
      <c r="A7200" s="37">
        <v>6880</v>
      </c>
      <c r="B7200" s="38" t="s">
        <v>85</v>
      </c>
      <c r="C7200" s="39" t="s">
        <v>253</v>
      </c>
      <c r="D7200" s="29"/>
      <c r="E7200" s="38" t="s">
        <v>7701</v>
      </c>
      <c r="F7200" s="32" t="s">
        <v>170</v>
      </c>
      <c r="G7200" s="47"/>
      <c r="H7200"/>
      <c r="I7200" s="32" t="s">
        <v>7702</v>
      </c>
      <c r="J7200" s="47"/>
      <c r="K7200" s="47"/>
      <c r="L7200" s="48"/>
      <c r="M7200" s="47"/>
      <c r="N7200" s="47"/>
      <c r="O7200" s="47"/>
      <c r="P7200" s="47"/>
      <c r="Q7200" s="47"/>
      <c r="R7200" s="47"/>
      <c r="S7200" s="48"/>
      <c r="T7200" s="47"/>
      <c r="U7200" s="47"/>
      <c r="V7200" s="47"/>
      <c r="W7200" s="47"/>
      <c r="X7200" s="47"/>
      <c r="Y7200" s="47"/>
      <c r="Z7200" s="47"/>
      <c r="AA7200" s="49"/>
      <c r="AB7200" s="49"/>
      <c r="AC7200" s="49"/>
      <c r="AD7200" s="50"/>
      <c r="AE7200" s="47"/>
      <c r="AF7200" s="47"/>
      <c r="AG7200"/>
      <c r="AH7200"/>
      <c r="AI7200"/>
      <c r="AJ7200"/>
      <c r="AK7200"/>
      <c r="AL7200"/>
      <c r="AM7200"/>
      <c r="AN7200"/>
      <c r="AO7200"/>
      <c r="AP7200"/>
      <c r="AQ7200"/>
      <c r="AU7200">
        <v>7199</v>
      </c>
    </row>
    <row r="7201" spans="1:47" x14ac:dyDescent="0.2">
      <c r="A7201" s="37">
        <v>6880</v>
      </c>
      <c r="B7201" s="38" t="s">
        <v>85</v>
      </c>
      <c r="C7201" s="39" t="s">
        <v>7703</v>
      </c>
      <c r="D7201" s="29"/>
      <c r="E7201" s="38" t="s">
        <v>7704</v>
      </c>
      <c r="F7201" s="32" t="s">
        <v>4771</v>
      </c>
      <c r="G7201" s="47"/>
      <c r="H7201"/>
      <c r="I7201" s="32" t="s">
        <v>7705</v>
      </c>
      <c r="J7201" s="47"/>
      <c r="K7201" s="47">
        <f>39600*2.2</f>
        <v>87120</v>
      </c>
      <c r="L7201" s="48">
        <v>148</v>
      </c>
      <c r="M7201" s="47"/>
      <c r="N7201" s="47"/>
      <c r="O7201" s="47"/>
      <c r="P7201" s="47"/>
      <c r="Q7201" s="47"/>
      <c r="R7201" s="47"/>
      <c r="S7201" s="48"/>
      <c r="T7201" s="47"/>
      <c r="U7201" s="47"/>
      <c r="V7201" s="47"/>
      <c r="W7201" s="47"/>
      <c r="X7201" s="47"/>
      <c r="Y7201" s="47"/>
      <c r="Z7201" s="47"/>
      <c r="AA7201" s="49"/>
      <c r="AB7201" s="49"/>
      <c r="AC7201" s="49"/>
      <c r="AD7201" s="50"/>
      <c r="AE7201" s="47"/>
      <c r="AF7201" s="47"/>
      <c r="AG7201"/>
      <c r="AH7201"/>
      <c r="AI7201"/>
      <c r="AJ7201"/>
      <c r="AK7201"/>
      <c r="AL7201"/>
      <c r="AM7201"/>
      <c r="AN7201"/>
      <c r="AO7201"/>
      <c r="AP7201"/>
      <c r="AQ7201" t="s">
        <v>7706</v>
      </c>
      <c r="AU7201">
        <v>7200</v>
      </c>
    </row>
    <row r="7202" spans="1:47" x14ac:dyDescent="0.2">
      <c r="A7202" s="37">
        <v>6880</v>
      </c>
      <c r="B7202" s="38" t="s">
        <v>45</v>
      </c>
      <c r="C7202" s="39" t="s">
        <v>253</v>
      </c>
      <c r="D7202" s="29"/>
      <c r="E7202" s="38" t="s">
        <v>7707</v>
      </c>
      <c r="F7202" s="32" t="s">
        <v>246</v>
      </c>
      <c r="G7202" s="47"/>
      <c r="H7202"/>
      <c r="I7202" s="32"/>
      <c r="J7202" s="47"/>
      <c r="K7202" s="47"/>
      <c r="V7202" s="47"/>
      <c r="W7202" s="47"/>
      <c r="X7202" s="47"/>
      <c r="Y7202" s="47"/>
      <c r="Z7202" s="47"/>
      <c r="AA7202" s="49"/>
      <c r="AB7202" s="49"/>
      <c r="AC7202" s="49"/>
      <c r="AD7202" s="50"/>
      <c r="AE7202" s="47"/>
      <c r="AF7202" s="47"/>
      <c r="AG7202"/>
      <c r="AH7202"/>
      <c r="AI7202"/>
      <c r="AJ7202"/>
      <c r="AK7202"/>
      <c r="AL7202"/>
      <c r="AM7202"/>
      <c r="AN7202"/>
      <c r="AO7202"/>
      <c r="AP7202"/>
      <c r="AQ7202"/>
      <c r="AU7202">
        <v>7201</v>
      </c>
    </row>
    <row r="7203" spans="1:47" x14ac:dyDescent="0.2">
      <c r="A7203" s="37">
        <v>6880</v>
      </c>
      <c r="B7203" s="38" t="s">
        <v>45</v>
      </c>
      <c r="C7203" s="39" t="s">
        <v>142</v>
      </c>
      <c r="D7203" s="29"/>
      <c r="E7203" s="38" t="s">
        <v>7708</v>
      </c>
      <c r="F7203" s="32" t="s">
        <v>7709</v>
      </c>
      <c r="G7203" s="47" t="s">
        <v>73</v>
      </c>
      <c r="H7203"/>
      <c r="I7203" s="32" t="s">
        <v>7710</v>
      </c>
      <c r="J7203" s="47"/>
      <c r="K7203" s="47">
        <f>4560*2.2</f>
        <v>10032</v>
      </c>
      <c r="L7203" s="48">
        <v>16</v>
      </c>
      <c r="M7203" s="47">
        <v>1</v>
      </c>
      <c r="N7203" s="47">
        <v>3</v>
      </c>
      <c r="O7203" s="47"/>
      <c r="P7203" s="47"/>
      <c r="Q7203" s="47"/>
      <c r="R7203" s="47"/>
      <c r="S7203" s="48">
        <v>12</v>
      </c>
      <c r="T7203" s="47">
        <v>0</v>
      </c>
      <c r="U7203" s="47">
        <v>0</v>
      </c>
      <c r="V7203" s="47">
        <v>1</v>
      </c>
      <c r="W7203" s="47"/>
      <c r="X7203" s="47"/>
      <c r="Y7203" s="47" t="s">
        <v>51</v>
      </c>
      <c r="Z7203" s="31" t="s">
        <v>7420</v>
      </c>
      <c r="AA7203" s="49"/>
      <c r="AB7203" s="49"/>
      <c r="AC7203" s="49"/>
      <c r="AD7203" s="50"/>
      <c r="AE7203" s="31" t="s">
        <v>2470</v>
      </c>
      <c r="AF7203" s="47"/>
      <c r="AG7203"/>
      <c r="AH7203"/>
      <c r="AI7203"/>
      <c r="AJ7203"/>
      <c r="AK7203">
        <f>22+48+12+2+2+2</f>
        <v>88</v>
      </c>
      <c r="AL7203"/>
      <c r="AM7203"/>
      <c r="AN7203"/>
      <c r="AO7203"/>
      <c r="AP7203"/>
      <c r="AQ7203" t="s">
        <v>7711</v>
      </c>
      <c r="AU7203">
        <v>7202</v>
      </c>
    </row>
    <row r="7204" spans="1:47" x14ac:dyDescent="0.2">
      <c r="A7204" s="26">
        <v>6880</v>
      </c>
      <c r="B7204" s="27">
        <v>0.48333333333333334</v>
      </c>
      <c r="C7204" s="28"/>
      <c r="D7204" s="29"/>
      <c r="E7204" s="30" t="s">
        <v>5224</v>
      </c>
      <c r="H7204" s="32">
        <v>0</v>
      </c>
      <c r="I7204" s="32" t="s">
        <v>5225</v>
      </c>
      <c r="AG7204" s="32">
        <v>0</v>
      </c>
      <c r="AH7204" s="32">
        <v>0</v>
      </c>
      <c r="AI7204" s="32">
        <v>0</v>
      </c>
      <c r="AK7204" s="32">
        <v>0</v>
      </c>
      <c r="AL7204" s="32">
        <f>51/60</f>
        <v>0.85</v>
      </c>
      <c r="AP7204" s="32">
        <f>51/60</f>
        <v>0.85</v>
      </c>
      <c r="AQ7204" s="32" t="s">
        <v>1101</v>
      </c>
      <c r="AU7204">
        <v>7203</v>
      </c>
    </row>
    <row r="7205" spans="1:47" x14ac:dyDescent="0.2">
      <c r="A7205" s="26">
        <v>6880</v>
      </c>
      <c r="B7205" s="27">
        <v>0.48680555555555555</v>
      </c>
      <c r="C7205" s="28"/>
      <c r="D7205" s="29"/>
      <c r="E7205" s="30" t="s">
        <v>110</v>
      </c>
      <c r="H7205" s="32">
        <v>0</v>
      </c>
      <c r="I7205" s="32" t="s">
        <v>3587</v>
      </c>
      <c r="AG7205" s="32">
        <v>0</v>
      </c>
      <c r="AH7205" s="32">
        <v>0</v>
      </c>
      <c r="AI7205" s="32">
        <v>0</v>
      </c>
      <c r="AK7205" s="32">
        <v>0</v>
      </c>
      <c r="AL7205" s="32">
        <f>11/60</f>
        <v>0.18333333333333332</v>
      </c>
      <c r="AP7205" s="32">
        <f>11/60</f>
        <v>0.18333333333333332</v>
      </c>
      <c r="AQ7205" s="32" t="s">
        <v>1101</v>
      </c>
      <c r="AU7205">
        <v>7204</v>
      </c>
    </row>
    <row r="7206" spans="1:47" x14ac:dyDescent="0.2">
      <c r="A7206" s="26">
        <v>6880</v>
      </c>
      <c r="B7206" s="27">
        <v>0.48958333333333331</v>
      </c>
      <c r="C7206" s="28"/>
      <c r="D7206" s="29"/>
      <c r="E7206" s="102" t="s">
        <v>5200</v>
      </c>
      <c r="H7206" s="32">
        <v>0</v>
      </c>
      <c r="I7206" s="32" t="s">
        <v>5893</v>
      </c>
      <c r="AG7206" s="32">
        <v>0</v>
      </c>
      <c r="AH7206" s="32">
        <v>0</v>
      </c>
      <c r="AI7206" s="32">
        <v>0</v>
      </c>
      <c r="AK7206" s="32">
        <v>0</v>
      </c>
      <c r="AL7206" s="32">
        <f>31/60</f>
        <v>0.51666666666666672</v>
      </c>
      <c r="AO7206" s="73"/>
      <c r="AP7206" s="32">
        <f>31/60</f>
        <v>0.51666666666666672</v>
      </c>
      <c r="AQ7206" s="32" t="s">
        <v>589</v>
      </c>
      <c r="AU7206">
        <v>7205</v>
      </c>
    </row>
    <row r="7207" spans="1:47" x14ac:dyDescent="0.2">
      <c r="A7207" s="26">
        <v>6880</v>
      </c>
      <c r="B7207" s="27">
        <v>0.49305555555555558</v>
      </c>
      <c r="C7207" s="28"/>
      <c r="D7207" s="29"/>
      <c r="E7207" s="30" t="s">
        <v>4713</v>
      </c>
      <c r="H7207" s="32">
        <v>0</v>
      </c>
      <c r="I7207" s="32" t="s">
        <v>4714</v>
      </c>
      <c r="AG7207" s="32">
        <v>0</v>
      </c>
      <c r="AH7207" s="32">
        <v>0</v>
      </c>
      <c r="AI7207" s="32">
        <v>0</v>
      </c>
      <c r="AK7207" s="32">
        <v>0</v>
      </c>
      <c r="AL7207" s="32">
        <f>8/60</f>
        <v>0.13333333333333333</v>
      </c>
      <c r="AP7207" s="32">
        <f>8/60</f>
        <v>0.13333333333333333</v>
      </c>
      <c r="AQ7207" s="32" t="s">
        <v>1101</v>
      </c>
      <c r="AU7207">
        <v>7206</v>
      </c>
    </row>
    <row r="7208" spans="1:47" x14ac:dyDescent="0.2">
      <c r="A7208" s="26">
        <v>6880</v>
      </c>
      <c r="B7208" s="27">
        <v>0.49583333333333335</v>
      </c>
      <c r="C7208" s="28"/>
      <c r="D7208" s="29"/>
      <c r="E7208" s="30" t="s">
        <v>4709</v>
      </c>
      <c r="H7208" s="32">
        <v>0</v>
      </c>
      <c r="I7208" s="32" t="s">
        <v>4710</v>
      </c>
      <c r="AG7208" s="32">
        <v>0</v>
      </c>
      <c r="AH7208" s="32">
        <v>0</v>
      </c>
      <c r="AI7208" s="32">
        <v>0</v>
      </c>
      <c r="AK7208" s="32">
        <v>0</v>
      </c>
      <c r="AL7208" s="32">
        <f>4/60</f>
        <v>6.6666666666666666E-2</v>
      </c>
      <c r="AM7208" s="32">
        <f>AL7208*(261300+974800)/18.75</f>
        <v>4395.0222222222228</v>
      </c>
      <c r="AP7208" s="32">
        <f>4/60</f>
        <v>6.6666666666666666E-2</v>
      </c>
      <c r="AQ7208" s="32" t="s">
        <v>589</v>
      </c>
      <c r="AU7208">
        <v>7207</v>
      </c>
    </row>
    <row r="7209" spans="1:47" x14ac:dyDescent="0.2">
      <c r="A7209" s="133">
        <v>6881</v>
      </c>
      <c r="B7209" s="39" t="s">
        <v>85</v>
      </c>
      <c r="C7209" s="39">
        <v>99</v>
      </c>
      <c r="D7209" s="29" t="b">
        <v>0</v>
      </c>
      <c r="E7209" s="39" t="s">
        <v>7712</v>
      </c>
      <c r="F7209" s="47" t="s">
        <v>7713</v>
      </c>
      <c r="G7209" s="47" t="s">
        <v>49</v>
      </c>
      <c r="H7209"/>
      <c r="I7209" s="47" t="b">
        <v>0</v>
      </c>
      <c r="J7209" s="47" t="b">
        <v>1</v>
      </c>
      <c r="K7209" s="47">
        <v>336</v>
      </c>
      <c r="L7209" s="48">
        <v>1</v>
      </c>
      <c r="M7209" s="47">
        <v>0</v>
      </c>
      <c r="N7209" s="47">
        <v>0</v>
      </c>
      <c r="O7209" s="47">
        <v>0</v>
      </c>
      <c r="P7209" s="47">
        <v>0</v>
      </c>
      <c r="Q7209" s="47">
        <v>0</v>
      </c>
      <c r="R7209" s="47">
        <v>0</v>
      </c>
      <c r="S7209" s="48">
        <v>1</v>
      </c>
      <c r="T7209" s="47">
        <v>0</v>
      </c>
      <c r="U7209" s="47">
        <v>0</v>
      </c>
      <c r="V7209" s="47">
        <v>1</v>
      </c>
      <c r="W7209" s="47">
        <v>2500</v>
      </c>
      <c r="X7209" s="47">
        <v>1229</v>
      </c>
      <c r="Y7209" s="47" t="s">
        <v>51</v>
      </c>
      <c r="Z7209" s="47" t="s">
        <v>6984</v>
      </c>
      <c r="AA7209" s="49">
        <v>0.49305555555555558</v>
      </c>
      <c r="AB7209" s="49">
        <v>0.56944444444444442</v>
      </c>
      <c r="AC7209" s="49">
        <v>0.57638888888888895</v>
      </c>
      <c r="AD7209" s="50">
        <f>(AB7209-AA7209)*24</f>
        <v>1.8333333333333321</v>
      </c>
      <c r="AE7209" s="47" t="s">
        <v>5433</v>
      </c>
      <c r="AF7209" s="47">
        <v>40</v>
      </c>
      <c r="AG7209"/>
      <c r="AH7209"/>
      <c r="AI7209"/>
      <c r="AJ7209"/>
      <c r="AK7209">
        <v>3</v>
      </c>
      <c r="AL7209"/>
      <c r="AM7209"/>
      <c r="AN7209"/>
      <c r="AO7209"/>
      <c r="AP7209"/>
      <c r="AQ7209" t="s">
        <v>7714</v>
      </c>
      <c r="AR7209" s="32" t="s">
        <v>7715</v>
      </c>
      <c r="AU7209">
        <v>7208</v>
      </c>
    </row>
    <row r="7210" spans="1:47" x14ac:dyDescent="0.2">
      <c r="A7210" s="133">
        <v>6882</v>
      </c>
      <c r="B7210" s="39" t="s">
        <v>85</v>
      </c>
      <c r="C7210" s="39">
        <v>55</v>
      </c>
      <c r="D7210" s="29" t="b">
        <v>0</v>
      </c>
      <c r="E7210" s="39" t="s">
        <v>140</v>
      </c>
      <c r="F7210" s="47" t="s">
        <v>5877</v>
      </c>
      <c r="G7210" s="47" t="s">
        <v>49</v>
      </c>
      <c r="H7210"/>
      <c r="I7210" s="47" t="b">
        <v>0</v>
      </c>
      <c r="J7210" s="47" t="b">
        <v>1</v>
      </c>
      <c r="K7210" s="47">
        <v>2040</v>
      </c>
      <c r="L7210" s="48">
        <v>12</v>
      </c>
      <c r="M7210" s="47">
        <v>0</v>
      </c>
      <c r="N7210" s="47">
        <v>3</v>
      </c>
      <c r="O7210" s="47">
        <v>0</v>
      </c>
      <c r="P7210" s="47">
        <v>9</v>
      </c>
      <c r="Q7210" s="47">
        <v>0</v>
      </c>
      <c r="R7210" s="47">
        <v>0</v>
      </c>
      <c r="S7210" s="48">
        <v>9</v>
      </c>
      <c r="T7210" s="47">
        <v>0</v>
      </c>
      <c r="U7210" s="47">
        <v>0</v>
      </c>
      <c r="V7210" s="47">
        <v>1</v>
      </c>
      <c r="W7210" s="47">
        <v>15500</v>
      </c>
      <c r="X7210" s="47">
        <v>1231</v>
      </c>
      <c r="Y7210" s="47" t="s">
        <v>51</v>
      </c>
      <c r="Z7210" s="47" t="s">
        <v>3618</v>
      </c>
      <c r="AA7210" s="49">
        <v>0.4236111111111111</v>
      </c>
      <c r="AB7210" s="49">
        <v>0.5625</v>
      </c>
      <c r="AC7210" s="49">
        <v>0.51041666666666663</v>
      </c>
      <c r="AD7210" s="50">
        <f>(AB7210-AA7210)*24</f>
        <v>3.3333333333333335</v>
      </c>
      <c r="AE7210" s="47" t="s">
        <v>5433</v>
      </c>
      <c r="AF7210" s="47">
        <v>115</v>
      </c>
      <c r="AG7210"/>
      <c r="AH7210"/>
      <c r="AI7210"/>
      <c r="AJ7210"/>
      <c r="AK7210">
        <v>14</v>
      </c>
      <c r="AL7210"/>
      <c r="AM7210"/>
      <c r="AN7210"/>
      <c r="AO7210"/>
      <c r="AP7210"/>
      <c r="AQ7210" t="s">
        <v>5434</v>
      </c>
      <c r="AU7210">
        <v>7209</v>
      </c>
    </row>
    <row r="7211" spans="1:47" x14ac:dyDescent="0.2">
      <c r="A7211" s="133">
        <v>6882</v>
      </c>
      <c r="B7211" s="39" t="s">
        <v>85</v>
      </c>
      <c r="C7211" s="39">
        <v>99</v>
      </c>
      <c r="D7211" s="29" t="b">
        <v>0</v>
      </c>
      <c r="E7211" s="39" t="s">
        <v>7716</v>
      </c>
      <c r="F7211" s="47" t="s">
        <v>1969</v>
      </c>
      <c r="G7211" s="47" t="s">
        <v>205</v>
      </c>
      <c r="H7211"/>
      <c r="I7211" s="47" t="b">
        <v>1</v>
      </c>
      <c r="J7211" s="47" t="b">
        <v>1</v>
      </c>
      <c r="K7211" s="47">
        <v>2506</v>
      </c>
      <c r="L7211" s="48">
        <v>13</v>
      </c>
      <c r="M7211" s="47">
        <v>0</v>
      </c>
      <c r="N7211" s="47">
        <v>1</v>
      </c>
      <c r="O7211" s="47">
        <v>0</v>
      </c>
      <c r="P7211" s="47">
        <v>0</v>
      </c>
      <c r="Q7211" s="47">
        <v>0</v>
      </c>
      <c r="R7211" s="47">
        <v>0</v>
      </c>
      <c r="S7211" s="48">
        <v>12</v>
      </c>
      <c r="T7211" s="47">
        <v>0</v>
      </c>
      <c r="U7211" s="47">
        <v>0</v>
      </c>
      <c r="V7211" s="47">
        <v>0</v>
      </c>
      <c r="W7211" s="47">
        <v>11818</v>
      </c>
      <c r="X7211" s="47">
        <v>1234</v>
      </c>
      <c r="Y7211" s="47"/>
      <c r="Z7211" s="47" t="s">
        <v>5139</v>
      </c>
      <c r="AA7211" s="49"/>
      <c r="AB7211" s="49"/>
      <c r="AC7211" s="49"/>
      <c r="AD7211" s="50"/>
      <c r="AE7211" s="47" t="s">
        <v>5433</v>
      </c>
      <c r="AF7211" s="47">
        <v>140</v>
      </c>
      <c r="AG7211"/>
      <c r="AH7211"/>
      <c r="AI7211"/>
      <c r="AJ7211"/>
      <c r="AK7211">
        <f>14+1</f>
        <v>15</v>
      </c>
      <c r="AL7211"/>
      <c r="AM7211"/>
      <c r="AN7211"/>
      <c r="AO7211"/>
      <c r="AP7211"/>
      <c r="AQ7211" t="s">
        <v>7717</v>
      </c>
      <c r="AR7211" s="32" t="s">
        <v>7718</v>
      </c>
      <c r="AU7211">
        <v>7210</v>
      </c>
    </row>
    <row r="7212" spans="1:47" x14ac:dyDescent="0.2">
      <c r="A7212" s="133">
        <v>6882</v>
      </c>
      <c r="B7212" s="39" t="s">
        <v>85</v>
      </c>
      <c r="C7212" s="39">
        <v>99</v>
      </c>
      <c r="D7212" s="29" t="b">
        <v>0</v>
      </c>
      <c r="E7212" s="39" t="s">
        <v>3575</v>
      </c>
      <c r="F7212" s="47" t="s">
        <v>529</v>
      </c>
      <c r="G7212" s="47" t="s">
        <v>205</v>
      </c>
      <c r="H7212"/>
      <c r="I7212" s="47" t="b">
        <v>0</v>
      </c>
      <c r="J7212" s="47" t="b">
        <v>0</v>
      </c>
      <c r="K7212" s="47">
        <v>2276</v>
      </c>
      <c r="L7212" s="48">
        <v>12</v>
      </c>
      <c r="M7212" s="47">
        <v>0</v>
      </c>
      <c r="N7212" s="47">
        <v>1</v>
      </c>
      <c r="O7212" s="47">
        <v>0</v>
      </c>
      <c r="P7212" s="47">
        <v>0</v>
      </c>
      <c r="Q7212" s="47">
        <v>0</v>
      </c>
      <c r="R7212" s="47">
        <v>0</v>
      </c>
      <c r="S7212" s="48">
        <v>11</v>
      </c>
      <c r="T7212" s="47">
        <v>0</v>
      </c>
      <c r="U7212" s="47">
        <v>0</v>
      </c>
      <c r="V7212" s="47">
        <v>0</v>
      </c>
      <c r="W7212" s="47">
        <v>12000</v>
      </c>
      <c r="X7212" s="47">
        <v>1230</v>
      </c>
      <c r="Y7212" s="47" t="s">
        <v>120</v>
      </c>
      <c r="Z7212" s="47" t="s">
        <v>5139</v>
      </c>
      <c r="AA7212" s="49">
        <v>0.40972222222222227</v>
      </c>
      <c r="AB7212" s="49">
        <v>0.50347222222222221</v>
      </c>
      <c r="AC7212" s="49">
        <v>0.47569444444444442</v>
      </c>
      <c r="AD7212" s="50">
        <f>(AB7212-AA7212)*24</f>
        <v>2.2499999999999987</v>
      </c>
      <c r="AE7212" s="47" t="s">
        <v>5433</v>
      </c>
      <c r="AF7212" s="47">
        <v>140</v>
      </c>
      <c r="AG7212"/>
      <c r="AH7212"/>
      <c r="AI7212"/>
      <c r="AJ7212"/>
      <c r="AK7212">
        <v>14</v>
      </c>
      <c r="AL7212"/>
      <c r="AM7212"/>
      <c r="AN7212"/>
      <c r="AO7212"/>
      <c r="AP7212"/>
      <c r="AQ7212" t="s">
        <v>7717</v>
      </c>
      <c r="AR7212" s="32" t="s">
        <v>7718</v>
      </c>
      <c r="AU7212">
        <v>7211</v>
      </c>
    </row>
    <row r="7213" spans="1:47" x14ac:dyDescent="0.2">
      <c r="A7213" s="133">
        <v>6882</v>
      </c>
      <c r="B7213" s="39" t="s">
        <v>85</v>
      </c>
      <c r="C7213" s="39">
        <v>99</v>
      </c>
      <c r="D7213" s="29" t="b">
        <v>0</v>
      </c>
      <c r="E7213" s="39" t="s">
        <v>6637</v>
      </c>
      <c r="F7213" s="47" t="s">
        <v>529</v>
      </c>
      <c r="G7213" s="47" t="s">
        <v>205</v>
      </c>
      <c r="H7213"/>
      <c r="I7213" s="47" t="b">
        <v>0</v>
      </c>
      <c r="J7213" s="47" t="b">
        <v>0</v>
      </c>
      <c r="K7213" s="47">
        <v>230</v>
      </c>
      <c r="L7213" s="48">
        <v>1</v>
      </c>
      <c r="M7213" s="47">
        <v>0</v>
      </c>
      <c r="N7213" s="47">
        <v>0</v>
      </c>
      <c r="O7213" s="47">
        <v>0</v>
      </c>
      <c r="P7213" s="47">
        <v>0</v>
      </c>
      <c r="Q7213" s="47">
        <v>0</v>
      </c>
      <c r="R7213" s="47">
        <v>0</v>
      </c>
      <c r="S7213" s="48">
        <v>1</v>
      </c>
      <c r="T7213" s="47">
        <v>0</v>
      </c>
      <c r="U7213" s="47">
        <v>0</v>
      </c>
      <c r="V7213" s="47">
        <v>0</v>
      </c>
      <c r="W7213" s="47">
        <v>10000</v>
      </c>
      <c r="X7213" s="47">
        <v>1232</v>
      </c>
      <c r="Y7213" s="47" t="s">
        <v>51</v>
      </c>
      <c r="Z7213" s="47" t="s">
        <v>5139</v>
      </c>
      <c r="AA7213" s="49">
        <v>0.4375</v>
      </c>
      <c r="AB7213" s="49">
        <v>0.5</v>
      </c>
      <c r="AC7213" s="49"/>
      <c r="AD7213" s="50">
        <f>(AB7213-AA7213)*24</f>
        <v>1.5</v>
      </c>
      <c r="AE7213" s="47" t="s">
        <v>5433</v>
      </c>
      <c r="AF7213" s="47">
        <v>55</v>
      </c>
      <c r="AG7213"/>
      <c r="AH7213"/>
      <c r="AI7213"/>
      <c r="AJ7213"/>
      <c r="AK7213">
        <v>1</v>
      </c>
      <c r="AL7213"/>
      <c r="AM7213"/>
      <c r="AN7213"/>
      <c r="AO7213"/>
      <c r="AP7213"/>
      <c r="AQ7213" t="s">
        <v>7719</v>
      </c>
      <c r="AR7213" s="32" t="s">
        <v>7718</v>
      </c>
      <c r="AU7213">
        <v>7212</v>
      </c>
    </row>
    <row r="7214" spans="1:47" x14ac:dyDescent="0.2">
      <c r="A7214" s="133">
        <v>6882</v>
      </c>
      <c r="B7214" s="39" t="s">
        <v>85</v>
      </c>
      <c r="C7214" s="39">
        <v>104</v>
      </c>
      <c r="D7214" s="29" t="b">
        <v>0</v>
      </c>
      <c r="E7214" s="39" t="s">
        <v>6637</v>
      </c>
      <c r="F7214" s="47" t="s">
        <v>7720</v>
      </c>
      <c r="G7214" s="47" t="s">
        <v>49</v>
      </c>
      <c r="H7214"/>
      <c r="I7214" s="47" t="b">
        <v>0</v>
      </c>
      <c r="J7214" s="47" t="b">
        <v>1</v>
      </c>
      <c r="K7214" s="47">
        <v>2058</v>
      </c>
      <c r="L7214" s="48">
        <v>12</v>
      </c>
      <c r="M7214" s="47">
        <v>0</v>
      </c>
      <c r="N7214" s="47">
        <v>2</v>
      </c>
      <c r="O7214" s="47">
        <v>1</v>
      </c>
      <c r="P7214" s="47">
        <v>9</v>
      </c>
      <c r="Q7214" s="47">
        <v>0</v>
      </c>
      <c r="R7214" s="47">
        <v>0</v>
      </c>
      <c r="S7214" s="48">
        <v>9</v>
      </c>
      <c r="T7214" s="47">
        <v>0</v>
      </c>
      <c r="U7214" s="47">
        <v>0</v>
      </c>
      <c r="V7214" s="47">
        <v>0</v>
      </c>
      <c r="W7214" s="47">
        <v>10000</v>
      </c>
      <c r="X7214" s="47">
        <v>1233</v>
      </c>
      <c r="Y7214" s="47" t="s">
        <v>51</v>
      </c>
      <c r="Z7214" s="47" t="s">
        <v>5139</v>
      </c>
      <c r="AA7214" s="49">
        <v>0.40972222222222227</v>
      </c>
      <c r="AB7214" s="49">
        <v>0.5</v>
      </c>
      <c r="AC7214" s="49">
        <v>0.47222222222222227</v>
      </c>
      <c r="AD7214" s="50">
        <f>(AB7214-AA7214)*24</f>
        <v>2.1666666666666656</v>
      </c>
      <c r="AE7214" s="47" t="s">
        <v>5433</v>
      </c>
      <c r="AF7214" s="47">
        <v>55</v>
      </c>
      <c r="AG7214"/>
      <c r="AH7214"/>
      <c r="AI7214"/>
      <c r="AJ7214"/>
      <c r="AK7214">
        <v>11</v>
      </c>
      <c r="AL7214"/>
      <c r="AM7214"/>
      <c r="AN7214"/>
      <c r="AO7214"/>
      <c r="AP7214"/>
      <c r="AQ7214" t="s">
        <v>5485</v>
      </c>
      <c r="AR7214" s="32" t="s">
        <v>7721</v>
      </c>
      <c r="AU7214">
        <v>7213</v>
      </c>
    </row>
    <row r="7215" spans="1:47" x14ac:dyDescent="0.2">
      <c r="A7215" s="37">
        <v>6882</v>
      </c>
      <c r="B7215" s="38" t="s">
        <v>85</v>
      </c>
      <c r="C7215" s="39" t="s">
        <v>7722</v>
      </c>
      <c r="D7215" s="29"/>
      <c r="E7215" s="38" t="s">
        <v>7723</v>
      </c>
      <c r="F7215" s="32" t="s">
        <v>7724</v>
      </c>
      <c r="G7215" s="47"/>
      <c r="H7215"/>
      <c r="I7215" s="32" t="s">
        <v>7725</v>
      </c>
      <c r="J7215" s="47"/>
      <c r="K7215" s="47">
        <f>28000*2.2</f>
        <v>61600.000000000007</v>
      </c>
      <c r="L7215" s="48">
        <v>100</v>
      </c>
      <c r="M7215" s="47"/>
      <c r="N7215" s="47"/>
      <c r="O7215" s="47"/>
      <c r="P7215" s="47"/>
      <c r="Q7215" s="47"/>
      <c r="R7215" s="47"/>
      <c r="S7215" s="48"/>
      <c r="T7215" s="47"/>
      <c r="U7215" s="47"/>
      <c r="V7215" s="47"/>
      <c r="W7215" s="47"/>
      <c r="X7215" s="47"/>
      <c r="Y7215" s="47"/>
      <c r="Z7215" s="47"/>
      <c r="AA7215" s="49"/>
      <c r="AB7215" s="49"/>
      <c r="AC7215" s="49"/>
      <c r="AD7215" s="50"/>
      <c r="AE7215" s="47"/>
      <c r="AF7215" s="47"/>
      <c r="AG7215"/>
      <c r="AH7215"/>
      <c r="AI7215"/>
      <c r="AJ7215"/>
      <c r="AK7215"/>
      <c r="AL7215"/>
      <c r="AM7215"/>
      <c r="AN7215"/>
      <c r="AO7215"/>
      <c r="AP7215"/>
      <c r="AQ7215" t="s">
        <v>7706</v>
      </c>
      <c r="AU7215">
        <v>7214</v>
      </c>
    </row>
    <row r="7216" spans="1:47" x14ac:dyDescent="0.2">
      <c r="A7216" s="37">
        <v>6882</v>
      </c>
      <c r="B7216" s="38" t="s">
        <v>85</v>
      </c>
      <c r="C7216" s="39" t="s">
        <v>7722</v>
      </c>
      <c r="D7216" s="29"/>
      <c r="E7216" s="38" t="s">
        <v>7726</v>
      </c>
      <c r="F7216" s="32" t="s">
        <v>7727</v>
      </c>
      <c r="G7216" s="47"/>
      <c r="H7216"/>
      <c r="I7216" s="32" t="s">
        <v>7728</v>
      </c>
      <c r="J7216" s="47"/>
      <c r="K7216" s="47">
        <f>36630*2.2</f>
        <v>80586</v>
      </c>
      <c r="L7216" s="48">
        <v>141</v>
      </c>
      <c r="M7216" s="47"/>
      <c r="N7216" s="47"/>
      <c r="O7216" s="47"/>
      <c r="P7216" s="47"/>
      <c r="Q7216" s="47"/>
      <c r="R7216" s="47"/>
      <c r="S7216" s="48"/>
      <c r="T7216" s="47"/>
      <c r="U7216" s="47"/>
      <c r="V7216" s="47"/>
      <c r="W7216" s="47"/>
      <c r="X7216" s="47"/>
      <c r="Y7216" s="47"/>
      <c r="Z7216" s="47"/>
      <c r="AA7216" s="49"/>
      <c r="AB7216" s="49"/>
      <c r="AC7216" s="49"/>
      <c r="AD7216" s="50"/>
      <c r="AE7216" s="47"/>
      <c r="AF7216" s="47"/>
      <c r="AG7216"/>
      <c r="AH7216"/>
      <c r="AI7216"/>
      <c r="AJ7216"/>
      <c r="AK7216"/>
      <c r="AL7216"/>
      <c r="AM7216"/>
      <c r="AN7216"/>
      <c r="AO7216"/>
      <c r="AP7216"/>
      <c r="AQ7216" t="s">
        <v>7706</v>
      </c>
      <c r="AU7216">
        <v>7215</v>
      </c>
    </row>
    <row r="7217" spans="1:47" x14ac:dyDescent="0.2">
      <c r="A7217" s="37">
        <v>6882</v>
      </c>
      <c r="B7217" s="38" t="s">
        <v>85</v>
      </c>
      <c r="C7217" s="39" t="s">
        <v>6997</v>
      </c>
      <c r="D7217" s="29"/>
      <c r="E7217" s="38" t="s">
        <v>7729</v>
      </c>
      <c r="F7217" s="32"/>
      <c r="G7217" s="47"/>
      <c r="H7217"/>
      <c r="I7217" s="32" t="s">
        <v>7730</v>
      </c>
      <c r="J7217" s="47"/>
      <c r="K7217" s="47">
        <f>900*2.2</f>
        <v>1980.0000000000002</v>
      </c>
      <c r="L7217" s="48">
        <v>10</v>
      </c>
      <c r="M7217" s="47"/>
      <c r="N7217" s="47"/>
      <c r="O7217" s="47"/>
      <c r="P7217" s="47"/>
      <c r="Q7217" s="47"/>
      <c r="R7217" s="47"/>
      <c r="S7217" s="48">
        <v>9</v>
      </c>
      <c r="T7217" s="47"/>
      <c r="U7217" s="47"/>
      <c r="V7217" s="47">
        <v>1</v>
      </c>
      <c r="W7217" s="47">
        <v>13000</v>
      </c>
      <c r="X7217" s="47"/>
      <c r="Y7217" s="47" t="s">
        <v>51</v>
      </c>
      <c r="Z7217" s="47" t="s">
        <v>3618</v>
      </c>
      <c r="AA7217" s="49">
        <v>0.34375</v>
      </c>
      <c r="AB7217" s="49">
        <v>0.43402777777777773</v>
      </c>
      <c r="AC7217" s="49">
        <v>0.39583333333333331</v>
      </c>
      <c r="AD7217" s="50">
        <f t="shared" ref="AD7217:AD7222" si="23">(AB7217-AA7217)*24</f>
        <v>2.1666666666666656</v>
      </c>
      <c r="AE7217" s="47" t="s">
        <v>2743</v>
      </c>
      <c r="AF7217" s="47">
        <v>90</v>
      </c>
      <c r="AG7217"/>
      <c r="AH7217"/>
      <c r="AI7217"/>
      <c r="AJ7217"/>
      <c r="AK7217" s="32">
        <v>18</v>
      </c>
      <c r="AL7217"/>
      <c r="AM7217"/>
      <c r="AN7217"/>
      <c r="AO7217"/>
      <c r="AP7217"/>
      <c r="AQ7217" t="s">
        <v>7167</v>
      </c>
      <c r="AU7217">
        <v>7216</v>
      </c>
    </row>
    <row r="7218" spans="1:47" x14ac:dyDescent="0.2">
      <c r="A7218" s="37">
        <v>6882</v>
      </c>
      <c r="B7218" s="38" t="s">
        <v>85</v>
      </c>
      <c r="C7218" s="206" t="s">
        <v>7485</v>
      </c>
      <c r="D7218" s="29"/>
      <c r="E7218" s="38" t="s">
        <v>7729</v>
      </c>
      <c r="F7218" s="32"/>
      <c r="G7218" s="47"/>
      <c r="H7218"/>
      <c r="I7218" s="32" t="s">
        <v>7731</v>
      </c>
      <c r="J7218" s="47"/>
      <c r="K7218" s="47"/>
      <c r="L7218" s="48"/>
      <c r="M7218" s="47"/>
      <c r="N7218" s="47"/>
      <c r="O7218" s="47"/>
      <c r="P7218" s="47"/>
      <c r="Q7218" s="47"/>
      <c r="R7218" s="47"/>
      <c r="S7218" s="48"/>
      <c r="T7218" s="47"/>
      <c r="U7218" s="47"/>
      <c r="V7218" s="47"/>
      <c r="W7218" s="47">
        <v>13000</v>
      </c>
      <c r="X7218" s="47"/>
      <c r="Y7218" s="47"/>
      <c r="Z7218" s="47" t="s">
        <v>7262</v>
      </c>
      <c r="AA7218" s="49">
        <v>0.33680555555555558</v>
      </c>
      <c r="AB7218" s="49">
        <v>0.44097222222222227</v>
      </c>
      <c r="AC7218" s="49">
        <v>0.39583333333333331</v>
      </c>
      <c r="AD7218" s="50">
        <f t="shared" si="23"/>
        <v>2.5000000000000004</v>
      </c>
      <c r="AE7218" s="47" t="s">
        <v>2743</v>
      </c>
      <c r="AF7218" s="47">
        <v>90</v>
      </c>
      <c r="AG7218"/>
      <c r="AH7218"/>
      <c r="AI7218"/>
      <c r="AJ7218"/>
      <c r="AK7218"/>
      <c r="AL7218"/>
      <c r="AM7218"/>
      <c r="AN7218"/>
      <c r="AO7218"/>
      <c r="AP7218"/>
      <c r="AQ7218" t="s">
        <v>7167</v>
      </c>
      <c r="AU7218">
        <v>7217</v>
      </c>
    </row>
    <row r="7219" spans="1:47" x14ac:dyDescent="0.2">
      <c r="A7219" s="37">
        <v>6882</v>
      </c>
      <c r="B7219" s="38" t="s">
        <v>85</v>
      </c>
      <c r="C7219" s="39" t="s">
        <v>6997</v>
      </c>
      <c r="D7219" s="29"/>
      <c r="E7219" s="38" t="s">
        <v>7732</v>
      </c>
      <c r="F7219" s="32"/>
      <c r="G7219" s="47"/>
      <c r="H7219"/>
      <c r="I7219" s="32" t="s">
        <v>7733</v>
      </c>
      <c r="J7219" s="47"/>
      <c r="K7219" s="47">
        <f>700*2.2</f>
        <v>1540.0000000000002</v>
      </c>
      <c r="L7219" s="48">
        <v>10</v>
      </c>
      <c r="M7219" s="47"/>
      <c r="N7219" s="47"/>
      <c r="O7219" s="47"/>
      <c r="P7219" s="47"/>
      <c r="Q7219" s="47"/>
      <c r="R7219" s="47"/>
      <c r="S7219" s="48">
        <v>7</v>
      </c>
      <c r="T7219" s="47"/>
      <c r="U7219" s="47"/>
      <c r="V7219" s="47"/>
      <c r="W7219" s="47">
        <v>12000</v>
      </c>
      <c r="X7219" s="47"/>
      <c r="Y7219" s="47" t="s">
        <v>120</v>
      </c>
      <c r="Z7219" s="47" t="s">
        <v>3618</v>
      </c>
      <c r="AA7219" s="49">
        <v>0.50694444444444442</v>
      </c>
      <c r="AB7219" s="49">
        <v>0.67361111111111116</v>
      </c>
      <c r="AC7219" s="49">
        <v>0.63194444444444442</v>
      </c>
      <c r="AD7219" s="50">
        <f t="shared" si="23"/>
        <v>4.0000000000000018</v>
      </c>
      <c r="AE7219" s="47" t="s">
        <v>2743</v>
      </c>
      <c r="AF7219" s="47">
        <v>95</v>
      </c>
      <c r="AG7219"/>
      <c r="AH7219"/>
      <c r="AI7219"/>
      <c r="AJ7219"/>
      <c r="AK7219" s="32">
        <v>14</v>
      </c>
      <c r="AL7219"/>
      <c r="AM7219"/>
      <c r="AN7219"/>
      <c r="AO7219"/>
      <c r="AP7219"/>
      <c r="AQ7219" t="s">
        <v>7167</v>
      </c>
      <c r="AU7219">
        <v>7218</v>
      </c>
    </row>
    <row r="7220" spans="1:47" x14ac:dyDescent="0.2">
      <c r="A7220" s="37">
        <v>6882</v>
      </c>
      <c r="B7220" s="38" t="s">
        <v>85</v>
      </c>
      <c r="C7220" s="206" t="s">
        <v>7485</v>
      </c>
      <c r="D7220" s="29"/>
      <c r="E7220" s="38" t="s">
        <v>7732</v>
      </c>
      <c r="F7220" s="32"/>
      <c r="G7220" s="47"/>
      <c r="H7220"/>
      <c r="I7220" s="32" t="s">
        <v>7734</v>
      </c>
      <c r="J7220" s="47"/>
      <c r="K7220" s="47"/>
      <c r="L7220" s="48"/>
      <c r="M7220" s="47"/>
      <c r="N7220" s="47"/>
      <c r="O7220" s="47"/>
      <c r="P7220" s="47"/>
      <c r="Q7220" s="47"/>
      <c r="R7220" s="47"/>
      <c r="S7220" s="48"/>
      <c r="T7220" s="47"/>
      <c r="U7220" s="47"/>
      <c r="V7220" s="47"/>
      <c r="W7220" s="47">
        <v>12000</v>
      </c>
      <c r="X7220" s="47"/>
      <c r="Y7220" s="47" t="s">
        <v>120</v>
      </c>
      <c r="Z7220" s="47" t="s">
        <v>7262</v>
      </c>
      <c r="AA7220" s="49">
        <v>0.50694444444444442</v>
      </c>
      <c r="AB7220" s="49">
        <v>0.67361111111111116</v>
      </c>
      <c r="AC7220" s="49">
        <v>0.63194444444444442</v>
      </c>
      <c r="AD7220" s="50">
        <f t="shared" si="23"/>
        <v>4.0000000000000018</v>
      </c>
      <c r="AE7220" s="47" t="s">
        <v>2743</v>
      </c>
      <c r="AF7220" s="47">
        <v>95</v>
      </c>
      <c r="AG7220"/>
      <c r="AH7220"/>
      <c r="AI7220"/>
      <c r="AJ7220"/>
      <c r="AK7220"/>
      <c r="AL7220"/>
      <c r="AM7220"/>
      <c r="AN7220"/>
      <c r="AO7220"/>
      <c r="AP7220"/>
      <c r="AQ7220" t="s">
        <v>7167</v>
      </c>
      <c r="AU7220">
        <v>7219</v>
      </c>
    </row>
    <row r="7221" spans="1:47" x14ac:dyDescent="0.2">
      <c r="A7221" s="37">
        <v>6882</v>
      </c>
      <c r="B7221" s="38" t="s">
        <v>85</v>
      </c>
      <c r="C7221" s="39" t="s">
        <v>6997</v>
      </c>
      <c r="D7221" s="29"/>
      <c r="E7221" s="38" t="s">
        <v>7735</v>
      </c>
      <c r="F7221" s="32"/>
      <c r="G7221" s="47"/>
      <c r="H7221"/>
      <c r="I7221" s="32" t="s">
        <v>7736</v>
      </c>
      <c r="J7221" s="47"/>
      <c r="K7221" s="47">
        <f>1000*2.2</f>
        <v>2200</v>
      </c>
      <c r="L7221" s="48">
        <v>12</v>
      </c>
      <c r="M7221" s="47"/>
      <c r="N7221" s="47"/>
      <c r="O7221" s="47"/>
      <c r="P7221" s="47"/>
      <c r="Q7221" s="47"/>
      <c r="R7221" s="47"/>
      <c r="S7221" s="48">
        <v>10</v>
      </c>
      <c r="T7221" s="47">
        <v>1</v>
      </c>
      <c r="U7221" s="47"/>
      <c r="V7221" s="47">
        <v>1</v>
      </c>
      <c r="W7221" s="47">
        <v>13000</v>
      </c>
      <c r="X7221" s="47"/>
      <c r="Y7221" s="47" t="s">
        <v>120</v>
      </c>
      <c r="Z7221" s="47" t="s">
        <v>3618</v>
      </c>
      <c r="AA7221" s="49">
        <v>0.51736111111111105</v>
      </c>
      <c r="AB7221" s="49">
        <v>0.67708333333333337</v>
      </c>
      <c r="AC7221" s="49">
        <v>0.64930555555555558</v>
      </c>
      <c r="AD7221" s="50">
        <f t="shared" si="23"/>
        <v>3.8333333333333357</v>
      </c>
      <c r="AE7221" s="47" t="s">
        <v>2743</v>
      </c>
      <c r="AF7221" s="47">
        <v>95</v>
      </c>
      <c r="AG7221"/>
      <c r="AH7221"/>
      <c r="AI7221"/>
      <c r="AJ7221"/>
      <c r="AK7221" s="32">
        <v>20</v>
      </c>
      <c r="AL7221"/>
      <c r="AM7221"/>
      <c r="AN7221"/>
      <c r="AO7221"/>
      <c r="AP7221"/>
      <c r="AQ7221" t="s">
        <v>7167</v>
      </c>
      <c r="AU7221">
        <v>7220</v>
      </c>
    </row>
    <row r="7222" spans="1:47" x14ac:dyDescent="0.2">
      <c r="A7222" s="151">
        <v>6882</v>
      </c>
      <c r="B7222" s="61" t="s">
        <v>85</v>
      </c>
      <c r="C7222" s="61">
        <v>55</v>
      </c>
      <c r="D7222" s="62"/>
      <c r="E7222" s="60" t="s">
        <v>7737</v>
      </c>
      <c r="F7222" s="64"/>
      <c r="G7222" s="66"/>
      <c r="H7222" s="67"/>
      <c r="I7222" s="64" t="s">
        <v>7738</v>
      </c>
      <c r="J7222" s="47"/>
      <c r="K7222" s="47"/>
      <c r="L7222" s="48"/>
      <c r="M7222" s="47"/>
      <c r="N7222" s="47"/>
      <c r="O7222" s="47"/>
      <c r="P7222" s="47"/>
      <c r="Q7222" s="47"/>
      <c r="R7222" s="47"/>
      <c r="S7222" s="48"/>
      <c r="T7222" s="47"/>
      <c r="U7222" s="47"/>
      <c r="V7222" s="47"/>
      <c r="W7222" s="47"/>
      <c r="X7222" s="47"/>
      <c r="Y7222" s="47" t="s">
        <v>120</v>
      </c>
      <c r="Z7222" s="47" t="s">
        <v>3618</v>
      </c>
      <c r="AA7222" s="49">
        <v>0.4375</v>
      </c>
      <c r="AB7222" s="49">
        <v>0.55555555555555558</v>
      </c>
      <c r="AC7222" s="49"/>
      <c r="AD7222" s="50">
        <f t="shared" si="23"/>
        <v>2.8333333333333339</v>
      </c>
      <c r="AE7222" s="47" t="s">
        <v>5433</v>
      </c>
      <c r="AF7222" s="47"/>
      <c r="AG7222"/>
      <c r="AH7222"/>
      <c r="AI7222"/>
      <c r="AJ7222"/>
      <c r="AK7222">
        <v>0</v>
      </c>
      <c r="AL7222"/>
      <c r="AM7222"/>
      <c r="AN7222"/>
      <c r="AO7222"/>
      <c r="AP7222"/>
      <c r="AQ7222" t="s">
        <v>5434</v>
      </c>
      <c r="AU7222">
        <v>7221</v>
      </c>
    </row>
    <row r="7223" spans="1:47" x14ac:dyDescent="0.2">
      <c r="A7223" s="37">
        <v>6882</v>
      </c>
      <c r="B7223" s="38" t="s">
        <v>45</v>
      </c>
      <c r="C7223" s="39" t="s">
        <v>7739</v>
      </c>
      <c r="D7223" s="29"/>
      <c r="E7223" s="38" t="s">
        <v>7740</v>
      </c>
      <c r="F7223" s="32" t="s">
        <v>4771</v>
      </c>
      <c r="G7223" s="47" t="s">
        <v>69</v>
      </c>
      <c r="H7223"/>
      <c r="I7223" s="32" t="s">
        <v>7741</v>
      </c>
      <c r="J7223" s="47"/>
      <c r="K7223" s="47">
        <f>38150*2.2</f>
        <v>83930</v>
      </c>
      <c r="L7223" s="48">
        <v>148</v>
      </c>
      <c r="M7223" s="47"/>
      <c r="N7223" s="47"/>
      <c r="O7223" s="47"/>
      <c r="P7223" s="47"/>
      <c r="Q7223" s="47"/>
      <c r="R7223" s="47"/>
      <c r="S7223" s="48"/>
      <c r="T7223" s="47"/>
      <c r="U7223" s="47"/>
      <c r="V7223" s="47"/>
      <c r="W7223" s="47"/>
      <c r="X7223" s="47"/>
      <c r="Y7223" s="47"/>
      <c r="Z7223" s="47"/>
      <c r="AA7223" s="49"/>
      <c r="AB7223" s="49"/>
      <c r="AC7223" s="49"/>
      <c r="AD7223" s="50"/>
      <c r="AE7223" s="47"/>
      <c r="AF7223" s="47"/>
      <c r="AG7223"/>
      <c r="AH7223"/>
      <c r="AI7223"/>
      <c r="AJ7223"/>
      <c r="AK7223"/>
      <c r="AL7223"/>
      <c r="AM7223"/>
      <c r="AN7223"/>
      <c r="AO7223"/>
      <c r="AP7223"/>
      <c r="AQ7223"/>
      <c r="AU7223">
        <v>7222</v>
      </c>
    </row>
    <row r="7224" spans="1:47" x14ac:dyDescent="0.2">
      <c r="A7224" s="26">
        <v>6882</v>
      </c>
      <c r="B7224" s="27">
        <v>0.5625</v>
      </c>
      <c r="C7224" s="28"/>
      <c r="D7224" s="29"/>
      <c r="E7224" s="30" t="s">
        <v>140</v>
      </c>
      <c r="H7224" s="32">
        <v>1</v>
      </c>
      <c r="I7224" s="32" t="s">
        <v>7742</v>
      </c>
      <c r="AI7224" s="32">
        <v>5000</v>
      </c>
      <c r="AK7224" s="32">
        <v>16</v>
      </c>
      <c r="AQ7224" s="32">
        <v>449</v>
      </c>
      <c r="AU7224">
        <v>7223</v>
      </c>
    </row>
    <row r="7225" spans="1:47" x14ac:dyDescent="0.2">
      <c r="A7225" s="26">
        <v>6882</v>
      </c>
      <c r="B7225" s="27">
        <v>0.5625</v>
      </c>
      <c r="C7225" s="28"/>
      <c r="D7225" s="29"/>
      <c r="E7225" s="102" t="s">
        <v>1102</v>
      </c>
      <c r="H7225" s="32">
        <v>0</v>
      </c>
      <c r="I7225" s="32" t="s">
        <v>7743</v>
      </c>
      <c r="AG7225" s="32">
        <v>0</v>
      </c>
      <c r="AH7225" s="32">
        <v>0</v>
      </c>
      <c r="AI7225" s="32">
        <v>0</v>
      </c>
      <c r="AK7225" s="32">
        <v>0</v>
      </c>
      <c r="AL7225" s="32">
        <f>25/60</f>
        <v>0.41666666666666669</v>
      </c>
      <c r="AO7225" s="73" t="s">
        <v>1006</v>
      </c>
      <c r="AP7225" s="32">
        <f>25/60</f>
        <v>0.41666666666666669</v>
      </c>
      <c r="AQ7225" s="32" t="s">
        <v>589</v>
      </c>
      <c r="AU7225">
        <v>7224</v>
      </c>
    </row>
    <row r="7226" spans="1:47" x14ac:dyDescent="0.2">
      <c r="A7226" s="37">
        <v>6883</v>
      </c>
      <c r="B7226" s="38" t="s">
        <v>85</v>
      </c>
      <c r="C7226" s="206" t="s">
        <v>7485</v>
      </c>
      <c r="D7226" s="29"/>
      <c r="E7226" s="38" t="s">
        <v>7735</v>
      </c>
      <c r="F7226" s="32"/>
      <c r="G7226" s="47"/>
      <c r="H7226"/>
      <c r="I7226" s="32" t="s">
        <v>7744</v>
      </c>
      <c r="J7226" s="47"/>
      <c r="K7226" s="47"/>
      <c r="L7226" s="48"/>
      <c r="M7226" s="47"/>
      <c r="N7226" s="47"/>
      <c r="O7226" s="47"/>
      <c r="P7226" s="47"/>
      <c r="Q7226" s="47"/>
      <c r="R7226" s="47"/>
      <c r="S7226" s="48"/>
      <c r="T7226" s="47"/>
      <c r="U7226" s="47"/>
      <c r="V7226" s="47"/>
      <c r="W7226" s="47"/>
      <c r="X7226" s="47"/>
      <c r="Y7226" s="47"/>
      <c r="Z7226" s="47" t="s">
        <v>7262</v>
      </c>
      <c r="AA7226" s="49">
        <v>0.59027777777777779</v>
      </c>
      <c r="AB7226" s="49"/>
      <c r="AC7226" s="49">
        <v>0.63888888888888895</v>
      </c>
      <c r="AD7226" s="50"/>
      <c r="AE7226" s="47" t="s">
        <v>2743</v>
      </c>
      <c r="AF7226" s="47">
        <v>95</v>
      </c>
      <c r="AG7226"/>
      <c r="AH7226"/>
      <c r="AI7226"/>
      <c r="AJ7226"/>
      <c r="AK7226"/>
      <c r="AL7226"/>
      <c r="AM7226"/>
      <c r="AN7226"/>
      <c r="AO7226"/>
      <c r="AP7226"/>
      <c r="AQ7226"/>
      <c r="AU7226">
        <v>7225</v>
      </c>
    </row>
    <row r="7227" spans="1:47" x14ac:dyDescent="0.2">
      <c r="A7227" s="37">
        <v>6883</v>
      </c>
      <c r="B7227" s="38" t="s">
        <v>45</v>
      </c>
      <c r="C7227" s="39" t="s">
        <v>142</v>
      </c>
      <c r="D7227" s="29"/>
      <c r="E7227" s="38" t="s">
        <v>7745</v>
      </c>
      <c r="F7227" s="32" t="s">
        <v>2583</v>
      </c>
      <c r="G7227" s="47" t="s">
        <v>49</v>
      </c>
      <c r="H7227"/>
      <c r="I7227" s="32" t="s">
        <v>7746</v>
      </c>
      <c r="J7227" s="47"/>
      <c r="K7227" s="47">
        <f>4705*2.2</f>
        <v>10351</v>
      </c>
      <c r="L7227" s="48">
        <v>18</v>
      </c>
      <c r="M7227" s="47">
        <v>1</v>
      </c>
      <c r="N7227" s="47">
        <v>4</v>
      </c>
      <c r="O7227" s="47"/>
      <c r="P7227" s="47"/>
      <c r="Q7227" s="47"/>
      <c r="R7227" s="47"/>
      <c r="S7227" s="48">
        <v>13</v>
      </c>
      <c r="T7227" s="47">
        <v>0</v>
      </c>
      <c r="U7227" s="47">
        <v>0</v>
      </c>
      <c r="V7227" s="47">
        <v>1</v>
      </c>
      <c r="W7227" s="47"/>
      <c r="X7227" s="47"/>
      <c r="Y7227" s="47" t="s">
        <v>51</v>
      </c>
      <c r="Z7227" s="31" t="s">
        <v>7420</v>
      </c>
      <c r="AA7227" s="49"/>
      <c r="AB7227" s="49"/>
      <c r="AC7227" s="49"/>
      <c r="AD7227" s="50"/>
      <c r="AE7227" s="31" t="s">
        <v>2470</v>
      </c>
      <c r="AF7227" s="47"/>
      <c r="AG7227"/>
      <c r="AH7227"/>
      <c r="AI7227"/>
      <c r="AJ7227"/>
      <c r="AK7227">
        <f>1+10+52+12+4+7+4</f>
        <v>90</v>
      </c>
      <c r="AL7227"/>
      <c r="AM7227"/>
      <c r="AN7227"/>
      <c r="AO7227"/>
      <c r="AP7227"/>
      <c r="AQ7227" t="s">
        <v>7747</v>
      </c>
      <c r="AU7227">
        <v>7226</v>
      </c>
    </row>
    <row r="7228" spans="1:47" x14ac:dyDescent="0.2">
      <c r="A7228" s="26">
        <v>6883</v>
      </c>
      <c r="B7228" s="27">
        <v>0.57777777777777783</v>
      </c>
      <c r="C7228" s="28"/>
      <c r="D7228" s="29"/>
      <c r="E7228" s="30" t="s">
        <v>5224</v>
      </c>
      <c r="H7228" s="32">
        <v>0</v>
      </c>
      <c r="I7228" s="32" t="s">
        <v>5225</v>
      </c>
      <c r="AG7228" s="32">
        <v>0</v>
      </c>
      <c r="AH7228" s="32">
        <v>0</v>
      </c>
      <c r="AI7228" s="32">
        <v>0</v>
      </c>
      <c r="AK7228" s="32">
        <v>0</v>
      </c>
      <c r="AL7228" s="32">
        <v>0.75</v>
      </c>
      <c r="AP7228" s="32">
        <v>0.75</v>
      </c>
      <c r="AQ7228" s="32" t="s">
        <v>1101</v>
      </c>
      <c r="AU7228">
        <v>7227</v>
      </c>
    </row>
    <row r="7229" spans="1:47" x14ac:dyDescent="0.2">
      <c r="A7229" s="26">
        <v>6883</v>
      </c>
      <c r="B7229" s="27">
        <v>0.61875000000000002</v>
      </c>
      <c r="C7229" s="28"/>
      <c r="D7229" s="29"/>
      <c r="E7229" s="102" t="s">
        <v>1102</v>
      </c>
      <c r="H7229" s="32">
        <v>0</v>
      </c>
      <c r="I7229" s="32" t="s">
        <v>1103</v>
      </c>
      <c r="AG7229" s="32">
        <v>0</v>
      </c>
      <c r="AH7229" s="32">
        <v>0</v>
      </c>
      <c r="AI7229" s="32">
        <v>0</v>
      </c>
      <c r="AK7229" s="32">
        <v>0</v>
      </c>
      <c r="AL7229" s="32">
        <f>12/60</f>
        <v>0.2</v>
      </c>
      <c r="AO7229" s="73" t="s">
        <v>1006</v>
      </c>
      <c r="AP7229" s="32">
        <f>12/60</f>
        <v>0.2</v>
      </c>
      <c r="AQ7229" s="32" t="s">
        <v>589</v>
      </c>
      <c r="AU7229">
        <v>7228</v>
      </c>
    </row>
    <row r="7230" spans="1:47" x14ac:dyDescent="0.2">
      <c r="A7230" s="26">
        <v>6883</v>
      </c>
      <c r="B7230" s="27">
        <v>0.70486111111111116</v>
      </c>
      <c r="C7230" s="28"/>
      <c r="D7230" s="29"/>
      <c r="E7230" s="30" t="s">
        <v>464</v>
      </c>
      <c r="H7230" s="32">
        <v>0</v>
      </c>
      <c r="I7230" s="32" t="s">
        <v>7748</v>
      </c>
      <c r="AG7230" s="32">
        <v>0</v>
      </c>
      <c r="AH7230" s="32">
        <v>0</v>
      </c>
      <c r="AL7230" s="32">
        <f>19/60</f>
        <v>0.31666666666666665</v>
      </c>
      <c r="AO7230" s="32" t="s">
        <v>4067</v>
      </c>
      <c r="AP7230" s="32">
        <f>19/60</f>
        <v>0.31666666666666665</v>
      </c>
      <c r="AQ7230" s="32" t="s">
        <v>1522</v>
      </c>
      <c r="AU7230">
        <v>7229</v>
      </c>
    </row>
    <row r="7231" spans="1:47" x14ac:dyDescent="0.2">
      <c r="A7231" s="26">
        <v>6883</v>
      </c>
      <c r="B7231" s="27">
        <v>0.85486111111111107</v>
      </c>
      <c r="C7231" s="28"/>
      <c r="D7231" s="29"/>
      <c r="E7231" s="30" t="s">
        <v>5224</v>
      </c>
      <c r="H7231" s="32">
        <v>0</v>
      </c>
      <c r="I7231" s="32" t="s">
        <v>5225</v>
      </c>
      <c r="AG7231" s="32">
        <v>0</v>
      </c>
      <c r="AH7231" s="32">
        <v>0</v>
      </c>
      <c r="AI7231" s="32">
        <v>0</v>
      </c>
      <c r="AK7231" s="32">
        <v>0</v>
      </c>
      <c r="AL7231" s="32">
        <v>1</v>
      </c>
      <c r="AP7231" s="32">
        <v>1</v>
      </c>
      <c r="AQ7231" s="32" t="s">
        <v>1101</v>
      </c>
      <c r="AU7231">
        <v>7230</v>
      </c>
    </row>
    <row r="7232" spans="1:47" x14ac:dyDescent="0.2">
      <c r="A7232" s="26">
        <v>6883</v>
      </c>
      <c r="B7232" s="27">
        <v>0.90833333333333333</v>
      </c>
      <c r="C7232" s="28"/>
      <c r="D7232" s="29"/>
      <c r="E7232" s="30" t="s">
        <v>3155</v>
      </c>
      <c r="H7232" s="32">
        <v>0</v>
      </c>
      <c r="I7232" s="32" t="s">
        <v>3156</v>
      </c>
      <c r="AG7232" s="32">
        <v>0</v>
      </c>
      <c r="AH7232" s="32">
        <v>0</v>
      </c>
      <c r="AI7232" s="32">
        <v>0</v>
      </c>
      <c r="AK7232" s="32">
        <v>0</v>
      </c>
      <c r="AP7232" s="32">
        <v>0.33300000000000002</v>
      </c>
      <c r="AQ7232" s="32" t="s">
        <v>1101</v>
      </c>
      <c r="AU7232">
        <v>7231</v>
      </c>
    </row>
    <row r="7233" spans="1:47" x14ac:dyDescent="0.2">
      <c r="A7233" s="26">
        <v>6883</v>
      </c>
      <c r="B7233" s="27" t="s">
        <v>45</v>
      </c>
      <c r="C7233" s="28"/>
      <c r="D7233" s="29"/>
      <c r="E7233" s="30" t="s">
        <v>1531</v>
      </c>
      <c r="H7233" s="32">
        <v>0</v>
      </c>
      <c r="I7233" s="32" t="s">
        <v>1532</v>
      </c>
      <c r="AG7233" s="32">
        <v>0</v>
      </c>
      <c r="AH7233" s="32">
        <v>0</v>
      </c>
      <c r="AI7233" s="32">
        <v>0</v>
      </c>
      <c r="AK7233" s="32">
        <v>0</v>
      </c>
      <c r="AM7233" s="32">
        <f>498*28</f>
        <v>13944</v>
      </c>
      <c r="AO7233" s="32" t="s">
        <v>1533</v>
      </c>
      <c r="AQ7233" s="32" t="s">
        <v>1101</v>
      </c>
      <c r="AU7233">
        <v>7232</v>
      </c>
    </row>
    <row r="7234" spans="1:47" x14ac:dyDescent="0.2">
      <c r="A7234" s="26">
        <v>6883</v>
      </c>
      <c r="B7234" s="27" t="s">
        <v>45</v>
      </c>
      <c r="C7234" s="28"/>
      <c r="D7234" s="29"/>
      <c r="E7234" s="150" t="s">
        <v>2379</v>
      </c>
      <c r="H7234" s="32">
        <v>0</v>
      </c>
      <c r="I7234" s="32" t="s">
        <v>1820</v>
      </c>
      <c r="AG7234" s="32">
        <v>0</v>
      </c>
      <c r="AH7234" s="32">
        <v>0</v>
      </c>
      <c r="AI7234" s="32">
        <v>0</v>
      </c>
      <c r="AK7234" s="32">
        <v>0</v>
      </c>
      <c r="AM7234" s="32">
        <v>7500</v>
      </c>
      <c r="AO7234" s="73" t="s">
        <v>75</v>
      </c>
      <c r="AQ7234" s="32" t="s">
        <v>589</v>
      </c>
      <c r="AU7234">
        <v>7233</v>
      </c>
    </row>
    <row r="7235" spans="1:47" x14ac:dyDescent="0.2">
      <c r="A7235" s="133">
        <v>6884</v>
      </c>
      <c r="B7235" s="39" t="s">
        <v>85</v>
      </c>
      <c r="C7235" s="39">
        <v>110</v>
      </c>
      <c r="D7235" s="29" t="b">
        <v>0</v>
      </c>
      <c r="E7235" s="39" t="s">
        <v>1551</v>
      </c>
      <c r="F7235" s="47" t="s">
        <v>529</v>
      </c>
      <c r="G7235" s="47" t="s">
        <v>205</v>
      </c>
      <c r="H7235"/>
      <c r="I7235" s="47" t="b">
        <v>0</v>
      </c>
      <c r="J7235" s="47" t="b">
        <v>1</v>
      </c>
      <c r="K7235" s="47">
        <v>2382</v>
      </c>
      <c r="L7235" s="48">
        <v>-1</v>
      </c>
      <c r="M7235" s="47">
        <v>0</v>
      </c>
      <c r="N7235" s="47">
        <v>0</v>
      </c>
      <c r="O7235" s="47">
        <v>0</v>
      </c>
      <c r="P7235" s="47">
        <v>0</v>
      </c>
      <c r="Q7235" s="47">
        <v>0</v>
      </c>
      <c r="R7235" s="47">
        <v>0</v>
      </c>
      <c r="S7235" s="48">
        <v>11</v>
      </c>
      <c r="T7235" s="47">
        <v>0</v>
      </c>
      <c r="U7235" s="47">
        <v>0</v>
      </c>
      <c r="V7235" s="47">
        <v>0</v>
      </c>
      <c r="W7235" s="47">
        <v>16400</v>
      </c>
      <c r="X7235" s="47">
        <v>1235</v>
      </c>
      <c r="Y7235" s="47" t="s">
        <v>51</v>
      </c>
      <c r="Z7235" s="47" t="s">
        <v>6984</v>
      </c>
      <c r="AA7235" s="49">
        <v>0.49305555555555558</v>
      </c>
      <c r="AB7235" s="49"/>
      <c r="AC7235" s="49">
        <v>0.55208333333333337</v>
      </c>
      <c r="AD7235" s="50"/>
      <c r="AE7235" s="47" t="s">
        <v>6985</v>
      </c>
      <c r="AF7235" s="47">
        <v>70</v>
      </c>
      <c r="AG7235"/>
      <c r="AH7235"/>
      <c r="AI7235"/>
      <c r="AJ7235"/>
      <c r="AK7235">
        <v>16</v>
      </c>
      <c r="AL7235"/>
      <c r="AM7235"/>
      <c r="AN7235"/>
      <c r="AO7235"/>
      <c r="AP7235"/>
      <c r="AQ7235" t="s">
        <v>5485</v>
      </c>
      <c r="AU7235">
        <v>7234</v>
      </c>
    </row>
    <row r="7236" spans="1:47" x14ac:dyDescent="0.2">
      <c r="A7236" s="133">
        <v>6884</v>
      </c>
      <c r="B7236" s="39" t="s">
        <v>85</v>
      </c>
      <c r="C7236" s="39" t="s">
        <v>6997</v>
      </c>
      <c r="D7236" s="29"/>
      <c r="E7236" s="39" t="s">
        <v>7749</v>
      </c>
      <c r="F7236" s="47"/>
      <c r="G7236" s="47"/>
      <c r="H7236"/>
      <c r="I7236" s="47" t="s">
        <v>7750</v>
      </c>
      <c r="J7236" s="47"/>
      <c r="K7236" s="47">
        <f>16*100*2.2</f>
        <v>3520.0000000000005</v>
      </c>
      <c r="L7236" s="48">
        <v>10</v>
      </c>
      <c r="M7236" s="47"/>
      <c r="N7236" s="47"/>
      <c r="O7236" s="47"/>
      <c r="P7236" s="47"/>
      <c r="Q7236" s="47"/>
      <c r="R7236" s="47"/>
      <c r="S7236" s="48">
        <v>8</v>
      </c>
      <c r="T7236" s="47">
        <v>3</v>
      </c>
      <c r="U7236" s="47"/>
      <c r="V7236" s="47"/>
      <c r="W7236" s="47">
        <v>12500</v>
      </c>
      <c r="X7236" s="47"/>
      <c r="Y7236" s="47" t="s">
        <v>120</v>
      </c>
      <c r="Z7236" s="47" t="s">
        <v>3618</v>
      </c>
      <c r="AA7236" s="49">
        <v>0.34375</v>
      </c>
      <c r="AB7236" s="49">
        <v>0.43055555555555558</v>
      </c>
      <c r="AC7236" s="49">
        <v>0.3888888888888889</v>
      </c>
      <c r="AD7236" s="50">
        <f>(AB7236-AA7236)*24</f>
        <v>2.0833333333333339</v>
      </c>
      <c r="AE7236" s="47" t="s">
        <v>2743</v>
      </c>
      <c r="AF7236" s="47">
        <v>100</v>
      </c>
      <c r="AG7236"/>
      <c r="AH7236"/>
      <c r="AI7236"/>
      <c r="AJ7236"/>
      <c r="AK7236" s="32">
        <v>16</v>
      </c>
      <c r="AL7236"/>
      <c r="AM7236"/>
      <c r="AN7236"/>
      <c r="AO7236"/>
      <c r="AP7236"/>
      <c r="AQ7236" t="s">
        <v>7545</v>
      </c>
      <c r="AU7236">
        <v>7235</v>
      </c>
    </row>
    <row r="7237" spans="1:47" x14ac:dyDescent="0.2">
      <c r="A7237" s="133">
        <v>6884</v>
      </c>
      <c r="B7237" s="39" t="s">
        <v>45</v>
      </c>
      <c r="C7237" s="39">
        <v>97</v>
      </c>
      <c r="D7237" s="29" t="b">
        <v>0</v>
      </c>
      <c r="E7237" s="39" t="s">
        <v>1551</v>
      </c>
      <c r="F7237" s="47" t="s">
        <v>529</v>
      </c>
      <c r="G7237" s="47" t="s">
        <v>205</v>
      </c>
      <c r="H7237"/>
      <c r="I7237" s="47" t="b">
        <v>0</v>
      </c>
      <c r="J7237" s="47" t="b">
        <v>1</v>
      </c>
      <c r="K7237" s="47">
        <v>1194</v>
      </c>
      <c r="L7237" s="48">
        <v>-1</v>
      </c>
      <c r="M7237" s="47">
        <v>0</v>
      </c>
      <c r="N7237" s="47">
        <v>0</v>
      </c>
      <c r="O7237" s="47">
        <v>0</v>
      </c>
      <c r="P7237" s="47">
        <v>0</v>
      </c>
      <c r="Q7237" s="47">
        <v>0</v>
      </c>
      <c r="R7237" s="47">
        <v>0</v>
      </c>
      <c r="S7237" s="48">
        <v>1</v>
      </c>
      <c r="T7237" s="47">
        <v>0</v>
      </c>
      <c r="U7237" s="47">
        <v>0</v>
      </c>
      <c r="V7237" s="47">
        <v>0</v>
      </c>
      <c r="W7237" s="47"/>
      <c r="X7237" s="47">
        <v>1236</v>
      </c>
      <c r="Y7237" s="47"/>
      <c r="Z7237" s="47" t="s">
        <v>2466</v>
      </c>
      <c r="AA7237" s="49"/>
      <c r="AB7237" s="49"/>
      <c r="AC7237" s="49"/>
      <c r="AD7237" s="50"/>
      <c r="AE7237" s="47"/>
      <c r="AF7237" s="47"/>
      <c r="AG7237"/>
      <c r="AH7237"/>
      <c r="AI7237"/>
      <c r="AJ7237"/>
      <c r="AK7237"/>
      <c r="AL7237"/>
      <c r="AM7237"/>
      <c r="AN7237"/>
      <c r="AO7237"/>
      <c r="AP7237"/>
      <c r="AQ7237" t="s">
        <v>2526</v>
      </c>
      <c r="AU7237">
        <v>7236</v>
      </c>
    </row>
    <row r="7238" spans="1:47" x14ac:dyDescent="0.2">
      <c r="A7238" s="133">
        <v>6884</v>
      </c>
      <c r="B7238" s="39" t="s">
        <v>45</v>
      </c>
      <c r="C7238" s="39">
        <v>100</v>
      </c>
      <c r="D7238" s="29" t="b">
        <v>0</v>
      </c>
      <c r="E7238" s="39" t="s">
        <v>6893</v>
      </c>
      <c r="F7238" s="47" t="s">
        <v>529</v>
      </c>
      <c r="G7238" s="47" t="s">
        <v>205</v>
      </c>
      <c r="H7238"/>
      <c r="I7238" s="47" t="b">
        <v>0</v>
      </c>
      <c r="J7238" s="47" t="b">
        <v>1</v>
      </c>
      <c r="K7238" s="47">
        <v>1547</v>
      </c>
      <c r="L7238" s="48">
        <v>-1</v>
      </c>
      <c r="M7238" s="47">
        <v>0</v>
      </c>
      <c r="N7238" s="47">
        <v>0</v>
      </c>
      <c r="O7238" s="47">
        <v>0</v>
      </c>
      <c r="P7238" s="47">
        <v>0</v>
      </c>
      <c r="Q7238" s="47">
        <v>0</v>
      </c>
      <c r="R7238" s="47">
        <v>0</v>
      </c>
      <c r="S7238" s="48">
        <v>1</v>
      </c>
      <c r="T7238" s="47">
        <v>0</v>
      </c>
      <c r="U7238" s="47">
        <v>0</v>
      </c>
      <c r="V7238" s="47">
        <v>0</v>
      </c>
      <c r="W7238" s="47"/>
      <c r="X7238" s="47">
        <v>1237</v>
      </c>
      <c r="Y7238" s="47"/>
      <c r="Z7238" s="47" t="s">
        <v>2466</v>
      </c>
      <c r="AA7238" s="49"/>
      <c r="AB7238" s="49"/>
      <c r="AC7238" s="49"/>
      <c r="AD7238" s="50"/>
      <c r="AE7238" s="47" t="s">
        <v>6445</v>
      </c>
      <c r="AF7238" s="47"/>
      <c r="AG7238"/>
      <c r="AH7238"/>
      <c r="AI7238"/>
      <c r="AJ7238"/>
      <c r="AK7238"/>
      <c r="AL7238"/>
      <c r="AM7238"/>
      <c r="AN7238"/>
      <c r="AO7238"/>
      <c r="AP7238"/>
      <c r="AQ7238" t="s">
        <v>2526</v>
      </c>
      <c r="AU7238">
        <v>7237</v>
      </c>
    </row>
    <row r="7239" spans="1:47" x14ac:dyDescent="0.2">
      <c r="A7239" s="133">
        <v>6884</v>
      </c>
      <c r="B7239" s="39" t="s">
        <v>45</v>
      </c>
      <c r="C7239" s="39">
        <v>115</v>
      </c>
      <c r="D7239" s="29" t="b">
        <v>0</v>
      </c>
      <c r="E7239" s="39" t="s">
        <v>7751</v>
      </c>
      <c r="F7239" s="47" t="s">
        <v>6795</v>
      </c>
      <c r="G7239" s="47" t="s">
        <v>205</v>
      </c>
      <c r="H7239"/>
      <c r="I7239" s="47" t="b">
        <v>1</v>
      </c>
      <c r="J7239" s="47" t="b">
        <v>1</v>
      </c>
      <c r="K7239" s="47">
        <v>2940</v>
      </c>
      <c r="L7239" s="48">
        <v>2</v>
      </c>
      <c r="M7239" s="47">
        <v>0</v>
      </c>
      <c r="N7239" s="47">
        <v>0</v>
      </c>
      <c r="O7239" s="47">
        <v>0</v>
      </c>
      <c r="P7239" s="47">
        <v>0</v>
      </c>
      <c r="Q7239" s="47">
        <v>0</v>
      </c>
      <c r="R7239" s="47">
        <v>0</v>
      </c>
      <c r="S7239" s="48">
        <v>2</v>
      </c>
      <c r="T7239" s="47">
        <v>0</v>
      </c>
      <c r="U7239" s="47">
        <v>0</v>
      </c>
      <c r="V7239" s="47">
        <v>0</v>
      </c>
      <c r="W7239" s="47"/>
      <c r="X7239" s="47">
        <v>1238</v>
      </c>
      <c r="Y7239" s="47"/>
      <c r="Z7239" s="47" t="s">
        <v>2466</v>
      </c>
      <c r="AA7239" s="49"/>
      <c r="AB7239" s="49"/>
      <c r="AC7239" s="49"/>
      <c r="AD7239" s="50"/>
      <c r="AE7239" s="47" t="s">
        <v>7118</v>
      </c>
      <c r="AF7239" s="47">
        <v>65</v>
      </c>
      <c r="AG7239"/>
      <c r="AH7239"/>
      <c r="AI7239"/>
      <c r="AJ7239"/>
      <c r="AK7239"/>
      <c r="AL7239"/>
      <c r="AM7239"/>
      <c r="AN7239"/>
      <c r="AO7239"/>
      <c r="AP7239"/>
      <c r="AQ7239" t="s">
        <v>2526</v>
      </c>
      <c r="AR7239" s="32" t="s">
        <v>7119</v>
      </c>
      <c r="AU7239">
        <v>7238</v>
      </c>
    </row>
    <row r="7240" spans="1:47" x14ac:dyDescent="0.2">
      <c r="A7240" s="133">
        <v>6884</v>
      </c>
      <c r="B7240" s="39" t="s">
        <v>45</v>
      </c>
      <c r="C7240" s="39">
        <v>115</v>
      </c>
      <c r="D7240" s="29" t="b">
        <v>0</v>
      </c>
      <c r="E7240" s="39" t="s">
        <v>153</v>
      </c>
      <c r="F7240" s="47" t="s">
        <v>2398</v>
      </c>
      <c r="G7240" s="47" t="s">
        <v>49</v>
      </c>
      <c r="H7240"/>
      <c r="I7240" s="47" t="b">
        <v>0</v>
      </c>
      <c r="J7240" s="47" t="b">
        <v>0</v>
      </c>
      <c r="K7240" s="47">
        <v>1372</v>
      </c>
      <c r="L7240" s="48">
        <v>2</v>
      </c>
      <c r="M7240" s="47">
        <v>0</v>
      </c>
      <c r="N7240" s="47">
        <v>0</v>
      </c>
      <c r="O7240" s="47">
        <v>0</v>
      </c>
      <c r="P7240" s="47">
        <v>0</v>
      </c>
      <c r="Q7240" s="47">
        <v>0</v>
      </c>
      <c r="R7240" s="47">
        <v>0</v>
      </c>
      <c r="S7240" s="48">
        <v>1</v>
      </c>
      <c r="T7240" s="47">
        <v>0</v>
      </c>
      <c r="U7240" s="47">
        <v>0</v>
      </c>
      <c r="V7240" s="47">
        <v>0</v>
      </c>
      <c r="W7240" s="47"/>
      <c r="X7240" s="47">
        <v>1239</v>
      </c>
      <c r="Y7240" s="47"/>
      <c r="Z7240" s="47" t="s">
        <v>2466</v>
      </c>
      <c r="AA7240" s="49"/>
      <c r="AB7240" s="49"/>
      <c r="AC7240" s="49"/>
      <c r="AD7240" s="50"/>
      <c r="AE7240" s="47" t="s">
        <v>7118</v>
      </c>
      <c r="AF7240" s="47">
        <v>50</v>
      </c>
      <c r="AG7240"/>
      <c r="AH7240"/>
      <c r="AI7240"/>
      <c r="AJ7240"/>
      <c r="AK7240"/>
      <c r="AL7240"/>
      <c r="AM7240"/>
      <c r="AN7240"/>
      <c r="AO7240"/>
      <c r="AP7240"/>
      <c r="AQ7240" t="s">
        <v>2526</v>
      </c>
      <c r="AR7240" s="32" t="s">
        <v>7119</v>
      </c>
      <c r="AU7240">
        <v>7239</v>
      </c>
    </row>
    <row r="7241" spans="1:47" x14ac:dyDescent="0.2">
      <c r="A7241" s="133">
        <v>6884</v>
      </c>
      <c r="B7241" s="39" t="s">
        <v>45</v>
      </c>
      <c r="C7241" s="39">
        <v>115</v>
      </c>
      <c r="D7241" s="29" t="b">
        <v>0</v>
      </c>
      <c r="E7241" s="39" t="s">
        <v>649</v>
      </c>
      <c r="F7241" s="47" t="s">
        <v>529</v>
      </c>
      <c r="G7241" s="47" t="s">
        <v>205</v>
      </c>
      <c r="H7241"/>
      <c r="I7241" s="47" t="b">
        <v>0</v>
      </c>
      <c r="J7241" s="47" t="b">
        <v>0</v>
      </c>
      <c r="K7241" s="47">
        <v>1568</v>
      </c>
      <c r="L7241" s="48">
        <v>2</v>
      </c>
      <c r="M7241" s="47">
        <v>0</v>
      </c>
      <c r="N7241" s="47">
        <v>0</v>
      </c>
      <c r="O7241" s="47">
        <v>0</v>
      </c>
      <c r="P7241" s="47">
        <v>0</v>
      </c>
      <c r="Q7241" s="47">
        <v>0</v>
      </c>
      <c r="R7241" s="47">
        <v>0</v>
      </c>
      <c r="S7241" s="48">
        <v>1</v>
      </c>
      <c r="T7241" s="47">
        <v>0</v>
      </c>
      <c r="U7241" s="47">
        <v>0</v>
      </c>
      <c r="V7241" s="47">
        <v>0</v>
      </c>
      <c r="W7241" s="47"/>
      <c r="X7241" s="47">
        <v>1240</v>
      </c>
      <c r="Y7241" s="47"/>
      <c r="Z7241" s="47" t="s">
        <v>2466</v>
      </c>
      <c r="AA7241" s="49"/>
      <c r="AB7241" s="49"/>
      <c r="AC7241" s="49"/>
      <c r="AD7241" s="50"/>
      <c r="AE7241" s="47" t="s">
        <v>7118</v>
      </c>
      <c r="AF7241" s="47">
        <v>65</v>
      </c>
      <c r="AG7241"/>
      <c r="AH7241"/>
      <c r="AI7241"/>
      <c r="AJ7241"/>
      <c r="AK7241"/>
      <c r="AL7241"/>
      <c r="AM7241"/>
      <c r="AN7241"/>
      <c r="AO7241"/>
      <c r="AP7241"/>
      <c r="AQ7241" t="s">
        <v>2526</v>
      </c>
      <c r="AR7241" s="32" t="s">
        <v>7119</v>
      </c>
      <c r="AU7241">
        <v>7240</v>
      </c>
    </row>
    <row r="7242" spans="1:47" x14ac:dyDescent="0.2">
      <c r="A7242" s="133">
        <v>6884</v>
      </c>
      <c r="B7242" s="39" t="s">
        <v>45</v>
      </c>
      <c r="C7242" s="39">
        <v>215</v>
      </c>
      <c r="D7242" s="29" t="b">
        <v>0</v>
      </c>
      <c r="E7242" s="39" t="s">
        <v>1551</v>
      </c>
      <c r="F7242" s="47" t="s">
        <v>529</v>
      </c>
      <c r="G7242" s="47" t="s">
        <v>205</v>
      </c>
      <c r="H7242"/>
      <c r="I7242" s="47" t="b">
        <v>0</v>
      </c>
      <c r="J7242" s="47" t="b">
        <v>1</v>
      </c>
      <c r="K7242" s="47">
        <v>1568</v>
      </c>
      <c r="L7242" s="48">
        <v>-1</v>
      </c>
      <c r="M7242" s="47">
        <v>0</v>
      </c>
      <c r="N7242" s="47">
        <v>0</v>
      </c>
      <c r="O7242" s="47">
        <v>0</v>
      </c>
      <c r="P7242" s="47">
        <v>0</v>
      </c>
      <c r="Q7242" s="47">
        <v>0</v>
      </c>
      <c r="R7242" s="47">
        <v>0</v>
      </c>
      <c r="S7242" s="48">
        <v>1</v>
      </c>
      <c r="T7242" s="47">
        <v>0</v>
      </c>
      <c r="U7242" s="47">
        <v>0</v>
      </c>
      <c r="V7242" s="47">
        <v>1</v>
      </c>
      <c r="W7242" s="47"/>
      <c r="X7242" s="47">
        <v>1241</v>
      </c>
      <c r="Y7242" s="47"/>
      <c r="Z7242" s="47" t="s">
        <v>2466</v>
      </c>
      <c r="AA7242" s="49"/>
      <c r="AB7242" s="49"/>
      <c r="AC7242" s="49"/>
      <c r="AD7242" s="50"/>
      <c r="AE7242" s="47"/>
      <c r="AF7242" s="47"/>
      <c r="AG7242"/>
      <c r="AH7242"/>
      <c r="AI7242"/>
      <c r="AJ7242"/>
      <c r="AK7242"/>
      <c r="AL7242"/>
      <c r="AM7242"/>
      <c r="AN7242"/>
      <c r="AO7242"/>
      <c r="AP7242"/>
      <c r="AQ7242" t="s">
        <v>2526</v>
      </c>
      <c r="AU7242">
        <v>7241</v>
      </c>
    </row>
    <row r="7243" spans="1:47" x14ac:dyDescent="0.2">
      <c r="A7243" s="133">
        <v>6884</v>
      </c>
      <c r="B7243" s="39" t="s">
        <v>45</v>
      </c>
      <c r="C7243" s="39">
        <v>216</v>
      </c>
      <c r="D7243" s="29" t="b">
        <v>0</v>
      </c>
      <c r="E7243" s="39" t="s">
        <v>1551</v>
      </c>
      <c r="F7243" s="47" t="s">
        <v>529</v>
      </c>
      <c r="G7243" s="47" t="s">
        <v>205</v>
      </c>
      <c r="H7243"/>
      <c r="I7243" s="47" t="b">
        <v>0</v>
      </c>
      <c r="J7243" s="47" t="b">
        <v>1</v>
      </c>
      <c r="K7243" s="47">
        <v>1446</v>
      </c>
      <c r="L7243" s="48">
        <v>-1</v>
      </c>
      <c r="M7243" s="47">
        <v>0</v>
      </c>
      <c r="N7243" s="47">
        <v>0</v>
      </c>
      <c r="O7243" s="47">
        <v>0</v>
      </c>
      <c r="P7243" s="47">
        <v>0</v>
      </c>
      <c r="Q7243" s="47">
        <v>0</v>
      </c>
      <c r="R7243" s="47">
        <v>0</v>
      </c>
      <c r="S7243" s="48">
        <v>1</v>
      </c>
      <c r="T7243" s="47">
        <v>0</v>
      </c>
      <c r="U7243" s="47">
        <v>0</v>
      </c>
      <c r="V7243" s="47">
        <v>1</v>
      </c>
      <c r="W7243" s="47"/>
      <c r="X7243" s="47">
        <v>1242</v>
      </c>
      <c r="Y7243" s="47"/>
      <c r="Z7243" s="47" t="s">
        <v>2466</v>
      </c>
      <c r="AA7243" s="49"/>
      <c r="AB7243" s="49"/>
      <c r="AC7243" s="49"/>
      <c r="AD7243" s="50"/>
      <c r="AE7243" s="47" t="s">
        <v>1312</v>
      </c>
      <c r="AF7243" s="47">
        <v>60</v>
      </c>
      <c r="AG7243"/>
      <c r="AH7243"/>
      <c r="AI7243"/>
      <c r="AJ7243"/>
      <c r="AK7243"/>
      <c r="AL7243"/>
      <c r="AM7243"/>
      <c r="AN7243"/>
      <c r="AO7243"/>
      <c r="AP7243"/>
      <c r="AQ7243" t="s">
        <v>2526</v>
      </c>
      <c r="AU7243">
        <v>7242</v>
      </c>
    </row>
    <row r="7244" spans="1:47" x14ac:dyDescent="0.2">
      <c r="A7244" s="26">
        <v>6884</v>
      </c>
      <c r="B7244" s="27">
        <v>4.7222222222222221E-2</v>
      </c>
      <c r="C7244" s="28"/>
      <c r="D7244" s="29"/>
      <c r="E7244" s="30" t="s">
        <v>4519</v>
      </c>
      <c r="H7244" s="32">
        <v>0</v>
      </c>
      <c r="I7244" s="32" t="s">
        <v>4520</v>
      </c>
      <c r="AG7244" s="32">
        <v>0</v>
      </c>
      <c r="AH7244" s="32">
        <v>0</v>
      </c>
      <c r="AI7244" s="32">
        <v>0</v>
      </c>
      <c r="AK7244" s="32">
        <v>0</v>
      </c>
      <c r="AL7244" s="32">
        <f>27/60</f>
        <v>0.45</v>
      </c>
      <c r="AM7244" s="32">
        <f>AL7244*(261300+974800)/18.75</f>
        <v>29666.400000000001</v>
      </c>
      <c r="AP7244" s="32">
        <f>27/60</f>
        <v>0.45</v>
      </c>
      <c r="AQ7244" s="32" t="s">
        <v>589</v>
      </c>
      <c r="AU7244">
        <v>7243</v>
      </c>
    </row>
    <row r="7245" spans="1:47" x14ac:dyDescent="0.2">
      <c r="A7245" s="26">
        <v>6884</v>
      </c>
      <c r="B7245" s="27">
        <v>0.4826388888888889</v>
      </c>
      <c r="C7245" s="28"/>
      <c r="D7245" s="29"/>
      <c r="E7245" s="30" t="s">
        <v>3737</v>
      </c>
      <c r="H7245" s="32">
        <v>0</v>
      </c>
      <c r="I7245" s="32" t="s">
        <v>4926</v>
      </c>
      <c r="AG7245" s="32">
        <v>0</v>
      </c>
      <c r="AH7245" s="32">
        <v>0</v>
      </c>
      <c r="AI7245" s="32">
        <v>0</v>
      </c>
      <c r="AK7245" s="32">
        <v>0</v>
      </c>
      <c r="AM7245" s="74"/>
      <c r="AQ7245" s="32" t="s">
        <v>1101</v>
      </c>
      <c r="AU7245">
        <v>7244</v>
      </c>
    </row>
    <row r="7246" spans="1:47" x14ac:dyDescent="0.2">
      <c r="A7246" s="26">
        <v>6884</v>
      </c>
      <c r="B7246" s="27">
        <v>0.53680555555555554</v>
      </c>
      <c r="C7246" s="28"/>
      <c r="D7246" s="29"/>
      <c r="E7246" s="102" t="s">
        <v>5200</v>
      </c>
      <c r="H7246" s="32">
        <v>0</v>
      </c>
      <c r="I7246" s="32" t="s">
        <v>5893</v>
      </c>
      <c r="AG7246" s="32">
        <v>0</v>
      </c>
      <c r="AH7246" s="32">
        <v>0</v>
      </c>
      <c r="AI7246" s="32">
        <v>0</v>
      </c>
      <c r="AK7246" s="32">
        <v>0</v>
      </c>
      <c r="AL7246" s="32">
        <v>0.66700000000000004</v>
      </c>
      <c r="AO7246" s="73"/>
      <c r="AP7246" s="32">
        <v>0.66700000000000004</v>
      </c>
      <c r="AQ7246" s="32" t="s">
        <v>589</v>
      </c>
      <c r="AU7246">
        <v>7245</v>
      </c>
    </row>
    <row r="7247" spans="1:47" x14ac:dyDescent="0.2">
      <c r="A7247" s="26">
        <v>6884</v>
      </c>
      <c r="B7247" s="27">
        <v>0.54513888888888895</v>
      </c>
      <c r="C7247" s="28"/>
      <c r="D7247" s="29"/>
      <c r="E7247" s="30" t="s">
        <v>4713</v>
      </c>
      <c r="H7247" s="32">
        <v>0</v>
      </c>
      <c r="I7247" s="32" t="s">
        <v>4714</v>
      </c>
      <c r="AG7247" s="32">
        <v>0</v>
      </c>
      <c r="AH7247" s="32">
        <v>0</v>
      </c>
      <c r="AI7247" s="32">
        <v>0</v>
      </c>
      <c r="AK7247" s="32">
        <v>0</v>
      </c>
      <c r="AL7247" s="32">
        <f>25/60</f>
        <v>0.41666666666666669</v>
      </c>
      <c r="AP7247" s="32">
        <f>25/60</f>
        <v>0.41666666666666669</v>
      </c>
      <c r="AQ7247" s="32" t="s">
        <v>1101</v>
      </c>
      <c r="AU7247">
        <v>7246</v>
      </c>
    </row>
    <row r="7248" spans="1:47" x14ac:dyDescent="0.2">
      <c r="A7248" s="26">
        <v>6884</v>
      </c>
      <c r="B7248" s="27">
        <v>0.54513888888888895</v>
      </c>
      <c r="C7248" s="28"/>
      <c r="D7248" s="29"/>
      <c r="E7248" s="30" t="s">
        <v>110</v>
      </c>
      <c r="H7248" s="32">
        <v>0</v>
      </c>
      <c r="I7248" s="32" t="s">
        <v>3587</v>
      </c>
      <c r="AG7248" s="32">
        <v>0</v>
      </c>
      <c r="AH7248" s="32">
        <v>0</v>
      </c>
      <c r="AI7248" s="32">
        <v>0</v>
      </c>
      <c r="AK7248" s="32">
        <v>0</v>
      </c>
      <c r="AL7248" s="32">
        <f>21/60</f>
        <v>0.35</v>
      </c>
      <c r="AP7248" s="32">
        <f>21/60</f>
        <v>0.35</v>
      </c>
      <c r="AQ7248" s="32" t="s">
        <v>1101</v>
      </c>
      <c r="AU7248">
        <v>7247</v>
      </c>
    </row>
    <row r="7249" spans="1:47" x14ac:dyDescent="0.2">
      <c r="A7249" s="26">
        <v>6884</v>
      </c>
      <c r="B7249" s="27">
        <v>0.85763888888888884</v>
      </c>
      <c r="C7249" s="28"/>
      <c r="D7249" s="29"/>
      <c r="E7249" s="30" t="s">
        <v>4219</v>
      </c>
      <c r="H7249" s="32">
        <v>1</v>
      </c>
      <c r="I7249" s="32" t="s">
        <v>7752</v>
      </c>
      <c r="AL7249" s="32">
        <v>0.5</v>
      </c>
      <c r="AO7249" s="32" t="s">
        <v>858</v>
      </c>
      <c r="AP7249" s="32">
        <v>0.5</v>
      </c>
      <c r="AQ7249" s="32" t="s">
        <v>1101</v>
      </c>
      <c r="AU7249">
        <v>7248</v>
      </c>
    </row>
    <row r="7250" spans="1:47" x14ac:dyDescent="0.2">
      <c r="A7250" s="26">
        <v>6884</v>
      </c>
      <c r="B7250" s="27">
        <v>0.8652777777777777</v>
      </c>
      <c r="C7250" s="28"/>
      <c r="D7250" s="29"/>
      <c r="E7250" s="30" t="s">
        <v>3737</v>
      </c>
      <c r="H7250" s="32">
        <v>0</v>
      </c>
      <c r="I7250" s="32" t="s">
        <v>4926</v>
      </c>
      <c r="AG7250" s="32">
        <v>0</v>
      </c>
      <c r="AH7250" s="32">
        <v>0</v>
      </c>
      <c r="AI7250" s="32">
        <v>0</v>
      </c>
      <c r="AK7250" s="32">
        <v>0</v>
      </c>
      <c r="AL7250" s="32">
        <f>33/60</f>
        <v>0.55000000000000004</v>
      </c>
      <c r="AM7250" s="33">
        <f>3125*AL7250</f>
        <v>1718.7500000000002</v>
      </c>
      <c r="AP7250" s="32">
        <f>33/60</f>
        <v>0.55000000000000004</v>
      </c>
      <c r="AQ7250" s="32" t="s">
        <v>1101</v>
      </c>
      <c r="AU7250">
        <v>7249</v>
      </c>
    </row>
    <row r="7251" spans="1:47" x14ac:dyDescent="0.2">
      <c r="A7251" s="26">
        <v>6884</v>
      </c>
      <c r="B7251" s="27">
        <v>0.86736111111111114</v>
      </c>
      <c r="C7251" s="28"/>
      <c r="D7251" s="29"/>
      <c r="E7251" s="30" t="s">
        <v>869</v>
      </c>
      <c r="H7251" s="32">
        <v>0</v>
      </c>
      <c r="I7251" s="32" t="s">
        <v>2344</v>
      </c>
      <c r="AG7251" s="32">
        <v>0</v>
      </c>
      <c r="AH7251" s="32">
        <v>0</v>
      </c>
      <c r="AI7251" s="32">
        <v>0</v>
      </c>
      <c r="AK7251" s="32">
        <v>0</v>
      </c>
      <c r="AL7251" s="32">
        <f>16/60</f>
        <v>0.26666666666666666</v>
      </c>
      <c r="AP7251" s="32">
        <f>16/60</f>
        <v>0.26666666666666666</v>
      </c>
      <c r="AQ7251" s="32" t="s">
        <v>589</v>
      </c>
      <c r="AU7251">
        <v>7250</v>
      </c>
    </row>
    <row r="7252" spans="1:47" x14ac:dyDescent="0.2">
      <c r="A7252" s="26">
        <v>6884</v>
      </c>
      <c r="B7252" s="27">
        <v>0.89722222222222225</v>
      </c>
      <c r="C7252" s="28"/>
      <c r="D7252" s="29"/>
      <c r="E7252" s="30" t="s">
        <v>3737</v>
      </c>
      <c r="H7252" s="32">
        <v>0</v>
      </c>
      <c r="I7252" s="32" t="s">
        <v>4926</v>
      </c>
      <c r="AG7252" s="32">
        <v>0</v>
      </c>
      <c r="AH7252" s="32">
        <v>0</v>
      </c>
      <c r="AI7252" s="32">
        <v>0</v>
      </c>
      <c r="AK7252" s="32">
        <v>0</v>
      </c>
      <c r="AM7252" s="74"/>
      <c r="AQ7252" s="32" t="s">
        <v>1101</v>
      </c>
      <c r="AU7252">
        <v>7251</v>
      </c>
    </row>
    <row r="7253" spans="1:47" x14ac:dyDescent="0.2">
      <c r="A7253" s="26">
        <v>6884</v>
      </c>
      <c r="B7253" s="27">
        <v>0.91180555555555554</v>
      </c>
      <c r="C7253" s="28"/>
      <c r="D7253" s="29"/>
      <c r="E7253" s="30" t="s">
        <v>2964</v>
      </c>
      <c r="H7253" s="32">
        <v>0</v>
      </c>
      <c r="I7253" s="32" t="s">
        <v>4158</v>
      </c>
      <c r="AG7253" s="32">
        <v>0</v>
      </c>
      <c r="AH7253" s="32">
        <v>0</v>
      </c>
      <c r="AI7253" s="32">
        <v>0</v>
      </c>
      <c r="AK7253" s="32">
        <v>0</v>
      </c>
      <c r="AL7253" s="32">
        <f>9/60</f>
        <v>0.15</v>
      </c>
      <c r="AP7253" s="32">
        <f>9/60</f>
        <v>0.15</v>
      </c>
      <c r="AQ7253" s="32" t="s">
        <v>1101</v>
      </c>
      <c r="AU7253">
        <v>7252</v>
      </c>
    </row>
    <row r="7254" spans="1:47" x14ac:dyDescent="0.2">
      <c r="A7254" s="26">
        <v>6884</v>
      </c>
      <c r="B7254" s="27"/>
      <c r="C7254" s="28"/>
      <c r="D7254" s="29"/>
      <c r="E7254" s="30" t="s">
        <v>153</v>
      </c>
      <c r="H7254" s="32">
        <v>1</v>
      </c>
      <c r="I7254" s="32" t="s">
        <v>7753</v>
      </c>
      <c r="AG7254" s="32">
        <v>1</v>
      </c>
      <c r="AH7254" s="32">
        <v>0</v>
      </c>
      <c r="AK7254" s="32">
        <v>12</v>
      </c>
      <c r="AO7254" s="46" t="s">
        <v>155</v>
      </c>
      <c r="AP7254" s="46"/>
      <c r="AQ7254" s="32">
        <v>448</v>
      </c>
      <c r="AU7254">
        <v>7253</v>
      </c>
    </row>
    <row r="7255" spans="1:47" x14ac:dyDescent="0.2">
      <c r="A7255" s="133">
        <v>6885</v>
      </c>
      <c r="B7255" s="39" t="s">
        <v>85</v>
      </c>
      <c r="C7255" s="39">
        <v>55</v>
      </c>
      <c r="D7255" s="29" t="b">
        <v>0</v>
      </c>
      <c r="E7255" s="39" t="s">
        <v>7754</v>
      </c>
      <c r="F7255" s="47" t="s">
        <v>7755</v>
      </c>
      <c r="G7255" s="47" t="s">
        <v>481</v>
      </c>
      <c r="H7255"/>
      <c r="I7255" s="47" t="b">
        <v>1</v>
      </c>
      <c r="J7255" s="47" t="b">
        <v>1</v>
      </c>
      <c r="K7255" s="47">
        <v>1368</v>
      </c>
      <c r="L7255" s="48">
        <v>6</v>
      </c>
      <c r="M7255" s="47">
        <v>0</v>
      </c>
      <c r="N7255" s="47">
        <v>0</v>
      </c>
      <c r="O7255" s="47">
        <v>0</v>
      </c>
      <c r="P7255" s="47">
        <v>0</v>
      </c>
      <c r="Q7255" s="47">
        <v>0</v>
      </c>
      <c r="R7255" s="47">
        <v>0</v>
      </c>
      <c r="S7255" s="48">
        <v>6</v>
      </c>
      <c r="T7255" s="47">
        <v>1</v>
      </c>
      <c r="U7255" s="47">
        <v>0</v>
      </c>
      <c r="V7255" s="47">
        <v>0</v>
      </c>
      <c r="W7255" s="47">
        <v>16000</v>
      </c>
      <c r="X7255" s="47">
        <v>1243</v>
      </c>
      <c r="Y7255" s="47" t="s">
        <v>120</v>
      </c>
      <c r="Z7255" s="47" t="s">
        <v>3618</v>
      </c>
      <c r="AA7255" s="49">
        <v>0.52083333333333337</v>
      </c>
      <c r="AB7255" s="49">
        <v>0.63541666666666663</v>
      </c>
      <c r="AC7255" s="49">
        <v>0.58333333333333337</v>
      </c>
      <c r="AD7255" s="50">
        <f>(AB7255-AA7255)*24</f>
        <v>2.7499999999999982</v>
      </c>
      <c r="AE7255" s="47" t="s">
        <v>5433</v>
      </c>
      <c r="AF7255" s="47">
        <v>90</v>
      </c>
      <c r="AG7255"/>
      <c r="AH7255"/>
      <c r="AI7255"/>
      <c r="AJ7255"/>
      <c r="AK7255">
        <v>8</v>
      </c>
      <c r="AL7255"/>
      <c r="AM7255"/>
      <c r="AN7255"/>
      <c r="AO7255"/>
      <c r="AP7255"/>
      <c r="AQ7255" t="s">
        <v>5434</v>
      </c>
      <c r="AU7255">
        <v>7254</v>
      </c>
    </row>
    <row r="7256" spans="1:47" x14ac:dyDescent="0.2">
      <c r="A7256" s="133">
        <v>6885</v>
      </c>
      <c r="B7256" s="39" t="s">
        <v>85</v>
      </c>
      <c r="C7256" s="39">
        <v>55</v>
      </c>
      <c r="D7256" s="29" t="b">
        <v>0</v>
      </c>
      <c r="E7256" s="39" t="s">
        <v>858</v>
      </c>
      <c r="F7256" s="47" t="s">
        <v>7552</v>
      </c>
      <c r="G7256" s="47" t="s">
        <v>481</v>
      </c>
      <c r="H7256"/>
      <c r="I7256" s="47" t="b">
        <v>0</v>
      </c>
      <c r="J7256" s="47" t="b">
        <v>0</v>
      </c>
      <c r="K7256" s="47">
        <v>1138</v>
      </c>
      <c r="L7256" s="48">
        <v>6</v>
      </c>
      <c r="M7256" s="47">
        <v>0</v>
      </c>
      <c r="N7256" s="47">
        <v>0</v>
      </c>
      <c r="O7256" s="47">
        <v>0</v>
      </c>
      <c r="P7256" s="47">
        <v>0</v>
      </c>
      <c r="Q7256" s="47">
        <v>0</v>
      </c>
      <c r="R7256" s="47">
        <v>0</v>
      </c>
      <c r="S7256" s="48">
        <v>5</v>
      </c>
      <c r="T7256" s="47">
        <v>1</v>
      </c>
      <c r="U7256" s="47">
        <v>0</v>
      </c>
      <c r="V7256" s="47">
        <v>0</v>
      </c>
      <c r="W7256" s="47">
        <v>16000</v>
      </c>
      <c r="X7256" s="47">
        <v>1244</v>
      </c>
      <c r="Y7256" s="47" t="s">
        <v>120</v>
      </c>
      <c r="Z7256" s="47" t="s">
        <v>3618</v>
      </c>
      <c r="AA7256" s="49">
        <v>0.52083333333333337</v>
      </c>
      <c r="AB7256" s="49">
        <v>0.63541666666666663</v>
      </c>
      <c r="AC7256" s="49">
        <v>0.58333333333333337</v>
      </c>
      <c r="AD7256" s="50">
        <f>(AB7256-AA7256)*24</f>
        <v>2.7499999999999982</v>
      </c>
      <c r="AE7256" s="47" t="s">
        <v>5433</v>
      </c>
      <c r="AF7256" s="47">
        <v>90</v>
      </c>
      <c r="AG7256"/>
      <c r="AH7256"/>
      <c r="AI7256"/>
      <c r="AJ7256"/>
      <c r="AK7256">
        <v>7</v>
      </c>
      <c r="AL7256"/>
      <c r="AM7256"/>
      <c r="AN7256"/>
      <c r="AO7256"/>
      <c r="AP7256"/>
      <c r="AQ7256" t="s">
        <v>5434</v>
      </c>
      <c r="AU7256">
        <v>7255</v>
      </c>
    </row>
    <row r="7257" spans="1:47" x14ac:dyDescent="0.2">
      <c r="A7257" s="133">
        <v>6885</v>
      </c>
      <c r="B7257" s="39" t="s">
        <v>85</v>
      </c>
      <c r="C7257" s="39">
        <v>55</v>
      </c>
      <c r="D7257" s="29" t="b">
        <v>0</v>
      </c>
      <c r="E7257" s="39" t="s">
        <v>5194</v>
      </c>
      <c r="F7257" s="47" t="s">
        <v>529</v>
      </c>
      <c r="G7257" s="47" t="s">
        <v>205</v>
      </c>
      <c r="H7257"/>
      <c r="I7257" s="47" t="b">
        <v>0</v>
      </c>
      <c r="J7257" s="47" t="b">
        <v>0</v>
      </c>
      <c r="K7257" s="47">
        <v>230</v>
      </c>
      <c r="L7257" s="48">
        <v>6</v>
      </c>
      <c r="M7257" s="47">
        <v>0</v>
      </c>
      <c r="N7257" s="47">
        <v>0</v>
      </c>
      <c r="O7257" s="47">
        <v>0</v>
      </c>
      <c r="P7257" s="47">
        <v>0</v>
      </c>
      <c r="Q7257" s="47">
        <v>0</v>
      </c>
      <c r="R7257" s="47">
        <v>0</v>
      </c>
      <c r="S7257" s="48">
        <v>1</v>
      </c>
      <c r="T7257" s="47">
        <v>1</v>
      </c>
      <c r="U7257" s="47">
        <v>0</v>
      </c>
      <c r="V7257" s="47">
        <v>0</v>
      </c>
      <c r="W7257" s="47"/>
      <c r="X7257" s="47">
        <v>1245</v>
      </c>
      <c r="Y7257" s="47" t="s">
        <v>51</v>
      </c>
      <c r="Z7257" s="47" t="s">
        <v>3618</v>
      </c>
      <c r="AA7257" s="49"/>
      <c r="AB7257" s="49">
        <v>0.60763888888888895</v>
      </c>
      <c r="AC7257" s="49"/>
      <c r="AD7257" s="50">
        <f>(AB7257-AA7257)*24</f>
        <v>14.583333333333336</v>
      </c>
      <c r="AE7257" s="47" t="s">
        <v>5433</v>
      </c>
      <c r="AF7257" s="47"/>
      <c r="AG7257"/>
      <c r="AH7257"/>
      <c r="AI7257"/>
      <c r="AJ7257"/>
      <c r="AK7257">
        <v>1</v>
      </c>
      <c r="AL7257"/>
      <c r="AM7257"/>
      <c r="AN7257"/>
      <c r="AO7257"/>
      <c r="AP7257"/>
      <c r="AQ7257" t="s">
        <v>5434</v>
      </c>
      <c r="AU7257">
        <v>7256</v>
      </c>
    </row>
    <row r="7258" spans="1:47" x14ac:dyDescent="0.2">
      <c r="A7258" s="133">
        <v>6885</v>
      </c>
      <c r="B7258" s="39" t="s">
        <v>85</v>
      </c>
      <c r="C7258" s="39">
        <v>99</v>
      </c>
      <c r="D7258" s="29" t="b">
        <v>0</v>
      </c>
      <c r="E7258" s="39" t="s">
        <v>3575</v>
      </c>
      <c r="F7258" s="47" t="s">
        <v>529</v>
      </c>
      <c r="G7258" s="47" t="s">
        <v>205</v>
      </c>
      <c r="H7258"/>
      <c r="I7258" s="47" t="b">
        <v>0</v>
      </c>
      <c r="J7258" s="47" t="b">
        <v>1</v>
      </c>
      <c r="K7258" s="47">
        <v>2302</v>
      </c>
      <c r="L7258" s="48">
        <v>-1</v>
      </c>
      <c r="M7258" s="47">
        <v>0</v>
      </c>
      <c r="N7258" s="47">
        <v>0</v>
      </c>
      <c r="O7258" s="47">
        <v>0</v>
      </c>
      <c r="P7258" s="47">
        <v>0</v>
      </c>
      <c r="Q7258" s="47">
        <v>0</v>
      </c>
      <c r="R7258" s="47">
        <v>0</v>
      </c>
      <c r="S7258" s="48">
        <v>10</v>
      </c>
      <c r="T7258" s="47">
        <v>1</v>
      </c>
      <c r="U7258" s="47">
        <v>0</v>
      </c>
      <c r="V7258" s="47">
        <v>0</v>
      </c>
      <c r="W7258" s="47">
        <v>11000</v>
      </c>
      <c r="X7258" s="47">
        <v>1246</v>
      </c>
      <c r="Y7258" s="47" t="s">
        <v>120</v>
      </c>
      <c r="Z7258" s="47" t="s">
        <v>5139</v>
      </c>
      <c r="AA7258" s="49">
        <v>0.51388888888888895</v>
      </c>
      <c r="AB7258" s="49">
        <v>0.61458333333333337</v>
      </c>
      <c r="AC7258" s="49">
        <v>0.58680555555555558</v>
      </c>
      <c r="AD7258" s="50">
        <f>(AB7258-AA7258)*24</f>
        <v>2.4166666666666661</v>
      </c>
      <c r="AE7258" s="47" t="s">
        <v>5433</v>
      </c>
      <c r="AF7258" s="47">
        <v>140</v>
      </c>
      <c r="AG7258"/>
      <c r="AH7258"/>
      <c r="AI7258"/>
      <c r="AJ7258"/>
      <c r="AK7258">
        <v>17</v>
      </c>
      <c r="AL7258"/>
      <c r="AM7258"/>
      <c r="AN7258"/>
      <c r="AO7258"/>
      <c r="AP7258"/>
      <c r="AQ7258" t="s">
        <v>2526</v>
      </c>
      <c r="AU7258">
        <v>7257</v>
      </c>
    </row>
    <row r="7259" spans="1:47" x14ac:dyDescent="0.2">
      <c r="A7259" s="133">
        <v>6885</v>
      </c>
      <c r="B7259" s="39" t="s">
        <v>85</v>
      </c>
      <c r="C7259" s="39">
        <v>104</v>
      </c>
      <c r="D7259" s="29" t="b">
        <v>0</v>
      </c>
      <c r="E7259" s="39" t="s">
        <v>3575</v>
      </c>
      <c r="F7259" s="47" t="s">
        <v>529</v>
      </c>
      <c r="G7259" s="47" t="s">
        <v>205</v>
      </c>
      <c r="H7259"/>
      <c r="I7259" s="47" t="b">
        <v>0</v>
      </c>
      <c r="J7259" s="47" t="b">
        <v>1</v>
      </c>
      <c r="K7259" s="47">
        <v>2506</v>
      </c>
      <c r="L7259" s="48">
        <v>12</v>
      </c>
      <c r="M7259" s="47">
        <v>0</v>
      </c>
      <c r="N7259" s="47">
        <v>1</v>
      </c>
      <c r="O7259" s="47">
        <v>0</v>
      </c>
      <c r="P7259" s="47">
        <v>0</v>
      </c>
      <c r="Q7259" s="47">
        <v>0</v>
      </c>
      <c r="R7259" s="47">
        <v>0</v>
      </c>
      <c r="S7259" s="48">
        <v>11</v>
      </c>
      <c r="T7259" s="47">
        <v>2</v>
      </c>
      <c r="U7259" s="47">
        <v>0</v>
      </c>
      <c r="V7259" s="47">
        <v>0</v>
      </c>
      <c r="W7259" s="47">
        <v>11000</v>
      </c>
      <c r="X7259" s="47">
        <v>1247</v>
      </c>
      <c r="Y7259" s="47" t="s">
        <v>120</v>
      </c>
      <c r="Z7259" s="47" t="s">
        <v>5139</v>
      </c>
      <c r="AA7259" s="49">
        <v>0.5</v>
      </c>
      <c r="AB7259" s="49">
        <v>0.60416666666666663</v>
      </c>
      <c r="AC7259" s="49">
        <v>0.59027777777777779</v>
      </c>
      <c r="AD7259" s="50">
        <f>(AB7259-AA7259)*24</f>
        <v>2.4999999999999991</v>
      </c>
      <c r="AE7259" s="47" t="s">
        <v>5433</v>
      </c>
      <c r="AF7259" s="47">
        <v>140</v>
      </c>
      <c r="AG7259"/>
      <c r="AH7259"/>
      <c r="AI7259"/>
      <c r="AJ7259"/>
      <c r="AK7259">
        <v>15</v>
      </c>
      <c r="AL7259"/>
      <c r="AM7259"/>
      <c r="AN7259"/>
      <c r="AO7259"/>
      <c r="AP7259"/>
      <c r="AQ7259" t="s">
        <v>5485</v>
      </c>
      <c r="AU7259">
        <v>7258</v>
      </c>
    </row>
    <row r="7260" spans="1:47" x14ac:dyDescent="0.2">
      <c r="A7260" s="133">
        <v>6885</v>
      </c>
      <c r="B7260" s="39" t="s">
        <v>85</v>
      </c>
      <c r="C7260" s="39" t="s">
        <v>7739</v>
      </c>
      <c r="D7260" s="29"/>
      <c r="E7260" s="39" t="s">
        <v>7756</v>
      </c>
      <c r="F7260" s="47" t="s">
        <v>7757</v>
      </c>
      <c r="G7260" s="47"/>
      <c r="H7260"/>
      <c r="I7260" s="47" t="s">
        <v>7758</v>
      </c>
      <c r="J7260" s="47"/>
      <c r="K7260" s="47">
        <f>13000*2.2</f>
        <v>28600.000000000004</v>
      </c>
      <c r="L7260" s="48">
        <v>66</v>
      </c>
      <c r="M7260" s="47"/>
      <c r="N7260" s="47"/>
      <c r="O7260" s="47"/>
      <c r="P7260" s="47"/>
      <c r="Q7260" s="47"/>
      <c r="R7260" s="47"/>
      <c r="S7260" s="48"/>
      <c r="T7260" s="47">
        <v>1</v>
      </c>
      <c r="U7260" s="47"/>
      <c r="V7260" s="47"/>
      <c r="W7260" s="47"/>
      <c r="X7260" s="47"/>
      <c r="Y7260" s="47"/>
      <c r="Z7260" s="47"/>
      <c r="AA7260" s="49"/>
      <c r="AB7260" s="49"/>
      <c r="AC7260" s="49"/>
      <c r="AD7260" s="50"/>
      <c r="AE7260" s="47"/>
      <c r="AF7260" s="47"/>
      <c r="AG7260"/>
      <c r="AH7260"/>
      <c r="AI7260"/>
      <c r="AJ7260"/>
      <c r="AK7260"/>
      <c r="AL7260"/>
      <c r="AM7260"/>
      <c r="AN7260"/>
      <c r="AO7260"/>
      <c r="AP7260"/>
      <c r="AQ7260"/>
      <c r="AU7260">
        <v>7259</v>
      </c>
    </row>
    <row r="7261" spans="1:47" x14ac:dyDescent="0.2">
      <c r="A7261" s="26">
        <v>6885</v>
      </c>
      <c r="B7261" s="27">
        <v>0.5395833333333333</v>
      </c>
      <c r="C7261" s="28"/>
      <c r="D7261" s="29"/>
      <c r="E7261" s="30" t="s">
        <v>5224</v>
      </c>
      <c r="H7261" s="32">
        <v>0</v>
      </c>
      <c r="I7261" s="32" t="s">
        <v>7759</v>
      </c>
      <c r="AG7261" s="32">
        <v>0</v>
      </c>
      <c r="AH7261" s="32">
        <v>0</v>
      </c>
      <c r="AI7261" s="32">
        <v>0</v>
      </c>
      <c r="AK7261" s="32">
        <v>0</v>
      </c>
      <c r="AL7261" s="32">
        <f>36/60</f>
        <v>0.6</v>
      </c>
      <c r="AP7261" s="32">
        <f>36/60</f>
        <v>0.6</v>
      </c>
      <c r="AQ7261" s="32" t="s">
        <v>1101</v>
      </c>
      <c r="AU7261">
        <v>7260</v>
      </c>
    </row>
    <row r="7262" spans="1:47" x14ac:dyDescent="0.2">
      <c r="A7262" s="26">
        <v>6885</v>
      </c>
      <c r="B7262" s="27">
        <v>0.63541666666666663</v>
      </c>
      <c r="C7262" s="28"/>
      <c r="D7262" s="29"/>
      <c r="E7262" s="30" t="s">
        <v>3737</v>
      </c>
      <c r="H7262" s="32">
        <v>0</v>
      </c>
      <c r="I7262" s="32" t="s">
        <v>4926</v>
      </c>
      <c r="AG7262" s="32">
        <v>0</v>
      </c>
      <c r="AH7262" s="32">
        <v>0</v>
      </c>
      <c r="AI7262" s="32">
        <v>0</v>
      </c>
      <c r="AK7262" s="32">
        <v>0</v>
      </c>
      <c r="AM7262" s="74"/>
      <c r="AQ7262" s="32" t="s">
        <v>1101</v>
      </c>
      <c r="AU7262">
        <v>7261</v>
      </c>
    </row>
    <row r="7263" spans="1:47" x14ac:dyDescent="0.2">
      <c r="A7263" s="26">
        <v>6885</v>
      </c>
      <c r="B7263" s="27">
        <v>0.63888888888888895</v>
      </c>
      <c r="C7263" s="28"/>
      <c r="D7263" s="29"/>
      <c r="E7263" s="30" t="s">
        <v>4219</v>
      </c>
      <c r="H7263" s="32">
        <v>0</v>
      </c>
      <c r="I7263" s="32" t="s">
        <v>4249</v>
      </c>
      <c r="AG7263" s="32">
        <v>0</v>
      </c>
      <c r="AH7263" s="32">
        <v>0</v>
      </c>
      <c r="AI7263" s="32">
        <v>0</v>
      </c>
      <c r="AK7263" s="32">
        <v>0</v>
      </c>
      <c r="AL7263" s="32">
        <f>1/6</f>
        <v>0.16666666666666666</v>
      </c>
      <c r="AO7263" s="32" t="s">
        <v>858</v>
      </c>
      <c r="AP7263" s="32">
        <f>1/6</f>
        <v>0.16666666666666666</v>
      </c>
      <c r="AQ7263" s="32" t="s">
        <v>1101</v>
      </c>
      <c r="AU7263">
        <v>7262</v>
      </c>
    </row>
    <row r="7264" spans="1:47" x14ac:dyDescent="0.2">
      <c r="A7264" s="26">
        <v>6885</v>
      </c>
      <c r="B7264" s="27" t="s">
        <v>45</v>
      </c>
      <c r="C7264" s="28"/>
      <c r="D7264" s="29"/>
      <c r="E7264" s="102" t="s">
        <v>858</v>
      </c>
      <c r="H7264" s="32">
        <v>1</v>
      </c>
      <c r="I7264" s="32" t="s">
        <v>7760</v>
      </c>
      <c r="AK7264" s="32">
        <v>11</v>
      </c>
      <c r="AO7264" s="73"/>
      <c r="AQ7264" s="32" t="s">
        <v>7761</v>
      </c>
      <c r="AU7264">
        <v>7263</v>
      </c>
    </row>
    <row r="7265" spans="1:47" x14ac:dyDescent="0.2">
      <c r="A7265" s="26">
        <v>6885</v>
      </c>
      <c r="B7265" s="27"/>
      <c r="C7265" s="28"/>
      <c r="D7265" s="29"/>
      <c r="E7265" s="72" t="s">
        <v>872</v>
      </c>
      <c r="H7265" s="32">
        <v>1</v>
      </c>
      <c r="I7265" s="32" t="s">
        <v>7762</v>
      </c>
      <c r="AI7265" s="32">
        <v>1500</v>
      </c>
      <c r="AK7265" s="32">
        <v>1</v>
      </c>
      <c r="AO7265" s="73" t="s">
        <v>858</v>
      </c>
      <c r="AQ7265" s="32">
        <v>440</v>
      </c>
      <c r="AU7265">
        <v>7264</v>
      </c>
    </row>
    <row r="7266" spans="1:47" x14ac:dyDescent="0.2">
      <c r="A7266" s="133">
        <v>6888</v>
      </c>
      <c r="B7266" s="39" t="s">
        <v>85</v>
      </c>
      <c r="C7266" s="39">
        <v>55</v>
      </c>
      <c r="D7266" s="29" t="b">
        <v>0</v>
      </c>
      <c r="E7266" s="39" t="s">
        <v>653</v>
      </c>
      <c r="F7266" s="47" t="s">
        <v>5345</v>
      </c>
      <c r="G7266" s="47" t="s">
        <v>49</v>
      </c>
      <c r="H7266"/>
      <c r="I7266" s="47" t="b">
        <v>0</v>
      </c>
      <c r="J7266" s="47" t="b">
        <v>1</v>
      </c>
      <c r="K7266" s="47">
        <v>112</v>
      </c>
      <c r="L7266" s="48">
        <v>6</v>
      </c>
      <c r="M7266" s="47">
        <v>5</v>
      </c>
      <c r="N7266" s="47">
        <v>0</v>
      </c>
      <c r="O7266" s="47">
        <v>0</v>
      </c>
      <c r="P7266" s="47">
        <v>0</v>
      </c>
      <c r="Q7266" s="47">
        <v>0</v>
      </c>
      <c r="R7266" s="47">
        <v>0</v>
      </c>
      <c r="S7266" s="48">
        <v>1</v>
      </c>
      <c r="T7266" s="47">
        <v>0</v>
      </c>
      <c r="U7266" s="47">
        <v>0</v>
      </c>
      <c r="V7266" s="47">
        <v>0</v>
      </c>
      <c r="W7266" s="47">
        <v>150</v>
      </c>
      <c r="X7266" s="47">
        <v>1253</v>
      </c>
      <c r="Y7266" s="47" t="s">
        <v>51</v>
      </c>
      <c r="Z7266" s="47" t="s">
        <v>3618</v>
      </c>
      <c r="AA7266" s="49">
        <v>0.47916666666666669</v>
      </c>
      <c r="AB7266" s="49">
        <v>0.53125</v>
      </c>
      <c r="AC7266" s="49">
        <f>AVERAGE(AA7266:AB7266)</f>
        <v>0.50520833333333337</v>
      </c>
      <c r="AD7266" s="50">
        <f t="shared" ref="AD7266:AD7272" si="24">(AB7266-AA7266)*24</f>
        <v>1.2499999999999996</v>
      </c>
      <c r="AE7266" s="47" t="s">
        <v>5433</v>
      </c>
      <c r="AF7266" s="47">
        <v>50</v>
      </c>
      <c r="AG7266"/>
      <c r="AH7266"/>
      <c r="AI7266"/>
      <c r="AJ7266"/>
      <c r="AK7266">
        <v>1</v>
      </c>
      <c r="AL7266"/>
      <c r="AM7266"/>
      <c r="AN7266"/>
      <c r="AO7266"/>
      <c r="AP7266"/>
      <c r="AQ7266" t="s">
        <v>5434</v>
      </c>
      <c r="AU7266">
        <v>7265</v>
      </c>
    </row>
    <row r="7267" spans="1:47" x14ac:dyDescent="0.2">
      <c r="A7267" s="133">
        <v>6888</v>
      </c>
      <c r="B7267" s="39" t="s">
        <v>85</v>
      </c>
      <c r="C7267" s="39">
        <v>99</v>
      </c>
      <c r="D7267" s="29" t="b">
        <v>0</v>
      </c>
      <c r="E7267" s="39" t="s">
        <v>7763</v>
      </c>
      <c r="F7267" s="47" t="s">
        <v>7764</v>
      </c>
      <c r="G7267" s="47" t="s">
        <v>49</v>
      </c>
      <c r="H7267"/>
      <c r="I7267" s="47" t="b">
        <v>1</v>
      </c>
      <c r="J7267" s="47" t="b">
        <v>1</v>
      </c>
      <c r="K7267" s="47">
        <v>796</v>
      </c>
      <c r="L7267" s="48">
        <v>3</v>
      </c>
      <c r="M7267" s="47">
        <v>1</v>
      </c>
      <c r="N7267" s="47">
        <v>0</v>
      </c>
      <c r="O7267" s="47">
        <v>0</v>
      </c>
      <c r="P7267" s="47">
        <v>0</v>
      </c>
      <c r="Q7267" s="47">
        <v>0</v>
      </c>
      <c r="R7267" s="47">
        <v>0</v>
      </c>
      <c r="S7267" s="48">
        <v>2</v>
      </c>
      <c r="T7267" s="47">
        <v>0</v>
      </c>
      <c r="U7267" s="47">
        <v>0</v>
      </c>
      <c r="V7267" s="47">
        <v>0</v>
      </c>
      <c r="W7267" s="47"/>
      <c r="X7267" s="47">
        <v>1252</v>
      </c>
      <c r="Y7267" s="47" t="s">
        <v>51</v>
      </c>
      <c r="Z7267" s="47" t="s">
        <v>6984</v>
      </c>
      <c r="AA7267" s="49">
        <v>0.48958333333333331</v>
      </c>
      <c r="AB7267" s="49">
        <v>0.65277777777777779</v>
      </c>
      <c r="AC7267" s="49"/>
      <c r="AD7267" s="50">
        <f t="shared" si="24"/>
        <v>3.9166666666666674</v>
      </c>
      <c r="AE7267" s="47" t="s">
        <v>5433</v>
      </c>
      <c r="AF7267" s="47">
        <v>30</v>
      </c>
      <c r="AG7267"/>
      <c r="AH7267"/>
      <c r="AI7267"/>
      <c r="AJ7267"/>
      <c r="AK7267">
        <f>2+3</f>
        <v>5</v>
      </c>
      <c r="AL7267"/>
      <c r="AM7267"/>
      <c r="AN7267"/>
      <c r="AO7267"/>
      <c r="AP7267"/>
      <c r="AQ7267" t="s">
        <v>7765</v>
      </c>
      <c r="AU7267">
        <v>7266</v>
      </c>
    </row>
    <row r="7268" spans="1:47" x14ac:dyDescent="0.2">
      <c r="A7268" s="133">
        <v>6888</v>
      </c>
      <c r="B7268" s="39" t="s">
        <v>85</v>
      </c>
      <c r="C7268" s="39">
        <v>99</v>
      </c>
      <c r="D7268" s="29" t="b">
        <v>0</v>
      </c>
      <c r="E7268" s="39" t="s">
        <v>7766</v>
      </c>
      <c r="F7268" s="47" t="s">
        <v>348</v>
      </c>
      <c r="G7268" s="47" t="s">
        <v>49</v>
      </c>
      <c r="H7268"/>
      <c r="I7268" s="47" t="b">
        <v>0</v>
      </c>
      <c r="J7268" s="47" t="b">
        <v>0</v>
      </c>
      <c r="K7268" s="47">
        <v>460</v>
      </c>
      <c r="L7268" s="48">
        <v>3</v>
      </c>
      <c r="M7268" s="47">
        <v>1</v>
      </c>
      <c r="N7268" s="47">
        <v>0</v>
      </c>
      <c r="O7268" s="47">
        <v>0</v>
      </c>
      <c r="P7268" s="47">
        <v>0</v>
      </c>
      <c r="Q7268" s="47">
        <v>0</v>
      </c>
      <c r="R7268" s="47">
        <v>0</v>
      </c>
      <c r="S7268" s="48">
        <v>1</v>
      </c>
      <c r="T7268" s="47">
        <v>0</v>
      </c>
      <c r="U7268" s="47">
        <v>0</v>
      </c>
      <c r="V7268" s="47">
        <v>0</v>
      </c>
      <c r="W7268" s="47"/>
      <c r="X7268" s="47">
        <v>1251</v>
      </c>
      <c r="Y7268" s="47" t="s">
        <v>51</v>
      </c>
      <c r="Z7268" s="47" t="s">
        <v>6984</v>
      </c>
      <c r="AA7268" s="49">
        <v>0.48958333333333331</v>
      </c>
      <c r="AB7268" s="49">
        <v>0.59027777777777779</v>
      </c>
      <c r="AC7268" s="49">
        <f>AVERAGE(AA7268:AB7268)</f>
        <v>0.53993055555555558</v>
      </c>
      <c r="AD7268" s="50">
        <f t="shared" si="24"/>
        <v>2.4166666666666674</v>
      </c>
      <c r="AE7268" s="47" t="s">
        <v>5433</v>
      </c>
      <c r="AF7268" s="47">
        <v>30</v>
      </c>
      <c r="AG7268"/>
      <c r="AH7268"/>
      <c r="AI7268"/>
      <c r="AJ7268"/>
      <c r="AK7268">
        <v>2</v>
      </c>
      <c r="AL7268"/>
      <c r="AM7268"/>
      <c r="AN7268"/>
      <c r="AO7268"/>
      <c r="AP7268"/>
      <c r="AQ7268" t="s">
        <v>7765</v>
      </c>
      <c r="AU7268">
        <v>7267</v>
      </c>
    </row>
    <row r="7269" spans="1:47" x14ac:dyDescent="0.2">
      <c r="A7269" s="133">
        <v>6888</v>
      </c>
      <c r="B7269" s="39" t="s">
        <v>85</v>
      </c>
      <c r="C7269" s="39">
        <v>99</v>
      </c>
      <c r="D7269" s="29" t="b">
        <v>0</v>
      </c>
      <c r="E7269" s="39" t="s">
        <v>7763</v>
      </c>
      <c r="F7269" s="47" t="s">
        <v>7767</v>
      </c>
      <c r="G7269" s="47" t="s">
        <v>73</v>
      </c>
      <c r="H7269"/>
      <c r="I7269" s="47" t="b">
        <v>0</v>
      </c>
      <c r="J7269" s="47" t="b">
        <v>0</v>
      </c>
      <c r="K7269" s="47">
        <v>336</v>
      </c>
      <c r="L7269" s="48">
        <v>3</v>
      </c>
      <c r="M7269" s="47">
        <v>1</v>
      </c>
      <c r="N7269" s="47">
        <v>0</v>
      </c>
      <c r="O7269" s="47">
        <v>0</v>
      </c>
      <c r="P7269" s="47">
        <v>0</v>
      </c>
      <c r="Q7269" s="47">
        <v>0</v>
      </c>
      <c r="R7269" s="47">
        <v>0</v>
      </c>
      <c r="S7269" s="48">
        <v>1</v>
      </c>
      <c r="T7269" s="47">
        <v>0</v>
      </c>
      <c r="U7269" s="47">
        <v>0</v>
      </c>
      <c r="V7269" s="47">
        <v>0</v>
      </c>
      <c r="W7269" s="47"/>
      <c r="X7269" s="47">
        <v>1254</v>
      </c>
      <c r="Y7269" s="47" t="s">
        <v>51</v>
      </c>
      <c r="Z7269" s="47" t="s">
        <v>6984</v>
      </c>
      <c r="AA7269" s="49">
        <v>0.48958333333333331</v>
      </c>
      <c r="AB7269" s="49">
        <v>0.65277777777777779</v>
      </c>
      <c r="AC7269" s="49">
        <v>0.53472222222222221</v>
      </c>
      <c r="AD7269" s="50">
        <f t="shared" si="24"/>
        <v>3.9166666666666674</v>
      </c>
      <c r="AE7269" s="47" t="s">
        <v>5433</v>
      </c>
      <c r="AF7269" s="47">
        <v>30</v>
      </c>
      <c r="AG7269"/>
      <c r="AH7269"/>
      <c r="AI7269"/>
      <c r="AJ7269"/>
      <c r="AK7269">
        <v>3</v>
      </c>
      <c r="AL7269"/>
      <c r="AM7269"/>
      <c r="AN7269"/>
      <c r="AO7269"/>
      <c r="AP7269"/>
      <c r="AQ7269" t="s">
        <v>7765</v>
      </c>
      <c r="AU7269">
        <v>7268</v>
      </c>
    </row>
    <row r="7270" spans="1:47" x14ac:dyDescent="0.2">
      <c r="A7270" s="133">
        <v>6888</v>
      </c>
      <c r="B7270" s="39" t="s">
        <v>85</v>
      </c>
      <c r="C7270" s="39">
        <v>104</v>
      </c>
      <c r="D7270" s="29" t="b">
        <v>0</v>
      </c>
      <c r="E7270" s="39" t="s">
        <v>7768</v>
      </c>
      <c r="F7270" s="47" t="s">
        <v>7769</v>
      </c>
      <c r="G7270" s="47" t="s">
        <v>49</v>
      </c>
      <c r="H7270"/>
      <c r="I7270" s="47" t="b">
        <v>1</v>
      </c>
      <c r="J7270" s="47" t="b">
        <v>1</v>
      </c>
      <c r="K7270" s="47">
        <v>400</v>
      </c>
      <c r="L7270" s="48">
        <v>5</v>
      </c>
      <c r="M7270" s="47">
        <v>1</v>
      </c>
      <c r="N7270" s="47">
        <v>0</v>
      </c>
      <c r="O7270" s="47">
        <v>2</v>
      </c>
      <c r="P7270" s="47">
        <v>0</v>
      </c>
      <c r="Q7270" s="47">
        <v>0</v>
      </c>
      <c r="R7270" s="47">
        <v>0</v>
      </c>
      <c r="S7270" s="48">
        <v>2</v>
      </c>
      <c r="T7270" s="47">
        <v>0</v>
      </c>
      <c r="U7270" s="47">
        <v>0</v>
      </c>
      <c r="V7270" s="47">
        <v>0</v>
      </c>
      <c r="W7270" s="47">
        <v>1350</v>
      </c>
      <c r="X7270" s="47">
        <v>1250</v>
      </c>
      <c r="Y7270" s="47" t="s">
        <v>51</v>
      </c>
      <c r="Z7270" s="47" t="s">
        <v>5139</v>
      </c>
      <c r="AA7270" s="49">
        <v>0.61805555555555558</v>
      </c>
      <c r="AB7270" s="49">
        <v>0.65625</v>
      </c>
      <c r="AC7270" s="49">
        <f>AVERAGE(AA7270:AB7270)</f>
        <v>0.63715277777777779</v>
      </c>
      <c r="AD7270" s="50">
        <f t="shared" si="24"/>
        <v>0.91666666666666607</v>
      </c>
      <c r="AE7270" s="47" t="s">
        <v>5433</v>
      </c>
      <c r="AF7270" s="47">
        <v>55</v>
      </c>
      <c r="AG7270"/>
      <c r="AH7270"/>
      <c r="AI7270"/>
      <c r="AJ7270"/>
      <c r="AK7270">
        <v>8</v>
      </c>
      <c r="AL7270"/>
      <c r="AM7270"/>
      <c r="AN7270"/>
      <c r="AO7270"/>
      <c r="AP7270"/>
      <c r="AQ7270" t="s">
        <v>5485</v>
      </c>
      <c r="AR7270" s="32" t="s">
        <v>7770</v>
      </c>
      <c r="AU7270">
        <v>7269</v>
      </c>
    </row>
    <row r="7271" spans="1:47" x14ac:dyDescent="0.2">
      <c r="A7271" s="133">
        <v>6888</v>
      </c>
      <c r="B7271" s="39" t="s">
        <v>85</v>
      </c>
      <c r="C7271" s="39">
        <v>104</v>
      </c>
      <c r="D7271" s="29" t="b">
        <v>0</v>
      </c>
      <c r="E7271" s="39" t="s">
        <v>7771</v>
      </c>
      <c r="F7271" s="47" t="s">
        <v>5176</v>
      </c>
      <c r="G7271" s="47" t="s">
        <v>49</v>
      </c>
      <c r="H7271"/>
      <c r="I7271" s="47" t="b">
        <v>0</v>
      </c>
      <c r="J7271" s="47" t="b">
        <v>0</v>
      </c>
      <c r="K7271" s="47">
        <v>200</v>
      </c>
      <c r="L7271" s="48">
        <v>5</v>
      </c>
      <c r="M7271" s="47">
        <v>1</v>
      </c>
      <c r="N7271" s="47">
        <v>0</v>
      </c>
      <c r="O7271" s="47">
        <v>2</v>
      </c>
      <c r="P7271" s="47">
        <v>0</v>
      </c>
      <c r="Q7271" s="47">
        <v>0</v>
      </c>
      <c r="R7271" s="47">
        <v>0</v>
      </c>
      <c r="S7271" s="48">
        <v>1</v>
      </c>
      <c r="T7271" s="47">
        <v>0</v>
      </c>
      <c r="U7271" s="47">
        <v>0</v>
      </c>
      <c r="V7271" s="47">
        <v>0</v>
      </c>
      <c r="W7271" s="47">
        <v>1200</v>
      </c>
      <c r="X7271" s="47">
        <v>1248</v>
      </c>
      <c r="Y7271" s="47" t="s">
        <v>51</v>
      </c>
      <c r="Z7271" s="47" t="s">
        <v>5139</v>
      </c>
      <c r="AA7271" s="49">
        <v>0.61805555555555558</v>
      </c>
      <c r="AB7271" s="49">
        <v>0.65625</v>
      </c>
      <c r="AC7271" s="49">
        <f>AVERAGE(AA7271:AB7271)</f>
        <v>0.63715277777777779</v>
      </c>
      <c r="AD7271" s="50">
        <f t="shared" si="24"/>
        <v>0.91666666666666607</v>
      </c>
      <c r="AE7271" s="47" t="s">
        <v>5433</v>
      </c>
      <c r="AF7271" s="47"/>
      <c r="AG7271"/>
      <c r="AH7271"/>
      <c r="AI7271"/>
      <c r="AJ7271"/>
      <c r="AK7271">
        <v>4</v>
      </c>
      <c r="AL7271"/>
      <c r="AM7271"/>
      <c r="AN7271"/>
      <c r="AO7271"/>
      <c r="AP7271"/>
      <c r="AQ7271" t="s">
        <v>5485</v>
      </c>
      <c r="AR7271" s="32" t="s">
        <v>7770</v>
      </c>
      <c r="AU7271">
        <v>7270</v>
      </c>
    </row>
    <row r="7272" spans="1:47" x14ac:dyDescent="0.2">
      <c r="A7272" s="133">
        <v>6888</v>
      </c>
      <c r="B7272" s="39" t="s">
        <v>85</v>
      </c>
      <c r="C7272" s="39">
        <v>104</v>
      </c>
      <c r="D7272" s="29" t="b">
        <v>0</v>
      </c>
      <c r="E7272" s="39" t="s">
        <v>6637</v>
      </c>
      <c r="F7272" s="47" t="s">
        <v>7772</v>
      </c>
      <c r="G7272" s="47" t="s">
        <v>49</v>
      </c>
      <c r="H7272"/>
      <c r="I7272" s="47" t="b">
        <v>0</v>
      </c>
      <c r="J7272" s="47" t="b">
        <v>0</v>
      </c>
      <c r="K7272" s="47">
        <v>200</v>
      </c>
      <c r="L7272" s="48">
        <v>5</v>
      </c>
      <c r="M7272" s="47">
        <v>1</v>
      </c>
      <c r="N7272" s="47">
        <v>0</v>
      </c>
      <c r="O7272" s="47">
        <v>2</v>
      </c>
      <c r="P7272" s="47">
        <v>0</v>
      </c>
      <c r="Q7272" s="47">
        <v>0</v>
      </c>
      <c r="R7272" s="47">
        <v>0</v>
      </c>
      <c r="S7272" s="48">
        <v>1</v>
      </c>
      <c r="T7272" s="47">
        <v>0</v>
      </c>
      <c r="U7272" s="47">
        <v>0</v>
      </c>
      <c r="V7272" s="47">
        <v>0</v>
      </c>
      <c r="W7272" s="47">
        <v>1500</v>
      </c>
      <c r="X7272" s="47">
        <v>1249</v>
      </c>
      <c r="Y7272" s="47" t="s">
        <v>51</v>
      </c>
      <c r="Z7272" s="47" t="s">
        <v>5139</v>
      </c>
      <c r="AA7272" s="49">
        <v>0.61805555555555558</v>
      </c>
      <c r="AB7272" s="49">
        <v>0.65625</v>
      </c>
      <c r="AC7272" s="49">
        <f>AVERAGE(AA7272:AB7272)</f>
        <v>0.63715277777777779</v>
      </c>
      <c r="AD7272" s="50">
        <f t="shared" si="24"/>
        <v>0.91666666666666607</v>
      </c>
      <c r="AE7272" s="47" t="s">
        <v>5433</v>
      </c>
      <c r="AF7272" s="47">
        <v>55</v>
      </c>
      <c r="AG7272"/>
      <c r="AH7272"/>
      <c r="AI7272"/>
      <c r="AJ7272"/>
      <c r="AK7272">
        <v>4</v>
      </c>
      <c r="AL7272"/>
      <c r="AM7272"/>
      <c r="AN7272"/>
      <c r="AO7272"/>
      <c r="AP7272"/>
      <c r="AQ7272" t="s">
        <v>5485</v>
      </c>
      <c r="AU7272">
        <v>7271</v>
      </c>
    </row>
    <row r="7273" spans="1:47" x14ac:dyDescent="0.2">
      <c r="A7273" s="133">
        <v>6888</v>
      </c>
      <c r="B7273" s="39" t="s">
        <v>45</v>
      </c>
      <c r="C7273" s="39" t="s">
        <v>142</v>
      </c>
      <c r="D7273" s="29"/>
      <c r="E7273" s="39" t="s">
        <v>7773</v>
      </c>
      <c r="F7273" s="47" t="s">
        <v>7774</v>
      </c>
      <c r="G7273" s="47" t="s">
        <v>49</v>
      </c>
      <c r="H7273"/>
      <c r="I7273" s="47" t="s">
        <v>7775</v>
      </c>
      <c r="J7273" s="47"/>
      <c r="K7273" s="47">
        <f>1980*2.2</f>
        <v>4356</v>
      </c>
      <c r="L7273" s="48">
        <v>13</v>
      </c>
      <c r="M7273" s="47">
        <v>6</v>
      </c>
      <c r="N7273" s="47">
        <v>2</v>
      </c>
      <c r="O7273" s="47"/>
      <c r="P7273" s="47"/>
      <c r="Q7273" s="47"/>
      <c r="R7273" s="47"/>
      <c r="S7273" s="48">
        <v>5</v>
      </c>
      <c r="T7273" s="47">
        <v>0</v>
      </c>
      <c r="U7273" s="47">
        <v>0</v>
      </c>
      <c r="V7273" s="47">
        <v>0</v>
      </c>
      <c r="W7273" s="47"/>
      <c r="X7273" s="47"/>
      <c r="Y7273" s="47" t="s">
        <v>51</v>
      </c>
      <c r="Z7273" s="31" t="s">
        <v>7420</v>
      </c>
      <c r="AA7273" s="49"/>
      <c r="AB7273" s="49"/>
      <c r="AC7273" s="49"/>
      <c r="AD7273" s="50"/>
      <c r="AE7273" s="47" t="s">
        <v>7776</v>
      </c>
      <c r="AF7273" s="47"/>
      <c r="AG7273"/>
      <c r="AH7273"/>
      <c r="AI7273"/>
      <c r="AJ7273"/>
      <c r="AK7273">
        <f>8+10+10</f>
        <v>28</v>
      </c>
      <c r="AL7273"/>
      <c r="AM7273"/>
      <c r="AN7273"/>
      <c r="AO7273"/>
      <c r="AP7273"/>
      <c r="AQ7273" t="s">
        <v>7777</v>
      </c>
      <c r="AU7273">
        <v>7272</v>
      </c>
    </row>
    <row r="7274" spans="1:47" x14ac:dyDescent="0.2">
      <c r="A7274" s="26">
        <v>6888</v>
      </c>
      <c r="B7274" s="27">
        <v>0.41875000000000001</v>
      </c>
      <c r="C7274" s="28"/>
      <c r="D7274" s="29"/>
      <c r="E7274" s="102" t="s">
        <v>1102</v>
      </c>
      <c r="H7274" s="32">
        <v>0</v>
      </c>
      <c r="I7274" s="32" t="s">
        <v>7778</v>
      </c>
      <c r="AG7274" s="32">
        <v>0</v>
      </c>
      <c r="AH7274" s="32">
        <v>0</v>
      </c>
      <c r="AI7274" s="32">
        <v>0</v>
      </c>
      <c r="AK7274" s="32">
        <v>0</v>
      </c>
      <c r="AL7274" s="32">
        <f>35/60</f>
        <v>0.58333333333333337</v>
      </c>
      <c r="AO7274" s="73" t="s">
        <v>1006</v>
      </c>
      <c r="AP7274" s="32">
        <f>35/60</f>
        <v>0.58333333333333337</v>
      </c>
      <c r="AQ7274" s="32" t="s">
        <v>589</v>
      </c>
      <c r="AU7274">
        <v>7273</v>
      </c>
    </row>
    <row r="7275" spans="1:47" x14ac:dyDescent="0.2">
      <c r="A7275" s="26">
        <v>6888</v>
      </c>
      <c r="B7275" s="27">
        <v>0.45833333333333331</v>
      </c>
      <c r="C7275" s="28"/>
      <c r="D7275" s="29"/>
      <c r="E7275" s="30" t="s">
        <v>6591</v>
      </c>
      <c r="H7275" s="32">
        <v>1</v>
      </c>
      <c r="I7275" s="32"/>
      <c r="AG7275" s="32">
        <v>0</v>
      </c>
      <c r="AH7275" s="32">
        <v>0</v>
      </c>
      <c r="AI7275" s="32">
        <v>0</v>
      </c>
      <c r="AK7275" s="32">
        <v>4</v>
      </c>
      <c r="AQ7275" s="32">
        <v>448</v>
      </c>
      <c r="AU7275">
        <v>7274</v>
      </c>
    </row>
    <row r="7276" spans="1:47" x14ac:dyDescent="0.2">
      <c r="A7276" s="26">
        <v>6888</v>
      </c>
      <c r="B7276" s="27">
        <v>0.47569444444444442</v>
      </c>
      <c r="C7276" s="28"/>
      <c r="D7276" s="29"/>
      <c r="E7276" s="30" t="s">
        <v>5224</v>
      </c>
      <c r="H7276" s="32">
        <v>0</v>
      </c>
      <c r="I7276" s="32" t="s">
        <v>5225</v>
      </c>
      <c r="AG7276" s="32">
        <v>0</v>
      </c>
      <c r="AH7276" s="32">
        <v>0</v>
      </c>
      <c r="AI7276" s="32">
        <v>0</v>
      </c>
      <c r="AK7276" s="32">
        <v>0</v>
      </c>
      <c r="AL7276" s="32">
        <f>57/60</f>
        <v>0.95</v>
      </c>
      <c r="AP7276" s="32">
        <f>57/60</f>
        <v>0.95</v>
      </c>
      <c r="AQ7276" s="32" t="s">
        <v>1101</v>
      </c>
      <c r="AU7276">
        <v>7275</v>
      </c>
    </row>
    <row r="7277" spans="1:47" x14ac:dyDescent="0.2">
      <c r="A7277" s="26">
        <v>6888</v>
      </c>
      <c r="B7277" s="27">
        <v>0.60069444444444442</v>
      </c>
      <c r="C7277" s="28"/>
      <c r="D7277" s="29"/>
      <c r="E7277" s="102" t="s">
        <v>5200</v>
      </c>
      <c r="H7277" s="32">
        <v>0</v>
      </c>
      <c r="I7277" s="32" t="s">
        <v>5893</v>
      </c>
      <c r="AG7277" s="32">
        <v>0</v>
      </c>
      <c r="AH7277" s="32">
        <v>0</v>
      </c>
      <c r="AI7277" s="32">
        <v>0</v>
      </c>
      <c r="AK7277" s="32">
        <v>0</v>
      </c>
      <c r="AL7277" s="32">
        <v>0.25</v>
      </c>
      <c r="AO7277" s="73"/>
      <c r="AP7277" s="32">
        <v>0.25</v>
      </c>
      <c r="AQ7277" s="32" t="s">
        <v>589</v>
      </c>
      <c r="AU7277">
        <v>7276</v>
      </c>
    </row>
    <row r="7278" spans="1:47" x14ac:dyDescent="0.2">
      <c r="A7278" s="26">
        <v>6888</v>
      </c>
      <c r="B7278" s="27">
        <v>0.88194444444444453</v>
      </c>
      <c r="C7278" s="28"/>
      <c r="D7278" s="29"/>
      <c r="E7278" s="30" t="s">
        <v>5224</v>
      </c>
      <c r="H7278" s="32">
        <v>0</v>
      </c>
      <c r="I7278" s="32" t="s">
        <v>5225</v>
      </c>
      <c r="AG7278" s="32">
        <v>0</v>
      </c>
      <c r="AH7278" s="32">
        <v>0</v>
      </c>
      <c r="AI7278" s="32">
        <v>0</v>
      </c>
      <c r="AK7278" s="32">
        <v>0</v>
      </c>
      <c r="AL7278" s="32">
        <f>55/60</f>
        <v>0.91666666666666663</v>
      </c>
      <c r="AP7278" s="32">
        <f>55/60</f>
        <v>0.91666666666666663</v>
      </c>
      <c r="AQ7278" s="32" t="s">
        <v>1101</v>
      </c>
      <c r="AU7278">
        <v>7277</v>
      </c>
    </row>
    <row r="7279" spans="1:47" x14ac:dyDescent="0.2">
      <c r="A7279" s="133">
        <v>6889</v>
      </c>
      <c r="B7279" s="39" t="s">
        <v>85</v>
      </c>
      <c r="C7279" s="39">
        <v>55</v>
      </c>
      <c r="D7279" s="29" t="b">
        <v>0</v>
      </c>
      <c r="E7279" s="39" t="s">
        <v>1028</v>
      </c>
      <c r="F7279" s="47" t="s">
        <v>5877</v>
      </c>
      <c r="G7279" s="47" t="s">
        <v>49</v>
      </c>
      <c r="H7279"/>
      <c r="I7279" s="47" t="b">
        <v>0</v>
      </c>
      <c r="J7279" s="47" t="b">
        <v>1</v>
      </c>
      <c r="K7279" s="47">
        <v>2494</v>
      </c>
      <c r="L7279" s="48">
        <v>12</v>
      </c>
      <c r="M7279" s="47">
        <v>1</v>
      </c>
      <c r="N7279" s="47">
        <v>0</v>
      </c>
      <c r="O7279" s="47">
        <v>0</v>
      </c>
      <c r="P7279" s="47">
        <v>11</v>
      </c>
      <c r="Q7279" s="47">
        <v>0</v>
      </c>
      <c r="R7279" s="47">
        <v>0</v>
      </c>
      <c r="S7279" s="48">
        <v>11</v>
      </c>
      <c r="T7279" s="47">
        <v>1</v>
      </c>
      <c r="U7279" s="47">
        <v>0</v>
      </c>
      <c r="V7279" s="47">
        <v>0</v>
      </c>
      <c r="W7279" s="47">
        <v>15500</v>
      </c>
      <c r="X7279" s="47">
        <v>1260</v>
      </c>
      <c r="Y7279" s="47" t="s">
        <v>51</v>
      </c>
      <c r="Z7279" s="47" t="s">
        <v>3618</v>
      </c>
      <c r="AA7279" s="49">
        <v>0.49652777777777773</v>
      </c>
      <c r="AB7279" s="49">
        <v>0.64583333333333337</v>
      </c>
      <c r="AC7279" s="49">
        <v>0.57291666666666663</v>
      </c>
      <c r="AD7279" s="50">
        <f>(AB7279-AA7279)*24</f>
        <v>3.5833333333333353</v>
      </c>
      <c r="AE7279" s="47" t="s">
        <v>5433</v>
      </c>
      <c r="AF7279" s="47">
        <v>140</v>
      </c>
      <c r="AG7279"/>
      <c r="AH7279"/>
      <c r="AI7279"/>
      <c r="AJ7279"/>
      <c r="AK7279">
        <v>17</v>
      </c>
      <c r="AL7279"/>
      <c r="AM7279"/>
      <c r="AN7279"/>
      <c r="AO7279"/>
      <c r="AP7279"/>
      <c r="AQ7279" t="s">
        <v>5434</v>
      </c>
      <c r="AU7279">
        <v>7278</v>
      </c>
    </row>
    <row r="7280" spans="1:47" x14ac:dyDescent="0.2">
      <c r="A7280" s="133">
        <v>6889</v>
      </c>
      <c r="B7280" s="39" t="s">
        <v>85</v>
      </c>
      <c r="C7280" s="39">
        <v>99</v>
      </c>
      <c r="D7280" s="29" t="b">
        <v>0</v>
      </c>
      <c r="E7280" s="39" t="s">
        <v>1551</v>
      </c>
      <c r="F7280" s="47" t="s">
        <v>529</v>
      </c>
      <c r="G7280" s="47" t="s">
        <v>205</v>
      </c>
      <c r="H7280"/>
      <c r="I7280" s="47" t="b">
        <v>0</v>
      </c>
      <c r="J7280" s="47" t="b">
        <v>1</v>
      </c>
      <c r="K7280" s="47">
        <v>1592</v>
      </c>
      <c r="L7280" s="48">
        <v>-1</v>
      </c>
      <c r="M7280" s="47">
        <v>0</v>
      </c>
      <c r="N7280" s="47">
        <v>0</v>
      </c>
      <c r="O7280" s="47">
        <v>0</v>
      </c>
      <c r="P7280" s="47">
        <v>0</v>
      </c>
      <c r="Q7280" s="47">
        <v>0</v>
      </c>
      <c r="R7280" s="47">
        <v>0</v>
      </c>
      <c r="S7280" s="48">
        <v>7</v>
      </c>
      <c r="T7280" s="47">
        <v>0</v>
      </c>
      <c r="U7280" s="47">
        <v>0</v>
      </c>
      <c r="V7280" s="47">
        <v>0</v>
      </c>
      <c r="W7280" s="47">
        <v>11000</v>
      </c>
      <c r="X7280" s="47">
        <v>1257</v>
      </c>
      <c r="Y7280" s="47" t="s">
        <v>51</v>
      </c>
      <c r="Z7280" s="47" t="s">
        <v>5139</v>
      </c>
      <c r="AA7280" s="49">
        <v>0.51736111111111105</v>
      </c>
      <c r="AB7280" s="49">
        <v>0.62847222222222221</v>
      </c>
      <c r="AC7280" s="49">
        <v>0.60416666666666663</v>
      </c>
      <c r="AD7280" s="50">
        <f>(AB7280-AA7280)*24</f>
        <v>2.6666666666666679</v>
      </c>
      <c r="AE7280" s="47" t="s">
        <v>5433</v>
      </c>
      <c r="AF7280" s="47">
        <v>45</v>
      </c>
      <c r="AG7280"/>
      <c r="AH7280"/>
      <c r="AI7280"/>
      <c r="AJ7280"/>
      <c r="AK7280">
        <v>10</v>
      </c>
      <c r="AL7280"/>
      <c r="AM7280"/>
      <c r="AN7280"/>
      <c r="AO7280"/>
      <c r="AP7280"/>
      <c r="AQ7280" t="s">
        <v>2526</v>
      </c>
      <c r="AR7280" s="32" t="s">
        <v>7779</v>
      </c>
      <c r="AU7280">
        <v>7279</v>
      </c>
    </row>
    <row r="7281" spans="1:47" x14ac:dyDescent="0.2">
      <c r="A7281" s="133">
        <v>6889</v>
      </c>
      <c r="B7281" s="39" t="s">
        <v>85</v>
      </c>
      <c r="C7281" s="39">
        <v>104</v>
      </c>
      <c r="D7281" s="29" t="b">
        <v>0</v>
      </c>
      <c r="E7281" s="39" t="s">
        <v>1551</v>
      </c>
      <c r="F7281" s="47" t="s">
        <v>529</v>
      </c>
      <c r="G7281" s="47" t="s">
        <v>205</v>
      </c>
      <c r="H7281"/>
      <c r="I7281" s="47" t="b">
        <v>0</v>
      </c>
      <c r="J7281" s="47" t="b">
        <v>1</v>
      </c>
      <c r="K7281" s="47">
        <v>1986</v>
      </c>
      <c r="L7281" s="48">
        <v>12</v>
      </c>
      <c r="M7281" s="47">
        <v>0</v>
      </c>
      <c r="N7281" s="47">
        <v>3</v>
      </c>
      <c r="O7281" s="47">
        <v>0</v>
      </c>
      <c r="P7281" s="47">
        <v>0</v>
      </c>
      <c r="Q7281" s="47">
        <v>0</v>
      </c>
      <c r="R7281" s="47">
        <v>0</v>
      </c>
      <c r="S7281" s="48">
        <v>9</v>
      </c>
      <c r="T7281" s="47">
        <v>0</v>
      </c>
      <c r="U7281" s="47">
        <v>0</v>
      </c>
      <c r="V7281" s="47">
        <v>0</v>
      </c>
      <c r="W7281" s="47">
        <v>11000</v>
      </c>
      <c r="X7281" s="47">
        <v>1258</v>
      </c>
      <c r="Y7281" s="47" t="s">
        <v>120</v>
      </c>
      <c r="Z7281" s="47" t="s">
        <v>5139</v>
      </c>
      <c r="AA7281" s="49">
        <v>0.54166666666666663</v>
      </c>
      <c r="AB7281" s="49">
        <v>0.625</v>
      </c>
      <c r="AC7281" s="49">
        <v>0.60416666666666663</v>
      </c>
      <c r="AD7281" s="50">
        <f>(AB7281-AA7281)*24</f>
        <v>2.0000000000000009</v>
      </c>
      <c r="AE7281" s="47" t="s">
        <v>5433</v>
      </c>
      <c r="AF7281" s="47">
        <v>45</v>
      </c>
      <c r="AG7281"/>
      <c r="AH7281"/>
      <c r="AI7281"/>
      <c r="AJ7281"/>
      <c r="AK7281">
        <v>19</v>
      </c>
      <c r="AL7281"/>
      <c r="AM7281"/>
      <c r="AN7281"/>
      <c r="AO7281"/>
      <c r="AP7281"/>
      <c r="AQ7281" t="s">
        <v>5485</v>
      </c>
      <c r="AU7281">
        <v>7280</v>
      </c>
    </row>
    <row r="7282" spans="1:47" x14ac:dyDescent="0.2">
      <c r="A7282" s="133">
        <v>6889</v>
      </c>
      <c r="B7282" s="39" t="s">
        <v>85</v>
      </c>
      <c r="C7282" s="39">
        <v>104</v>
      </c>
      <c r="D7282" s="29"/>
      <c r="E7282" s="39" t="s">
        <v>141</v>
      </c>
      <c r="F7282" s="47" t="s">
        <v>7780</v>
      </c>
      <c r="G7282" s="47" t="s">
        <v>69</v>
      </c>
      <c r="H7282"/>
      <c r="I7282" s="47" t="b">
        <v>0</v>
      </c>
      <c r="J7282" s="47" t="b">
        <v>1</v>
      </c>
      <c r="K7282" s="47"/>
      <c r="L7282" s="48">
        <v>1</v>
      </c>
      <c r="M7282" s="47">
        <v>0</v>
      </c>
      <c r="N7282" s="47">
        <v>0</v>
      </c>
      <c r="O7282" s="47">
        <v>0</v>
      </c>
      <c r="P7282" s="47">
        <v>0</v>
      </c>
      <c r="Q7282" s="47">
        <v>0</v>
      </c>
      <c r="R7282" s="47">
        <v>0</v>
      </c>
      <c r="S7282" s="48">
        <v>1</v>
      </c>
      <c r="T7282" s="47">
        <v>0</v>
      </c>
      <c r="U7282" s="47">
        <v>0</v>
      </c>
      <c r="V7282" s="47">
        <v>0</v>
      </c>
      <c r="W7282" s="47"/>
      <c r="X7282" s="47"/>
      <c r="Y7282" s="47" t="s">
        <v>120</v>
      </c>
      <c r="Z7282" s="47" t="s">
        <v>7781</v>
      </c>
      <c r="AA7282" s="49"/>
      <c r="AB7282" s="49"/>
      <c r="AC7282" s="49"/>
      <c r="AD7282" s="50"/>
      <c r="AE7282" s="47" t="s">
        <v>5433</v>
      </c>
      <c r="AF7282" s="47">
        <v>60</v>
      </c>
      <c r="AG7282"/>
      <c r="AH7282"/>
      <c r="AI7282"/>
      <c r="AJ7282"/>
      <c r="AK7282"/>
      <c r="AL7282"/>
      <c r="AM7282"/>
      <c r="AN7282"/>
      <c r="AO7282"/>
      <c r="AP7282"/>
      <c r="AQ7282" t="s">
        <v>7782</v>
      </c>
      <c r="AR7282" s="32" t="s">
        <v>7783</v>
      </c>
      <c r="AU7282">
        <v>7281</v>
      </c>
    </row>
    <row r="7283" spans="1:47" x14ac:dyDescent="0.2">
      <c r="A7283" s="133">
        <v>6889</v>
      </c>
      <c r="B7283" s="39" t="s">
        <v>85</v>
      </c>
      <c r="C7283" s="39">
        <v>110</v>
      </c>
      <c r="D7283" s="29" t="b">
        <v>0</v>
      </c>
      <c r="E7283" s="39" t="s">
        <v>1551</v>
      </c>
      <c r="F7283" s="47" t="s">
        <v>529</v>
      </c>
      <c r="G7283" s="47" t="s">
        <v>205</v>
      </c>
      <c r="H7283"/>
      <c r="I7283" s="47" t="b">
        <v>0</v>
      </c>
      <c r="J7283" s="47" t="b">
        <v>1</v>
      </c>
      <c r="K7283" s="47">
        <v>2394</v>
      </c>
      <c r="L7283" s="48">
        <v>-1</v>
      </c>
      <c r="M7283" s="47">
        <v>0</v>
      </c>
      <c r="N7283" s="47">
        <v>0</v>
      </c>
      <c r="O7283" s="47">
        <v>0</v>
      </c>
      <c r="P7283" s="47">
        <v>0</v>
      </c>
      <c r="Q7283" s="47">
        <v>0</v>
      </c>
      <c r="R7283" s="47">
        <v>0</v>
      </c>
      <c r="S7283" s="48">
        <v>11</v>
      </c>
      <c r="T7283" s="47">
        <v>0</v>
      </c>
      <c r="U7283" s="47">
        <v>0</v>
      </c>
      <c r="V7283" s="47">
        <v>0</v>
      </c>
      <c r="W7283" s="47">
        <v>17750</v>
      </c>
      <c r="X7283" s="47">
        <v>1259</v>
      </c>
      <c r="Y7283" s="47" t="s">
        <v>51</v>
      </c>
      <c r="Z7283" s="47" t="s">
        <v>6984</v>
      </c>
      <c r="AA7283" s="49">
        <v>0.45833333333333331</v>
      </c>
      <c r="AB7283" s="49"/>
      <c r="AC7283" s="49">
        <v>0.52083333333333337</v>
      </c>
      <c r="AD7283" s="50"/>
      <c r="AE7283" s="47" t="s">
        <v>6985</v>
      </c>
      <c r="AF7283" s="47">
        <v>70</v>
      </c>
      <c r="AG7283"/>
      <c r="AH7283"/>
      <c r="AI7283"/>
      <c r="AJ7283"/>
      <c r="AK7283">
        <v>14</v>
      </c>
      <c r="AL7283"/>
      <c r="AM7283"/>
      <c r="AN7283"/>
      <c r="AO7283"/>
      <c r="AP7283"/>
      <c r="AQ7283" t="s">
        <v>5485</v>
      </c>
      <c r="AU7283">
        <v>7282</v>
      </c>
    </row>
    <row r="7284" spans="1:47" x14ac:dyDescent="0.2">
      <c r="A7284" s="37">
        <v>6889</v>
      </c>
      <c r="B7284" s="38" t="s">
        <v>85</v>
      </c>
      <c r="C7284" s="39" t="s">
        <v>4940</v>
      </c>
      <c r="D7284" s="29"/>
      <c r="E7284" s="38" t="s">
        <v>7784</v>
      </c>
      <c r="F7284" s="32" t="s">
        <v>7785</v>
      </c>
      <c r="G7284" s="47"/>
      <c r="H7284"/>
      <c r="I7284" s="32"/>
      <c r="J7284" s="47"/>
      <c r="K7284" s="47"/>
      <c r="L7284" s="48"/>
      <c r="M7284" s="47"/>
      <c r="N7284" s="47"/>
      <c r="O7284" s="47"/>
      <c r="P7284" s="47"/>
      <c r="Q7284" s="47"/>
      <c r="R7284" s="47"/>
      <c r="S7284" s="48"/>
      <c r="T7284" s="47"/>
      <c r="U7284" s="47"/>
      <c r="V7284" s="47"/>
      <c r="W7284" s="47"/>
      <c r="X7284" s="47"/>
      <c r="Y7284" s="47"/>
      <c r="Z7284" s="31" t="s">
        <v>3724</v>
      </c>
      <c r="AA7284" s="49"/>
      <c r="AB7284" s="49"/>
      <c r="AC7284" s="49"/>
      <c r="AD7284" s="50"/>
      <c r="AE7284" s="31" t="s">
        <v>7595</v>
      </c>
      <c r="AF7284" s="47">
        <v>180</v>
      </c>
      <c r="AG7284"/>
      <c r="AH7284"/>
      <c r="AI7284"/>
      <c r="AJ7284"/>
      <c r="AK7284"/>
      <c r="AL7284"/>
      <c r="AM7284"/>
      <c r="AN7284"/>
      <c r="AO7284"/>
      <c r="AP7284"/>
      <c r="AQ7284" t="s">
        <v>7586</v>
      </c>
      <c r="AU7284">
        <v>7283</v>
      </c>
    </row>
    <row r="7285" spans="1:47" x14ac:dyDescent="0.2">
      <c r="A7285" s="133">
        <v>6889</v>
      </c>
      <c r="B7285" s="39" t="s">
        <v>45</v>
      </c>
      <c r="C7285" s="39">
        <v>97</v>
      </c>
      <c r="D7285" s="29" t="b">
        <v>0</v>
      </c>
      <c r="E7285" s="39" t="s">
        <v>1551</v>
      </c>
      <c r="F7285" s="47" t="s">
        <v>529</v>
      </c>
      <c r="G7285" s="47" t="s">
        <v>205</v>
      </c>
      <c r="H7285"/>
      <c r="I7285" s="47" t="b">
        <v>0</v>
      </c>
      <c r="J7285" s="47" t="b">
        <v>1</v>
      </c>
      <c r="K7285" s="47">
        <v>1668</v>
      </c>
      <c r="L7285" s="48">
        <v>-1</v>
      </c>
      <c r="M7285" s="47">
        <v>0</v>
      </c>
      <c r="N7285" s="47">
        <v>0</v>
      </c>
      <c r="O7285" s="47">
        <v>0</v>
      </c>
      <c r="P7285" s="47">
        <v>0</v>
      </c>
      <c r="Q7285" s="47">
        <v>0</v>
      </c>
      <c r="R7285" s="47">
        <v>0</v>
      </c>
      <c r="S7285" s="48">
        <v>1</v>
      </c>
      <c r="T7285" s="47">
        <v>0</v>
      </c>
      <c r="U7285" s="47">
        <v>0</v>
      </c>
      <c r="V7285" s="47">
        <v>0</v>
      </c>
      <c r="W7285" s="47"/>
      <c r="X7285" s="47">
        <v>1255</v>
      </c>
      <c r="Y7285" s="47"/>
      <c r="Z7285" s="47" t="s">
        <v>2466</v>
      </c>
      <c r="AA7285" s="49"/>
      <c r="AB7285" s="49"/>
      <c r="AC7285" s="49"/>
      <c r="AD7285" s="50"/>
      <c r="AE7285" s="47"/>
      <c r="AF7285" s="47"/>
      <c r="AG7285"/>
      <c r="AH7285"/>
      <c r="AI7285"/>
      <c r="AJ7285"/>
      <c r="AK7285"/>
      <c r="AL7285"/>
      <c r="AM7285"/>
      <c r="AN7285"/>
      <c r="AO7285"/>
      <c r="AP7285"/>
      <c r="AQ7285" t="s">
        <v>2526</v>
      </c>
      <c r="AU7285">
        <v>7284</v>
      </c>
    </row>
    <row r="7286" spans="1:47" x14ac:dyDescent="0.2">
      <c r="A7286" s="133">
        <v>6889</v>
      </c>
      <c r="B7286" s="39" t="s">
        <v>45</v>
      </c>
      <c r="C7286" s="39">
        <v>100</v>
      </c>
      <c r="D7286" s="29" t="b">
        <v>0</v>
      </c>
      <c r="E7286" s="39" t="s">
        <v>7786</v>
      </c>
      <c r="F7286" s="47" t="s">
        <v>1969</v>
      </c>
      <c r="G7286" s="47" t="s">
        <v>205</v>
      </c>
      <c r="H7286"/>
      <c r="I7286" s="47" t="b">
        <v>1</v>
      </c>
      <c r="J7286" s="47" t="b">
        <v>1</v>
      </c>
      <c r="K7286" s="47">
        <v>2222</v>
      </c>
      <c r="L7286" s="48">
        <v>-1</v>
      </c>
      <c r="M7286" s="47">
        <v>0</v>
      </c>
      <c r="N7286" s="47">
        <v>0</v>
      </c>
      <c r="O7286" s="47">
        <v>0</v>
      </c>
      <c r="P7286" s="47">
        <v>0</v>
      </c>
      <c r="Q7286" s="47">
        <v>0</v>
      </c>
      <c r="R7286" s="47">
        <v>0</v>
      </c>
      <c r="S7286" s="48">
        <v>2</v>
      </c>
      <c r="T7286" s="47">
        <v>0</v>
      </c>
      <c r="U7286" s="47">
        <v>0</v>
      </c>
      <c r="V7286" s="47">
        <v>0</v>
      </c>
      <c r="W7286" s="47"/>
      <c r="X7286" s="47">
        <v>1261</v>
      </c>
      <c r="Y7286" s="47"/>
      <c r="Z7286" s="47" t="s">
        <v>2466</v>
      </c>
      <c r="AA7286" s="49"/>
      <c r="AB7286" s="49"/>
      <c r="AC7286" s="49"/>
      <c r="AD7286" s="50"/>
      <c r="AE7286" s="47" t="s">
        <v>6445</v>
      </c>
      <c r="AF7286" s="47"/>
      <c r="AG7286"/>
      <c r="AH7286"/>
      <c r="AI7286"/>
      <c r="AJ7286"/>
      <c r="AK7286"/>
      <c r="AL7286"/>
      <c r="AM7286"/>
      <c r="AN7286"/>
      <c r="AO7286"/>
      <c r="AP7286"/>
      <c r="AQ7286" t="s">
        <v>2526</v>
      </c>
      <c r="AU7286">
        <v>7285</v>
      </c>
    </row>
    <row r="7287" spans="1:47" x14ac:dyDescent="0.2">
      <c r="A7287" s="133">
        <v>6889</v>
      </c>
      <c r="B7287" s="39" t="s">
        <v>45</v>
      </c>
      <c r="C7287" s="39">
        <v>100</v>
      </c>
      <c r="D7287" s="29" t="b">
        <v>0</v>
      </c>
      <c r="E7287" s="39" t="s">
        <v>7787</v>
      </c>
      <c r="F7287" s="47" t="s">
        <v>529</v>
      </c>
      <c r="G7287" s="47" t="s">
        <v>205</v>
      </c>
      <c r="H7287"/>
      <c r="I7287" s="47" t="b">
        <v>0</v>
      </c>
      <c r="J7287" s="47" t="b">
        <v>1</v>
      </c>
      <c r="K7287" s="47">
        <f>8*112</f>
        <v>896</v>
      </c>
      <c r="L7287" s="48">
        <v>-1</v>
      </c>
      <c r="M7287" s="47"/>
      <c r="N7287" s="47"/>
      <c r="O7287" s="47"/>
      <c r="P7287" s="47"/>
      <c r="Q7287" s="47"/>
      <c r="R7287" s="47"/>
      <c r="S7287" s="48">
        <v>1</v>
      </c>
      <c r="T7287" s="47"/>
      <c r="U7287" s="47"/>
      <c r="V7287" s="47"/>
      <c r="W7287" s="47"/>
      <c r="X7287" s="47">
        <v>1261</v>
      </c>
      <c r="Y7287" s="47"/>
      <c r="Z7287" s="47" t="s">
        <v>2466</v>
      </c>
      <c r="AA7287" s="49"/>
      <c r="AB7287" s="49"/>
      <c r="AC7287" s="49"/>
      <c r="AD7287" s="50"/>
      <c r="AE7287" s="47" t="s">
        <v>6445</v>
      </c>
      <c r="AF7287" s="47"/>
      <c r="AG7287"/>
      <c r="AH7287"/>
      <c r="AI7287"/>
      <c r="AJ7287"/>
      <c r="AK7287"/>
      <c r="AL7287"/>
      <c r="AM7287"/>
      <c r="AN7287"/>
      <c r="AO7287"/>
      <c r="AP7287"/>
      <c r="AQ7287" t="s">
        <v>2526</v>
      </c>
      <c r="AU7287">
        <v>7286</v>
      </c>
    </row>
    <row r="7288" spans="1:47" x14ac:dyDescent="0.2">
      <c r="A7288" s="133">
        <v>6889</v>
      </c>
      <c r="B7288" s="39" t="s">
        <v>45</v>
      </c>
      <c r="C7288" s="39">
        <v>100</v>
      </c>
      <c r="D7288" s="29" t="b">
        <v>0</v>
      </c>
      <c r="E7288" s="39" t="s">
        <v>649</v>
      </c>
      <c r="F7288" s="47" t="s">
        <v>529</v>
      </c>
      <c r="G7288" s="47" t="s">
        <v>205</v>
      </c>
      <c r="H7288"/>
      <c r="I7288" s="47" t="b">
        <v>0</v>
      </c>
      <c r="J7288" s="47" t="b">
        <v>1</v>
      </c>
      <c r="K7288" s="47">
        <f>110.5*12</f>
        <v>1326</v>
      </c>
      <c r="L7288" s="48">
        <v>-1</v>
      </c>
      <c r="M7288" s="47"/>
      <c r="N7288" s="47"/>
      <c r="O7288" s="47"/>
      <c r="P7288" s="47"/>
      <c r="Q7288" s="47"/>
      <c r="R7288" s="47"/>
      <c r="S7288" s="48">
        <v>1</v>
      </c>
      <c r="T7288" s="47"/>
      <c r="U7288" s="47"/>
      <c r="V7288" s="47"/>
      <c r="W7288" s="47"/>
      <c r="X7288" s="47">
        <v>1261</v>
      </c>
      <c r="Y7288" s="47"/>
      <c r="Z7288" s="47" t="s">
        <v>2466</v>
      </c>
      <c r="AA7288" s="49"/>
      <c r="AB7288" s="49"/>
      <c r="AC7288" s="49"/>
      <c r="AD7288" s="50"/>
      <c r="AE7288" s="47" t="s">
        <v>6445</v>
      </c>
      <c r="AF7288" s="47">
        <v>80</v>
      </c>
      <c r="AG7288"/>
      <c r="AH7288"/>
      <c r="AI7288"/>
      <c r="AJ7288"/>
      <c r="AK7288"/>
      <c r="AL7288"/>
      <c r="AM7288"/>
      <c r="AN7288"/>
      <c r="AO7288"/>
      <c r="AP7288"/>
      <c r="AQ7288" t="s">
        <v>2526</v>
      </c>
      <c r="AU7288">
        <v>7287</v>
      </c>
    </row>
    <row r="7289" spans="1:47" x14ac:dyDescent="0.2">
      <c r="A7289" s="133">
        <v>6889</v>
      </c>
      <c r="B7289" s="39" t="s">
        <v>45</v>
      </c>
      <c r="C7289" s="39">
        <v>115</v>
      </c>
      <c r="D7289" s="29" t="b">
        <v>0</v>
      </c>
      <c r="E7289" s="39" t="s">
        <v>1551</v>
      </c>
      <c r="F7289" s="47" t="s">
        <v>529</v>
      </c>
      <c r="G7289" s="47" t="s">
        <v>205</v>
      </c>
      <c r="H7289"/>
      <c r="I7289" s="47" t="b">
        <v>0</v>
      </c>
      <c r="J7289" s="47" t="b">
        <v>1</v>
      </c>
      <c r="K7289" s="47">
        <v>1668</v>
      </c>
      <c r="L7289" s="48">
        <v>-1</v>
      </c>
      <c r="M7289" s="47">
        <v>0</v>
      </c>
      <c r="N7289" s="47">
        <v>0</v>
      </c>
      <c r="O7289" s="47">
        <v>0</v>
      </c>
      <c r="P7289" s="47">
        <v>0</v>
      </c>
      <c r="Q7289" s="47">
        <v>0</v>
      </c>
      <c r="R7289" s="47">
        <v>0</v>
      </c>
      <c r="S7289" s="48">
        <v>1</v>
      </c>
      <c r="T7289" s="47">
        <v>0</v>
      </c>
      <c r="U7289" s="47">
        <v>0</v>
      </c>
      <c r="V7289" s="47">
        <v>0</v>
      </c>
      <c r="W7289" s="47"/>
      <c r="X7289" s="47">
        <v>1262</v>
      </c>
      <c r="Y7289" s="47"/>
      <c r="Z7289" s="47" t="s">
        <v>2466</v>
      </c>
      <c r="AA7289" s="49"/>
      <c r="AB7289" s="49"/>
      <c r="AC7289" s="49"/>
      <c r="AD7289" s="50"/>
      <c r="AE7289" s="47" t="s">
        <v>7118</v>
      </c>
      <c r="AF7289" s="47">
        <v>55</v>
      </c>
      <c r="AG7289"/>
      <c r="AH7289"/>
      <c r="AI7289"/>
      <c r="AJ7289"/>
      <c r="AK7289"/>
      <c r="AL7289"/>
      <c r="AM7289"/>
      <c r="AN7289"/>
      <c r="AO7289"/>
      <c r="AP7289"/>
      <c r="AQ7289" t="s">
        <v>2526</v>
      </c>
      <c r="AR7289" s="32" t="s">
        <v>7119</v>
      </c>
      <c r="AU7289">
        <v>7288</v>
      </c>
    </row>
    <row r="7290" spans="1:47" x14ac:dyDescent="0.2">
      <c r="A7290" s="133">
        <v>6889</v>
      </c>
      <c r="B7290" s="39" t="s">
        <v>45</v>
      </c>
      <c r="C7290" s="39">
        <v>215</v>
      </c>
      <c r="D7290" s="29" t="b">
        <v>0</v>
      </c>
      <c r="E7290" s="39" t="s">
        <v>7788</v>
      </c>
      <c r="F7290" s="47" t="s">
        <v>1969</v>
      </c>
      <c r="G7290" s="47" t="s">
        <v>205</v>
      </c>
      <c r="H7290"/>
      <c r="I7290" s="47" t="b">
        <v>0</v>
      </c>
      <c r="J7290" s="47" t="b">
        <v>1</v>
      </c>
      <c r="K7290" s="47">
        <v>3014</v>
      </c>
      <c r="L7290" s="48">
        <v>-1</v>
      </c>
      <c r="M7290" s="47">
        <v>0</v>
      </c>
      <c r="N7290" s="47">
        <v>0</v>
      </c>
      <c r="O7290" s="47">
        <v>0</v>
      </c>
      <c r="P7290" s="47">
        <v>0</v>
      </c>
      <c r="Q7290" s="47">
        <v>0</v>
      </c>
      <c r="R7290" s="47">
        <v>0</v>
      </c>
      <c r="S7290" s="48">
        <v>2</v>
      </c>
      <c r="T7290" s="47">
        <v>0</v>
      </c>
      <c r="U7290" s="47">
        <v>0</v>
      </c>
      <c r="V7290" s="47">
        <v>0</v>
      </c>
      <c r="W7290" s="47"/>
      <c r="X7290" s="47">
        <v>1263</v>
      </c>
      <c r="Y7290" s="47"/>
      <c r="Z7290" s="47" t="s">
        <v>2466</v>
      </c>
      <c r="AA7290" s="49"/>
      <c r="AB7290" s="49"/>
      <c r="AC7290" s="49"/>
      <c r="AD7290" s="50"/>
      <c r="AE7290" s="47"/>
      <c r="AF7290" s="47"/>
      <c r="AG7290"/>
      <c r="AH7290"/>
      <c r="AI7290"/>
      <c r="AJ7290"/>
      <c r="AK7290"/>
      <c r="AL7290"/>
      <c r="AM7290"/>
      <c r="AN7290"/>
      <c r="AO7290"/>
      <c r="AP7290"/>
      <c r="AQ7290" t="s">
        <v>2526</v>
      </c>
      <c r="AU7290">
        <v>7289</v>
      </c>
    </row>
    <row r="7291" spans="1:47" x14ac:dyDescent="0.2">
      <c r="A7291" s="133">
        <v>6889</v>
      </c>
      <c r="B7291" s="39" t="s">
        <v>45</v>
      </c>
      <c r="C7291" s="39">
        <v>216</v>
      </c>
      <c r="D7291" s="29" t="b">
        <v>0</v>
      </c>
      <c r="E7291" s="39" t="s">
        <v>7789</v>
      </c>
      <c r="F7291" s="47" t="s">
        <v>7790</v>
      </c>
      <c r="G7291" s="47" t="s">
        <v>73</v>
      </c>
      <c r="H7291"/>
      <c r="I7291" s="47" t="b">
        <v>1</v>
      </c>
      <c r="J7291" s="47" t="b">
        <v>1</v>
      </c>
      <c r="K7291" s="47">
        <v>3136</v>
      </c>
      <c r="L7291" s="48">
        <v>3</v>
      </c>
      <c r="M7291" s="47">
        <v>1</v>
      </c>
      <c r="N7291" s="47">
        <v>0</v>
      </c>
      <c r="O7291" s="47">
        <v>0</v>
      </c>
      <c r="P7291" s="47">
        <v>0</v>
      </c>
      <c r="Q7291" s="47">
        <v>0</v>
      </c>
      <c r="R7291" s="47">
        <v>0</v>
      </c>
      <c r="S7291" s="48">
        <v>2</v>
      </c>
      <c r="T7291" s="47">
        <v>0</v>
      </c>
      <c r="U7291" s="47">
        <v>0</v>
      </c>
      <c r="V7291" s="47">
        <v>0</v>
      </c>
      <c r="W7291" s="47"/>
      <c r="X7291" s="47">
        <v>1264</v>
      </c>
      <c r="Y7291" s="47"/>
      <c r="Z7291" s="47" t="s">
        <v>2466</v>
      </c>
      <c r="AA7291" s="49"/>
      <c r="AB7291" s="49"/>
      <c r="AC7291" s="49"/>
      <c r="AD7291" s="50"/>
      <c r="AE7291" s="47" t="s">
        <v>1312</v>
      </c>
      <c r="AF7291" s="47">
        <v>60</v>
      </c>
      <c r="AG7291"/>
      <c r="AH7291"/>
      <c r="AI7291"/>
      <c r="AJ7291"/>
      <c r="AK7291"/>
      <c r="AL7291"/>
      <c r="AM7291"/>
      <c r="AN7291"/>
      <c r="AO7291"/>
      <c r="AP7291"/>
      <c r="AQ7291" t="s">
        <v>2526</v>
      </c>
      <c r="AU7291">
        <v>7290</v>
      </c>
    </row>
    <row r="7292" spans="1:47" x14ac:dyDescent="0.2">
      <c r="A7292" s="133">
        <v>6889</v>
      </c>
      <c r="B7292" s="39" t="s">
        <v>45</v>
      </c>
      <c r="C7292" s="39">
        <v>216</v>
      </c>
      <c r="D7292" s="29" t="b">
        <v>0</v>
      </c>
      <c r="E7292" s="39" t="s">
        <v>649</v>
      </c>
      <c r="F7292" s="47" t="s">
        <v>529</v>
      </c>
      <c r="G7292" s="47" t="s">
        <v>205</v>
      </c>
      <c r="H7292"/>
      <c r="I7292" s="47" t="b">
        <v>0</v>
      </c>
      <c r="J7292" s="47" t="b">
        <v>0</v>
      </c>
      <c r="K7292" s="47">
        <v>1568</v>
      </c>
      <c r="L7292" s="48">
        <v>3</v>
      </c>
      <c r="M7292" s="47">
        <v>1</v>
      </c>
      <c r="N7292" s="47">
        <v>0</v>
      </c>
      <c r="O7292" s="47">
        <v>0</v>
      </c>
      <c r="P7292" s="47">
        <v>0</v>
      </c>
      <c r="Q7292" s="47">
        <v>0</v>
      </c>
      <c r="R7292" s="47">
        <v>0</v>
      </c>
      <c r="S7292" s="48">
        <v>1</v>
      </c>
      <c r="T7292" s="47">
        <v>0</v>
      </c>
      <c r="U7292" s="47">
        <v>0</v>
      </c>
      <c r="V7292" s="47">
        <v>0</v>
      </c>
      <c r="W7292" s="47"/>
      <c r="X7292" s="47">
        <v>1256</v>
      </c>
      <c r="Y7292" s="47"/>
      <c r="Z7292" s="47" t="s">
        <v>2466</v>
      </c>
      <c r="AA7292" s="49"/>
      <c r="AB7292" s="49"/>
      <c r="AC7292" s="49"/>
      <c r="AD7292" s="50"/>
      <c r="AE7292" s="47" t="s">
        <v>1312</v>
      </c>
      <c r="AF7292" s="31">
        <v>55</v>
      </c>
      <c r="AG7292"/>
      <c r="AH7292"/>
      <c r="AI7292"/>
      <c r="AJ7292"/>
      <c r="AK7292"/>
      <c r="AL7292"/>
      <c r="AM7292"/>
      <c r="AN7292"/>
      <c r="AO7292"/>
      <c r="AP7292"/>
      <c r="AQ7292" t="s">
        <v>2526</v>
      </c>
      <c r="AU7292">
        <v>7291</v>
      </c>
    </row>
    <row r="7293" spans="1:47" x14ac:dyDescent="0.2">
      <c r="A7293" s="133">
        <v>6889</v>
      </c>
      <c r="B7293" s="39" t="s">
        <v>45</v>
      </c>
      <c r="C7293" s="39">
        <v>216</v>
      </c>
      <c r="D7293" s="29" t="b">
        <v>0</v>
      </c>
      <c r="E7293" s="39" t="s">
        <v>1168</v>
      </c>
      <c r="F7293" s="47" t="s">
        <v>348</v>
      </c>
      <c r="G7293" s="47" t="s">
        <v>49</v>
      </c>
      <c r="H7293"/>
      <c r="I7293" s="47" t="b">
        <v>0</v>
      </c>
      <c r="J7293" s="47" t="b">
        <v>0</v>
      </c>
      <c r="K7293" s="47">
        <v>1568</v>
      </c>
      <c r="L7293" s="48">
        <v>3</v>
      </c>
      <c r="M7293" s="47">
        <v>1</v>
      </c>
      <c r="N7293" s="47">
        <v>0</v>
      </c>
      <c r="O7293" s="47">
        <v>0</v>
      </c>
      <c r="P7293" s="47">
        <v>0</v>
      </c>
      <c r="Q7293" s="47">
        <v>0</v>
      </c>
      <c r="R7293" s="47">
        <v>0</v>
      </c>
      <c r="S7293" s="48">
        <v>1</v>
      </c>
      <c r="T7293" s="47">
        <v>0</v>
      </c>
      <c r="U7293" s="47">
        <v>0</v>
      </c>
      <c r="V7293" s="47">
        <v>0</v>
      </c>
      <c r="W7293" s="47"/>
      <c r="X7293" s="47">
        <v>1265</v>
      </c>
      <c r="Y7293" s="47"/>
      <c r="Z7293" s="47" t="s">
        <v>2466</v>
      </c>
      <c r="AA7293" s="49"/>
      <c r="AB7293" s="49"/>
      <c r="AC7293" s="49"/>
      <c r="AD7293" s="50"/>
      <c r="AE7293" s="47" t="s">
        <v>1312</v>
      </c>
      <c r="AF7293" s="47">
        <v>60</v>
      </c>
      <c r="AG7293"/>
      <c r="AH7293"/>
      <c r="AI7293"/>
      <c r="AJ7293"/>
      <c r="AK7293"/>
      <c r="AL7293"/>
      <c r="AM7293"/>
      <c r="AN7293"/>
      <c r="AO7293"/>
      <c r="AP7293"/>
      <c r="AQ7293" t="s">
        <v>2526</v>
      </c>
      <c r="AU7293">
        <v>7292</v>
      </c>
    </row>
    <row r="7294" spans="1:47" x14ac:dyDescent="0.2">
      <c r="A7294" s="133">
        <v>6889</v>
      </c>
      <c r="B7294" s="39" t="s">
        <v>45</v>
      </c>
      <c r="C7294" s="39">
        <v>100</v>
      </c>
      <c r="D7294" s="29"/>
      <c r="E7294" s="38" t="s">
        <v>3909</v>
      </c>
      <c r="F7294" s="31" t="s">
        <v>881</v>
      </c>
      <c r="G7294" s="47"/>
      <c r="H7294"/>
      <c r="I7294" s="47" t="s">
        <v>7791</v>
      </c>
      <c r="J7294" s="47"/>
      <c r="K7294" s="47"/>
      <c r="L7294" s="48"/>
      <c r="M7294" s="47"/>
      <c r="N7294" s="47"/>
      <c r="O7294" s="47"/>
      <c r="P7294" s="47"/>
      <c r="Q7294" s="47"/>
      <c r="R7294" s="47"/>
      <c r="S7294" s="48"/>
      <c r="T7294" s="47"/>
      <c r="U7294" s="47"/>
      <c r="V7294" s="47"/>
      <c r="W7294" s="47"/>
      <c r="X7294" s="47"/>
      <c r="Y7294" s="47"/>
      <c r="Z7294" s="47" t="s">
        <v>2466</v>
      </c>
      <c r="AA7294" s="49"/>
      <c r="AB7294" s="49"/>
      <c r="AC7294" s="49"/>
      <c r="AD7294" s="50"/>
      <c r="AE7294" s="47" t="s">
        <v>6445</v>
      </c>
      <c r="AF7294" s="47">
        <v>180</v>
      </c>
      <c r="AG7294"/>
      <c r="AH7294"/>
      <c r="AI7294"/>
      <c r="AJ7294"/>
      <c r="AK7294"/>
      <c r="AL7294"/>
      <c r="AM7294"/>
      <c r="AN7294"/>
      <c r="AO7294"/>
      <c r="AP7294"/>
      <c r="AQ7294" t="s">
        <v>2526</v>
      </c>
      <c r="AU7294">
        <v>7293</v>
      </c>
    </row>
    <row r="7295" spans="1:47" x14ac:dyDescent="0.2">
      <c r="A7295" s="26">
        <v>6889</v>
      </c>
      <c r="B7295" s="27">
        <v>0.42777777777777781</v>
      </c>
      <c r="C7295" s="28"/>
      <c r="D7295" s="29"/>
      <c r="E7295" s="30" t="s">
        <v>2964</v>
      </c>
      <c r="H7295" s="32">
        <v>0</v>
      </c>
      <c r="I7295" s="32" t="s">
        <v>4158</v>
      </c>
      <c r="AG7295" s="32">
        <v>0</v>
      </c>
      <c r="AH7295" s="32">
        <v>0</v>
      </c>
      <c r="AI7295" s="32">
        <v>0</v>
      </c>
      <c r="AK7295" s="32">
        <v>0</v>
      </c>
      <c r="AL7295" s="32">
        <f>49/60</f>
        <v>0.81666666666666665</v>
      </c>
      <c r="AP7295" s="32">
        <f>49/60</f>
        <v>0.81666666666666665</v>
      </c>
      <c r="AQ7295" s="32" t="s">
        <v>1101</v>
      </c>
      <c r="AU7295">
        <v>7294</v>
      </c>
    </row>
    <row r="7296" spans="1:47" x14ac:dyDescent="0.2">
      <c r="A7296" s="26">
        <v>6889</v>
      </c>
      <c r="B7296" s="27">
        <v>0.4284722222222222</v>
      </c>
      <c r="C7296" s="28"/>
      <c r="D7296" s="29"/>
      <c r="E7296" s="30" t="s">
        <v>5224</v>
      </c>
      <c r="H7296" s="32">
        <v>0</v>
      </c>
      <c r="I7296" s="32" t="s">
        <v>5225</v>
      </c>
      <c r="AG7296" s="32">
        <v>0</v>
      </c>
      <c r="AH7296" s="32">
        <v>0</v>
      </c>
      <c r="AI7296" s="32">
        <v>0</v>
      </c>
      <c r="AK7296" s="32">
        <v>0</v>
      </c>
      <c r="AL7296" s="32">
        <f>63/60</f>
        <v>1.05</v>
      </c>
      <c r="AP7296" s="32">
        <f>63/60</f>
        <v>1.05</v>
      </c>
      <c r="AQ7296" s="32" t="s">
        <v>1101</v>
      </c>
      <c r="AU7296">
        <v>7295</v>
      </c>
    </row>
    <row r="7297" spans="1:47" x14ac:dyDescent="0.2">
      <c r="A7297" s="26">
        <v>6889</v>
      </c>
      <c r="B7297" s="27">
        <v>0.43055555555555558</v>
      </c>
      <c r="C7297" s="28"/>
      <c r="D7297" s="29"/>
      <c r="E7297" s="30" t="s">
        <v>3155</v>
      </c>
      <c r="H7297" s="32">
        <v>0</v>
      </c>
      <c r="I7297" s="32" t="s">
        <v>7792</v>
      </c>
      <c r="AG7297" s="32">
        <v>0</v>
      </c>
      <c r="AH7297" s="32">
        <v>0</v>
      </c>
      <c r="AI7297" s="32">
        <v>0</v>
      </c>
      <c r="AK7297" s="32">
        <v>0</v>
      </c>
      <c r="AP7297" s="32">
        <f>80/60</f>
        <v>1.3333333333333333</v>
      </c>
      <c r="AQ7297" s="32" t="s">
        <v>1101</v>
      </c>
      <c r="AU7297">
        <v>7296</v>
      </c>
    </row>
    <row r="7298" spans="1:47" x14ac:dyDescent="0.2">
      <c r="A7298" s="26">
        <v>6889</v>
      </c>
      <c r="B7298" s="27">
        <v>0.45277777777777778</v>
      </c>
      <c r="C7298" s="28"/>
      <c r="D7298" s="29"/>
      <c r="E7298" s="102" t="s">
        <v>5200</v>
      </c>
      <c r="H7298" s="32">
        <v>0</v>
      </c>
      <c r="I7298" s="32" t="s">
        <v>5893</v>
      </c>
      <c r="AG7298" s="32">
        <v>0</v>
      </c>
      <c r="AH7298" s="32">
        <v>0</v>
      </c>
      <c r="AI7298" s="32">
        <v>0</v>
      </c>
      <c r="AK7298" s="32">
        <v>0</v>
      </c>
      <c r="AL7298" s="32">
        <f>23/60</f>
        <v>0.38333333333333336</v>
      </c>
      <c r="AO7298" s="73"/>
      <c r="AP7298" s="32">
        <f>23/60</f>
        <v>0.38333333333333336</v>
      </c>
      <c r="AQ7298" s="32" t="s">
        <v>589</v>
      </c>
      <c r="AU7298">
        <v>7297</v>
      </c>
    </row>
    <row r="7299" spans="1:47" x14ac:dyDescent="0.2">
      <c r="A7299" s="26">
        <v>6889</v>
      </c>
      <c r="B7299" s="27">
        <v>0.4826388888888889</v>
      </c>
      <c r="C7299" s="28"/>
      <c r="D7299" s="29"/>
      <c r="E7299" s="30" t="s">
        <v>3737</v>
      </c>
      <c r="H7299" s="32">
        <v>0</v>
      </c>
      <c r="I7299" s="32" t="s">
        <v>4926</v>
      </c>
      <c r="AG7299" s="32">
        <v>0</v>
      </c>
      <c r="AH7299" s="32">
        <v>0</v>
      </c>
      <c r="AI7299" s="32">
        <v>0</v>
      </c>
      <c r="AK7299" s="32">
        <v>0</v>
      </c>
      <c r="AM7299" s="74"/>
      <c r="AQ7299" s="32" t="s">
        <v>1101</v>
      </c>
      <c r="AU7299">
        <v>7298</v>
      </c>
    </row>
    <row r="7300" spans="1:47" x14ac:dyDescent="0.2">
      <c r="A7300" s="26">
        <v>6889</v>
      </c>
      <c r="B7300" s="27">
        <v>0.50694444444444442</v>
      </c>
      <c r="C7300" s="28"/>
      <c r="D7300" s="29"/>
      <c r="E7300" s="30" t="s">
        <v>3737</v>
      </c>
      <c r="H7300" s="32">
        <v>0</v>
      </c>
      <c r="I7300" s="32" t="s">
        <v>4926</v>
      </c>
      <c r="AG7300" s="32">
        <v>0</v>
      </c>
      <c r="AH7300" s="32">
        <v>0</v>
      </c>
      <c r="AI7300" s="32">
        <v>0</v>
      </c>
      <c r="AK7300" s="32">
        <v>0</v>
      </c>
      <c r="AL7300" s="32">
        <f>35/60</f>
        <v>0.58333333333333337</v>
      </c>
      <c r="AM7300" s="33">
        <f>(3125+3691)*AL7300</f>
        <v>3976.0000000000005</v>
      </c>
      <c r="AP7300" s="32">
        <f>35/60</f>
        <v>0.58333333333333337</v>
      </c>
      <c r="AQ7300" s="32" t="s">
        <v>1101</v>
      </c>
      <c r="AU7300">
        <v>7299</v>
      </c>
    </row>
    <row r="7301" spans="1:47" x14ac:dyDescent="0.2">
      <c r="A7301" s="26">
        <v>6889</v>
      </c>
      <c r="B7301" s="27">
        <v>0.51388888888888895</v>
      </c>
      <c r="C7301" s="28"/>
      <c r="D7301" s="29"/>
      <c r="E7301" s="30" t="s">
        <v>3155</v>
      </c>
      <c r="H7301" s="32">
        <v>0</v>
      </c>
      <c r="I7301" s="32" t="s">
        <v>7793</v>
      </c>
      <c r="AG7301" s="32">
        <v>0</v>
      </c>
      <c r="AH7301" s="32">
        <v>0</v>
      </c>
      <c r="AI7301" s="32">
        <v>0</v>
      </c>
      <c r="AK7301" s="32">
        <v>0</v>
      </c>
      <c r="AP7301" s="32">
        <f>(37+50)/60</f>
        <v>1.45</v>
      </c>
      <c r="AQ7301" s="32" t="s">
        <v>1101</v>
      </c>
      <c r="AU7301">
        <v>7300</v>
      </c>
    </row>
    <row r="7302" spans="1:47" x14ac:dyDescent="0.2">
      <c r="A7302" s="26">
        <v>6889</v>
      </c>
      <c r="B7302" s="27">
        <v>0.5625</v>
      </c>
      <c r="C7302" s="28"/>
      <c r="D7302" s="29"/>
      <c r="E7302" s="30" t="s">
        <v>7617</v>
      </c>
      <c r="H7302" s="32">
        <v>1</v>
      </c>
      <c r="I7302" s="32" t="s">
        <v>7794</v>
      </c>
      <c r="AG7302" s="32">
        <v>0</v>
      </c>
      <c r="AH7302" s="32">
        <v>0</v>
      </c>
      <c r="AJ7302" s="32">
        <v>0</v>
      </c>
      <c r="AL7302" s="32">
        <v>0</v>
      </c>
      <c r="AQ7302" s="32">
        <v>487</v>
      </c>
      <c r="AU7302">
        <v>7301</v>
      </c>
    </row>
    <row r="7303" spans="1:47" x14ac:dyDescent="0.2">
      <c r="A7303" s="26">
        <v>6889</v>
      </c>
      <c r="B7303" s="27">
        <v>0.74305555555555547</v>
      </c>
      <c r="C7303" s="28"/>
      <c r="D7303" s="29"/>
      <c r="E7303" s="30" t="s">
        <v>5224</v>
      </c>
      <c r="H7303" s="32">
        <v>0</v>
      </c>
      <c r="I7303" s="32" t="s">
        <v>5225</v>
      </c>
      <c r="AG7303" s="32">
        <v>0</v>
      </c>
      <c r="AH7303" s="32">
        <v>0</v>
      </c>
      <c r="AI7303" s="32">
        <v>0</v>
      </c>
      <c r="AK7303" s="32">
        <v>0</v>
      </c>
      <c r="AL7303" s="32">
        <f>44/60</f>
        <v>0.73333333333333328</v>
      </c>
      <c r="AP7303" s="32">
        <f>44/60</f>
        <v>0.73333333333333328</v>
      </c>
      <c r="AQ7303" s="32" t="s">
        <v>1101</v>
      </c>
      <c r="AU7303">
        <v>7302</v>
      </c>
    </row>
    <row r="7304" spans="1:47" x14ac:dyDescent="0.2">
      <c r="A7304" s="26">
        <v>6889</v>
      </c>
      <c r="B7304" s="27">
        <v>0.79166666666666663</v>
      </c>
      <c r="C7304" s="28"/>
      <c r="D7304" s="29"/>
      <c r="E7304" s="30" t="s">
        <v>7795</v>
      </c>
      <c r="H7304" s="32">
        <v>1</v>
      </c>
      <c r="I7304" s="32" t="s">
        <v>7796</v>
      </c>
      <c r="AG7304" s="32">
        <v>0</v>
      </c>
      <c r="AH7304" s="32">
        <v>0</v>
      </c>
      <c r="AK7304" s="32">
        <v>10</v>
      </c>
      <c r="AO7304" s="32" t="s">
        <v>1551</v>
      </c>
      <c r="AQ7304" s="32">
        <v>489</v>
      </c>
      <c r="AU7304">
        <v>7303</v>
      </c>
    </row>
    <row r="7305" spans="1:47" x14ac:dyDescent="0.2">
      <c r="A7305" s="26">
        <v>6889</v>
      </c>
      <c r="B7305" s="27">
        <v>0.80208333333333337</v>
      </c>
      <c r="C7305" s="28"/>
      <c r="D7305" s="29"/>
      <c r="E7305" s="30" t="s">
        <v>1124</v>
      </c>
      <c r="H7305" s="32">
        <v>1</v>
      </c>
      <c r="I7305" s="32" t="s">
        <v>7797</v>
      </c>
      <c r="AG7305" s="32">
        <v>5</v>
      </c>
      <c r="AH7305" s="32">
        <v>7</v>
      </c>
      <c r="AK7305" s="32">
        <v>8</v>
      </c>
      <c r="AL7305" s="32">
        <v>0.66700000000000004</v>
      </c>
      <c r="AO7305" s="46" t="s">
        <v>1126</v>
      </c>
      <c r="AP7305" s="32">
        <v>0.66700000000000004</v>
      </c>
      <c r="AQ7305" s="32" t="s">
        <v>7798</v>
      </c>
      <c r="AU7305">
        <v>7304</v>
      </c>
    </row>
    <row r="7306" spans="1:47" x14ac:dyDescent="0.2">
      <c r="A7306" s="26">
        <v>6889</v>
      </c>
      <c r="B7306" s="27">
        <v>0.93958333333333333</v>
      </c>
      <c r="C7306" s="28"/>
      <c r="D7306" s="29"/>
      <c r="E7306" s="30" t="s">
        <v>464</v>
      </c>
      <c r="H7306" s="32">
        <v>0</v>
      </c>
      <c r="I7306" s="32" t="s">
        <v>7799</v>
      </c>
      <c r="AG7306" s="32">
        <v>0</v>
      </c>
      <c r="AH7306" s="32">
        <v>0</v>
      </c>
      <c r="AL7306" s="32">
        <f>8/60</f>
        <v>0.13333333333333333</v>
      </c>
      <c r="AO7306" s="32" t="s">
        <v>4067</v>
      </c>
      <c r="AP7306" s="32">
        <f>8/60</f>
        <v>0.13333333333333333</v>
      </c>
      <c r="AQ7306" s="32" t="s">
        <v>1522</v>
      </c>
      <c r="AU7306">
        <v>7305</v>
      </c>
    </row>
    <row r="7307" spans="1:47" x14ac:dyDescent="0.2">
      <c r="A7307" s="26">
        <v>6889</v>
      </c>
      <c r="B7307" s="27">
        <v>0.9458333333333333</v>
      </c>
      <c r="C7307" s="28"/>
      <c r="D7307" s="29"/>
      <c r="E7307" s="30" t="s">
        <v>1282</v>
      </c>
      <c r="H7307" s="32">
        <v>0</v>
      </c>
      <c r="I7307" s="32" t="s">
        <v>7800</v>
      </c>
      <c r="AG7307" s="32">
        <v>0</v>
      </c>
      <c r="AH7307" s="32">
        <v>0</v>
      </c>
      <c r="AI7307" s="32">
        <v>0</v>
      </c>
      <c r="AK7307" s="32">
        <v>0</v>
      </c>
      <c r="AL7307" s="32">
        <f>14/60</f>
        <v>0.23333333333333334</v>
      </c>
      <c r="AP7307" s="32">
        <f>14/60</f>
        <v>0.23333333333333334</v>
      </c>
      <c r="AQ7307" s="32" t="s">
        <v>1101</v>
      </c>
      <c r="AU7307">
        <v>7306</v>
      </c>
    </row>
    <row r="7308" spans="1:47" x14ac:dyDescent="0.2">
      <c r="A7308" s="26">
        <v>6889</v>
      </c>
      <c r="B7308" s="27" t="s">
        <v>85</v>
      </c>
      <c r="C7308" s="28"/>
      <c r="D7308" s="29"/>
      <c r="E7308" s="30" t="s">
        <v>586</v>
      </c>
      <c r="H7308" s="32">
        <v>1</v>
      </c>
      <c r="I7308" s="32" t="s">
        <v>7801</v>
      </c>
      <c r="AI7308" s="32">
        <v>1500</v>
      </c>
      <c r="AO7308" s="46" t="s">
        <v>588</v>
      </c>
      <c r="AQ7308" s="32" t="s">
        <v>589</v>
      </c>
      <c r="AU7308">
        <v>7307</v>
      </c>
    </row>
    <row r="7309" spans="1:47" x14ac:dyDescent="0.2">
      <c r="A7309" s="26">
        <v>6889</v>
      </c>
      <c r="B7309" s="27"/>
      <c r="C7309" s="28"/>
      <c r="D7309" s="29"/>
      <c r="E7309" s="30" t="s">
        <v>4666</v>
      </c>
      <c r="H7309" s="32">
        <v>1</v>
      </c>
      <c r="I7309" s="32" t="s">
        <v>7802</v>
      </c>
      <c r="AG7309" s="32">
        <v>0</v>
      </c>
      <c r="AH7309" s="32">
        <v>0</v>
      </c>
      <c r="AI7309" s="32">
        <v>0</v>
      </c>
      <c r="AL7309" s="32">
        <v>1</v>
      </c>
      <c r="AO7309" s="32" t="s">
        <v>4668</v>
      </c>
      <c r="AP7309" s="32">
        <v>1</v>
      </c>
      <c r="AQ7309" s="32">
        <v>411</v>
      </c>
      <c r="AU7309">
        <v>7308</v>
      </c>
    </row>
  </sheetData>
  <printOptions gridLines="1"/>
  <pageMargins left="0.5" right="0.25" top="0.75" bottom="0.75" header="0.5" footer="0.5"/>
  <pageSetup orientation="portrait" horizontalDpi="300"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DATESORT</vt:lpstr>
      <vt:lpstr>Database</vt:lpstr>
      <vt:lpstr>DATESORT!Print_Titles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&amp; Beth Suddaby</dc:creator>
  <cp:lastModifiedBy>Steve &amp; Beth Suddaby</cp:lastModifiedBy>
  <dcterms:created xsi:type="dcterms:W3CDTF">2017-06-04T20:05:46Z</dcterms:created>
  <dcterms:modified xsi:type="dcterms:W3CDTF">2017-06-22T00:37:36Z</dcterms:modified>
</cp:coreProperties>
</file>